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docx" ContentType="application/vnd.openxmlformats-officedocument.wordprocessingml.document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ongtv17\Downloads\"/>
    </mc:Choice>
  </mc:AlternateContent>
  <bookViews>
    <workbookView xWindow="-105" yWindow="-105" windowWidth="19305" windowHeight="5835" tabRatio="958" firstSheet="8" activeTab="10"/>
  </bookViews>
  <sheets>
    <sheet name="MME_Lic" sheetId="48" r:id="rId1"/>
    <sheet name="GGSN-Lic" sheetId="47" r:id="rId2"/>
    <sheet name="Input_Lic_Rate_PS" sheetId="5" r:id="rId3"/>
    <sheet name="User_Guide" sheetId="35" r:id="rId4"/>
    <sheet name="Resource_GGSN_by_NPMS" sheetId="18" r:id="rId5"/>
    <sheet name="Resource_SGSN_by_NPMS" sheetId="20" r:id="rId6"/>
    <sheet name="TEMP_GGSN_IMS_by_NOCPRO" sheetId="43" r:id="rId7"/>
    <sheet name="IM_Load" sheetId="45" r:id="rId8"/>
    <sheet name="IMS" sheetId="46" r:id="rId9"/>
    <sheet name="Sheet2" sheetId="50" r:id="rId10"/>
    <sheet name="Resource_GGSN_by_NOCPRO" sheetId="31" r:id="rId11"/>
    <sheet name="Resource_SGSN_by_NOCPRO" sheetId="6" r:id="rId12"/>
    <sheet name="Chi tiết_report" sheetId="41" r:id="rId13"/>
    <sheet name="Subs" sheetId="42" r:id="rId14"/>
    <sheet name="idns_weight_PCSCF" sheetId="40" r:id="rId15"/>
    <sheet name="NEPG_Version" sheetId="39" r:id="rId16"/>
    <sheet name="QH_CGNAT_PEPS_incl_2024" sheetId="34" r:id="rId17"/>
    <sheet name="Input_TaiNguyenNode__GGSN_Daily" sheetId="19" r:id="rId18"/>
    <sheet name="Resource_IPPool_IMS" sheetId="36" r:id="rId19"/>
    <sheet name="Input_NOCPRO_GGSN" sheetId="9" r:id="rId20"/>
    <sheet name="Input_TaiNguyenPeak_SGSN_Daily" sheetId="21" r:id="rId21"/>
    <sheet name="Input_NOCPRO_SGSN" sheetId="8" r:id="rId22"/>
    <sheet name="NOCPRO_GGSN_Cisco" sheetId="32" state="hidden" r:id="rId23"/>
    <sheet name="FW CGNAT_NPMS" sheetId="24" state="hidden" r:id="rId24"/>
    <sheet name="Throughput_hour_crosstab_cisco" sheetId="28" r:id="rId25"/>
    <sheet name="Bear&amp;pdp_daily_crosstab_cisco" sheetId="27" r:id="rId26"/>
    <sheet name="IP_pool__IMS_Peak_day_crosstab" sheetId="38" r:id="rId27"/>
    <sheet name="Sheet1" sheetId="49" r:id="rId28"/>
  </sheets>
  <externalReferences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</externalReferences>
  <definedNames>
    <definedName name="_413565">"hdong+Sheet1!$A$2:$J$24263!$A$13374"</definedName>
    <definedName name="_xlnm._FilterDatabase" localSheetId="12" hidden="1">'Chi tiết_report'!$A$74:$AC$118</definedName>
    <definedName name="_xlnm._FilterDatabase" localSheetId="23" hidden="1">#REF!</definedName>
    <definedName name="_xlnm._FilterDatabase" localSheetId="1" hidden="1">'GGSN-Lic'!$B$2:$AQ$71</definedName>
    <definedName name="_xlnm._FilterDatabase" localSheetId="14" hidden="1">idns_weight_PCSCF!$A$1:$C$48</definedName>
    <definedName name="_xlnm._FilterDatabase" localSheetId="8" hidden="1">IMS!$A$1:$E$65</definedName>
    <definedName name="_xlnm._FilterDatabase" localSheetId="2" hidden="1">Input_Lic_Rate_PS!$A$2:$AA$63</definedName>
    <definedName name="_xlnm._FilterDatabase" localSheetId="19" hidden="1">Input_NOCPRO_GGSN!$A$1:$H$1090</definedName>
    <definedName name="_xlnm._FilterDatabase" localSheetId="20" hidden="1">Input_TaiNguyenPeak_SGSN_Daily!$A$1:$AA$33</definedName>
    <definedName name="_xlnm._FilterDatabase" localSheetId="0" hidden="1">MME_Lic!$B$4:$AZ$51</definedName>
    <definedName name="_xlnm._FilterDatabase" localSheetId="15" hidden="1">NEPG_Version!$A$1:$N$33</definedName>
    <definedName name="_xlnm._FilterDatabase" localSheetId="22" hidden="1">NOCPRO_GGSN_Cisco!#REF!</definedName>
    <definedName name="_xlnm._FilterDatabase" localSheetId="10" hidden="1">Resource_GGSN_by_NOCPRO!$A$1:$AP$74</definedName>
    <definedName name="_xlnm._FilterDatabase" localSheetId="4" hidden="1">Resource_GGSN_by_NPMS!$A$2:$AK$53</definedName>
    <definedName name="_xlnm._FilterDatabase" localSheetId="18" hidden="1">Resource_IPPool_IMS!$A$2:$Q$53</definedName>
    <definedName name="_xlnm._FilterDatabase" localSheetId="11" hidden="1">Resource_SGSN_by_NOCPRO!$A$2:$AB$2</definedName>
    <definedName name="_xlnm._FilterDatabase" localSheetId="5" hidden="1">Resource_SGSN_by_NPMS!$A$2:$AA$45</definedName>
    <definedName name="_xlnm._FilterDatabase" localSheetId="13" hidden="1">Subs!$A$3:$P$70</definedName>
    <definedName name="_xlnm._FilterDatabase" localSheetId="6" hidden="1">TEMP_GGSN_IMS_by_NOCPRO!$A$2:$AB$68</definedName>
    <definedName name="_xlnm._FilterDatabase" hidden="1">#REF!</definedName>
    <definedName name="_NSO2" localSheetId="23" hidden="1">{"'Sheet1'!$L$16"}</definedName>
    <definedName name="_NSO2" localSheetId="1" hidden="1">{"'Sheet1'!$L$16"}</definedName>
    <definedName name="_NSO2" localSheetId="0" hidden="1">{"'Sheet1'!$L$16"}</definedName>
    <definedName name="_NSO2" hidden="1">{"'Sheet1'!$L$16"}</definedName>
    <definedName name="_o1">[1]概要!$B$18</definedName>
    <definedName name="_o2">[1]概要!$B$19</definedName>
    <definedName name="_oa">[2]概要!$B$20</definedName>
    <definedName name="_ob">[2]概要!$B$21</definedName>
    <definedName name="_Order1" hidden="1">255</definedName>
    <definedName name="_Order2" hidden="1">255</definedName>
    <definedName name="_q1">[1]概要!$D$18</definedName>
    <definedName name="_q2">[1]概要!$D$19</definedName>
    <definedName name="a" localSheetId="22" hidden="1">#REF!</definedName>
    <definedName name="a" localSheetId="10" hidden="1">#REF!</definedName>
    <definedName name="a" localSheetId="18" hidden="1">#REF!</definedName>
    <definedName name="a" localSheetId="6" hidden="1">#REF!</definedName>
    <definedName name="a" hidden="1">#REF!</definedName>
    <definedName name="aass" localSheetId="23" hidden="1">{"'Sheet1'!$L$16"}</definedName>
    <definedName name="aass" localSheetId="1" hidden="1">{"'Sheet1'!$L$16"}</definedName>
    <definedName name="aass" localSheetId="0" hidden="1">{"'Sheet1'!$L$16"}</definedName>
    <definedName name="aass" hidden="1">{"'Sheet1'!$L$16"}</definedName>
    <definedName name="anscount" hidden="1">8</definedName>
    <definedName name="app_names">[3]Applications!$A$5:$A$10</definedName>
    <definedName name="asc" localSheetId="22">SUM(#REF!)</definedName>
    <definedName name="asc" localSheetId="10">SUM(#REF!)</definedName>
    <definedName name="asc" localSheetId="18">SUM(#REF!)</definedName>
    <definedName name="asc" localSheetId="6">SUM(#REF!)</definedName>
    <definedName name="asc">SUM(#REF!)</definedName>
    <definedName name="AU" localSheetId="23" hidden="1">{"'Sheet1'!$L$16"}</definedName>
    <definedName name="AU" localSheetId="1" hidden="1">{"'Sheet1'!$L$16"}</definedName>
    <definedName name="AU" localSheetId="0" hidden="1">{"'Sheet1'!$L$16"}</definedName>
    <definedName name="AU" hidden="1">{"'Sheet1'!$L$16"}</definedName>
    <definedName name="BL">"$A$1:$f$11"</definedName>
    <definedName name="CLVC3">0.1</definedName>
    <definedName name="colum">1</definedName>
    <definedName name="css_mode">'[4]Prerequisites '!$C$81:$C$83</definedName>
    <definedName name="CSS_MTU">'[4]Prerequisites '!$C$75:$C$79</definedName>
    <definedName name="Device_Function">'[5]Lookup-Naming'!$L$5:$L$14</definedName>
    <definedName name="Device_Model">'[5]Lookup-Naming'!$O$5:$O$15</definedName>
    <definedName name="Document_array" localSheetId="23">{"Book1"}</definedName>
    <definedName name="Document_array" localSheetId="1">{"Book1"}</definedName>
    <definedName name="Document_array" localSheetId="0">{"Book1"}</definedName>
    <definedName name="Document_array">{"Book1"}</definedName>
    <definedName name="Domain_Name">'[5]Lookup-Naming'!$F$5</definedName>
    <definedName name="Drawpoints">1</definedName>
    <definedName name="DSTD_Clear">#N/A</definedName>
    <definedName name="Environment_Name">'[5]Lookup-Naming'!$I$5:$I$7</definedName>
    <definedName name="fsfsdfasfas" localSheetId="23" hidden="1">{0}</definedName>
    <definedName name="fsfsdfasfas" localSheetId="1" hidden="1">{0}</definedName>
    <definedName name="fsfsdfasfas" localSheetId="0" hidden="1">{0}</definedName>
    <definedName name="fsfsdfasfas" hidden="1">{0}</definedName>
    <definedName name="Heä_soá_laép_xaø_H">1.7</definedName>
    <definedName name="HSCT3">0.1</definedName>
    <definedName name="HSDN">2.5</definedName>
    <definedName name="HSLXH">1.7</definedName>
    <definedName name="HTML_CodePage" hidden="1">950</definedName>
    <definedName name="HTML_Control" localSheetId="23" hidden="1">{"'Sheet1'!$L$16"}</definedName>
    <definedName name="HTML_Control" localSheetId="1" hidden="1">{"'Sheet1'!$L$16"}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TML1_10">""</definedName>
    <definedName name="HTML1_11">1</definedName>
    <definedName name="HTML1_12">"C:\WINDOWS\DESKTOP\dallas.htm"</definedName>
    <definedName name="HTML1_2">1</definedName>
    <definedName name="HTML1_3">"BSC-MTX Equipment"</definedName>
    <definedName name="HTML1_4">"Materials List - Dallas Switch"</definedName>
    <definedName name="HTML1_5">""</definedName>
    <definedName name="HTML1_6">1</definedName>
    <definedName name="HTML1_7">1</definedName>
    <definedName name="HTML1_8">"2/10/97"</definedName>
    <definedName name="HTML1_9">"Nortel - CDMA Network Planning"</definedName>
    <definedName name="HTML2_10">""</definedName>
    <definedName name="HTML2_11">1</definedName>
    <definedName name="HTML2_12">"C:\WINDOWS\DESKTOP\dallas.htm"</definedName>
    <definedName name="HTML2_2">1</definedName>
    <definedName name="HTML2_3">"BSC-MTX Tool 4"</definedName>
    <definedName name="HTML2_4">"Materials List"</definedName>
    <definedName name="HTML2_5">""</definedName>
    <definedName name="HTML2_6">-4146</definedName>
    <definedName name="HTML2_7">-4146</definedName>
    <definedName name="HTML2_8">"2/10/97"</definedName>
    <definedName name="HTML2_9">"Nortel"</definedName>
    <definedName name="HTML3_10">""</definedName>
    <definedName name="HTML3_11">1</definedName>
    <definedName name="HTML3_12">"C:\WINDOWS\DESKTOP\MyHTML.htm"</definedName>
    <definedName name="HTML3_2">1</definedName>
    <definedName name="HTML3_3">"BSC-MTX Tool 4"</definedName>
    <definedName name="HTML3_4">"Materials List"</definedName>
    <definedName name="HTML3_5">""</definedName>
    <definedName name="HTML3_6">1</definedName>
    <definedName name="HTML3_7">1</definedName>
    <definedName name="HTML3_8">"2/10/97"</definedName>
    <definedName name="HTML3_9">"Nortel"</definedName>
    <definedName name="HTML4_10">""</definedName>
    <definedName name="HTML4_11">1</definedName>
    <definedName name="HTML4_12">"C:\My Documents\MyHTML.htm"</definedName>
    <definedName name="HTML4_2">1</definedName>
    <definedName name="HTML4_3">"BSC-MTX Tool 4"</definedName>
    <definedName name="HTML4_4">"BSC Order Tool"</definedName>
    <definedName name="HTML4_5">""</definedName>
    <definedName name="HTML4_6">-4146</definedName>
    <definedName name="HTML4_7">-4146</definedName>
    <definedName name="HTML4_8">"2/10/97"</definedName>
    <definedName name="HTML4_9">"Nortel"</definedName>
    <definedName name="HTML5_10">""</definedName>
    <definedName name="HTML5_11">1</definedName>
    <definedName name="HTML5_12">"C:\My Documents\MyHTML.htm"</definedName>
    <definedName name="HTML5_2">1</definedName>
    <definedName name="HTML5_3">"BSC-MTX Tool 4"</definedName>
    <definedName name="HTML5_4">"Materials List"</definedName>
    <definedName name="HTML5_5">""</definedName>
    <definedName name="HTML5_6">1</definedName>
    <definedName name="HTML5_7">1</definedName>
    <definedName name="HTML5_8">"2/10/97"</definedName>
    <definedName name="HTML5_9">"Nortel"</definedName>
    <definedName name="HTML6_10">""</definedName>
    <definedName name="HTML6_11">1</definedName>
    <definedName name="HTML6_12">"C:\WINDOWS\DESKTOP\NetDesigns\KSCY02.htm"</definedName>
    <definedName name="HTML6_2">1</definedName>
    <definedName name="HTML6_3">"BSC-MTX Tool 4"</definedName>
    <definedName name="HTML6_4">"Materials List"</definedName>
    <definedName name="HTML6_5">""</definedName>
    <definedName name="HTML6_6">1</definedName>
    <definedName name="HTML6_7">1</definedName>
    <definedName name="HTML6_8">"2/11/97"</definedName>
    <definedName name="HTML6_9">"Nortel - CDMA Network Planning"</definedName>
    <definedName name="HTMLCount">6</definedName>
    <definedName name="huy" localSheetId="23" hidden="1">{"'Sheet1'!$L$16"}</definedName>
    <definedName name="huy" localSheetId="1" hidden="1">{"'Sheet1'!$L$16"}</definedName>
    <definedName name="huy" localSheetId="0" hidden="1">{"'Sheet1'!$L$16"}</definedName>
    <definedName name="huy" hidden="1">{"'Sheet1'!$L$16"}</definedName>
    <definedName name="KhuyenmaiUPS">"AutoShape 264"</definedName>
    <definedName name="limcount" hidden="1">2</definedName>
    <definedName name="lk" localSheetId="23" hidden="1">{"'Sheet1'!$L$16"}</definedName>
    <definedName name="lk" localSheetId="1" hidden="1">{"'Sheet1'!$L$16"}</definedName>
    <definedName name="lk" localSheetId="0" hidden="1">{"'Sheet1'!$L$16"}</definedName>
    <definedName name="lk" hidden="1">{"'Sheet1'!$L$16"}</definedName>
    <definedName name="LOCAL_MYSQL_DATE_FORMAT" localSheetId="2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8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6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ncb">#N/A</definedName>
    <definedName name="NHAÂN_COÂNG" localSheetId="23">BTRAM</definedName>
    <definedName name="NHAÂN_COÂNG" localSheetId="1">BTRAM</definedName>
    <definedName name="NHAÂN_COÂNG" localSheetId="0">BTRAM</definedName>
    <definedName name="NHAÂN_COÂNG" localSheetId="22">BTRAM</definedName>
    <definedName name="NHAÂN_COÂNG" localSheetId="10">BTRAM</definedName>
    <definedName name="NHAÂN_COÂNG" localSheetId="4">BTRAM</definedName>
    <definedName name="NHAÂN_COÂNG" localSheetId="18">BTRAM</definedName>
    <definedName name="NHAÂN_COÂNG" localSheetId="5">BTRAM</definedName>
    <definedName name="NHAÂN_COÂNG" localSheetId="6">BTRAM</definedName>
    <definedName name="NHAÂN_COÂNG">BTRAM</definedName>
    <definedName name="nhap1">#N/A</definedName>
    <definedName name="nhap2">#N/A</definedName>
    <definedName name="nhapcb">#N/A</definedName>
    <definedName name="phuong" localSheetId="23" hidden="1">{"'Sheet1'!$L$16"}</definedName>
    <definedName name="phuong" localSheetId="1" hidden="1">{"'Sheet1'!$L$16"}</definedName>
    <definedName name="phuong" localSheetId="0" hidden="1">{"'Sheet1'!$L$16"}</definedName>
    <definedName name="phuong" hidden="1">{"'Sheet1'!$L$16"}</definedName>
    <definedName name="_xlnm.Print_Area" localSheetId="23">#REF!</definedName>
    <definedName name="_xlnm.Print_Area" localSheetId="1">#REF!</definedName>
    <definedName name="_xlnm.Print_Area" localSheetId="0">#REF!</definedName>
    <definedName name="_xlnm.Print_Area" localSheetId="22">#REF!</definedName>
    <definedName name="_xlnm.Print_Area" localSheetId="10">#REF!</definedName>
    <definedName name="_xlnm.Print_Area" localSheetId="4">#REF!</definedName>
    <definedName name="_xlnm.Print_Area" localSheetId="18">#REF!</definedName>
    <definedName name="_xlnm.Print_Area" localSheetId="5">#REF!</definedName>
    <definedName name="_xlnm.Print_Area" localSheetId="6">#REF!</definedName>
    <definedName name="_xlnm.Print_Area">#REF!</definedName>
    <definedName name="_xlnm.Print_Titles" localSheetId="23">#REF!</definedName>
    <definedName name="_xlnm.Print_Titles" localSheetId="1">#REF!</definedName>
    <definedName name="_xlnm.Print_Titles" localSheetId="0">#REF!</definedName>
    <definedName name="_xlnm.Print_Titles" localSheetId="22">#REF!</definedName>
    <definedName name="_xlnm.Print_Titles" localSheetId="10">#REF!</definedName>
    <definedName name="_xlnm.Print_Titles" localSheetId="4">#REF!</definedName>
    <definedName name="_xlnm.Print_Titles" localSheetId="18">#REF!</definedName>
    <definedName name="_xlnm.Print_Titles" localSheetId="5">#REF!</definedName>
    <definedName name="_xlnm.Print_Titles" localSheetId="6">#REF!</definedName>
    <definedName name="_xlnm.Print_Titles">#REF!</definedName>
    <definedName name="PtichDTL">#N/A</definedName>
    <definedName name="Rate">14563</definedName>
    <definedName name="Risk_Factor">'[6]Dev Team capacity'!$J$33</definedName>
    <definedName name="row">1</definedName>
    <definedName name="sdfa" localSheetId="22">SUM(#REF!)</definedName>
    <definedName name="sdfa" localSheetId="10">SUM(#REF!)</definedName>
    <definedName name="sdfa" localSheetId="18">SUM(#REF!)</definedName>
    <definedName name="sdfa" localSheetId="6">SUM(#REF!)</definedName>
    <definedName name="sdfa">SUM(#REF!)</definedName>
    <definedName name="sencount" hidden="1">1</definedName>
    <definedName name="Site">'[5]Lookup-Naming'!$A$5:$A$6</definedName>
    <definedName name="Sub_3G_JPC">'[7]NWC Voice'!$C$15</definedName>
    <definedName name="Sub_3G_JPK">'[7]NWC Voice'!$C$12</definedName>
    <definedName name="Sub_3G_JPT">'[7]NWC Voice'!$C$18</definedName>
    <definedName name="TaxTV">10%</definedName>
    <definedName name="TaxXL">5%</definedName>
    <definedName name="Telstra_Device_Name">'[8]Device Name &amp; Location'!$C$3:$C$50</definedName>
    <definedName name="tk">#N/A</definedName>
    <definedName name="tke">#N/A</definedName>
    <definedName name="tkt" localSheetId="23" hidden="1">{"'Sheet1'!$L$16"}</definedName>
    <definedName name="tkt" localSheetId="1" hidden="1">{"'Sheet1'!$L$16"}</definedName>
    <definedName name="tkt" localSheetId="0" hidden="1">{"'Sheet1'!$L$16"}</definedName>
    <definedName name="tkt" hidden="1">{"'Sheet1'!$L$16"}</definedName>
    <definedName name="TN">"$A¤1:$I$11"</definedName>
    <definedName name="tt">#N/A</definedName>
    <definedName name="usernameTF">"usernameTF"</definedName>
    <definedName name="VAÄT_LIEÄU">"ATRAM"</definedName>
    <definedName name="Vendor">'[5]Lookup-Naming'!$D$5:$D$10</definedName>
    <definedName name="waku" localSheetId="22">#REF!,#REF!,#REF!,#REF!,#REF!,#REF!,#REF!,#REF!,#REF!,#REF!</definedName>
    <definedName name="waku" localSheetId="10">#REF!,#REF!,#REF!,#REF!,#REF!,#REF!,#REF!,#REF!,#REF!,#REF!</definedName>
    <definedName name="waku" localSheetId="18">#REF!,#REF!,#REF!,#REF!,#REF!,#REF!,#REF!,#REF!,#REF!,#REF!</definedName>
    <definedName name="waku" localSheetId="6">#REF!,#REF!,#REF!,#REF!,#REF!,#REF!,#REF!,#REF!,#REF!,#REF!</definedName>
    <definedName name="waku">#REF!,#REF!,#REF!,#REF!,#REF!,#REF!,#REF!,#REF!,#REF!,#REF!</definedName>
    <definedName name="wakugumi" localSheetId="22">#REF!,#REF!,#REF!,#REF!,#REF!,#REF!,#REF!,#REF!,#REF!,#REF!,#REF!,#REF!,#REF!,#REF!,#REF!,#REF!,#REF!,#REF!,#REF!</definedName>
    <definedName name="wakugumi" localSheetId="10">#REF!,#REF!,#REF!,#REF!,#REF!,#REF!,#REF!,#REF!,#REF!,#REF!,#REF!,#REF!,#REF!,#REF!,#REF!,#REF!,#REF!,#REF!,#REF!</definedName>
    <definedName name="wakugumi" localSheetId="18">#REF!,#REF!,#REF!,#REF!,#REF!,#REF!,#REF!,#REF!,#REF!,#REF!,#REF!,#REF!,#REF!,#REF!,#REF!,#REF!,#REF!,#REF!,#REF!</definedName>
    <definedName name="wakugumi" localSheetId="6">#REF!,#REF!,#REF!,#REF!,#REF!,#REF!,#REF!,#REF!,#REF!,#REF!,#REF!,#REF!,#REF!,#REF!,#REF!,#REF!,#REF!,#REF!,#REF!</definedName>
    <definedName name="wakugumi">#REF!,#REF!,#REF!,#REF!,#REF!,#REF!,#REF!,#REF!,#REF!,#REF!,#REF!,#REF!,#REF!,#REF!,#REF!,#REF!,#REF!,#REF!,#REF!</definedName>
    <definedName name="wakuwaku" localSheetId="22">#REF!,#REF!,#REF!,#REF!,#REF!,#REF!,#REF!,#REF!,#REF!,#REF!,#REF!,#REF!,#REF!,#REF!,#REF!,#REF!,#REF!,#REF!,#REF!</definedName>
    <definedName name="wakuwaku" localSheetId="10">#REF!,#REF!,#REF!,#REF!,#REF!,#REF!,#REF!,#REF!,#REF!,#REF!,#REF!,#REF!,#REF!,#REF!,#REF!,#REF!,#REF!,#REF!,#REF!</definedName>
    <definedName name="wakuwaku" localSheetId="18">#REF!,#REF!,#REF!,#REF!,#REF!,#REF!,#REF!,#REF!,#REF!,#REF!,#REF!,#REF!,#REF!,#REF!,#REF!,#REF!,#REF!,#REF!,#REF!</definedName>
    <definedName name="wakuwaku" localSheetId="6">#REF!,#REF!,#REF!,#REF!,#REF!,#REF!,#REF!,#REF!,#REF!,#REF!,#REF!,#REF!,#REF!,#REF!,#REF!,#REF!,#REF!,#REF!,#REF!</definedName>
    <definedName name="wakuwaku">#REF!,#REF!,#REF!,#REF!,#REF!,#REF!,#REF!,#REF!,#REF!,#REF!,#REF!,#REF!,#REF!,#REF!,#REF!,#REF!,#REF!,#REF!,#REF!</definedName>
    <definedName name="wakuwaku2" localSheetId="22">#REF!,#REF!,#REF!,#REF!,#REF!,#REF!,#REF!,#REF!,#REF!,#REF!,#REF!,#REF!,#REF!,#REF!,#REF!,#REF!,#REF!,#REF!,#REF!</definedName>
    <definedName name="wakuwaku2" localSheetId="10">#REF!,#REF!,#REF!,#REF!,#REF!,#REF!,#REF!,#REF!,#REF!,#REF!,#REF!,#REF!,#REF!,#REF!,#REF!,#REF!,#REF!,#REF!,#REF!</definedName>
    <definedName name="wakuwaku2" localSheetId="18">#REF!,#REF!,#REF!,#REF!,#REF!,#REF!,#REF!,#REF!,#REF!,#REF!,#REF!,#REF!,#REF!,#REF!,#REF!,#REF!,#REF!,#REF!,#REF!</definedName>
    <definedName name="wakuwaku2" localSheetId="6">#REF!,#REF!,#REF!,#REF!,#REF!,#REF!,#REF!,#REF!,#REF!,#REF!,#REF!,#REF!,#REF!,#REF!,#REF!,#REF!,#REF!,#REF!,#REF!</definedName>
    <definedName name="wakuwaku2">#REF!,#REF!,#REF!,#REF!,#REF!,#REF!,#REF!,#REF!,#REF!,#REF!,#REF!,#REF!,#REF!,#REF!,#REF!,#REF!,#REF!,#REF!,#REF!</definedName>
    <definedName name="Winpoints">3</definedName>
    <definedName name="XCCT">0.5</definedName>
    <definedName name="Z_68C3A3A8_DAC7_4883_8551_40746DCA061C_.wvu.Cols" localSheetId="22" hidden="1">#REF!,#REF!</definedName>
    <definedName name="Z_68C3A3A8_DAC7_4883_8551_40746DCA061C_.wvu.Cols" localSheetId="10" hidden="1">#REF!,#REF!</definedName>
    <definedName name="Z_68C3A3A8_DAC7_4883_8551_40746DCA061C_.wvu.Cols" localSheetId="18" hidden="1">#REF!,#REF!</definedName>
    <definedName name="Z_68C3A3A8_DAC7_4883_8551_40746DCA061C_.wvu.Cols" localSheetId="6" hidden="1">#REF!,#REF!</definedName>
    <definedName name="Z_68C3A3A8_DAC7_4883_8551_40746DCA061C_.wvu.Cols" hidden="1">#REF!,#REF!</definedName>
    <definedName name="Z_68C3A3A8_DAC7_4883_8551_40746DCA061C_.wvu.FilterData" localSheetId="22" hidden="1">#REF!</definedName>
    <definedName name="Z_68C3A3A8_DAC7_4883_8551_40746DCA061C_.wvu.FilterData" localSheetId="10" hidden="1">#REF!</definedName>
    <definedName name="Z_68C3A3A8_DAC7_4883_8551_40746DCA061C_.wvu.FilterData" localSheetId="18" hidden="1">#REF!</definedName>
    <definedName name="Z_68C3A3A8_DAC7_4883_8551_40746DCA061C_.wvu.FilterData" localSheetId="6" hidden="1">#REF!</definedName>
    <definedName name="Z_68C3A3A8_DAC7_4883_8551_40746DCA061C_.wvu.FilterData" hidden="1">#REF!</definedName>
    <definedName name="Z_68C3A3A8_DAC7_4883_8551_40746DCA061C_.wvu.PrintArea" localSheetId="22" hidden="1">#REF!</definedName>
    <definedName name="Z_68C3A3A8_DAC7_4883_8551_40746DCA061C_.wvu.PrintArea" localSheetId="10" hidden="1">#REF!</definedName>
    <definedName name="Z_68C3A3A8_DAC7_4883_8551_40746DCA061C_.wvu.PrintArea" localSheetId="18" hidden="1">#REF!</definedName>
    <definedName name="Z_68C3A3A8_DAC7_4883_8551_40746DCA061C_.wvu.PrintArea" localSheetId="6" hidden="1">#REF!</definedName>
    <definedName name="Z_68C3A3A8_DAC7_4883_8551_40746DCA061C_.wvu.PrintArea" hidden="1">#REF!</definedName>
    <definedName name="Z_68C3A3A8_DAC7_4883_8551_40746DCA061C_.wvu.PrintTitles" localSheetId="22" hidden="1">#REF!</definedName>
    <definedName name="Z_68C3A3A8_DAC7_4883_8551_40746DCA061C_.wvu.PrintTitles" localSheetId="10" hidden="1">#REF!</definedName>
    <definedName name="Z_68C3A3A8_DAC7_4883_8551_40746DCA061C_.wvu.PrintTitles" localSheetId="18" hidden="1">#REF!</definedName>
    <definedName name="Z_68C3A3A8_DAC7_4883_8551_40746DCA061C_.wvu.PrintTitles" localSheetId="6" hidden="1">#REF!</definedName>
    <definedName name="Z_68C3A3A8_DAC7_4883_8551_40746DCA061C_.wvu.PrintTitles" hidden="1">#REF!</definedName>
    <definedName name="ちちち">[9]画面レイアウト!$X$8:$Y$31,[9]画面レイアウト!$Z$8:$AA$31,[9]画面レイアウト!$AB$8:$AC$31,[9]画面レイアウト!$AD$8:$AE$31,[9]画面レイアウト!$AF$8:$AG$31,[9]画面レイアウト!$AH$8:$AI$31,[9]画面レイアウト!$AJ$8:$AK$31,[9]画面レイアウト!$AL$8:$AM$31,[9]画面レイアウト!$AN$8:$AO$31,[9]画面レイアウト!$AP$8:$AQ$31</definedName>
    <definedName name="枠" localSheetId="22">#REF!,#REF!,#REF!,#REF!,#REF!,#REF!,#REF!,#REF!,#REF!,#REF!,#REF!</definedName>
    <definedName name="枠" localSheetId="10">#REF!,#REF!,#REF!,#REF!,#REF!,#REF!,#REF!,#REF!,#REF!,#REF!,#REF!</definedName>
    <definedName name="枠" localSheetId="18">#REF!,#REF!,#REF!,#REF!,#REF!,#REF!,#REF!,#REF!,#REF!,#REF!,#REF!</definedName>
    <definedName name="枠" localSheetId="6">#REF!,#REF!,#REF!,#REF!,#REF!,#REF!,#REF!,#REF!,#REF!,#REF!,#REF!</definedName>
    <definedName name="枠">#REF!,#REF!,#REF!,#REF!,#REF!,#REF!,#REF!,#REF!,#REF!,#REF!,#REF!</definedName>
    <definedName name="枠０" localSheetId="22">#REF!,#REF!,#REF!,#REF!,#REF!,#REF!,#REF!,#REF!,#REF!,#REF!</definedName>
    <definedName name="枠０" localSheetId="10">#REF!,#REF!,#REF!,#REF!,#REF!,#REF!,#REF!,#REF!,#REF!,#REF!</definedName>
    <definedName name="枠０" localSheetId="18">#REF!,#REF!,#REF!,#REF!,#REF!,#REF!,#REF!,#REF!,#REF!,#REF!</definedName>
    <definedName name="枠０" localSheetId="6">#REF!,#REF!,#REF!,#REF!,#REF!,#REF!,#REF!,#REF!,#REF!,#REF!</definedName>
    <definedName name="枠０">#REF!,#REF!,#REF!,#REF!,#REF!,#REF!,#REF!,#REF!,#REF!,#REF!</definedName>
    <definedName name="枠１" localSheetId="22">#REF!,#REF!,#REF!,#REF!,#REF!,#REF!,#REF!,#REF!,#REF!,#REF!</definedName>
    <definedName name="枠１" localSheetId="10">#REF!,#REF!,#REF!,#REF!,#REF!,#REF!,#REF!,#REF!,#REF!,#REF!</definedName>
    <definedName name="枠１" localSheetId="18">#REF!,#REF!,#REF!,#REF!,#REF!,#REF!,#REF!,#REF!,#REF!,#REF!</definedName>
    <definedName name="枠１" localSheetId="6">#REF!,#REF!,#REF!,#REF!,#REF!,#REF!,#REF!,#REF!,#REF!,#REF!</definedName>
    <definedName name="枠１">#REF!,#REF!,#REF!,#REF!,#REF!,#REF!,#REF!,#REF!,#REF!,#REF!</definedName>
    <definedName name="枠１２">[9]画面レイアウト!$X$8:$Y$31,[9]画面レイアウト!$Z$8:$AA$31,[9]画面レイアウト!$AB$8:$AC$31,[9]画面レイアウト!$AD$8:$AE$31,[9]画面レイアウト!$AF$8:$AG$31,[9]画面レイアウト!$AH$8:$AI$31,[9]画面レイアウト!$AJ$8:$AK$31,[9]画面レイアウト!$AL$8:$AM$31,[9]画面レイアウト!$AN$8:$AO$31,[9]画面レイアウト!$AP$8:$AQ$31</definedName>
    <definedName name="枠２" localSheetId="22">#REF!,#REF!,#REF!,#REF!,#REF!,#REF!,#REF!,#REF!,#REF!,#REF!</definedName>
    <definedName name="枠２" localSheetId="10">#REF!,#REF!,#REF!,#REF!,#REF!,#REF!,#REF!,#REF!,#REF!,#REF!</definedName>
    <definedName name="枠２" localSheetId="18">#REF!,#REF!,#REF!,#REF!,#REF!,#REF!,#REF!,#REF!,#REF!,#REF!</definedName>
    <definedName name="枠２" localSheetId="6">#REF!,#REF!,#REF!,#REF!,#REF!,#REF!,#REF!,#REF!,#REF!,#REF!</definedName>
    <definedName name="枠２">#REF!,#REF!,#REF!,#REF!,#REF!,#REF!,#REF!,#REF!,#REF!,#REF!</definedName>
    <definedName name="枠３" localSheetId="22">#REF!,#REF!,#REF!,#REF!,#REF!,#REF!,#REF!,#REF!,#REF!,#REF!</definedName>
    <definedName name="枠３" localSheetId="10">#REF!,#REF!,#REF!,#REF!,#REF!,#REF!,#REF!,#REF!,#REF!,#REF!</definedName>
    <definedName name="枠３" localSheetId="18">#REF!,#REF!,#REF!,#REF!,#REF!,#REF!,#REF!,#REF!,#REF!,#REF!</definedName>
    <definedName name="枠３" localSheetId="6">#REF!,#REF!,#REF!,#REF!,#REF!,#REF!,#REF!,#REF!,#REF!,#REF!</definedName>
    <definedName name="枠３">#REF!,#REF!,#REF!,#REF!,#REF!,#REF!,#REF!,#REF!,#REF!,#REF!</definedName>
    <definedName name="枠４" localSheetId="22">#REF!,#REF!,#REF!,#REF!,#REF!,#REF!,#REF!,#REF!,#REF!,#REF!,#REF!,#REF!</definedName>
    <definedName name="枠４" localSheetId="10">#REF!,#REF!,#REF!,#REF!,#REF!,#REF!,#REF!,#REF!,#REF!,#REF!,#REF!,#REF!</definedName>
    <definedName name="枠４" localSheetId="18">#REF!,#REF!,#REF!,#REF!,#REF!,#REF!,#REF!,#REF!,#REF!,#REF!,#REF!,#REF!</definedName>
    <definedName name="枠４" localSheetId="6">#REF!,#REF!,#REF!,#REF!,#REF!,#REF!,#REF!,#REF!,#REF!,#REF!,#REF!,#REF!</definedName>
    <definedName name="枠４">#REF!,#REF!,#REF!,#REF!,#REF!,#REF!,#REF!,#REF!,#REF!,#REF!,#REF!,#REF!</definedName>
    <definedName name="枠５" localSheetId="22">#REF!,#REF!,#REF!,#REF!,#REF!,#REF!,#REF!,#REF!,#REF!,#REF!</definedName>
    <definedName name="枠５" localSheetId="10">#REF!,#REF!,#REF!,#REF!,#REF!,#REF!,#REF!,#REF!,#REF!,#REF!</definedName>
    <definedName name="枠５" localSheetId="18">#REF!,#REF!,#REF!,#REF!,#REF!,#REF!,#REF!,#REF!,#REF!,#REF!</definedName>
    <definedName name="枠５" localSheetId="6">#REF!,#REF!,#REF!,#REF!,#REF!,#REF!,#REF!,#REF!,#REF!,#REF!</definedName>
    <definedName name="枠５">#REF!,#REF!,#REF!,#REF!,#REF!,#REF!,#REF!,#REF!,#REF!,#REF!</definedName>
    <definedName name="枠６" localSheetId="22">#REF!,#REF!,#REF!,#REF!,#REF!,#REF!,#REF!,#REF!,#REF!,#REF!</definedName>
    <definedName name="枠６" localSheetId="10">#REF!,#REF!,#REF!,#REF!,#REF!,#REF!,#REF!,#REF!,#REF!,#REF!</definedName>
    <definedName name="枠６" localSheetId="18">#REF!,#REF!,#REF!,#REF!,#REF!,#REF!,#REF!,#REF!,#REF!,#REF!</definedName>
    <definedName name="枠６" localSheetId="6">#REF!,#REF!,#REF!,#REF!,#REF!,#REF!,#REF!,#REF!,#REF!,#REF!</definedName>
    <definedName name="枠６">#REF!,#REF!,#REF!,#REF!,#REF!,#REF!,#REF!,#REF!,#REF!,#REF!</definedName>
    <definedName name="枠７" localSheetId="22">#REF!,#REF!,#REF!,#REF!,#REF!,#REF!,#REF!,#REF!,#REF!,#REF!</definedName>
    <definedName name="枠７" localSheetId="10">#REF!,#REF!,#REF!,#REF!,#REF!,#REF!,#REF!,#REF!,#REF!,#REF!</definedName>
    <definedName name="枠７" localSheetId="18">#REF!,#REF!,#REF!,#REF!,#REF!,#REF!,#REF!,#REF!,#REF!,#REF!</definedName>
    <definedName name="枠７" localSheetId="6">#REF!,#REF!,#REF!,#REF!,#REF!,#REF!,#REF!,#REF!,#REF!,#REF!</definedName>
    <definedName name="枠７">#REF!,#REF!,#REF!,#REF!,#REF!,#REF!,#REF!,#REF!,#REF!,#REF!</definedName>
    <definedName name="画面２">[9]画面レイアウト!$F$8:$FI$31</definedName>
    <definedName name="画面分割">[10]画面レイアウト!$D$8:$L$31,[10]画面レイアウト!$M$8:$V$31,[10]画面レイアウト!$W$8:$AF$31,[10]画面レイアウト!$AG$8:$AP$31,[10]画面レイアウト!$AQ$8:$AZ$31,[10]画面レイアウト!$BA$8:$BI$31,[10]画面レイアウト!$BA$8:$BJ$31,[10]画面レイアウト!$BK$8:$BT$31,[10]画面レイアウト!$BU$8:$CD$31,[10]画面レイアウト!$CE$8:$CE$31</definedName>
    <definedName name="費用" localSheetId="22">SUM(#REF!)</definedName>
    <definedName name="費用" localSheetId="10">SUM(#REF!)</definedName>
    <definedName name="費用" localSheetId="18">SUM(#REF!)</definedName>
    <definedName name="費用" localSheetId="6">SUM(#REF!)</definedName>
    <definedName name="費用">SUM(#REF!)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091" i="9" l="1"/>
  <c r="H1092" i="9"/>
  <c r="H1093" i="9"/>
  <c r="H1094" i="9"/>
  <c r="H1095" i="9"/>
  <c r="H1096" i="9"/>
  <c r="H1097" i="9"/>
  <c r="H1098" i="9"/>
  <c r="H1099" i="9"/>
  <c r="H1100" i="9"/>
  <c r="H1101" i="9"/>
  <c r="H1102" i="9"/>
  <c r="H1103" i="9"/>
  <c r="H1104" i="9"/>
  <c r="H1105" i="9"/>
  <c r="H1106" i="9"/>
  <c r="H1107" i="9"/>
  <c r="H1108" i="9"/>
  <c r="H1109" i="9"/>
  <c r="H1110" i="9"/>
  <c r="H1111" i="9"/>
  <c r="H1112" i="9"/>
  <c r="H1113" i="9"/>
  <c r="H1114" i="9"/>
  <c r="H1115" i="9"/>
  <c r="H1116" i="9"/>
  <c r="H1117" i="9"/>
  <c r="H1118" i="9"/>
  <c r="H1119" i="9"/>
  <c r="H1120" i="9"/>
  <c r="H1121" i="9"/>
  <c r="H1122" i="9"/>
  <c r="H1123" i="9"/>
  <c r="H1124" i="9"/>
  <c r="H1125" i="9"/>
  <c r="H1126" i="9"/>
  <c r="H1127" i="9"/>
  <c r="H1128" i="9"/>
  <c r="H1129" i="9"/>
  <c r="H1130" i="9"/>
  <c r="H1131" i="9"/>
  <c r="H1132" i="9"/>
  <c r="H1133" i="9"/>
  <c r="H1134" i="9"/>
  <c r="H1135" i="9"/>
  <c r="H1136" i="9"/>
  <c r="H1137" i="9"/>
  <c r="H1138" i="9"/>
  <c r="H1139" i="9"/>
  <c r="H1140" i="9"/>
  <c r="H1141" i="9"/>
  <c r="H1142" i="9"/>
  <c r="H1143" i="9"/>
  <c r="H1144" i="9"/>
  <c r="H1145" i="9"/>
  <c r="H1146" i="9"/>
  <c r="H1147" i="9"/>
  <c r="H1148" i="9"/>
  <c r="H1149" i="9"/>
  <c r="H1150" i="9"/>
  <c r="H1151" i="9"/>
  <c r="H1152" i="9"/>
  <c r="H1153" i="9"/>
  <c r="H1154" i="9"/>
  <c r="H1155" i="9"/>
  <c r="H1156" i="9"/>
  <c r="H1157" i="9"/>
  <c r="H1158" i="9"/>
  <c r="H1159" i="9"/>
  <c r="H1160" i="9"/>
  <c r="H1161" i="9"/>
  <c r="H1162" i="9"/>
  <c r="H1163" i="9"/>
  <c r="H1164" i="9"/>
  <c r="H1165" i="9"/>
  <c r="H1166" i="9"/>
  <c r="H1167" i="9"/>
  <c r="H1168" i="9"/>
  <c r="H1169" i="9"/>
  <c r="H1170" i="9"/>
  <c r="H1171" i="9"/>
  <c r="H1172" i="9"/>
  <c r="H1173" i="9"/>
  <c r="H1174" i="9"/>
  <c r="H1175" i="9"/>
  <c r="H1176" i="9"/>
  <c r="H1177" i="9"/>
  <c r="H1178" i="9"/>
  <c r="H1179" i="9"/>
  <c r="H1180" i="9"/>
  <c r="H1181" i="9"/>
  <c r="H1182" i="9"/>
  <c r="H1183" i="9"/>
  <c r="H1184" i="9"/>
  <c r="H1185" i="9"/>
  <c r="H1186" i="9"/>
  <c r="H1187" i="9"/>
  <c r="H1188" i="9"/>
  <c r="H1189" i="9"/>
  <c r="H1190" i="9"/>
  <c r="H1191" i="9"/>
  <c r="H1192" i="9"/>
  <c r="H1193" i="9"/>
  <c r="H1194" i="9"/>
  <c r="H1195" i="9"/>
  <c r="H1196" i="9"/>
  <c r="H1197" i="9"/>
  <c r="H1198" i="9"/>
  <c r="H1199" i="9"/>
  <c r="H1200" i="9"/>
  <c r="H1201" i="9"/>
  <c r="H1202" i="9"/>
  <c r="H1203" i="9"/>
  <c r="H1204" i="9"/>
  <c r="H1205" i="9"/>
  <c r="H1206" i="9"/>
  <c r="H1207" i="9"/>
  <c r="H1208" i="9"/>
  <c r="H1209" i="9"/>
  <c r="H1210" i="9"/>
  <c r="H1211" i="9"/>
  <c r="H1212" i="9"/>
  <c r="H1213" i="9"/>
  <c r="H1214" i="9"/>
  <c r="H1215" i="9"/>
  <c r="H1216" i="9"/>
  <c r="H1217" i="9"/>
  <c r="H1218" i="9"/>
  <c r="H1219" i="9"/>
  <c r="H1220" i="9"/>
  <c r="H1221" i="9"/>
  <c r="H1222" i="9"/>
  <c r="H1223" i="9"/>
  <c r="H1224" i="9"/>
  <c r="H1225" i="9"/>
  <c r="H1226" i="9"/>
  <c r="H1227" i="9"/>
  <c r="H1228" i="9"/>
  <c r="H1229" i="9"/>
  <c r="H1230" i="9"/>
  <c r="H1231" i="9"/>
  <c r="H1232" i="9"/>
  <c r="H1233" i="9"/>
  <c r="H1234" i="9"/>
  <c r="H1235" i="9"/>
  <c r="H1236" i="9"/>
  <c r="H1237" i="9"/>
  <c r="H1238" i="9"/>
  <c r="H1239" i="9"/>
  <c r="H1240" i="9"/>
  <c r="H1241" i="9"/>
  <c r="H1242" i="9"/>
  <c r="H1243" i="9"/>
  <c r="H1244" i="9"/>
  <c r="H1245" i="9"/>
  <c r="H1246" i="9"/>
  <c r="H1247" i="9"/>
  <c r="H1248" i="9"/>
  <c r="H1249" i="9"/>
  <c r="H1250" i="9"/>
  <c r="H1251" i="9"/>
  <c r="H1252" i="9"/>
  <c r="H1253" i="9"/>
  <c r="H1254" i="9"/>
  <c r="H1255" i="9"/>
  <c r="H1256" i="9"/>
  <c r="H1257" i="9"/>
  <c r="H1258" i="9"/>
  <c r="H1259" i="9"/>
  <c r="H1260" i="9"/>
  <c r="H1261" i="9"/>
  <c r="H1262" i="9"/>
  <c r="H1263" i="9"/>
  <c r="H1264" i="9"/>
  <c r="H1265" i="9"/>
  <c r="H1266" i="9"/>
  <c r="H1267" i="9"/>
  <c r="H1268" i="9"/>
  <c r="H1269" i="9"/>
  <c r="H1270" i="9"/>
  <c r="H1271" i="9"/>
  <c r="H1272" i="9"/>
  <c r="H1273" i="9"/>
  <c r="H1274" i="9"/>
  <c r="H1275" i="9"/>
  <c r="H1276" i="9"/>
  <c r="H1277" i="9"/>
  <c r="H1278" i="9"/>
  <c r="H1279" i="9"/>
  <c r="H1280" i="9"/>
  <c r="H1281" i="9"/>
  <c r="H1282" i="9"/>
  <c r="H1283" i="9"/>
  <c r="H1284" i="9"/>
  <c r="H1285" i="9"/>
  <c r="H1286" i="9"/>
  <c r="H1287" i="9"/>
  <c r="H1288" i="9"/>
  <c r="H1289" i="9"/>
  <c r="H1290" i="9"/>
  <c r="H1291" i="9"/>
  <c r="H1292" i="9"/>
  <c r="H1293" i="9"/>
  <c r="H1294" i="9"/>
  <c r="H1295" i="9"/>
  <c r="H1296" i="9"/>
  <c r="H1297" i="9"/>
  <c r="H1298" i="9"/>
  <c r="H1299" i="9"/>
  <c r="H1300" i="9"/>
  <c r="H1301" i="9"/>
  <c r="H1302" i="9"/>
  <c r="H1303" i="9"/>
  <c r="H1304" i="9"/>
  <c r="H1305" i="9"/>
  <c r="H1306" i="9"/>
  <c r="H1307" i="9"/>
  <c r="H1308" i="9"/>
  <c r="H1309" i="9"/>
  <c r="H1310" i="9"/>
  <c r="H1311" i="9"/>
  <c r="H1312" i="9"/>
  <c r="H1313" i="9"/>
  <c r="H1314" i="9"/>
  <c r="H1315" i="9"/>
  <c r="H1316" i="9"/>
  <c r="H1317" i="9"/>
  <c r="H1318" i="9"/>
  <c r="H1319" i="9"/>
  <c r="H1320" i="9"/>
  <c r="H1321" i="9"/>
  <c r="H1322" i="9"/>
  <c r="H1323" i="9"/>
  <c r="H1324" i="9"/>
  <c r="H1325" i="9"/>
  <c r="H1326" i="9"/>
  <c r="H1327" i="9"/>
  <c r="H1328" i="9"/>
  <c r="H1329" i="9"/>
  <c r="H1330" i="9"/>
  <c r="H1331" i="9"/>
  <c r="H1332" i="9"/>
  <c r="H1333" i="9"/>
  <c r="H1334" i="9"/>
  <c r="H1335" i="9"/>
  <c r="H1336" i="9"/>
  <c r="H1337" i="9"/>
  <c r="H1338" i="9"/>
  <c r="H1339" i="9"/>
  <c r="H1340" i="9"/>
  <c r="H1341" i="9"/>
  <c r="H1342" i="9"/>
  <c r="H1343" i="9"/>
  <c r="H1344" i="9"/>
  <c r="H1345" i="9"/>
  <c r="H1346" i="9"/>
  <c r="H1347" i="9"/>
  <c r="H1348" i="9"/>
  <c r="H1349" i="9"/>
  <c r="H1350" i="9"/>
  <c r="H1351" i="9"/>
  <c r="H1352" i="9"/>
  <c r="H1353" i="9"/>
  <c r="H1354" i="9"/>
  <c r="H1355" i="9"/>
  <c r="H1356" i="9"/>
  <c r="H1357" i="9"/>
  <c r="H1358" i="9"/>
  <c r="H1359" i="9"/>
  <c r="H1360" i="9"/>
  <c r="H1361" i="9"/>
  <c r="H1362" i="9"/>
  <c r="H1363" i="9"/>
  <c r="H1364" i="9"/>
  <c r="H1365" i="9"/>
  <c r="H1366" i="9"/>
  <c r="H1367" i="9"/>
  <c r="H1368" i="9"/>
  <c r="H1369" i="9"/>
  <c r="H1370" i="9"/>
  <c r="H1371" i="9"/>
  <c r="H1372" i="9"/>
  <c r="H1373" i="9"/>
  <c r="H1374" i="9"/>
  <c r="H1375" i="9"/>
  <c r="H1376" i="9"/>
  <c r="H1377" i="9"/>
  <c r="H1378" i="9"/>
  <c r="H1379" i="9"/>
  <c r="H1380" i="9"/>
  <c r="H1381" i="9"/>
  <c r="H1382" i="9"/>
  <c r="H1383" i="9"/>
  <c r="H1384" i="9"/>
  <c r="H1385" i="9"/>
  <c r="H1386" i="9"/>
  <c r="H1387" i="9"/>
  <c r="H1388" i="9"/>
  <c r="H1389" i="9"/>
  <c r="H1390" i="9"/>
  <c r="H1391" i="9"/>
  <c r="H1392" i="9"/>
  <c r="H1393" i="9"/>
  <c r="H1394" i="9"/>
  <c r="H1395" i="9"/>
  <c r="H1396" i="9"/>
  <c r="H1397" i="9"/>
  <c r="H1398" i="9"/>
  <c r="H1399" i="9"/>
  <c r="H1400" i="9"/>
  <c r="H1401" i="9"/>
  <c r="H1402" i="9"/>
  <c r="H1403" i="9"/>
  <c r="H1404" i="9"/>
  <c r="H1405" i="9"/>
  <c r="H1406" i="9"/>
  <c r="H1407" i="9"/>
  <c r="H1408" i="9"/>
  <c r="H1409" i="9"/>
  <c r="H1410" i="9"/>
  <c r="H1411" i="9"/>
  <c r="H1412" i="9"/>
  <c r="H1413" i="9"/>
  <c r="H1414" i="9"/>
  <c r="H1415" i="9"/>
  <c r="H1416" i="9"/>
  <c r="H1417" i="9"/>
  <c r="H1418" i="9"/>
  <c r="H1419" i="9"/>
  <c r="H1420" i="9"/>
  <c r="H1421" i="9"/>
  <c r="H1422" i="9"/>
  <c r="H1423" i="9"/>
  <c r="H1424" i="9"/>
  <c r="H1425" i="9"/>
  <c r="H1426" i="9"/>
  <c r="H1427" i="9"/>
  <c r="H1428" i="9"/>
  <c r="H1429" i="9"/>
  <c r="H1430" i="9"/>
  <c r="H1431" i="9"/>
  <c r="H1432" i="9"/>
  <c r="H1433" i="9"/>
  <c r="H1434" i="9"/>
  <c r="H1435" i="9"/>
  <c r="H1436" i="9"/>
  <c r="H1437" i="9"/>
  <c r="H1438" i="9"/>
  <c r="H1439" i="9"/>
  <c r="H1440" i="9"/>
  <c r="H1441" i="9"/>
  <c r="H1442" i="9"/>
  <c r="H1443" i="9"/>
  <c r="H1444" i="9"/>
  <c r="H1445" i="9"/>
  <c r="H1446" i="9"/>
  <c r="H1447" i="9"/>
  <c r="H1448" i="9"/>
  <c r="H1449" i="9"/>
  <c r="H1450" i="9"/>
  <c r="H1451" i="9"/>
  <c r="H1452" i="9"/>
  <c r="H1453" i="9"/>
  <c r="H1454" i="9"/>
  <c r="H1455" i="9"/>
  <c r="H1456" i="9"/>
  <c r="H1457" i="9"/>
  <c r="H1458" i="9"/>
  <c r="H1459" i="9"/>
  <c r="H1460" i="9"/>
  <c r="H1461" i="9"/>
  <c r="H1462" i="9"/>
  <c r="H1463" i="9"/>
  <c r="H1464" i="9"/>
  <c r="H1465" i="9"/>
  <c r="H1466" i="9"/>
  <c r="H1467" i="9"/>
  <c r="H1468" i="9"/>
  <c r="H1469" i="9"/>
  <c r="H1470" i="9"/>
  <c r="H1471" i="9"/>
  <c r="H1472" i="9"/>
  <c r="H1473" i="9"/>
  <c r="H1474" i="9"/>
  <c r="H1475" i="9"/>
  <c r="H1476" i="9"/>
  <c r="H1477" i="9"/>
  <c r="H1478" i="9"/>
  <c r="H1479" i="9"/>
  <c r="H1480" i="9"/>
  <c r="H1481" i="9"/>
  <c r="H1482" i="9"/>
  <c r="H1483" i="9"/>
  <c r="H1484" i="9"/>
  <c r="H1485" i="9"/>
  <c r="H1486" i="9"/>
  <c r="H1487" i="9"/>
  <c r="H1488" i="9"/>
  <c r="H1489" i="9"/>
  <c r="H1490" i="9"/>
  <c r="H1491" i="9"/>
  <c r="H1492" i="9"/>
  <c r="H1493" i="9"/>
  <c r="H1494" i="9"/>
  <c r="H1495" i="9"/>
  <c r="H1496" i="9"/>
  <c r="H1497" i="9"/>
  <c r="H1498" i="9"/>
  <c r="H1499" i="9"/>
  <c r="H1500" i="9"/>
  <c r="H1501" i="9"/>
  <c r="H1502" i="9"/>
  <c r="H1503" i="9"/>
  <c r="H1504" i="9"/>
  <c r="H1505" i="9"/>
  <c r="H1506" i="9"/>
  <c r="H1507" i="9"/>
  <c r="H1508" i="9"/>
  <c r="H1509" i="9"/>
  <c r="H1510" i="9"/>
  <c r="H1511" i="9"/>
  <c r="H1512" i="9"/>
  <c r="H1513" i="9"/>
  <c r="H1514" i="9"/>
  <c r="H1515" i="9"/>
  <c r="H1516" i="9"/>
  <c r="H1517" i="9"/>
  <c r="H1518" i="9"/>
  <c r="H1519" i="9"/>
  <c r="H1520" i="9"/>
  <c r="H1521" i="9"/>
  <c r="H1522" i="9"/>
  <c r="H1523" i="9"/>
  <c r="H1524" i="9"/>
  <c r="H1525" i="9"/>
  <c r="H1526" i="9"/>
  <c r="H1527" i="9"/>
  <c r="H1528" i="9"/>
  <c r="H1529" i="9"/>
  <c r="H1530" i="9"/>
  <c r="H1531" i="9"/>
  <c r="H1532" i="9"/>
  <c r="H1533" i="9"/>
  <c r="H1534" i="9"/>
  <c r="H1535" i="9"/>
  <c r="H1536" i="9"/>
  <c r="H1537" i="9"/>
  <c r="H1538" i="9"/>
  <c r="H1539" i="9"/>
  <c r="H1540" i="9"/>
  <c r="H1541" i="9"/>
  <c r="H1542" i="9"/>
  <c r="H1543" i="9"/>
  <c r="H1544" i="9"/>
  <c r="H1545" i="9"/>
  <c r="H1546" i="9"/>
  <c r="H1547" i="9"/>
  <c r="H1548" i="9"/>
  <c r="H1549" i="9"/>
  <c r="H1550" i="9"/>
  <c r="H1551" i="9"/>
  <c r="H1552" i="9"/>
  <c r="H1553" i="9"/>
  <c r="H1554" i="9"/>
  <c r="H1555" i="9"/>
  <c r="H1556" i="9"/>
  <c r="H1557" i="9"/>
  <c r="H1558" i="9"/>
  <c r="H1559" i="9"/>
  <c r="H1560" i="9"/>
  <c r="H1561" i="9"/>
  <c r="H1562" i="9"/>
  <c r="H1563" i="9"/>
  <c r="H1564" i="9"/>
  <c r="H1565" i="9"/>
  <c r="H1566" i="9"/>
  <c r="H1567" i="9"/>
  <c r="H1568" i="9"/>
  <c r="H1569" i="9"/>
  <c r="H1570" i="9"/>
  <c r="H1571" i="9"/>
  <c r="H1572" i="9"/>
  <c r="H1573" i="9"/>
  <c r="H1574" i="9"/>
  <c r="H1575" i="9"/>
  <c r="H1576" i="9"/>
  <c r="H1577" i="9"/>
  <c r="H1578" i="9"/>
  <c r="H1579" i="9"/>
  <c r="H1580" i="9"/>
  <c r="H1581" i="9"/>
  <c r="H1582" i="9"/>
  <c r="H1583" i="9"/>
  <c r="H1584" i="9"/>
  <c r="H1585" i="9"/>
  <c r="H1586" i="9"/>
  <c r="H1587" i="9"/>
  <c r="H1588" i="9"/>
  <c r="H1589" i="9"/>
  <c r="H1590" i="9"/>
  <c r="H1591" i="9"/>
  <c r="H1592" i="9"/>
  <c r="H1593" i="9"/>
  <c r="H1594" i="9"/>
  <c r="H1595" i="9"/>
  <c r="H1596" i="9"/>
  <c r="H1597" i="9"/>
  <c r="H1598" i="9"/>
  <c r="H1599" i="9"/>
  <c r="H1600" i="9"/>
  <c r="H1601" i="9"/>
  <c r="H1602" i="9"/>
  <c r="H1603" i="9"/>
  <c r="H1604" i="9"/>
  <c r="H1605" i="9"/>
  <c r="H1606" i="9"/>
  <c r="H1607" i="9"/>
  <c r="H1608" i="9"/>
  <c r="H1609" i="9"/>
  <c r="H1610" i="9"/>
  <c r="H1611" i="9"/>
  <c r="H1612" i="9"/>
  <c r="H1613" i="9"/>
  <c r="H1614" i="9"/>
  <c r="H1615" i="9"/>
  <c r="H1616" i="9"/>
  <c r="H1617" i="9"/>
  <c r="H1618" i="9"/>
  <c r="H1619" i="9"/>
  <c r="H1620" i="9"/>
  <c r="H1621" i="9"/>
  <c r="H1622" i="9"/>
  <c r="H1623" i="9"/>
  <c r="H1624" i="9"/>
  <c r="H1625" i="9"/>
  <c r="H1626" i="9"/>
  <c r="H1627" i="9"/>
  <c r="H1628" i="9"/>
  <c r="H1629" i="9"/>
  <c r="H1630" i="9"/>
  <c r="H1631" i="9"/>
  <c r="H1632" i="9"/>
  <c r="H1633" i="9"/>
  <c r="H1634" i="9"/>
  <c r="H1635" i="9"/>
  <c r="H1636" i="9"/>
  <c r="H1637" i="9"/>
  <c r="H1638" i="9"/>
  <c r="H1639" i="9"/>
  <c r="H1640" i="9"/>
  <c r="H1641" i="9"/>
  <c r="H1642" i="9"/>
  <c r="H1643" i="9"/>
  <c r="H1644" i="9"/>
  <c r="H1645" i="9"/>
  <c r="H1646" i="9"/>
  <c r="H1647" i="9"/>
  <c r="H1648" i="9"/>
  <c r="H1649" i="9"/>
  <c r="H1650" i="9"/>
  <c r="H1651" i="9"/>
  <c r="H1652" i="9"/>
  <c r="H1653" i="9"/>
  <c r="H1654" i="9"/>
  <c r="H1655" i="9"/>
  <c r="H1656" i="9"/>
  <c r="H1657" i="9"/>
  <c r="H1658" i="9"/>
  <c r="H1659" i="9"/>
  <c r="H1660" i="9"/>
  <c r="H1661" i="9"/>
  <c r="H1662" i="9"/>
  <c r="H1663" i="9"/>
  <c r="H1664" i="9"/>
  <c r="H1665" i="9"/>
  <c r="H1666" i="9"/>
  <c r="H1667" i="9"/>
  <c r="H1668" i="9"/>
  <c r="H1669" i="9"/>
  <c r="H1670" i="9"/>
  <c r="H1671" i="9"/>
  <c r="H1672" i="9"/>
  <c r="H1673" i="9"/>
  <c r="H1674" i="9"/>
  <c r="H1675" i="9"/>
  <c r="H1676" i="9"/>
  <c r="H1677" i="9"/>
  <c r="H1678" i="9"/>
  <c r="H1679" i="9"/>
  <c r="H1680" i="9"/>
  <c r="H1681" i="9"/>
  <c r="H1682" i="9"/>
  <c r="H1683" i="9"/>
  <c r="H1684" i="9"/>
  <c r="H1685" i="9"/>
  <c r="H1686" i="9"/>
  <c r="H1687" i="9"/>
  <c r="H1688" i="9"/>
  <c r="H1689" i="9"/>
  <c r="H1690" i="9"/>
  <c r="H1691" i="9"/>
  <c r="H1692" i="9"/>
  <c r="H1693" i="9"/>
  <c r="H1694" i="9"/>
  <c r="H1695" i="9"/>
  <c r="H1696" i="9"/>
  <c r="H1697" i="9"/>
  <c r="H1698" i="9"/>
  <c r="H1699" i="9"/>
  <c r="H1700" i="9"/>
  <c r="H1701" i="9"/>
  <c r="H1702" i="9"/>
  <c r="H1703" i="9"/>
  <c r="H1704" i="9"/>
  <c r="H1705" i="9"/>
  <c r="H1706" i="9"/>
  <c r="H1707" i="9"/>
  <c r="H1708" i="9"/>
  <c r="H1709" i="9"/>
  <c r="H1710" i="9"/>
  <c r="H1711" i="9"/>
  <c r="H1712" i="9"/>
  <c r="H1713" i="9"/>
  <c r="H1714" i="9"/>
  <c r="H1715" i="9"/>
  <c r="H1716" i="9"/>
  <c r="H1717" i="9"/>
  <c r="H1718" i="9"/>
  <c r="H1719" i="9"/>
  <c r="H1720" i="9"/>
  <c r="H1721" i="9"/>
  <c r="H1722" i="9"/>
  <c r="H1723" i="9"/>
  <c r="H1724" i="9"/>
  <c r="H1725" i="9"/>
  <c r="H1726" i="9"/>
  <c r="H1727" i="9"/>
  <c r="H1728" i="9"/>
  <c r="H1729" i="9"/>
  <c r="H1730" i="9"/>
  <c r="H1731" i="9"/>
  <c r="H1732" i="9"/>
  <c r="H1733" i="9"/>
  <c r="H1734" i="9"/>
  <c r="H1735" i="9"/>
  <c r="H1736" i="9"/>
  <c r="H1737" i="9"/>
  <c r="H1738" i="9"/>
  <c r="H1739" i="9"/>
  <c r="H1740" i="9"/>
  <c r="H1741" i="9"/>
  <c r="H1742" i="9"/>
  <c r="H1743" i="9"/>
  <c r="H1744" i="9"/>
  <c r="H1745" i="9"/>
  <c r="H1746" i="9"/>
  <c r="H1747" i="9"/>
  <c r="H1748" i="9"/>
  <c r="H1749" i="9"/>
  <c r="H1750" i="9"/>
  <c r="H1751" i="9"/>
  <c r="H1752" i="9"/>
  <c r="H1753" i="9"/>
  <c r="H1754" i="9"/>
  <c r="H1755" i="9"/>
  <c r="H1756" i="9"/>
  <c r="H1757" i="9"/>
  <c r="H1758" i="9"/>
  <c r="H1759" i="9"/>
  <c r="H1760" i="9"/>
  <c r="H1761" i="9"/>
  <c r="H1762" i="9"/>
  <c r="H1763" i="9"/>
  <c r="H1764" i="9"/>
  <c r="H1765" i="9"/>
  <c r="H1766" i="9"/>
  <c r="H1767" i="9"/>
  <c r="H1768" i="9"/>
  <c r="H1769" i="9"/>
  <c r="H1770" i="9"/>
  <c r="H1771" i="9"/>
  <c r="H1772" i="9"/>
  <c r="H1773" i="9"/>
  <c r="H1774" i="9"/>
  <c r="H1775" i="9"/>
  <c r="H1776" i="9"/>
  <c r="H1777" i="9"/>
  <c r="H1778" i="9"/>
  <c r="H1779" i="9"/>
  <c r="H1780" i="9"/>
  <c r="H1781" i="9"/>
  <c r="H1782" i="9"/>
  <c r="H1783" i="9"/>
  <c r="H1784" i="9"/>
  <c r="H1785" i="9"/>
  <c r="H1786" i="9"/>
  <c r="H1787" i="9"/>
  <c r="H1788" i="9"/>
  <c r="H1789" i="9"/>
  <c r="H1790" i="9"/>
  <c r="H1791" i="9"/>
  <c r="H1792" i="9"/>
  <c r="H1793" i="9"/>
  <c r="H1794" i="9"/>
  <c r="H1795" i="9"/>
  <c r="H1796" i="9"/>
  <c r="H1797" i="9"/>
  <c r="H1798" i="9"/>
  <c r="H1799" i="9"/>
  <c r="H1800" i="9"/>
  <c r="H1801" i="9"/>
  <c r="H1802" i="9"/>
  <c r="H1803" i="9"/>
  <c r="H1804" i="9"/>
  <c r="H1805" i="9"/>
  <c r="H1806" i="9"/>
  <c r="H1807" i="9"/>
  <c r="H1808" i="9"/>
  <c r="H1809" i="9"/>
  <c r="H1810" i="9"/>
  <c r="H1811" i="9"/>
  <c r="H1812" i="9"/>
  <c r="H1813" i="9"/>
  <c r="H1814" i="9"/>
  <c r="H1815" i="9"/>
  <c r="H1816" i="9"/>
  <c r="H1817" i="9"/>
  <c r="H1818" i="9"/>
  <c r="H1819" i="9"/>
  <c r="H1820" i="9"/>
  <c r="H1821" i="9"/>
  <c r="H1822" i="9"/>
  <c r="H1823" i="9"/>
  <c r="H1824" i="9"/>
  <c r="H1825" i="9"/>
  <c r="H1826" i="9"/>
  <c r="H1827" i="9"/>
  <c r="H1828" i="9"/>
  <c r="H1829" i="9"/>
  <c r="H1830" i="9"/>
  <c r="H1831" i="9"/>
  <c r="H1832" i="9"/>
  <c r="H1833" i="9"/>
  <c r="H1834" i="9"/>
  <c r="H1835" i="9"/>
  <c r="H1836" i="9"/>
  <c r="H1837" i="9"/>
  <c r="H1838" i="9"/>
  <c r="H1839" i="9"/>
  <c r="H1840" i="9"/>
  <c r="H1841" i="9"/>
  <c r="H1842" i="9"/>
  <c r="H1843" i="9"/>
  <c r="H1844" i="9"/>
  <c r="H1845" i="9"/>
  <c r="H1846" i="9"/>
  <c r="H1847" i="9"/>
  <c r="H1848" i="9"/>
  <c r="H1849" i="9"/>
  <c r="H1850" i="9"/>
  <c r="H1851" i="9"/>
  <c r="H1852" i="9"/>
  <c r="H1853" i="9"/>
  <c r="H1854" i="9"/>
  <c r="H1855" i="9"/>
  <c r="H1856" i="9"/>
  <c r="H1857" i="9"/>
  <c r="H1858" i="9"/>
  <c r="H1859" i="9"/>
  <c r="H1860" i="9"/>
  <c r="H1861" i="9"/>
  <c r="H1862" i="9"/>
  <c r="H1863" i="9"/>
  <c r="H1864" i="9"/>
  <c r="H1865" i="9"/>
  <c r="H1866" i="9"/>
  <c r="H1867" i="9"/>
  <c r="H1868" i="9"/>
  <c r="H1869" i="9"/>
  <c r="H1870" i="9"/>
  <c r="H1871" i="9"/>
  <c r="H1872" i="9"/>
  <c r="H1873" i="9"/>
  <c r="H1874" i="9"/>
  <c r="H1875" i="9"/>
  <c r="H1876" i="9"/>
  <c r="H1877" i="9"/>
  <c r="H1878" i="9"/>
  <c r="H1879" i="9"/>
  <c r="H1880" i="9"/>
  <c r="H1881" i="9"/>
  <c r="H1882" i="9"/>
  <c r="H1883" i="9"/>
  <c r="H1884" i="9"/>
  <c r="H1885" i="9"/>
  <c r="H1886" i="9"/>
  <c r="H1887" i="9"/>
  <c r="H1888" i="9"/>
  <c r="H1889" i="9"/>
  <c r="H1890" i="9"/>
  <c r="H1891" i="9"/>
  <c r="H1892" i="9"/>
  <c r="H1893" i="9"/>
  <c r="H1894" i="9"/>
  <c r="H1895" i="9"/>
  <c r="H1896" i="9"/>
  <c r="H1897" i="9"/>
  <c r="H1898" i="9"/>
  <c r="H1899" i="9"/>
  <c r="H1900" i="9"/>
  <c r="H1901" i="9"/>
  <c r="H1902" i="9"/>
  <c r="H1903" i="9"/>
  <c r="H1904" i="9"/>
  <c r="H1905" i="9"/>
  <c r="H1906" i="9"/>
  <c r="H1907" i="9"/>
  <c r="H1908" i="9"/>
  <c r="H1909" i="9"/>
  <c r="H1910" i="9"/>
  <c r="H1911" i="9"/>
  <c r="H1912" i="9"/>
  <c r="H1913" i="9"/>
  <c r="H1914" i="9"/>
  <c r="H1915" i="9"/>
  <c r="H1916" i="9"/>
  <c r="H1917" i="9"/>
  <c r="H1918" i="9"/>
  <c r="H1919" i="9"/>
  <c r="H1920" i="9"/>
  <c r="H1921" i="9"/>
  <c r="H1922" i="9"/>
  <c r="H1923" i="9"/>
  <c r="H1924" i="9"/>
  <c r="H1925" i="9"/>
  <c r="H1926" i="9"/>
  <c r="H1927" i="9"/>
  <c r="H1928" i="9"/>
  <c r="H1929" i="9"/>
  <c r="H1930" i="9"/>
  <c r="H1931" i="9"/>
  <c r="H1932" i="9"/>
  <c r="H1933" i="9"/>
  <c r="H1934" i="9"/>
  <c r="H1935" i="9"/>
  <c r="H1936" i="9"/>
  <c r="H1937" i="9"/>
  <c r="H1938" i="9"/>
  <c r="H1939" i="9"/>
  <c r="H1940" i="9"/>
  <c r="H1941" i="9"/>
  <c r="H1942" i="9"/>
  <c r="H1943" i="9"/>
  <c r="H1944" i="9"/>
  <c r="H1945" i="9"/>
  <c r="H1946" i="9"/>
  <c r="H1947" i="9"/>
  <c r="H1948" i="9"/>
  <c r="H1949" i="9"/>
  <c r="H1950" i="9"/>
  <c r="H1951" i="9"/>
  <c r="H1952" i="9"/>
  <c r="H1953" i="9"/>
  <c r="H1954" i="9"/>
  <c r="H1955" i="9"/>
  <c r="H1956" i="9"/>
  <c r="H1957" i="9"/>
  <c r="H1958" i="9"/>
  <c r="H1959" i="9"/>
  <c r="H1960" i="9"/>
  <c r="H1961" i="9"/>
  <c r="H1962" i="9"/>
  <c r="H1963" i="9"/>
  <c r="H1964" i="9"/>
  <c r="H1965" i="9"/>
  <c r="H1966" i="9"/>
  <c r="H1967" i="9"/>
  <c r="H1968" i="9"/>
  <c r="H1969" i="9"/>
  <c r="H1970" i="9"/>
  <c r="H1971" i="9"/>
  <c r="H1972" i="9"/>
  <c r="H1973" i="9"/>
  <c r="H1974" i="9"/>
  <c r="H1975" i="9"/>
  <c r="H1976" i="9"/>
  <c r="H1977" i="9"/>
  <c r="H1978" i="9"/>
  <c r="H1979" i="9"/>
  <c r="H1980" i="9"/>
  <c r="H1981" i="9"/>
  <c r="H1982" i="9"/>
  <c r="H1983" i="9"/>
  <c r="H1984" i="9"/>
  <c r="H1985" i="9"/>
  <c r="H1986" i="9"/>
  <c r="H1987" i="9"/>
  <c r="H1988" i="9"/>
  <c r="H1989" i="9"/>
  <c r="H1990" i="9"/>
  <c r="H1991" i="9"/>
  <c r="H1992" i="9"/>
  <c r="H1993" i="9"/>
  <c r="H1994" i="9"/>
  <c r="H1995" i="9"/>
  <c r="H1996" i="9"/>
  <c r="H1997" i="9"/>
  <c r="H1998" i="9"/>
  <c r="H1999" i="9"/>
  <c r="H2000" i="9"/>
  <c r="H2001" i="9"/>
  <c r="H2002" i="9"/>
  <c r="H2003" i="9"/>
  <c r="H2004" i="9"/>
  <c r="H2005" i="9"/>
  <c r="H2006" i="9"/>
  <c r="H2007" i="9"/>
  <c r="H2008" i="9"/>
  <c r="H2009" i="9"/>
  <c r="H2010" i="9"/>
  <c r="H2011" i="9"/>
  <c r="H2012" i="9"/>
  <c r="H2013" i="9"/>
  <c r="H2014" i="9"/>
  <c r="H2015" i="9"/>
  <c r="H2016" i="9"/>
  <c r="H2017" i="9"/>
  <c r="H2018" i="9"/>
  <c r="H2019" i="9"/>
  <c r="H2020" i="9"/>
  <c r="H2021" i="9"/>
  <c r="H2022" i="9"/>
  <c r="H2023" i="9"/>
  <c r="H2024" i="9"/>
  <c r="H2025" i="9"/>
  <c r="H2026" i="9"/>
  <c r="H2027" i="9"/>
  <c r="H2028" i="9"/>
  <c r="H2029" i="9"/>
  <c r="H2030" i="9"/>
  <c r="H2031" i="9"/>
  <c r="H2032" i="9"/>
  <c r="H2033" i="9"/>
  <c r="H2034" i="9"/>
  <c r="H2035" i="9"/>
  <c r="H2036" i="9"/>
  <c r="H2037" i="9"/>
  <c r="H2038" i="9"/>
  <c r="H2039" i="9"/>
  <c r="H2040" i="9"/>
  <c r="H2041" i="9"/>
  <c r="H2042" i="9"/>
  <c r="H2043" i="9"/>
  <c r="H2044" i="9"/>
  <c r="H2045" i="9"/>
  <c r="H2046" i="9"/>
  <c r="H2047" i="9"/>
  <c r="H2048" i="9"/>
  <c r="H2049" i="9"/>
  <c r="H2050" i="9"/>
  <c r="H2051" i="9"/>
  <c r="H2052" i="9"/>
  <c r="H2053" i="9"/>
  <c r="H2054" i="9"/>
  <c r="H2055" i="9"/>
  <c r="H2056" i="9"/>
  <c r="H2057" i="9"/>
  <c r="H2058" i="9"/>
  <c r="H2059" i="9"/>
  <c r="H2060" i="9"/>
  <c r="H2061" i="9"/>
  <c r="H2062" i="9"/>
  <c r="H2063" i="9"/>
  <c r="H2064" i="9"/>
  <c r="H2065" i="9"/>
  <c r="H2066" i="9"/>
  <c r="H2067" i="9"/>
  <c r="H2068" i="9"/>
  <c r="H2069" i="9"/>
  <c r="H2070" i="9"/>
  <c r="H2071" i="9"/>
  <c r="H2072" i="9"/>
  <c r="H2073" i="9"/>
  <c r="H2074" i="9"/>
  <c r="H2075" i="9"/>
  <c r="H2076" i="9"/>
  <c r="H2077" i="9"/>
  <c r="H2078" i="9"/>
  <c r="H2079" i="9"/>
  <c r="H2080" i="9"/>
  <c r="H2081" i="9"/>
  <c r="H2082" i="9"/>
  <c r="H2083" i="9"/>
  <c r="H2084" i="9"/>
  <c r="H2085" i="9"/>
  <c r="H2086" i="9"/>
  <c r="H2087" i="9"/>
  <c r="H2088" i="9"/>
  <c r="H2089" i="9"/>
  <c r="H2090" i="9"/>
  <c r="H2091" i="9"/>
  <c r="H2092" i="9"/>
  <c r="H2093" i="9"/>
  <c r="H2094" i="9"/>
  <c r="H2095" i="9"/>
  <c r="H2096" i="9"/>
  <c r="H2097" i="9"/>
  <c r="H2098" i="9"/>
  <c r="H2099" i="9"/>
  <c r="H2100" i="9"/>
  <c r="H2101" i="9"/>
  <c r="H2102" i="9"/>
  <c r="H2103" i="9"/>
  <c r="H2104" i="9"/>
  <c r="H2105" i="9"/>
  <c r="H2106" i="9"/>
  <c r="H2107" i="9"/>
  <c r="H2108" i="9"/>
  <c r="H2109" i="9"/>
  <c r="H2110" i="9"/>
  <c r="H2111" i="9"/>
  <c r="H2112" i="9"/>
  <c r="H2113" i="9"/>
  <c r="H2114" i="9"/>
  <c r="H2115" i="9"/>
  <c r="H2116" i="9"/>
  <c r="H2117" i="9"/>
  <c r="H2118" i="9"/>
  <c r="H2119" i="9"/>
  <c r="H2120" i="9"/>
  <c r="H2121" i="9"/>
  <c r="H2122" i="9"/>
  <c r="H2123" i="9"/>
  <c r="H2124" i="9"/>
  <c r="H2125" i="9"/>
  <c r="H2126" i="9"/>
  <c r="H2127" i="9"/>
  <c r="H2128" i="9"/>
  <c r="H2129" i="9"/>
  <c r="H2130" i="9"/>
  <c r="H2131" i="9"/>
  <c r="H2132" i="9"/>
  <c r="H2133" i="9"/>
  <c r="H2134" i="9"/>
  <c r="H2135" i="9"/>
  <c r="H2136" i="9"/>
  <c r="H2137" i="9"/>
  <c r="H2138" i="9"/>
  <c r="H2139" i="9"/>
  <c r="H2140" i="9"/>
  <c r="H2141" i="9"/>
  <c r="H2142" i="9"/>
  <c r="H2143" i="9"/>
  <c r="H2144" i="9"/>
  <c r="H2145" i="9"/>
  <c r="H2146" i="9"/>
  <c r="H2147" i="9"/>
  <c r="H2148" i="9"/>
  <c r="H2149" i="9"/>
  <c r="H2150" i="9"/>
  <c r="H2151" i="9"/>
  <c r="H2152" i="9"/>
  <c r="H2153" i="9"/>
  <c r="H2154" i="9"/>
  <c r="H2155" i="9"/>
  <c r="H2156" i="9"/>
  <c r="H2157" i="9"/>
  <c r="H2158" i="9"/>
  <c r="H2159" i="9"/>
  <c r="H2160" i="9"/>
  <c r="H2161" i="9"/>
  <c r="H2162" i="9"/>
  <c r="H2163" i="9"/>
  <c r="H2164" i="9"/>
  <c r="H2165" i="9"/>
  <c r="H2166" i="9"/>
  <c r="H2167" i="9"/>
  <c r="H2168" i="9"/>
  <c r="H2169" i="9"/>
  <c r="H2170" i="9"/>
  <c r="H2171" i="9"/>
  <c r="H2172" i="9"/>
  <c r="H2173" i="9"/>
  <c r="H2174" i="9"/>
  <c r="H2175" i="9"/>
  <c r="H2176" i="9"/>
  <c r="H2177" i="9"/>
  <c r="H2178" i="9"/>
  <c r="H2179" i="9"/>
  <c r="H2180" i="9"/>
  <c r="H2181" i="9"/>
  <c r="H2182" i="9"/>
  <c r="H2183" i="9"/>
  <c r="H2184" i="9"/>
  <c r="H2185" i="9"/>
  <c r="H2186" i="9"/>
  <c r="H2187" i="9"/>
  <c r="H2188" i="9"/>
  <c r="H2189" i="9"/>
  <c r="H2190" i="9"/>
  <c r="H2191" i="9"/>
  <c r="H2192" i="9"/>
  <c r="H2193" i="9"/>
  <c r="H2194" i="9"/>
  <c r="H2195" i="9"/>
  <c r="H2196" i="9"/>
  <c r="H2197" i="9"/>
  <c r="H2198" i="9"/>
  <c r="H2199" i="9"/>
  <c r="H2200" i="9"/>
  <c r="H2201" i="9"/>
  <c r="H2202" i="9"/>
  <c r="H2203" i="9"/>
  <c r="H2204" i="9"/>
  <c r="H2205" i="9"/>
  <c r="H2206" i="9"/>
  <c r="H2207" i="9"/>
  <c r="H2208" i="9"/>
  <c r="H2209" i="9"/>
  <c r="H2210" i="9"/>
  <c r="H2211" i="9"/>
  <c r="H2212" i="9"/>
  <c r="H2213" i="9"/>
  <c r="H2214" i="9"/>
  <c r="H2215" i="9"/>
  <c r="H2216" i="9"/>
  <c r="H2217" i="9"/>
  <c r="H2218" i="9"/>
  <c r="H2219" i="9"/>
  <c r="H2220" i="9"/>
  <c r="H2221" i="9"/>
  <c r="H2222" i="9"/>
  <c r="H2223" i="9"/>
  <c r="H2224" i="9"/>
  <c r="H2225" i="9"/>
  <c r="H2226" i="9"/>
  <c r="H2227" i="9"/>
  <c r="H2228" i="9"/>
  <c r="H2229" i="9"/>
  <c r="H2230" i="9"/>
  <c r="H2231" i="9"/>
  <c r="H2232" i="9"/>
  <c r="H2233" i="9"/>
  <c r="H2234" i="9"/>
  <c r="H2235" i="9"/>
  <c r="H2236" i="9"/>
  <c r="H2237" i="9"/>
  <c r="H2238" i="9"/>
  <c r="H2239" i="9"/>
  <c r="H2240" i="9"/>
  <c r="H2241" i="9"/>
  <c r="H2242" i="9"/>
  <c r="H2243" i="9"/>
  <c r="H2244" i="9"/>
  <c r="H2245" i="9"/>
  <c r="H2246" i="9"/>
  <c r="H2247" i="9"/>
  <c r="H2248" i="9"/>
  <c r="H2249" i="9"/>
  <c r="H2250" i="9"/>
  <c r="H2251" i="9"/>
  <c r="H2252" i="9"/>
  <c r="H2253" i="9"/>
  <c r="H2254" i="9"/>
  <c r="H2255" i="9"/>
  <c r="H2256" i="9"/>
  <c r="H2257" i="9"/>
  <c r="H2258" i="9"/>
  <c r="H2259" i="9"/>
  <c r="H2260" i="9"/>
  <c r="H2261" i="9"/>
  <c r="H2262" i="9"/>
  <c r="H2263" i="9"/>
  <c r="H2264" i="9"/>
  <c r="H2265" i="9"/>
  <c r="H2266" i="9"/>
  <c r="H2267" i="9"/>
  <c r="H2268" i="9"/>
  <c r="H2269" i="9"/>
  <c r="H2270" i="9"/>
  <c r="H2271" i="9"/>
  <c r="H2272" i="9"/>
  <c r="H2273" i="9"/>
  <c r="H2274" i="9"/>
  <c r="H2275" i="9"/>
  <c r="H2276" i="9"/>
  <c r="H2277" i="9"/>
  <c r="H2278" i="9"/>
  <c r="H2279" i="9"/>
  <c r="H2280" i="9"/>
  <c r="H2281" i="9"/>
  <c r="H2282" i="9"/>
  <c r="H2283" i="9"/>
  <c r="H2284" i="9"/>
  <c r="H2285" i="9"/>
  <c r="H2286" i="9"/>
  <c r="H2287" i="9"/>
  <c r="H2288" i="9"/>
  <c r="H2289" i="9"/>
  <c r="H2290" i="9"/>
  <c r="H2291" i="9"/>
  <c r="H2292" i="9"/>
  <c r="H2293" i="9"/>
  <c r="H2294" i="9"/>
  <c r="H2295" i="9"/>
  <c r="H2296" i="9"/>
  <c r="H2297" i="9"/>
  <c r="H2298" i="9"/>
  <c r="H2299" i="9"/>
  <c r="H2300" i="9"/>
  <c r="H2301" i="9"/>
  <c r="H2302" i="9"/>
  <c r="H2303" i="9"/>
  <c r="H2304" i="9"/>
  <c r="H2305" i="9"/>
  <c r="H2306" i="9"/>
  <c r="H2307" i="9"/>
  <c r="H2308" i="9"/>
  <c r="H2309" i="9"/>
  <c r="H2310" i="9"/>
  <c r="H2311" i="9"/>
  <c r="H2312" i="9"/>
  <c r="H2313" i="9"/>
  <c r="H2314" i="9"/>
  <c r="H2315" i="9"/>
  <c r="H2316" i="9"/>
  <c r="H2317" i="9"/>
  <c r="H2318" i="9"/>
  <c r="H2319" i="9"/>
  <c r="H2320" i="9"/>
  <c r="H2321" i="9"/>
  <c r="H2322" i="9"/>
  <c r="H2323" i="9"/>
  <c r="H2324" i="9"/>
  <c r="H2325" i="9"/>
  <c r="H2326" i="9"/>
  <c r="H2327" i="9"/>
  <c r="H2328" i="9"/>
  <c r="H2329" i="9"/>
  <c r="H2330" i="9"/>
  <c r="H2331" i="9"/>
  <c r="H2332" i="9"/>
  <c r="H2333" i="9"/>
  <c r="H2334" i="9"/>
  <c r="H2335" i="9"/>
  <c r="H2336" i="9"/>
  <c r="H2337" i="9"/>
  <c r="H2338" i="9"/>
  <c r="H2339" i="9"/>
  <c r="H2340" i="9"/>
  <c r="H2341" i="9"/>
  <c r="H2342" i="9"/>
  <c r="H2343" i="9"/>
  <c r="H2344" i="9"/>
  <c r="H2345" i="9"/>
  <c r="H2346" i="9"/>
  <c r="H2347" i="9"/>
  <c r="H2348" i="9"/>
  <c r="H2349" i="9"/>
  <c r="H2350" i="9"/>
  <c r="H2351" i="9"/>
  <c r="H2352" i="9"/>
  <c r="H2353" i="9"/>
  <c r="H2354" i="9"/>
  <c r="H2355" i="9"/>
  <c r="H2356" i="9"/>
  <c r="H2357" i="9"/>
  <c r="H2358" i="9"/>
  <c r="H2359" i="9"/>
  <c r="H2360" i="9"/>
  <c r="H2361" i="9"/>
  <c r="H2362" i="9"/>
  <c r="H2363" i="9"/>
  <c r="H2364" i="9"/>
  <c r="H2365" i="9"/>
  <c r="H2366" i="9"/>
  <c r="H2367" i="9"/>
  <c r="H2368" i="9"/>
  <c r="H2369" i="9"/>
  <c r="H2370" i="9"/>
  <c r="H2371" i="9"/>
  <c r="H2372" i="9"/>
  <c r="H2373" i="9"/>
  <c r="H2374" i="9"/>
  <c r="H2375" i="9"/>
  <c r="H2376" i="9"/>
  <c r="H2377" i="9"/>
  <c r="H2378" i="9"/>
  <c r="H2379" i="9"/>
  <c r="H2380" i="9"/>
  <c r="H2381" i="9"/>
  <c r="H2382" i="9"/>
  <c r="H2383" i="9"/>
  <c r="H2384" i="9"/>
  <c r="H2385" i="9"/>
  <c r="H2386" i="9"/>
  <c r="H2387" i="9"/>
  <c r="H2388" i="9"/>
  <c r="H2389" i="9"/>
  <c r="H2390" i="9"/>
  <c r="H2391" i="9"/>
  <c r="H2392" i="9"/>
  <c r="H2393" i="9"/>
  <c r="H2394" i="9"/>
  <c r="H2395" i="9"/>
  <c r="H2396" i="9"/>
  <c r="H2397" i="9"/>
  <c r="H2398" i="9"/>
  <c r="H2399" i="9"/>
  <c r="H2400" i="9"/>
  <c r="H2401" i="9"/>
  <c r="H2402" i="9"/>
  <c r="H2403" i="9"/>
  <c r="H2404" i="9"/>
  <c r="H2405" i="9"/>
  <c r="H2406" i="9"/>
  <c r="H2407" i="9"/>
  <c r="H2408" i="9"/>
  <c r="H2409" i="9"/>
  <c r="H2410" i="9"/>
  <c r="H2411" i="9"/>
  <c r="H2412" i="9"/>
  <c r="H2413" i="9"/>
  <c r="H2414" i="9"/>
  <c r="H2415" i="9"/>
  <c r="H2416" i="9"/>
  <c r="H2417" i="9"/>
  <c r="H2418" i="9"/>
  <c r="H2419" i="9"/>
  <c r="H2420" i="9"/>
  <c r="H2421" i="9"/>
  <c r="H2422" i="9"/>
  <c r="H2423" i="9"/>
  <c r="H2424" i="9"/>
  <c r="H2425" i="9"/>
  <c r="H2426" i="9"/>
  <c r="H2427" i="9"/>
  <c r="H2428" i="9"/>
  <c r="H2429" i="9"/>
  <c r="H2430" i="9"/>
  <c r="H2431" i="9"/>
  <c r="H2432" i="9"/>
  <c r="H2433" i="9"/>
  <c r="H2434" i="9"/>
  <c r="H2435" i="9"/>
  <c r="H2436" i="9"/>
  <c r="H2437" i="9"/>
  <c r="H2438" i="9"/>
  <c r="H2439" i="9"/>
  <c r="H2440" i="9"/>
  <c r="H2441" i="9"/>
  <c r="H2442" i="9"/>
  <c r="H2443" i="9"/>
  <c r="H2444" i="9"/>
  <c r="H2445" i="9"/>
  <c r="H2446" i="9"/>
  <c r="H2447" i="9"/>
  <c r="H2448" i="9"/>
  <c r="H2449" i="9"/>
  <c r="H2450" i="9"/>
  <c r="H2451" i="9"/>
  <c r="H2452" i="9"/>
  <c r="H2453" i="9"/>
  <c r="H2454" i="9"/>
  <c r="H2455" i="9"/>
  <c r="H2456" i="9"/>
  <c r="H2457" i="9"/>
  <c r="H2458" i="9"/>
  <c r="H2459" i="9"/>
  <c r="H2460" i="9"/>
  <c r="H2461" i="9"/>
  <c r="H2462" i="9"/>
  <c r="H2463" i="9"/>
  <c r="H2464" i="9"/>
  <c r="H2465" i="9"/>
  <c r="H2466" i="9"/>
  <c r="H2467" i="9"/>
  <c r="H2468" i="9"/>
  <c r="H2469" i="9"/>
  <c r="H2470" i="9"/>
  <c r="H2471" i="9"/>
  <c r="H2472" i="9"/>
  <c r="H2473" i="9"/>
  <c r="H2474" i="9"/>
  <c r="H2475" i="9"/>
  <c r="H2476" i="9"/>
  <c r="H2477" i="9"/>
  <c r="H2478" i="9"/>
  <c r="H2479" i="9"/>
  <c r="H2480" i="9"/>
  <c r="H2481" i="9"/>
  <c r="H2482" i="9"/>
  <c r="H2483" i="9"/>
  <c r="H2484" i="9"/>
  <c r="H2485" i="9"/>
  <c r="H2486" i="9"/>
  <c r="H2487" i="9"/>
  <c r="H2488" i="9"/>
  <c r="H2489" i="9"/>
  <c r="H2490" i="9"/>
  <c r="H2491" i="9"/>
  <c r="H2492" i="9"/>
  <c r="H2493" i="9"/>
  <c r="H2494" i="9"/>
  <c r="H2495" i="9"/>
  <c r="H2496" i="9"/>
  <c r="H2497" i="9"/>
  <c r="H2498" i="9"/>
  <c r="H2499" i="9"/>
  <c r="H2500" i="9"/>
  <c r="H2501" i="9"/>
  <c r="H2502" i="9"/>
  <c r="H2503" i="9"/>
  <c r="H2504" i="9"/>
  <c r="H2505" i="9"/>
  <c r="H2506" i="9"/>
  <c r="H2507" i="9"/>
  <c r="H2508" i="9"/>
  <c r="H2509" i="9"/>
  <c r="H2510" i="9"/>
  <c r="H2511" i="9"/>
  <c r="H2512" i="9"/>
  <c r="H2513" i="9"/>
  <c r="H2514" i="9"/>
  <c r="H2515" i="9"/>
  <c r="H2516" i="9"/>
  <c r="H2517" i="9"/>
  <c r="H2518" i="9"/>
  <c r="H2519" i="9"/>
  <c r="H2520" i="9"/>
  <c r="H2521" i="9"/>
  <c r="H2522" i="9"/>
  <c r="H2523" i="9"/>
  <c r="H2524" i="9"/>
  <c r="H2525" i="9"/>
  <c r="H2526" i="9"/>
  <c r="H2527" i="9"/>
  <c r="H2528" i="9"/>
  <c r="H2529" i="9"/>
  <c r="H2530" i="9"/>
  <c r="H2531" i="9"/>
  <c r="H2532" i="9"/>
  <c r="H2533" i="9"/>
  <c r="H2534" i="9"/>
  <c r="H2535" i="9"/>
  <c r="H2536" i="9"/>
  <c r="H2537" i="9"/>
  <c r="H2538" i="9"/>
  <c r="H2539" i="9"/>
  <c r="H2540" i="9"/>
  <c r="H2541" i="9"/>
  <c r="H2542" i="9"/>
  <c r="H2543" i="9"/>
  <c r="H2544" i="9"/>
  <c r="H2545" i="9"/>
  <c r="H2546" i="9"/>
  <c r="H2547" i="9"/>
  <c r="H2548" i="9"/>
  <c r="H2549" i="9"/>
  <c r="H2550" i="9"/>
  <c r="H2551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H268" i="9"/>
  <c r="H269" i="9"/>
  <c r="H270" i="9"/>
  <c r="H271" i="9"/>
  <c r="H272" i="9"/>
  <c r="H273" i="9"/>
  <c r="H274" i="9"/>
  <c r="H275" i="9"/>
  <c r="H276" i="9"/>
  <c r="H277" i="9"/>
  <c r="H278" i="9"/>
  <c r="H279" i="9"/>
  <c r="H280" i="9"/>
  <c r="H281" i="9"/>
  <c r="H282" i="9"/>
  <c r="H283" i="9"/>
  <c r="H284" i="9"/>
  <c r="H285" i="9"/>
  <c r="H286" i="9"/>
  <c r="H287" i="9"/>
  <c r="H288" i="9"/>
  <c r="H289" i="9"/>
  <c r="H290" i="9"/>
  <c r="H291" i="9"/>
  <c r="H292" i="9"/>
  <c r="H293" i="9"/>
  <c r="H294" i="9"/>
  <c r="H295" i="9"/>
  <c r="H296" i="9"/>
  <c r="H297" i="9"/>
  <c r="H298" i="9"/>
  <c r="H299" i="9"/>
  <c r="H300" i="9"/>
  <c r="H301" i="9"/>
  <c r="H302" i="9"/>
  <c r="H303" i="9"/>
  <c r="H304" i="9"/>
  <c r="H305" i="9"/>
  <c r="H306" i="9"/>
  <c r="H307" i="9"/>
  <c r="H308" i="9"/>
  <c r="H309" i="9"/>
  <c r="H310" i="9"/>
  <c r="H311" i="9"/>
  <c r="H312" i="9"/>
  <c r="H313" i="9"/>
  <c r="H314" i="9"/>
  <c r="H315" i="9"/>
  <c r="H316" i="9"/>
  <c r="H317" i="9"/>
  <c r="H318" i="9"/>
  <c r="H319" i="9"/>
  <c r="H320" i="9"/>
  <c r="H321" i="9"/>
  <c r="H322" i="9"/>
  <c r="H323" i="9"/>
  <c r="H324" i="9"/>
  <c r="H325" i="9"/>
  <c r="H326" i="9"/>
  <c r="H327" i="9"/>
  <c r="H328" i="9"/>
  <c r="H329" i="9"/>
  <c r="H330" i="9"/>
  <c r="H331" i="9"/>
  <c r="H332" i="9"/>
  <c r="H333" i="9"/>
  <c r="H334" i="9"/>
  <c r="H335" i="9"/>
  <c r="H336" i="9"/>
  <c r="H337" i="9"/>
  <c r="H338" i="9"/>
  <c r="H339" i="9"/>
  <c r="H340" i="9"/>
  <c r="H341" i="9"/>
  <c r="H342" i="9"/>
  <c r="H343" i="9"/>
  <c r="H344" i="9"/>
  <c r="H345" i="9"/>
  <c r="H346" i="9"/>
  <c r="H347" i="9"/>
  <c r="H348" i="9"/>
  <c r="H349" i="9"/>
  <c r="H350" i="9"/>
  <c r="H351" i="9"/>
  <c r="H352" i="9"/>
  <c r="H353" i="9"/>
  <c r="H354" i="9"/>
  <c r="H355" i="9"/>
  <c r="H356" i="9"/>
  <c r="H357" i="9"/>
  <c r="H358" i="9"/>
  <c r="H359" i="9"/>
  <c r="H360" i="9"/>
  <c r="H361" i="9"/>
  <c r="H362" i="9"/>
  <c r="H363" i="9"/>
  <c r="H364" i="9"/>
  <c r="H365" i="9"/>
  <c r="H366" i="9"/>
  <c r="H367" i="9"/>
  <c r="H368" i="9"/>
  <c r="H369" i="9"/>
  <c r="H370" i="9"/>
  <c r="H371" i="9"/>
  <c r="H372" i="9"/>
  <c r="H373" i="9"/>
  <c r="H374" i="9"/>
  <c r="H375" i="9"/>
  <c r="H376" i="9"/>
  <c r="H377" i="9"/>
  <c r="H378" i="9"/>
  <c r="H379" i="9"/>
  <c r="H380" i="9"/>
  <c r="H381" i="9"/>
  <c r="H382" i="9"/>
  <c r="H383" i="9"/>
  <c r="H384" i="9"/>
  <c r="H385" i="9"/>
  <c r="H386" i="9"/>
  <c r="H387" i="9"/>
  <c r="H388" i="9"/>
  <c r="H389" i="9"/>
  <c r="H390" i="9"/>
  <c r="H391" i="9"/>
  <c r="H392" i="9"/>
  <c r="H393" i="9"/>
  <c r="H394" i="9"/>
  <c r="H395" i="9"/>
  <c r="H396" i="9"/>
  <c r="H397" i="9"/>
  <c r="H398" i="9"/>
  <c r="H399" i="9"/>
  <c r="H400" i="9"/>
  <c r="H401" i="9"/>
  <c r="H402" i="9"/>
  <c r="H403" i="9"/>
  <c r="H404" i="9"/>
  <c r="H405" i="9"/>
  <c r="H406" i="9"/>
  <c r="H407" i="9"/>
  <c r="H408" i="9"/>
  <c r="H409" i="9"/>
  <c r="H410" i="9"/>
  <c r="H411" i="9"/>
  <c r="H412" i="9"/>
  <c r="H413" i="9"/>
  <c r="H414" i="9"/>
  <c r="H415" i="9"/>
  <c r="H416" i="9"/>
  <c r="H417" i="9"/>
  <c r="H418" i="9"/>
  <c r="H419" i="9"/>
  <c r="H420" i="9"/>
  <c r="H421" i="9"/>
  <c r="H422" i="9"/>
  <c r="H423" i="9"/>
  <c r="H424" i="9"/>
  <c r="H425" i="9"/>
  <c r="H426" i="9"/>
  <c r="H427" i="9"/>
  <c r="H428" i="9"/>
  <c r="H429" i="9"/>
  <c r="H430" i="9"/>
  <c r="H431" i="9"/>
  <c r="H432" i="9"/>
  <c r="H433" i="9"/>
  <c r="H434" i="9"/>
  <c r="H435" i="9"/>
  <c r="H436" i="9"/>
  <c r="H437" i="9"/>
  <c r="H438" i="9"/>
  <c r="H439" i="9"/>
  <c r="H440" i="9"/>
  <c r="H441" i="9"/>
  <c r="H442" i="9"/>
  <c r="H443" i="9"/>
  <c r="H444" i="9"/>
  <c r="H445" i="9"/>
  <c r="H446" i="9"/>
  <c r="H447" i="9"/>
  <c r="H448" i="9"/>
  <c r="H449" i="9"/>
  <c r="H450" i="9"/>
  <c r="H451" i="9"/>
  <c r="H452" i="9"/>
  <c r="H453" i="9"/>
  <c r="H454" i="9"/>
  <c r="H455" i="9"/>
  <c r="H456" i="9"/>
  <c r="H457" i="9"/>
  <c r="H458" i="9"/>
  <c r="H459" i="9"/>
  <c r="H460" i="9"/>
  <c r="H461" i="9"/>
  <c r="H462" i="9"/>
  <c r="H463" i="9"/>
  <c r="H464" i="9"/>
  <c r="H465" i="9"/>
  <c r="H466" i="9"/>
  <c r="H467" i="9"/>
  <c r="H468" i="9"/>
  <c r="H469" i="9"/>
  <c r="H470" i="9"/>
  <c r="H471" i="9"/>
  <c r="H472" i="9"/>
  <c r="H473" i="9"/>
  <c r="H474" i="9"/>
  <c r="H475" i="9"/>
  <c r="H476" i="9"/>
  <c r="H477" i="9"/>
  <c r="H478" i="9"/>
  <c r="H479" i="9"/>
  <c r="H480" i="9"/>
  <c r="H481" i="9"/>
  <c r="H482" i="9"/>
  <c r="H483" i="9"/>
  <c r="H484" i="9"/>
  <c r="H485" i="9"/>
  <c r="H486" i="9"/>
  <c r="H487" i="9"/>
  <c r="H488" i="9"/>
  <c r="H489" i="9"/>
  <c r="H490" i="9"/>
  <c r="H491" i="9"/>
  <c r="H492" i="9"/>
  <c r="H493" i="9"/>
  <c r="H494" i="9"/>
  <c r="H495" i="9"/>
  <c r="H496" i="9"/>
  <c r="H497" i="9"/>
  <c r="H498" i="9"/>
  <c r="H499" i="9"/>
  <c r="H500" i="9"/>
  <c r="H501" i="9"/>
  <c r="H502" i="9"/>
  <c r="H503" i="9"/>
  <c r="H504" i="9"/>
  <c r="H505" i="9"/>
  <c r="H506" i="9"/>
  <c r="H507" i="9"/>
  <c r="H508" i="9"/>
  <c r="H509" i="9"/>
  <c r="H510" i="9"/>
  <c r="H511" i="9"/>
  <c r="H512" i="9"/>
  <c r="H513" i="9"/>
  <c r="H514" i="9"/>
  <c r="H515" i="9"/>
  <c r="H516" i="9"/>
  <c r="H517" i="9"/>
  <c r="H518" i="9"/>
  <c r="H519" i="9"/>
  <c r="H520" i="9"/>
  <c r="H521" i="9"/>
  <c r="H522" i="9"/>
  <c r="H523" i="9"/>
  <c r="H524" i="9"/>
  <c r="H525" i="9"/>
  <c r="H526" i="9"/>
  <c r="H527" i="9"/>
  <c r="H528" i="9"/>
  <c r="H529" i="9"/>
  <c r="H530" i="9"/>
  <c r="H531" i="9"/>
  <c r="H532" i="9"/>
  <c r="H533" i="9"/>
  <c r="H534" i="9"/>
  <c r="H535" i="9"/>
  <c r="H536" i="9"/>
  <c r="H537" i="9"/>
  <c r="H538" i="9"/>
  <c r="H539" i="9"/>
  <c r="H540" i="9"/>
  <c r="H541" i="9"/>
  <c r="H542" i="9"/>
  <c r="H543" i="9"/>
  <c r="H544" i="9"/>
  <c r="H545" i="9"/>
  <c r="H546" i="9"/>
  <c r="H547" i="9"/>
  <c r="H548" i="9"/>
  <c r="H549" i="9"/>
  <c r="H550" i="9"/>
  <c r="H551" i="9"/>
  <c r="H552" i="9"/>
  <c r="H553" i="9"/>
  <c r="H554" i="9"/>
  <c r="H555" i="9"/>
  <c r="H556" i="9"/>
  <c r="H557" i="9"/>
  <c r="H558" i="9"/>
  <c r="H559" i="9"/>
  <c r="H560" i="9"/>
  <c r="H561" i="9"/>
  <c r="H562" i="9"/>
  <c r="H563" i="9"/>
  <c r="H564" i="9"/>
  <c r="H565" i="9"/>
  <c r="H566" i="9"/>
  <c r="H567" i="9"/>
  <c r="H568" i="9"/>
  <c r="H569" i="9"/>
  <c r="H570" i="9"/>
  <c r="H571" i="9"/>
  <c r="H572" i="9"/>
  <c r="H573" i="9"/>
  <c r="H574" i="9"/>
  <c r="H575" i="9"/>
  <c r="H576" i="9"/>
  <c r="H577" i="9"/>
  <c r="H578" i="9"/>
  <c r="H579" i="9"/>
  <c r="H580" i="9"/>
  <c r="H581" i="9"/>
  <c r="H582" i="9"/>
  <c r="H583" i="9"/>
  <c r="H584" i="9"/>
  <c r="H585" i="9"/>
  <c r="H586" i="9"/>
  <c r="H587" i="9"/>
  <c r="H588" i="9"/>
  <c r="H589" i="9"/>
  <c r="H590" i="9"/>
  <c r="H591" i="9"/>
  <c r="H592" i="9"/>
  <c r="H593" i="9"/>
  <c r="H594" i="9"/>
  <c r="H595" i="9"/>
  <c r="H596" i="9"/>
  <c r="H597" i="9"/>
  <c r="H598" i="9"/>
  <c r="H599" i="9"/>
  <c r="H600" i="9"/>
  <c r="H601" i="9"/>
  <c r="H602" i="9"/>
  <c r="H603" i="9"/>
  <c r="H604" i="9"/>
  <c r="H605" i="9"/>
  <c r="H606" i="9"/>
  <c r="H607" i="9"/>
  <c r="H608" i="9"/>
  <c r="H609" i="9"/>
  <c r="H610" i="9"/>
  <c r="H611" i="9"/>
  <c r="H612" i="9"/>
  <c r="H613" i="9"/>
  <c r="H614" i="9"/>
  <c r="H615" i="9"/>
  <c r="H616" i="9"/>
  <c r="H617" i="9"/>
  <c r="H618" i="9"/>
  <c r="H619" i="9"/>
  <c r="H620" i="9"/>
  <c r="H621" i="9"/>
  <c r="H622" i="9"/>
  <c r="H623" i="9"/>
  <c r="H624" i="9"/>
  <c r="H625" i="9"/>
  <c r="H626" i="9"/>
  <c r="H627" i="9"/>
  <c r="H628" i="9"/>
  <c r="H629" i="9"/>
  <c r="H630" i="9"/>
  <c r="H631" i="9"/>
  <c r="H632" i="9"/>
  <c r="H633" i="9"/>
  <c r="H634" i="9"/>
  <c r="H635" i="9"/>
  <c r="H636" i="9"/>
  <c r="H637" i="9"/>
  <c r="H638" i="9"/>
  <c r="H639" i="9"/>
  <c r="H640" i="9"/>
  <c r="H641" i="9"/>
  <c r="H642" i="9"/>
  <c r="H643" i="9"/>
  <c r="H644" i="9"/>
  <c r="H645" i="9"/>
  <c r="H646" i="9"/>
  <c r="H647" i="9"/>
  <c r="H648" i="9"/>
  <c r="H649" i="9"/>
  <c r="H650" i="9"/>
  <c r="H651" i="9"/>
  <c r="H652" i="9"/>
  <c r="H653" i="9"/>
  <c r="H654" i="9"/>
  <c r="H655" i="9"/>
  <c r="H656" i="9"/>
  <c r="H657" i="9"/>
  <c r="H658" i="9"/>
  <c r="H659" i="9"/>
  <c r="H660" i="9"/>
  <c r="H661" i="9"/>
  <c r="H662" i="9"/>
  <c r="H663" i="9"/>
  <c r="H664" i="9"/>
  <c r="H665" i="9"/>
  <c r="H666" i="9"/>
  <c r="H667" i="9"/>
  <c r="H668" i="9"/>
  <c r="H669" i="9"/>
  <c r="H670" i="9"/>
  <c r="H671" i="9"/>
  <c r="H672" i="9"/>
  <c r="H673" i="9"/>
  <c r="H674" i="9"/>
  <c r="H675" i="9"/>
  <c r="H676" i="9"/>
  <c r="H677" i="9"/>
  <c r="H678" i="9"/>
  <c r="H679" i="9"/>
  <c r="H680" i="9"/>
  <c r="H681" i="9"/>
  <c r="H682" i="9"/>
  <c r="H683" i="9"/>
  <c r="H684" i="9"/>
  <c r="H685" i="9"/>
  <c r="H686" i="9"/>
  <c r="H687" i="9"/>
  <c r="H688" i="9"/>
  <c r="H689" i="9"/>
  <c r="H690" i="9"/>
  <c r="H691" i="9"/>
  <c r="H692" i="9"/>
  <c r="H693" i="9"/>
  <c r="H694" i="9"/>
  <c r="H695" i="9"/>
  <c r="H696" i="9"/>
  <c r="H697" i="9"/>
  <c r="H698" i="9"/>
  <c r="H699" i="9"/>
  <c r="H700" i="9"/>
  <c r="H701" i="9"/>
  <c r="H702" i="9"/>
  <c r="H703" i="9"/>
  <c r="H704" i="9"/>
  <c r="H705" i="9"/>
  <c r="H706" i="9"/>
  <c r="H707" i="9"/>
  <c r="H708" i="9"/>
  <c r="H709" i="9"/>
  <c r="H710" i="9"/>
  <c r="H711" i="9"/>
  <c r="H712" i="9"/>
  <c r="H713" i="9"/>
  <c r="H714" i="9"/>
  <c r="H715" i="9"/>
  <c r="H716" i="9"/>
  <c r="H717" i="9"/>
  <c r="H718" i="9"/>
  <c r="H719" i="9"/>
  <c r="H720" i="9"/>
  <c r="H721" i="9"/>
  <c r="H722" i="9"/>
  <c r="H723" i="9"/>
  <c r="H724" i="9"/>
  <c r="H725" i="9"/>
  <c r="H726" i="9"/>
  <c r="H727" i="9"/>
  <c r="H728" i="9"/>
  <c r="H729" i="9"/>
  <c r="H730" i="9"/>
  <c r="H731" i="9"/>
  <c r="H732" i="9"/>
  <c r="H733" i="9"/>
  <c r="H734" i="9"/>
  <c r="H735" i="9"/>
  <c r="H736" i="9"/>
  <c r="H737" i="9"/>
  <c r="H738" i="9"/>
  <c r="H739" i="9"/>
  <c r="H740" i="9"/>
  <c r="H741" i="9"/>
  <c r="H742" i="9"/>
  <c r="H743" i="9"/>
  <c r="H744" i="9"/>
  <c r="H745" i="9"/>
  <c r="H746" i="9"/>
  <c r="H747" i="9"/>
  <c r="H748" i="9"/>
  <c r="H749" i="9"/>
  <c r="H750" i="9"/>
  <c r="H751" i="9"/>
  <c r="H752" i="9"/>
  <c r="H753" i="9"/>
  <c r="H754" i="9"/>
  <c r="H755" i="9"/>
  <c r="H756" i="9"/>
  <c r="H757" i="9"/>
  <c r="H758" i="9"/>
  <c r="H759" i="9"/>
  <c r="H760" i="9"/>
  <c r="H761" i="9"/>
  <c r="H762" i="9"/>
  <c r="H763" i="9"/>
  <c r="H764" i="9"/>
  <c r="H765" i="9"/>
  <c r="H766" i="9"/>
  <c r="H767" i="9"/>
  <c r="H768" i="9"/>
  <c r="H769" i="9"/>
  <c r="H770" i="9"/>
  <c r="H771" i="9"/>
  <c r="H772" i="9"/>
  <c r="H773" i="9"/>
  <c r="H774" i="9"/>
  <c r="H775" i="9"/>
  <c r="H776" i="9"/>
  <c r="H777" i="9"/>
  <c r="H778" i="9"/>
  <c r="H779" i="9"/>
  <c r="H780" i="9"/>
  <c r="H781" i="9"/>
  <c r="H782" i="9"/>
  <c r="H783" i="9"/>
  <c r="H784" i="9"/>
  <c r="H785" i="9"/>
  <c r="H786" i="9"/>
  <c r="H787" i="9"/>
  <c r="H788" i="9"/>
  <c r="H789" i="9"/>
  <c r="H790" i="9"/>
  <c r="H791" i="9"/>
  <c r="H792" i="9"/>
  <c r="H793" i="9"/>
  <c r="H794" i="9"/>
  <c r="H795" i="9"/>
  <c r="H796" i="9"/>
  <c r="H797" i="9"/>
  <c r="H798" i="9"/>
  <c r="H799" i="9"/>
  <c r="H800" i="9"/>
  <c r="H801" i="9"/>
  <c r="H802" i="9"/>
  <c r="H803" i="9"/>
  <c r="H804" i="9"/>
  <c r="H805" i="9"/>
  <c r="H806" i="9"/>
  <c r="H807" i="9"/>
  <c r="H808" i="9"/>
  <c r="H809" i="9"/>
  <c r="H810" i="9"/>
  <c r="H811" i="9"/>
  <c r="H812" i="9"/>
  <c r="H813" i="9"/>
  <c r="H814" i="9"/>
  <c r="H815" i="9"/>
  <c r="H816" i="9"/>
  <c r="H817" i="9"/>
  <c r="H818" i="9"/>
  <c r="H819" i="9"/>
  <c r="H820" i="9"/>
  <c r="H821" i="9"/>
  <c r="H822" i="9"/>
  <c r="H823" i="9"/>
  <c r="H824" i="9"/>
  <c r="H825" i="9"/>
  <c r="H826" i="9"/>
  <c r="H827" i="9"/>
  <c r="H828" i="9"/>
  <c r="H829" i="9"/>
  <c r="H830" i="9"/>
  <c r="H831" i="9"/>
  <c r="H832" i="9"/>
  <c r="H833" i="9"/>
  <c r="H834" i="9"/>
  <c r="H835" i="9"/>
  <c r="H836" i="9"/>
  <c r="H837" i="9"/>
  <c r="H838" i="9"/>
  <c r="H839" i="9"/>
  <c r="H840" i="9"/>
  <c r="H841" i="9"/>
  <c r="H842" i="9"/>
  <c r="H843" i="9"/>
  <c r="H844" i="9"/>
  <c r="H845" i="9"/>
  <c r="H846" i="9"/>
  <c r="H847" i="9"/>
  <c r="H848" i="9"/>
  <c r="H849" i="9"/>
  <c r="H850" i="9"/>
  <c r="H851" i="9"/>
  <c r="H852" i="9"/>
  <c r="H853" i="9"/>
  <c r="H854" i="9"/>
  <c r="H855" i="9"/>
  <c r="H856" i="9"/>
  <c r="H857" i="9"/>
  <c r="H858" i="9"/>
  <c r="H859" i="9"/>
  <c r="H860" i="9"/>
  <c r="H861" i="9"/>
  <c r="H862" i="9"/>
  <c r="H863" i="9"/>
  <c r="H864" i="9"/>
  <c r="H865" i="9"/>
  <c r="H866" i="9"/>
  <c r="H867" i="9"/>
  <c r="H868" i="9"/>
  <c r="H869" i="9"/>
  <c r="H870" i="9"/>
  <c r="H871" i="9"/>
  <c r="H872" i="9"/>
  <c r="H873" i="9"/>
  <c r="H874" i="9"/>
  <c r="H875" i="9"/>
  <c r="H876" i="9"/>
  <c r="H877" i="9"/>
  <c r="H878" i="9"/>
  <c r="H879" i="9"/>
  <c r="H880" i="9"/>
  <c r="H881" i="9"/>
  <c r="H882" i="9"/>
  <c r="H883" i="9"/>
  <c r="H884" i="9"/>
  <c r="H885" i="9"/>
  <c r="H886" i="9"/>
  <c r="H887" i="9"/>
  <c r="H888" i="9"/>
  <c r="H889" i="9"/>
  <c r="H890" i="9"/>
  <c r="H891" i="9"/>
  <c r="H892" i="9"/>
  <c r="H893" i="9"/>
  <c r="H894" i="9"/>
  <c r="H895" i="9"/>
  <c r="H896" i="9"/>
  <c r="H897" i="9"/>
  <c r="H898" i="9"/>
  <c r="H899" i="9"/>
  <c r="H900" i="9"/>
  <c r="H901" i="9"/>
  <c r="H902" i="9"/>
  <c r="H903" i="9"/>
  <c r="H904" i="9"/>
  <c r="H905" i="9"/>
  <c r="H906" i="9"/>
  <c r="H907" i="9"/>
  <c r="H908" i="9"/>
  <c r="H909" i="9"/>
  <c r="H910" i="9"/>
  <c r="H911" i="9"/>
  <c r="H912" i="9"/>
  <c r="H913" i="9"/>
  <c r="H914" i="9"/>
  <c r="H915" i="9"/>
  <c r="H916" i="9"/>
  <c r="H917" i="9"/>
  <c r="H918" i="9"/>
  <c r="H919" i="9"/>
  <c r="H920" i="9"/>
  <c r="H921" i="9"/>
  <c r="H922" i="9"/>
  <c r="H923" i="9"/>
  <c r="H924" i="9"/>
  <c r="H925" i="9"/>
  <c r="H926" i="9"/>
  <c r="H927" i="9"/>
  <c r="H928" i="9"/>
  <c r="H929" i="9"/>
  <c r="H930" i="9"/>
  <c r="H931" i="9"/>
  <c r="H932" i="9"/>
  <c r="H933" i="9"/>
  <c r="H934" i="9"/>
  <c r="H935" i="9"/>
  <c r="H936" i="9"/>
  <c r="H937" i="9"/>
  <c r="H938" i="9"/>
  <c r="H939" i="9"/>
  <c r="H940" i="9"/>
  <c r="H941" i="9"/>
  <c r="H942" i="9"/>
  <c r="H943" i="9"/>
  <c r="H944" i="9"/>
  <c r="H945" i="9"/>
  <c r="H946" i="9"/>
  <c r="H947" i="9"/>
  <c r="H948" i="9"/>
  <c r="H949" i="9"/>
  <c r="H950" i="9"/>
  <c r="H951" i="9"/>
  <c r="H952" i="9"/>
  <c r="H953" i="9"/>
  <c r="H954" i="9"/>
  <c r="H955" i="9"/>
  <c r="H956" i="9"/>
  <c r="H957" i="9"/>
  <c r="H958" i="9"/>
  <c r="H959" i="9"/>
  <c r="H960" i="9"/>
  <c r="H961" i="9"/>
  <c r="H962" i="9"/>
  <c r="H963" i="9"/>
  <c r="H964" i="9"/>
  <c r="H965" i="9"/>
  <c r="H966" i="9"/>
  <c r="H967" i="9"/>
  <c r="H968" i="9"/>
  <c r="H969" i="9"/>
  <c r="H970" i="9"/>
  <c r="H971" i="9"/>
  <c r="H972" i="9"/>
  <c r="H973" i="9"/>
  <c r="H974" i="9"/>
  <c r="H975" i="9"/>
  <c r="H976" i="9"/>
  <c r="H977" i="9"/>
  <c r="H978" i="9"/>
  <c r="H979" i="9"/>
  <c r="H980" i="9"/>
  <c r="H981" i="9"/>
  <c r="H982" i="9"/>
  <c r="H983" i="9"/>
  <c r="H984" i="9"/>
  <c r="H985" i="9"/>
  <c r="H986" i="9"/>
  <c r="H987" i="9"/>
  <c r="H988" i="9"/>
  <c r="H989" i="9"/>
  <c r="H990" i="9"/>
  <c r="H991" i="9"/>
  <c r="H992" i="9"/>
  <c r="H993" i="9"/>
  <c r="H994" i="9"/>
  <c r="H995" i="9"/>
  <c r="H996" i="9"/>
  <c r="H997" i="9"/>
  <c r="H998" i="9"/>
  <c r="H999" i="9"/>
  <c r="H1000" i="9"/>
  <c r="H1001" i="9"/>
  <c r="H1002" i="9"/>
  <c r="H1003" i="9"/>
  <c r="H1004" i="9"/>
  <c r="H1005" i="9"/>
  <c r="H1006" i="9"/>
  <c r="H1007" i="9"/>
  <c r="H1008" i="9"/>
  <c r="H1009" i="9"/>
  <c r="H1010" i="9"/>
  <c r="H1011" i="9"/>
  <c r="H1012" i="9"/>
  <c r="H1013" i="9"/>
  <c r="H1014" i="9"/>
  <c r="H1015" i="9"/>
  <c r="H1016" i="9"/>
  <c r="H1017" i="9"/>
  <c r="H1018" i="9"/>
  <c r="H1019" i="9"/>
  <c r="H1020" i="9"/>
  <c r="H1021" i="9"/>
  <c r="H1022" i="9"/>
  <c r="H1023" i="9"/>
  <c r="H1024" i="9"/>
  <c r="H1025" i="9"/>
  <c r="H1026" i="9"/>
  <c r="H1027" i="9"/>
  <c r="H1028" i="9"/>
  <c r="H1029" i="9"/>
  <c r="H1030" i="9"/>
  <c r="H1031" i="9"/>
  <c r="H1032" i="9"/>
  <c r="H1033" i="9"/>
  <c r="H1034" i="9"/>
  <c r="H1035" i="9"/>
  <c r="H1036" i="9"/>
  <c r="H1037" i="9"/>
  <c r="H1038" i="9"/>
  <c r="H1039" i="9"/>
  <c r="H1040" i="9"/>
  <c r="H1041" i="9"/>
  <c r="H1042" i="9"/>
  <c r="H1043" i="9"/>
  <c r="H1044" i="9"/>
  <c r="H1045" i="9"/>
  <c r="H1046" i="9"/>
  <c r="H1047" i="9"/>
  <c r="H1048" i="9"/>
  <c r="H1049" i="9"/>
  <c r="H1050" i="9"/>
  <c r="H1051" i="9"/>
  <c r="H1052" i="9"/>
  <c r="H1053" i="9"/>
  <c r="H1054" i="9"/>
  <c r="H1055" i="9"/>
  <c r="H1056" i="9"/>
  <c r="H1057" i="9"/>
  <c r="H1058" i="9"/>
  <c r="H1059" i="9"/>
  <c r="H1060" i="9"/>
  <c r="H1061" i="9"/>
  <c r="H1062" i="9"/>
  <c r="H1063" i="9"/>
  <c r="H1064" i="9"/>
  <c r="H1065" i="9"/>
  <c r="H1066" i="9"/>
  <c r="H1067" i="9"/>
  <c r="H1068" i="9"/>
  <c r="H1069" i="9"/>
  <c r="H1070" i="9"/>
  <c r="H1071" i="9"/>
  <c r="H1072" i="9"/>
  <c r="H1073" i="9"/>
  <c r="H1074" i="9"/>
  <c r="H1075" i="9"/>
  <c r="H1076" i="9"/>
  <c r="H1077" i="9"/>
  <c r="H1078" i="9"/>
  <c r="H1079" i="9"/>
  <c r="H1080" i="9"/>
  <c r="H1081" i="9"/>
  <c r="H1082" i="9"/>
  <c r="H1083" i="9"/>
  <c r="H1084" i="9"/>
  <c r="H1085" i="9"/>
  <c r="H1086" i="9"/>
  <c r="H1087" i="9"/>
  <c r="H1088" i="9"/>
  <c r="H1089" i="9"/>
  <c r="H1090" i="9"/>
  <c r="Q30" i="31" l="1"/>
  <c r="H3" i="9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2" i="9"/>
  <c r="Q27" i="31" l="1"/>
  <c r="Q7" i="31"/>
  <c r="L49" i="31"/>
  <c r="M49" i="31" s="1"/>
  <c r="L61" i="31"/>
  <c r="M61" i="31" s="1"/>
  <c r="L63" i="31"/>
  <c r="M63" i="31" s="1"/>
  <c r="Q33" i="31"/>
  <c r="Q68" i="31"/>
  <c r="Q3" i="31"/>
  <c r="Q24" i="31"/>
  <c r="Q25" i="31"/>
  <c r="Q26" i="31"/>
  <c r="Q28" i="31"/>
  <c r="Q29" i="31"/>
  <c r="Q4" i="31"/>
  <c r="Q5" i="31"/>
  <c r="Q6" i="31"/>
  <c r="Q8" i="31"/>
  <c r="Q9" i="31"/>
  <c r="Q10" i="31"/>
  <c r="Q11" i="31"/>
  <c r="Q12" i="31"/>
  <c r="Q13" i="31"/>
  <c r="Q14" i="31"/>
  <c r="Q15" i="31"/>
  <c r="Q16" i="31"/>
  <c r="Q17" i="31"/>
  <c r="Q18" i="31"/>
  <c r="Q19" i="31"/>
  <c r="Q20" i="31"/>
  <c r="Q21" i="31"/>
  <c r="Q22" i="31"/>
  <c r="Q23" i="31"/>
  <c r="Q31" i="31"/>
  <c r="Q32" i="31"/>
  <c r="Q34" i="31"/>
  <c r="Q35" i="31"/>
  <c r="Q36" i="31"/>
  <c r="Q37" i="31"/>
  <c r="Q38" i="31"/>
  <c r="Q39" i="31"/>
  <c r="Q40" i="31"/>
  <c r="Q41" i="31"/>
  <c r="Q42" i="31"/>
  <c r="Q43" i="31"/>
  <c r="Q44" i="31"/>
  <c r="Q45" i="31"/>
  <c r="Q46" i="31"/>
  <c r="Q47" i="31"/>
  <c r="Q48" i="31"/>
  <c r="Q49" i="31"/>
  <c r="Q50" i="31"/>
  <c r="Q51" i="31"/>
  <c r="Q52" i="31"/>
  <c r="Q53" i="31"/>
  <c r="Q54" i="31"/>
  <c r="Q55" i="31"/>
  <c r="Q56" i="31"/>
  <c r="Q57" i="31"/>
  <c r="Q58" i="31"/>
  <c r="Q59" i="31"/>
  <c r="Q60" i="31"/>
  <c r="Q61" i="31"/>
  <c r="Q62" i="31"/>
  <c r="Q63" i="31"/>
  <c r="Q69" i="31"/>
  <c r="Q70" i="31"/>
  <c r="U4" i="43"/>
  <c r="U5" i="43"/>
  <c r="U6" i="43"/>
  <c r="U7" i="43"/>
  <c r="U8" i="43"/>
  <c r="U10" i="43"/>
  <c r="U11" i="43"/>
  <c r="U12" i="43"/>
  <c r="U13" i="43"/>
  <c r="U14" i="43"/>
  <c r="U15" i="43"/>
  <c r="U16" i="43"/>
  <c r="U17" i="43"/>
  <c r="U18" i="43"/>
  <c r="U19" i="43"/>
  <c r="U20" i="43"/>
  <c r="U21" i="43"/>
  <c r="U22" i="43"/>
  <c r="U23" i="43"/>
  <c r="U24" i="43"/>
  <c r="U25" i="43"/>
  <c r="U26" i="43"/>
  <c r="U27" i="43"/>
  <c r="U28" i="43"/>
  <c r="U29" i="43"/>
  <c r="U30" i="43"/>
  <c r="U31" i="43"/>
  <c r="U32" i="43"/>
  <c r="U33" i="43"/>
  <c r="U34" i="43"/>
  <c r="U35" i="43"/>
  <c r="U36" i="43"/>
  <c r="U37" i="43"/>
  <c r="U38" i="43"/>
  <c r="U39" i="43"/>
  <c r="U40" i="43"/>
  <c r="U41" i="43"/>
  <c r="U42" i="43"/>
  <c r="U43" i="43"/>
  <c r="U45" i="43"/>
  <c r="U46" i="43"/>
  <c r="U47" i="43"/>
  <c r="U48" i="43"/>
  <c r="U49" i="43"/>
  <c r="U50" i="43"/>
  <c r="U51" i="43"/>
  <c r="U52" i="43"/>
  <c r="U53" i="43"/>
  <c r="U54" i="43"/>
  <c r="U55" i="43"/>
  <c r="U56" i="43"/>
  <c r="U57" i="43"/>
  <c r="U58" i="43"/>
  <c r="U3" i="43"/>
  <c r="L68" i="31"/>
  <c r="M68" i="31" s="1"/>
  <c r="L50" i="31"/>
  <c r="M50" i="31" s="1"/>
  <c r="L51" i="31"/>
  <c r="M51" i="31" s="1"/>
  <c r="L52" i="31"/>
  <c r="M52" i="31" s="1"/>
  <c r="L53" i="31"/>
  <c r="M53" i="31" s="1"/>
  <c r="L54" i="31"/>
  <c r="M54" i="31" s="1"/>
  <c r="L55" i="31"/>
  <c r="M55" i="31" s="1"/>
  <c r="L56" i="31"/>
  <c r="M56" i="31" s="1"/>
  <c r="L57" i="31"/>
  <c r="M57" i="31" s="1"/>
  <c r="L58" i="31"/>
  <c r="M58" i="31" s="1"/>
  <c r="L59" i="31"/>
  <c r="M59" i="31" s="1"/>
  <c r="L60" i="31"/>
  <c r="M60" i="31" s="1"/>
  <c r="L62" i="31"/>
  <c r="M62" i="31" s="1"/>
  <c r="L64" i="31"/>
  <c r="M64" i="31" s="1"/>
  <c r="L65" i="31"/>
  <c r="M65" i="31" s="1"/>
  <c r="L66" i="31"/>
  <c r="M66" i="31" s="1"/>
  <c r="L67" i="31"/>
  <c r="M67" i="31" s="1"/>
  <c r="L69" i="31"/>
  <c r="M69" i="31" s="1"/>
  <c r="L70" i="31"/>
  <c r="M70" i="31" s="1"/>
  <c r="L33" i="31"/>
  <c r="M33" i="31" s="1"/>
  <c r="L34" i="31"/>
  <c r="M34" i="31" s="1"/>
  <c r="L35" i="31"/>
  <c r="M35" i="31" s="1"/>
  <c r="L36" i="31"/>
  <c r="M36" i="31" s="1"/>
  <c r="L37" i="31"/>
  <c r="M37" i="31" s="1"/>
  <c r="L38" i="31"/>
  <c r="M38" i="31" s="1"/>
  <c r="L39" i="31"/>
  <c r="M39" i="31" s="1"/>
  <c r="L40" i="31"/>
  <c r="M40" i="31" s="1"/>
  <c r="L41" i="31"/>
  <c r="M41" i="31" s="1"/>
  <c r="L42" i="31"/>
  <c r="M42" i="31" s="1"/>
  <c r="L43" i="31"/>
  <c r="M43" i="31" s="1"/>
  <c r="L44" i="31"/>
  <c r="M44" i="31" s="1"/>
  <c r="L45" i="31"/>
  <c r="M45" i="31" s="1"/>
  <c r="L46" i="31"/>
  <c r="M46" i="31" s="1"/>
  <c r="L47" i="31"/>
  <c r="M47" i="31" s="1"/>
  <c r="L48" i="31"/>
  <c r="M48" i="31" s="1"/>
  <c r="L4" i="31"/>
  <c r="M4" i="31" s="1"/>
  <c r="L5" i="31"/>
  <c r="M5" i="31" s="1"/>
  <c r="L6" i="31"/>
  <c r="M6" i="31" s="1"/>
  <c r="L7" i="31"/>
  <c r="M7" i="31" s="1"/>
  <c r="L8" i="31"/>
  <c r="M8" i="31" s="1"/>
  <c r="L9" i="31"/>
  <c r="L10" i="31"/>
  <c r="M10" i="31" s="1"/>
  <c r="L11" i="31"/>
  <c r="M11" i="31" s="1"/>
  <c r="L12" i="31"/>
  <c r="M12" i="31" s="1"/>
  <c r="L13" i="31"/>
  <c r="M13" i="31" s="1"/>
  <c r="L14" i="31"/>
  <c r="M14" i="31" s="1"/>
  <c r="L15" i="31"/>
  <c r="M15" i="31" s="1"/>
  <c r="L16" i="31"/>
  <c r="M16" i="31" s="1"/>
  <c r="L17" i="31"/>
  <c r="M17" i="31" s="1"/>
  <c r="L18" i="31"/>
  <c r="M18" i="31" s="1"/>
  <c r="L19" i="31"/>
  <c r="M19" i="31" s="1"/>
  <c r="L20" i="31"/>
  <c r="M20" i="31" s="1"/>
  <c r="L21" i="31"/>
  <c r="M21" i="31" s="1"/>
  <c r="L22" i="31"/>
  <c r="M22" i="31" s="1"/>
  <c r="L23" i="31"/>
  <c r="M23" i="31" s="1"/>
  <c r="L24" i="31"/>
  <c r="M24" i="31" s="1"/>
  <c r="L25" i="31"/>
  <c r="M25" i="31" s="1"/>
  <c r="L26" i="31"/>
  <c r="M26" i="31" s="1"/>
  <c r="L27" i="31"/>
  <c r="M27" i="31" s="1"/>
  <c r="L28" i="31"/>
  <c r="M28" i="31" s="1"/>
  <c r="L29" i="31"/>
  <c r="M29" i="31" s="1"/>
  <c r="L30" i="31"/>
  <c r="M30" i="31" s="1"/>
  <c r="L31" i="31"/>
  <c r="M31" i="31" s="1"/>
  <c r="R7" i="31" l="1"/>
  <c r="R34" i="31"/>
  <c r="R22" i="31"/>
  <c r="R54" i="31"/>
  <c r="R70" i="31"/>
  <c r="R41" i="31"/>
  <c r="R21" i="31"/>
  <c r="R9" i="31"/>
  <c r="R10" i="31"/>
  <c r="R20" i="31"/>
  <c r="R8" i="31"/>
  <c r="R65" i="31"/>
  <c r="R33" i="31"/>
  <c r="R11" i="31"/>
  <c r="R26" i="31"/>
  <c r="R29" i="31"/>
  <c r="R53" i="31"/>
  <c r="R62" i="31"/>
  <c r="R56" i="31"/>
  <c r="R63" i="31"/>
  <c r="R69" i="31"/>
  <c r="R40" i="31"/>
  <c r="R39" i="31"/>
  <c r="R19" i="31"/>
  <c r="R12" i="31"/>
  <c r="R6" i="31"/>
  <c r="R5" i="31"/>
  <c r="R17" i="31"/>
  <c r="R18" i="31"/>
  <c r="R16" i="31"/>
  <c r="R4" i="31"/>
  <c r="R59" i="31"/>
  <c r="R35" i="31"/>
  <c r="R15" i="31"/>
  <c r="R30" i="31"/>
  <c r="R58" i="31"/>
  <c r="R57" i="31"/>
  <c r="R44" i="31"/>
  <c r="R31" i="31"/>
  <c r="R27" i="31"/>
  <c r="R45" i="31"/>
  <c r="R43" i="31"/>
  <c r="R23" i="31"/>
  <c r="R64" i="31"/>
  <c r="R13" i="31"/>
  <c r="R68" i="31"/>
  <c r="R67" i="31"/>
  <c r="R66" i="31"/>
  <c r="R47" i="31"/>
  <c r="R55" i="31"/>
  <c r="R61" i="31"/>
  <c r="R42" i="31"/>
  <c r="R28" i="31"/>
  <c r="R51" i="31"/>
  <c r="R38" i="31"/>
  <c r="R37" i="31"/>
  <c r="R60" i="31"/>
  <c r="R36" i="31"/>
  <c r="R24" i="31"/>
  <c r="R46" i="31"/>
  <c r="S67" i="31"/>
  <c r="S66" i="31"/>
  <c r="S65" i="31"/>
  <c r="S64" i="31"/>
  <c r="AL32" i="31"/>
  <c r="AL33" i="31"/>
  <c r="AL34" i="31"/>
  <c r="AL35" i="31"/>
  <c r="AL36" i="31"/>
  <c r="AL37" i="31"/>
  <c r="AL38" i="31"/>
  <c r="AL39" i="31"/>
  <c r="AL40" i="31"/>
  <c r="AL41" i="31"/>
  <c r="AL42" i="31"/>
  <c r="AL43" i="31"/>
  <c r="AL44" i="31"/>
  <c r="AL45" i="31"/>
  <c r="AL46" i="31"/>
  <c r="AL47" i="31"/>
  <c r="AL48" i="31"/>
  <c r="AL53" i="31"/>
  <c r="AL68" i="31"/>
  <c r="AL69" i="31"/>
  <c r="AL70" i="31"/>
  <c r="AL4" i="31"/>
  <c r="AL5" i="31"/>
  <c r="AL6" i="31"/>
  <c r="AL7" i="31"/>
  <c r="AL8" i="31"/>
  <c r="AL9" i="31"/>
  <c r="AL10" i="31"/>
  <c r="AL11" i="31"/>
  <c r="AL12" i="31"/>
  <c r="AL13" i="31"/>
  <c r="AL14" i="31"/>
  <c r="AL15" i="31"/>
  <c r="AL16" i="31"/>
  <c r="AL17" i="31"/>
  <c r="AL20" i="31"/>
  <c r="AL21" i="31"/>
  <c r="AL22" i="31"/>
  <c r="AL23" i="31"/>
  <c r="AL24" i="31"/>
  <c r="AL25" i="31"/>
  <c r="AL26" i="31"/>
  <c r="AL27" i="31"/>
  <c r="AL28" i="31"/>
  <c r="AL29" i="31"/>
  <c r="AL30" i="31"/>
  <c r="AL31" i="31"/>
  <c r="AL3" i="31"/>
  <c r="AP3" i="31"/>
  <c r="T82" i="31"/>
  <c r="AL49" i="31"/>
  <c r="AL50" i="31"/>
  <c r="AL51" i="31"/>
  <c r="AL52" i="31"/>
  <c r="AL54" i="31"/>
  <c r="AL55" i="31"/>
  <c r="AL56" i="31"/>
  <c r="AL57" i="31"/>
  <c r="AL58" i="31"/>
  <c r="AL59" i="31"/>
  <c r="AL60" i="31"/>
  <c r="AL61" i="31"/>
  <c r="AL62" i="31"/>
  <c r="AL63" i="31"/>
  <c r="AL64" i="31"/>
  <c r="AL65" i="31"/>
  <c r="AL66" i="31"/>
  <c r="AL67" i="31"/>
  <c r="I20" i="31"/>
  <c r="H20" i="31"/>
  <c r="G20" i="31"/>
  <c r="I16" i="31"/>
  <c r="H16" i="31"/>
  <c r="G16" i="31"/>
  <c r="R14" i="31" l="1"/>
  <c r="R49" i="31"/>
  <c r="R52" i="31"/>
  <c r="R50" i="31"/>
  <c r="R48" i="31"/>
  <c r="V4" i="6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V33" i="6"/>
  <c r="V34" i="6"/>
  <c r="V35" i="6"/>
  <c r="V36" i="6"/>
  <c r="V37" i="6"/>
  <c r="V38" i="6"/>
  <c r="V39" i="6"/>
  <c r="V40" i="6"/>
  <c r="V41" i="6"/>
  <c r="V42" i="6"/>
  <c r="V43" i="6"/>
  <c r="V44" i="6"/>
  <c r="V45" i="6"/>
  <c r="V46" i="6"/>
  <c r="V47" i="6"/>
  <c r="V48" i="6"/>
  <c r="V49" i="6"/>
  <c r="V50" i="6"/>
  <c r="V51" i="6"/>
  <c r="V52" i="6"/>
  <c r="V53" i="6"/>
  <c r="V54" i="6"/>
  <c r="V55" i="6"/>
  <c r="V56" i="6"/>
  <c r="V57" i="6"/>
  <c r="V58" i="6"/>
  <c r="V3" i="6"/>
  <c r="U27" i="5"/>
  <c r="R27" i="5"/>
  <c r="Q27" i="5"/>
  <c r="U26" i="5"/>
  <c r="R26" i="5"/>
  <c r="Q26" i="5"/>
  <c r="U25" i="5"/>
  <c r="R25" i="5"/>
  <c r="Q25" i="5"/>
  <c r="U24" i="5"/>
  <c r="R24" i="5"/>
  <c r="Q24" i="5"/>
  <c r="U39" i="6" l="1"/>
  <c r="U38" i="6"/>
  <c r="U37" i="6"/>
  <c r="U36" i="6"/>
  <c r="U35" i="6"/>
  <c r="U34" i="6"/>
  <c r="U33" i="6"/>
  <c r="U32" i="6"/>
  <c r="U31" i="6"/>
  <c r="U30" i="6"/>
  <c r="U29" i="6"/>
  <c r="U28" i="6"/>
  <c r="U27" i="6"/>
  <c r="U26" i="6"/>
  <c r="U25" i="6"/>
  <c r="U24" i="6"/>
  <c r="U23" i="6"/>
  <c r="U22" i="6"/>
  <c r="U21" i="6"/>
  <c r="U20" i="6"/>
  <c r="U19" i="6"/>
  <c r="U18" i="6"/>
  <c r="U17" i="6"/>
  <c r="U16" i="6"/>
  <c r="U14" i="6"/>
  <c r="U13" i="6"/>
  <c r="U12" i="6"/>
  <c r="U11" i="6"/>
  <c r="U10" i="6"/>
  <c r="U9" i="6"/>
  <c r="U8" i="6"/>
  <c r="U7" i="6"/>
  <c r="U6" i="6"/>
  <c r="U5" i="6"/>
  <c r="U4" i="6"/>
  <c r="U3" i="6"/>
  <c r="U15" i="6"/>
  <c r="Q57" i="6"/>
  <c r="Q56" i="6"/>
  <c r="Q55" i="6"/>
  <c r="Q54" i="6"/>
  <c r="Q53" i="6"/>
  <c r="Q52" i="6"/>
  <c r="Q51" i="6"/>
  <c r="Q48" i="6"/>
  <c r="Q47" i="6"/>
  <c r="Q46" i="6"/>
  <c r="Q45" i="6"/>
  <c r="Q44" i="6"/>
  <c r="Q43" i="6"/>
  <c r="Q42" i="6"/>
  <c r="Q41" i="6"/>
  <c r="Q39" i="6"/>
  <c r="Q38" i="6"/>
  <c r="Q37" i="6"/>
  <c r="Q36" i="6"/>
  <c r="Q35" i="6"/>
  <c r="Q34" i="6"/>
  <c r="Q33" i="6"/>
  <c r="Q31" i="6"/>
  <c r="Q30" i="6"/>
  <c r="Q29" i="6"/>
  <c r="Q28" i="6"/>
  <c r="Q27" i="6"/>
  <c r="Q26" i="6"/>
  <c r="Q20" i="6"/>
  <c r="Q19" i="6"/>
  <c r="Q18" i="6"/>
  <c r="Q17" i="6"/>
  <c r="Q16" i="6"/>
  <c r="Q14" i="6"/>
  <c r="Q13" i="6"/>
  <c r="Q12" i="6"/>
  <c r="Q11" i="6"/>
  <c r="Q10" i="6"/>
  <c r="Q9" i="6"/>
  <c r="Q8" i="6"/>
  <c r="Q7" i="6"/>
  <c r="Q6" i="6"/>
  <c r="Q5" i="6"/>
  <c r="Q4" i="6"/>
  <c r="Q3" i="6"/>
  <c r="Q40" i="6" l="1"/>
  <c r="Q15" i="6"/>
  <c r="Q32" i="6"/>
  <c r="Q50" i="6"/>
  <c r="Q21" i="6"/>
  <c r="AM30" i="31"/>
  <c r="AJ30" i="31"/>
  <c r="F30" i="31" s="1"/>
  <c r="O30" i="31"/>
  <c r="C30" i="31"/>
  <c r="AM29" i="31"/>
  <c r="AJ29" i="31"/>
  <c r="F29" i="31" s="1"/>
  <c r="O29" i="31"/>
  <c r="C29" i="31"/>
  <c r="AM28" i="31"/>
  <c r="AJ28" i="31"/>
  <c r="F28" i="31" s="1"/>
  <c r="O28" i="31"/>
  <c r="C28" i="31"/>
  <c r="AM27" i="31"/>
  <c r="AJ27" i="31"/>
  <c r="O27" i="31"/>
  <c r="I27" i="31"/>
  <c r="H27" i="31"/>
  <c r="C27" i="31"/>
  <c r="E27" i="31" l="1"/>
  <c r="F27" i="31"/>
  <c r="E30" i="31"/>
  <c r="E29" i="31"/>
  <c r="E28" i="31"/>
  <c r="Q58" i="6" l="1"/>
  <c r="U57" i="6"/>
  <c r="U56" i="6"/>
  <c r="U55" i="6"/>
  <c r="U54" i="6"/>
  <c r="U53" i="6"/>
  <c r="U52" i="6"/>
  <c r="U51" i="6"/>
  <c r="U42" i="6"/>
  <c r="U43" i="6"/>
  <c r="U44" i="6"/>
  <c r="U45" i="6"/>
  <c r="U46" i="6"/>
  <c r="U47" i="6"/>
  <c r="U48" i="6"/>
  <c r="U49" i="6"/>
  <c r="U41" i="6"/>
  <c r="E20" i="6" l="1"/>
  <c r="E19" i="6"/>
  <c r="AA19" i="6"/>
  <c r="O19" i="6"/>
  <c r="N19" i="6"/>
  <c r="M19" i="6"/>
  <c r="L19" i="6"/>
  <c r="F19" i="6"/>
  <c r="AA20" i="6"/>
  <c r="O20" i="6"/>
  <c r="N20" i="6"/>
  <c r="M20" i="6"/>
  <c r="L20" i="6"/>
  <c r="F20" i="6"/>
  <c r="P19" i="6" l="1"/>
  <c r="P20" i="6"/>
  <c r="AA29" i="6"/>
  <c r="O29" i="6"/>
  <c r="N29" i="6"/>
  <c r="M29" i="6"/>
  <c r="L29" i="6"/>
  <c r="F29" i="6"/>
  <c r="E29" i="6"/>
  <c r="AA28" i="6"/>
  <c r="O28" i="6"/>
  <c r="N28" i="6"/>
  <c r="M28" i="6"/>
  <c r="L28" i="6"/>
  <c r="F28" i="6"/>
  <c r="E28" i="6"/>
  <c r="O54" i="6"/>
  <c r="N54" i="6"/>
  <c r="M54" i="6"/>
  <c r="L54" i="6"/>
  <c r="F54" i="6"/>
  <c r="E54" i="6"/>
  <c r="O53" i="6"/>
  <c r="N53" i="6"/>
  <c r="M53" i="6"/>
  <c r="L53" i="6"/>
  <c r="F53" i="6"/>
  <c r="E53" i="6"/>
  <c r="O52" i="6"/>
  <c r="N52" i="6"/>
  <c r="M52" i="6"/>
  <c r="L52" i="6"/>
  <c r="F52" i="6"/>
  <c r="E52" i="6"/>
  <c r="O38" i="6"/>
  <c r="N38" i="6"/>
  <c r="M38" i="6"/>
  <c r="L38" i="6"/>
  <c r="F38" i="6"/>
  <c r="E38" i="6"/>
  <c r="O35" i="6"/>
  <c r="N35" i="6"/>
  <c r="M35" i="6"/>
  <c r="L35" i="6"/>
  <c r="F35" i="6"/>
  <c r="E35" i="6"/>
  <c r="O34" i="6"/>
  <c r="N34" i="6"/>
  <c r="M34" i="6"/>
  <c r="L34" i="6"/>
  <c r="F34" i="6"/>
  <c r="E34" i="6"/>
  <c r="O33" i="6"/>
  <c r="N33" i="6"/>
  <c r="M33" i="6"/>
  <c r="L33" i="6"/>
  <c r="F33" i="6"/>
  <c r="E33" i="6"/>
  <c r="P34" i="6" l="1"/>
  <c r="P38" i="6"/>
  <c r="P53" i="6"/>
  <c r="P33" i="6"/>
  <c r="P35" i="6"/>
  <c r="P52" i="6"/>
  <c r="P28" i="6"/>
  <c r="P29" i="6"/>
  <c r="P54" i="6"/>
  <c r="AM46" i="31" l="1"/>
  <c r="AJ46" i="31"/>
  <c r="F46" i="31" s="1"/>
  <c r="N46" i="31"/>
  <c r="P46" i="31" s="1"/>
  <c r="O46" i="31"/>
  <c r="AM45" i="31"/>
  <c r="AJ45" i="31"/>
  <c r="F45" i="31" s="1"/>
  <c r="N45" i="31"/>
  <c r="O45" i="31"/>
  <c r="AM47" i="31"/>
  <c r="AJ47" i="31"/>
  <c r="F47" i="31" s="1"/>
  <c r="N47" i="31"/>
  <c r="P47" i="31" s="1"/>
  <c r="O47" i="31"/>
  <c r="AM44" i="31"/>
  <c r="AJ44" i="31"/>
  <c r="F44" i="31" s="1"/>
  <c r="N44" i="31"/>
  <c r="P44" i="31" s="1"/>
  <c r="O44" i="31"/>
  <c r="AM48" i="31"/>
  <c r="AJ48" i="31"/>
  <c r="F48" i="31" s="1"/>
  <c r="N48" i="31"/>
  <c r="P48" i="31" s="1"/>
  <c r="O48" i="31"/>
  <c r="AM69" i="31"/>
  <c r="AJ69" i="31"/>
  <c r="F69" i="31" s="1"/>
  <c r="N69" i="31"/>
  <c r="H69" i="31"/>
  <c r="G69" i="31"/>
  <c r="AM68" i="31"/>
  <c r="AJ68" i="31"/>
  <c r="F68" i="31" s="1"/>
  <c r="N68" i="31"/>
  <c r="H68" i="31"/>
  <c r="G68" i="31"/>
  <c r="AM70" i="31"/>
  <c r="AJ70" i="31"/>
  <c r="F70" i="31" s="1"/>
  <c r="N70" i="31"/>
  <c r="H70" i="31"/>
  <c r="G70" i="31"/>
  <c r="P45" i="31" l="1"/>
  <c r="O69" i="31"/>
  <c r="O68" i="31"/>
  <c r="P69" i="31"/>
  <c r="P70" i="31"/>
  <c r="P68" i="31"/>
  <c r="O70" i="31"/>
  <c r="AJ3" i="31" l="1"/>
  <c r="AJ4" i="31"/>
  <c r="AJ5" i="31"/>
  <c r="AJ6" i="31"/>
  <c r="X25" i="46" l="1"/>
  <c r="W25" i="46"/>
  <c r="W22" i="46"/>
  <c r="Y22" i="46" s="1"/>
  <c r="W21" i="46"/>
  <c r="Y21" i="46" s="1"/>
  <c r="W20" i="46"/>
  <c r="W19" i="46"/>
  <c r="Y19" i="46" s="1"/>
  <c r="W18" i="46"/>
  <c r="Y18" i="46" s="1"/>
  <c r="W17" i="46"/>
  <c r="Y17" i="46" s="1"/>
  <c r="W16" i="46"/>
  <c r="Y15" i="46"/>
  <c r="Y14" i="46"/>
  <c r="Y13" i="46"/>
  <c r="Y12" i="46"/>
  <c r="Y11" i="46"/>
  <c r="Y10" i="46"/>
  <c r="Y9" i="46"/>
  <c r="Y8" i="46"/>
  <c r="Y7" i="46"/>
  <c r="Y6" i="46"/>
  <c r="Y5" i="46"/>
  <c r="Y4" i="46"/>
  <c r="Y3" i="46"/>
  <c r="Y2" i="46"/>
  <c r="Y25" i="46" l="1"/>
  <c r="W24" i="46"/>
  <c r="W23" i="46"/>
  <c r="Y16" i="46"/>
  <c r="X20" i="46"/>
  <c r="Y20" i="46" s="1"/>
  <c r="Y23" i="46" l="1"/>
  <c r="Y24" i="46"/>
  <c r="X23" i="46"/>
  <c r="X24" i="46"/>
  <c r="H84" i="31" l="1"/>
  <c r="G78" i="31" l="1"/>
  <c r="G79" i="31"/>
  <c r="G77" i="31"/>
  <c r="E60" i="6" l="1"/>
  <c r="F13" i="6" l="1"/>
  <c r="J21" i="6" l="1"/>
  <c r="I21" i="6"/>
  <c r="H21" i="6"/>
  <c r="G21" i="6"/>
  <c r="K21" i="6"/>
  <c r="AJ67" i="31" l="1"/>
  <c r="AJ66" i="31"/>
  <c r="AJ65" i="31"/>
  <c r="AJ64" i="31"/>
  <c r="AJ63" i="31"/>
  <c r="T63" i="31" s="1"/>
  <c r="AJ62" i="31"/>
  <c r="AJ61" i="31"/>
  <c r="AJ55" i="31"/>
  <c r="AJ54" i="31"/>
  <c r="AJ52" i="31"/>
  <c r="AJ51" i="31"/>
  <c r="AJ50" i="31"/>
  <c r="AJ49" i="31"/>
  <c r="AJ43" i="31"/>
  <c r="AJ42" i="31"/>
  <c r="AJ41" i="31"/>
  <c r="AJ40" i="31"/>
  <c r="AJ39" i="31"/>
  <c r="AJ38" i="31"/>
  <c r="AJ37" i="31"/>
  <c r="AJ36" i="31"/>
  <c r="AJ35" i="31"/>
  <c r="AJ34" i="31"/>
  <c r="AJ33" i="31"/>
  <c r="AJ32" i="31"/>
  <c r="AJ31" i="31"/>
  <c r="AJ26" i="31"/>
  <c r="F26" i="31" s="1"/>
  <c r="AJ25" i="31"/>
  <c r="F25" i="31" s="1"/>
  <c r="AJ24" i="31"/>
  <c r="AJ23" i="31"/>
  <c r="F23" i="31" s="1"/>
  <c r="AJ22" i="31"/>
  <c r="F22" i="31" s="1"/>
  <c r="AJ21" i="31"/>
  <c r="AJ20" i="31"/>
  <c r="AJ17" i="31"/>
  <c r="AJ16" i="31"/>
  <c r="AJ15" i="31"/>
  <c r="AJ14" i="31"/>
  <c r="AJ13" i="31"/>
  <c r="AJ12" i="31"/>
  <c r="AJ11" i="31"/>
  <c r="AJ10" i="31"/>
  <c r="AJ9" i="31"/>
  <c r="AJ8" i="31"/>
  <c r="AJ7" i="31"/>
  <c r="F49" i="31" l="1"/>
  <c r="T49" i="31"/>
  <c r="F33" i="31"/>
  <c r="F50" i="31"/>
  <c r="F54" i="31"/>
  <c r="F55" i="31"/>
  <c r="F34" i="31"/>
  <c r="F36" i="31"/>
  <c r="F38" i="31"/>
  <c r="F61" i="31"/>
  <c r="F52" i="31"/>
  <c r="F62" i="31"/>
  <c r="F35" i="31"/>
  <c r="F63" i="31"/>
  <c r="F41" i="31"/>
  <c r="F64" i="31"/>
  <c r="F51" i="31"/>
  <c r="F37" i="31"/>
  <c r="F42" i="31"/>
  <c r="F65" i="31"/>
  <c r="F39" i="31"/>
  <c r="F40" i="31"/>
  <c r="F43" i="31"/>
  <c r="F66" i="31"/>
  <c r="F32" i="31"/>
  <c r="F67" i="31"/>
  <c r="F24" i="31"/>
  <c r="F31" i="31"/>
  <c r="F21" i="31"/>
  <c r="F20" i="31"/>
  <c r="F17" i="31"/>
  <c r="E16" i="31"/>
  <c r="F16" i="31"/>
  <c r="E22" i="6"/>
  <c r="A72" i="48"/>
  <c r="A71" i="48"/>
  <c r="A70" i="48"/>
  <c r="A69" i="48"/>
  <c r="A68" i="48"/>
  <c r="A67" i="48"/>
  <c r="A66" i="48"/>
  <c r="A65" i="48"/>
  <c r="A64" i="48"/>
  <c r="A63" i="48"/>
  <c r="A62" i="48"/>
  <c r="A61" i="48"/>
  <c r="A60" i="48"/>
  <c r="A59" i="48"/>
  <c r="A58" i="48"/>
  <c r="A57" i="48"/>
  <c r="A56" i="48"/>
  <c r="A55" i="48"/>
  <c r="A54" i="48"/>
  <c r="A48" i="48"/>
  <c r="A47" i="48"/>
  <c r="A46" i="48"/>
  <c r="A45" i="48"/>
  <c r="A44" i="48"/>
  <c r="A43" i="48"/>
  <c r="A42" i="48"/>
  <c r="A41" i="48"/>
  <c r="A40" i="48"/>
  <c r="A39" i="48"/>
  <c r="A38" i="48"/>
  <c r="A37" i="48"/>
  <c r="A36" i="48"/>
  <c r="A35" i="48"/>
  <c r="A34" i="48"/>
  <c r="A33" i="48"/>
  <c r="A32" i="48"/>
  <c r="A31" i="48"/>
  <c r="A30" i="48"/>
  <c r="A29" i="48"/>
  <c r="A28" i="48"/>
  <c r="A27" i="48"/>
  <c r="A26" i="48"/>
  <c r="A25" i="48"/>
  <c r="A24" i="48"/>
  <c r="A23" i="48"/>
  <c r="A22" i="48"/>
  <c r="A21" i="48"/>
  <c r="A20" i="48"/>
  <c r="A19" i="48"/>
  <c r="A18" i="48"/>
  <c r="A17" i="48"/>
  <c r="A16" i="48"/>
  <c r="A15" i="48"/>
  <c r="A14" i="48"/>
  <c r="A13" i="48"/>
  <c r="A12" i="48"/>
  <c r="A11" i="48"/>
  <c r="A10" i="48"/>
  <c r="A9" i="48"/>
  <c r="A8" i="48"/>
  <c r="A7" i="48"/>
  <c r="A6" i="48"/>
  <c r="A5" i="48"/>
  <c r="A94" i="47"/>
  <c r="A93" i="47"/>
  <c r="A92" i="47"/>
  <c r="A89" i="47"/>
  <c r="A88" i="47"/>
  <c r="A87" i="47"/>
  <c r="A86" i="47"/>
  <c r="A84" i="47"/>
  <c r="A83" i="47"/>
  <c r="A82" i="47"/>
  <c r="A75" i="47"/>
  <c r="A76" i="47"/>
  <c r="A77" i="47"/>
  <c r="A74" i="47"/>
  <c r="A69" i="47"/>
  <c r="A68" i="47"/>
  <c r="A67" i="47"/>
  <c r="A66" i="47"/>
  <c r="A65" i="47"/>
  <c r="A64" i="47"/>
  <c r="A63" i="47"/>
  <c r="A62" i="47"/>
  <c r="A61" i="47"/>
  <c r="A60" i="47"/>
  <c r="A59" i="47"/>
  <c r="A58" i="47"/>
  <c r="A57" i="47"/>
  <c r="A56" i="47"/>
  <c r="A55" i="47"/>
  <c r="A54" i="47"/>
  <c r="A53" i="47"/>
  <c r="A52" i="47"/>
  <c r="A51" i="47"/>
  <c r="A50" i="47"/>
  <c r="A49" i="47"/>
  <c r="A48" i="47"/>
  <c r="A47" i="47"/>
  <c r="A46" i="47"/>
  <c r="A45" i="47"/>
  <c r="A44" i="47"/>
  <c r="A43" i="47"/>
  <c r="A42" i="47"/>
  <c r="A41" i="47"/>
  <c r="A40" i="47"/>
  <c r="A39" i="47"/>
  <c r="A38" i="47"/>
  <c r="A37" i="47"/>
  <c r="A36" i="47"/>
  <c r="A35" i="47"/>
  <c r="A34" i="47"/>
  <c r="A33" i="47"/>
  <c r="A32" i="47"/>
  <c r="A31" i="47"/>
  <c r="A30" i="47"/>
  <c r="A29" i="47"/>
  <c r="A28" i="47"/>
  <c r="A27" i="47"/>
  <c r="A26" i="47"/>
  <c r="A25" i="47"/>
  <c r="A24" i="47"/>
  <c r="A23" i="47"/>
  <c r="A22" i="47"/>
  <c r="A21" i="47"/>
  <c r="A20" i="47"/>
  <c r="A19" i="47"/>
  <c r="A18" i="47"/>
  <c r="A17" i="47"/>
  <c r="A16" i="47"/>
  <c r="A15" i="47"/>
  <c r="A14" i="47"/>
  <c r="A13" i="47"/>
  <c r="A12" i="47"/>
  <c r="A11" i="47"/>
  <c r="A10" i="47"/>
  <c r="A9" i="47"/>
  <c r="A8" i="47"/>
  <c r="A7" i="47"/>
  <c r="A6" i="47"/>
  <c r="A5" i="47"/>
  <c r="A4" i="47"/>
  <c r="A3" i="47"/>
  <c r="L74" i="48"/>
  <c r="K74" i="48"/>
  <c r="L73" i="48"/>
  <c r="K73" i="48"/>
  <c r="J73" i="48"/>
  <c r="L66" i="48"/>
  <c r="L65" i="48"/>
  <c r="K65" i="48"/>
  <c r="J65" i="48"/>
  <c r="L63" i="48"/>
  <c r="L71" i="48" s="1"/>
  <c r="K63" i="48"/>
  <c r="M58" i="48"/>
  <c r="L58" i="48"/>
  <c r="K66" i="48" s="1"/>
  <c r="H58" i="48"/>
  <c r="G58" i="48"/>
  <c r="F58" i="48"/>
  <c r="E58" i="48"/>
  <c r="D58" i="48"/>
  <c r="N49" i="48"/>
  <c r="M49" i="48"/>
  <c r="L49" i="48"/>
  <c r="L62" i="48" s="1"/>
  <c r="L70" i="48" s="1"/>
  <c r="K49" i="48"/>
  <c r="J49" i="48"/>
  <c r="I49" i="48"/>
  <c r="H49" i="48"/>
  <c r="G49" i="48"/>
  <c r="F49" i="48"/>
  <c r="E49" i="48"/>
  <c r="D49" i="48"/>
  <c r="C49" i="48"/>
  <c r="X48" i="48"/>
  <c r="X47" i="48"/>
  <c r="X46" i="48"/>
  <c r="X45" i="48"/>
  <c r="X44" i="48"/>
  <c r="X43" i="48"/>
  <c r="X42" i="48"/>
  <c r="X41" i="48"/>
  <c r="X40" i="48"/>
  <c r="X39" i="48"/>
  <c r="X38" i="48"/>
  <c r="X37" i="48"/>
  <c r="X36" i="48"/>
  <c r="X35" i="48"/>
  <c r="X34" i="48"/>
  <c r="X33" i="48"/>
  <c r="X32" i="48"/>
  <c r="N32" i="48"/>
  <c r="M32" i="48"/>
  <c r="L32" i="48"/>
  <c r="K62" i="48" s="1"/>
  <c r="K32" i="48"/>
  <c r="J32" i="48"/>
  <c r="I32" i="48"/>
  <c r="H32" i="48"/>
  <c r="G32" i="48"/>
  <c r="F32" i="48"/>
  <c r="E32" i="48"/>
  <c r="D32" i="48"/>
  <c r="C32" i="48"/>
  <c r="X31" i="48"/>
  <c r="X30" i="48"/>
  <c r="X29" i="48"/>
  <c r="X26" i="48"/>
  <c r="X25" i="48"/>
  <c r="X24" i="48"/>
  <c r="X23" i="48"/>
  <c r="X22" i="48"/>
  <c r="N22" i="48"/>
  <c r="M22" i="48"/>
  <c r="L22" i="48"/>
  <c r="K22" i="48"/>
  <c r="K50" i="48" s="1"/>
  <c r="J22" i="48"/>
  <c r="I22" i="48"/>
  <c r="H22" i="48"/>
  <c r="G22" i="48"/>
  <c r="G53" i="48" s="1"/>
  <c r="F22" i="48"/>
  <c r="F53" i="48" s="1"/>
  <c r="E22" i="48"/>
  <c r="E53" i="48" s="1"/>
  <c r="D22" i="48"/>
  <c r="C22" i="48"/>
  <c r="C50" i="48" s="1"/>
  <c r="X21" i="48"/>
  <c r="X20" i="48"/>
  <c r="X19" i="48"/>
  <c r="AH18" i="48"/>
  <c r="AF18" i="48"/>
  <c r="AD18" i="48"/>
  <c r="X18" i="48"/>
  <c r="AH17" i="48"/>
  <c r="AF17" i="48"/>
  <c r="AD17" i="48"/>
  <c r="X17" i="48"/>
  <c r="AH16" i="48"/>
  <c r="AF16" i="48"/>
  <c r="AD16" i="48"/>
  <c r="X16" i="48"/>
  <c r="AI15" i="48"/>
  <c r="AH15" i="48"/>
  <c r="AF15" i="48"/>
  <c r="AD15" i="48"/>
  <c r="X15" i="48"/>
  <c r="X14" i="48"/>
  <c r="X13" i="48"/>
  <c r="AH12" i="48"/>
  <c r="AI12" i="48" s="1"/>
  <c r="AF12" i="48"/>
  <c r="AG12" i="48" s="1"/>
  <c r="AD12" i="48"/>
  <c r="AE12" i="48" s="1"/>
  <c r="X12" i="48"/>
  <c r="AH11" i="48"/>
  <c r="AF11" i="48"/>
  <c r="AD11" i="48"/>
  <c r="X11" i="48"/>
  <c r="AH10" i="48"/>
  <c r="AF10" i="48"/>
  <c r="AD10" i="48"/>
  <c r="X10" i="48"/>
  <c r="AH9" i="48"/>
  <c r="AF9" i="48"/>
  <c r="AD9" i="48"/>
  <c r="X9" i="48"/>
  <c r="AH8" i="48"/>
  <c r="AF8" i="48"/>
  <c r="AD8" i="48"/>
  <c r="X8" i="48"/>
  <c r="AH7" i="48"/>
  <c r="AF7" i="48"/>
  <c r="AD7" i="48"/>
  <c r="X7" i="48"/>
  <c r="AH6" i="48"/>
  <c r="AF6" i="48"/>
  <c r="AD6" i="48"/>
  <c r="X6" i="48"/>
  <c r="AI5" i="48"/>
  <c r="AH5" i="48"/>
  <c r="AF5" i="48"/>
  <c r="AD5" i="48"/>
  <c r="X5" i="48"/>
  <c r="Q1" i="48"/>
  <c r="P1" i="48"/>
  <c r="AM98" i="47"/>
  <c r="AM97" i="47"/>
  <c r="AL96" i="47"/>
  <c r="AK96" i="47"/>
  <c r="AJ96" i="47"/>
  <c r="AL88" i="47"/>
  <c r="AM88" i="47" s="1"/>
  <c r="AL87" i="47"/>
  <c r="AJ87" i="47"/>
  <c r="AL86" i="47"/>
  <c r="AK86" i="47"/>
  <c r="AJ86" i="47"/>
  <c r="AL84" i="47"/>
  <c r="AL94" i="47" s="1"/>
  <c r="AM94" i="47" s="1"/>
  <c r="AL83" i="47"/>
  <c r="AL93" i="47" s="1"/>
  <c r="AK83" i="47"/>
  <c r="AJ83" i="47"/>
  <c r="AJ93" i="47" s="1"/>
  <c r="AL78" i="47"/>
  <c r="AK87" i="47" s="1"/>
  <c r="AK78" i="47"/>
  <c r="AH78" i="47"/>
  <c r="AG78" i="47"/>
  <c r="T78" i="47"/>
  <c r="S78" i="47"/>
  <c r="R78" i="47"/>
  <c r="Q78" i="47"/>
  <c r="P78" i="47"/>
  <c r="O78" i="47"/>
  <c r="N78" i="47"/>
  <c r="M78" i="47"/>
  <c r="L78" i="47"/>
  <c r="K78" i="47"/>
  <c r="J78" i="47"/>
  <c r="I78" i="47"/>
  <c r="H78" i="47"/>
  <c r="G78" i="47"/>
  <c r="F78" i="47"/>
  <c r="E78" i="47"/>
  <c r="D78" i="47"/>
  <c r="AL69" i="47"/>
  <c r="AL82" i="47" s="1"/>
  <c r="AL92" i="47" s="1"/>
  <c r="AK69" i="47"/>
  <c r="AJ69" i="47"/>
  <c r="AI69" i="47"/>
  <c r="AH69" i="47"/>
  <c r="AG69" i="47"/>
  <c r="T69" i="47"/>
  <c r="S69" i="47"/>
  <c r="R69" i="47"/>
  <c r="Q69" i="47"/>
  <c r="P69" i="47"/>
  <c r="O69" i="47"/>
  <c r="N69" i="47"/>
  <c r="M69" i="47"/>
  <c r="L69" i="47"/>
  <c r="K69" i="47"/>
  <c r="J69" i="47"/>
  <c r="I69" i="47"/>
  <c r="H69" i="47"/>
  <c r="G69" i="47"/>
  <c r="F69" i="47"/>
  <c r="E69" i="47"/>
  <c r="D69" i="47"/>
  <c r="AA53" i="47"/>
  <c r="Z53" i="47"/>
  <c r="Y53" i="47" s="1"/>
  <c r="V53" i="47"/>
  <c r="U53" i="47"/>
  <c r="AA52" i="47"/>
  <c r="Y52" i="47"/>
  <c r="V52" i="47"/>
  <c r="U52" i="47"/>
  <c r="AA51" i="47"/>
  <c r="Z51" i="47"/>
  <c r="Y51" i="47" s="1"/>
  <c r="V51" i="47"/>
  <c r="U51" i="47"/>
  <c r="AA50" i="47"/>
  <c r="Y50" i="47"/>
  <c r="V50" i="47"/>
  <c r="U50" i="47"/>
  <c r="AA49" i="47"/>
  <c r="Y49" i="47"/>
  <c r="V49" i="47"/>
  <c r="U49" i="47"/>
  <c r="AA48" i="47"/>
  <c r="Y48" i="47"/>
  <c r="V48" i="47"/>
  <c r="U48" i="47"/>
  <c r="AA47" i="47"/>
  <c r="Y47" i="47"/>
  <c r="V47" i="47"/>
  <c r="U47" i="47"/>
  <c r="AL46" i="47"/>
  <c r="AK82" i="47" s="1"/>
  <c r="AK92" i="47" s="1"/>
  <c r="AK46" i="47"/>
  <c r="AJ46" i="47"/>
  <c r="AI46" i="47"/>
  <c r="AH46" i="47"/>
  <c r="AH73" i="47" s="1"/>
  <c r="AG46" i="47"/>
  <c r="AG73" i="47" s="1"/>
  <c r="T46" i="47"/>
  <c r="T73" i="47" s="1"/>
  <c r="S46" i="47"/>
  <c r="S73" i="47" s="1"/>
  <c r="R46" i="47"/>
  <c r="R73" i="47" s="1"/>
  <c r="Q46" i="47"/>
  <c r="Q73" i="47" s="1"/>
  <c r="P46" i="47"/>
  <c r="P73" i="47" s="1"/>
  <c r="O46" i="47"/>
  <c r="O73" i="47" s="1"/>
  <c r="N46" i="47"/>
  <c r="N73" i="47" s="1"/>
  <c r="M46" i="47"/>
  <c r="M73" i="47" s="1"/>
  <c r="L46" i="47"/>
  <c r="L73" i="47" s="1"/>
  <c r="K46" i="47"/>
  <c r="K73" i="47" s="1"/>
  <c r="J46" i="47"/>
  <c r="J73" i="47" s="1"/>
  <c r="I46" i="47"/>
  <c r="I73" i="47" s="1"/>
  <c r="H46" i="47"/>
  <c r="H73" i="47" s="1"/>
  <c r="G46" i="47"/>
  <c r="G73" i="47" s="1"/>
  <c r="F46" i="47"/>
  <c r="F73" i="47" s="1"/>
  <c r="E46" i="47"/>
  <c r="E73" i="47" s="1"/>
  <c r="D46" i="47"/>
  <c r="D73" i="47" s="1"/>
  <c r="AA36" i="47"/>
  <c r="Z36" i="47"/>
  <c r="Y36" i="47" s="1"/>
  <c r="V36" i="47"/>
  <c r="U36" i="47"/>
  <c r="AA35" i="47"/>
  <c r="Y35" i="47"/>
  <c r="V35" i="47"/>
  <c r="AA34" i="47"/>
  <c r="Y34" i="47"/>
  <c r="V34" i="47"/>
  <c r="U34" i="47"/>
  <c r="AA33" i="47"/>
  <c r="Y33" i="47"/>
  <c r="V33" i="47"/>
  <c r="U33" i="47"/>
  <c r="AL32" i="47"/>
  <c r="AK32" i="47"/>
  <c r="AJ32" i="47"/>
  <c r="AI32" i="47"/>
  <c r="AH32" i="47"/>
  <c r="AG32" i="47"/>
  <c r="T32" i="47"/>
  <c r="S32" i="47"/>
  <c r="R32" i="47"/>
  <c r="Q32" i="47"/>
  <c r="P32" i="47"/>
  <c r="O32" i="47"/>
  <c r="N32" i="47"/>
  <c r="M32" i="47"/>
  <c r="L32" i="47"/>
  <c r="K32" i="47"/>
  <c r="J32" i="47"/>
  <c r="I32" i="47"/>
  <c r="H32" i="47"/>
  <c r="G32" i="47"/>
  <c r="F32" i="47"/>
  <c r="E32" i="47"/>
  <c r="D32" i="47"/>
  <c r="AX23" i="47"/>
  <c r="AX28" i="47" s="1"/>
  <c r="AX22" i="47"/>
  <c r="AX27" i="47" s="1"/>
  <c r="AZ19" i="47"/>
  <c r="AX19" i="47"/>
  <c r="BB18" i="47"/>
  <c r="BA18" i="47"/>
  <c r="BA19" i="47" s="1"/>
  <c r="AY18" i="47"/>
  <c r="AY19" i="47" s="1"/>
  <c r="BC17" i="47"/>
  <c r="BB17" i="47"/>
  <c r="AW14" i="47"/>
  <c r="BA13" i="47" s="1"/>
  <c r="AV14" i="47"/>
  <c r="AU14" i="47"/>
  <c r="AZ14" i="47" s="1"/>
  <c r="AT14" i="47"/>
  <c r="AY13" i="47"/>
  <c r="AY12" i="47"/>
  <c r="AA11" i="47"/>
  <c r="Z11" i="47"/>
  <c r="Y11" i="47" s="1"/>
  <c r="V11" i="47"/>
  <c r="U11" i="47"/>
  <c r="AA10" i="47"/>
  <c r="Z10" i="47"/>
  <c r="Y10" i="47" s="1"/>
  <c r="V10" i="47"/>
  <c r="U10" i="47"/>
  <c r="AA9" i="47"/>
  <c r="V9" i="47"/>
  <c r="AA8" i="47"/>
  <c r="Z8" i="47"/>
  <c r="Y8" i="47" s="1"/>
  <c r="V8" i="47"/>
  <c r="U8" i="47"/>
  <c r="AY7" i="47"/>
  <c r="AA7" i="47"/>
  <c r="Z7" i="47"/>
  <c r="Y7" i="47" s="1"/>
  <c r="V7" i="47"/>
  <c r="U7" i="47"/>
  <c r="AY6" i="47"/>
  <c r="AY5" i="47"/>
  <c r="AX5" i="47"/>
  <c r="AX14" i="47" s="1"/>
  <c r="BA4" i="47"/>
  <c r="D50" i="48" l="1"/>
  <c r="H50" i="48"/>
  <c r="L50" i="48"/>
  <c r="C46" i="31"/>
  <c r="C45" i="31"/>
  <c r="C44" i="31"/>
  <c r="C68" i="31"/>
  <c r="C47" i="31"/>
  <c r="C48" i="31"/>
  <c r="E70" i="31"/>
  <c r="E45" i="31"/>
  <c r="C69" i="31"/>
  <c r="C70" i="31"/>
  <c r="E47" i="31"/>
  <c r="E68" i="31"/>
  <c r="E69" i="31"/>
  <c r="E44" i="31"/>
  <c r="E48" i="31"/>
  <c r="E46" i="31"/>
  <c r="BC19" i="47"/>
  <c r="E51" i="6"/>
  <c r="M74" i="48"/>
  <c r="M66" i="48"/>
  <c r="M63" i="48"/>
  <c r="AZ12" i="47"/>
  <c r="AZ4" i="47"/>
  <c r="AZ7" i="47"/>
  <c r="AZ5" i="47"/>
  <c r="AZ9" i="47"/>
  <c r="AZ22" i="47"/>
  <c r="AZ11" i="47"/>
  <c r="AZ13" i="47"/>
  <c r="AZ6" i="47"/>
  <c r="J70" i="47"/>
  <c r="N70" i="47"/>
  <c r="AH70" i="47"/>
  <c r="AL70" i="47"/>
  <c r="AM83" i="47"/>
  <c r="M65" i="48"/>
  <c r="M64" i="48" s="1"/>
  <c r="M73" i="48"/>
  <c r="BB19" i="47"/>
  <c r="J50" i="48"/>
  <c r="N50" i="48"/>
  <c r="Y70" i="47"/>
  <c r="AK93" i="47"/>
  <c r="AM96" i="47"/>
  <c r="AM95" i="47" s="1"/>
  <c r="K70" i="47"/>
  <c r="S70" i="47"/>
  <c r="AM93" i="47"/>
  <c r="AM87" i="47"/>
  <c r="G70" i="47"/>
  <c r="AI70" i="47"/>
  <c r="AZ3" i="47"/>
  <c r="AY14" i="47"/>
  <c r="AZ23" i="47" s="1"/>
  <c r="AZ24" i="47" s="1"/>
  <c r="AZ8" i="47"/>
  <c r="AZ10" i="47"/>
  <c r="D70" i="47"/>
  <c r="H70" i="47"/>
  <c r="E70" i="47"/>
  <c r="M70" i="47"/>
  <c r="Q70" i="47"/>
  <c r="AG70" i="47"/>
  <c r="AK70" i="47"/>
  <c r="E5" i="31"/>
  <c r="E8" i="31"/>
  <c r="F11" i="31"/>
  <c r="E15" i="31"/>
  <c r="E21" i="31"/>
  <c r="E24" i="31"/>
  <c r="E31" i="31"/>
  <c r="E33" i="31"/>
  <c r="E36" i="31"/>
  <c r="E39" i="31"/>
  <c r="E41" i="31"/>
  <c r="E49" i="31"/>
  <c r="E52" i="31"/>
  <c r="E54" i="31"/>
  <c r="E3" i="31"/>
  <c r="E35" i="31"/>
  <c r="E43" i="31"/>
  <c r="F5" i="31"/>
  <c r="E9" i="31"/>
  <c r="E12" i="31"/>
  <c r="F15" i="31"/>
  <c r="E62" i="31"/>
  <c r="E67" i="31"/>
  <c r="E7" i="31"/>
  <c r="E13" i="31"/>
  <c r="E23" i="31"/>
  <c r="E32" i="31"/>
  <c r="E40" i="31"/>
  <c r="E65" i="31"/>
  <c r="E63" i="31"/>
  <c r="E66" i="31"/>
  <c r="F9" i="31"/>
  <c r="E25" i="31"/>
  <c r="E37" i="31"/>
  <c r="E50" i="31"/>
  <c r="F3" i="31"/>
  <c r="E4" i="31"/>
  <c r="F7" i="31"/>
  <c r="E11" i="31"/>
  <c r="F13" i="31"/>
  <c r="E17" i="31"/>
  <c r="E20" i="31"/>
  <c r="E61" i="31"/>
  <c r="C6" i="31"/>
  <c r="C10" i="31"/>
  <c r="C14" i="31"/>
  <c r="C18" i="31"/>
  <c r="C22" i="31"/>
  <c r="C26" i="31"/>
  <c r="C34" i="31"/>
  <c r="C38" i="31"/>
  <c r="C42" i="31"/>
  <c r="C51" i="31"/>
  <c r="C55" i="31"/>
  <c r="C59" i="31"/>
  <c r="C63" i="31"/>
  <c r="C67" i="31"/>
  <c r="E14" i="6"/>
  <c r="E10" i="6"/>
  <c r="E6" i="6"/>
  <c r="E31" i="6"/>
  <c r="E39" i="6"/>
  <c r="E43" i="6"/>
  <c r="E47" i="6"/>
  <c r="E55" i="6"/>
  <c r="F10" i="31"/>
  <c r="F12" i="31"/>
  <c r="E14" i="31"/>
  <c r="E55" i="31"/>
  <c r="E34" i="31"/>
  <c r="E50" i="48"/>
  <c r="I50" i="48"/>
  <c r="M50" i="48"/>
  <c r="H53" i="48"/>
  <c r="J62" i="48"/>
  <c r="J70" i="48" s="1"/>
  <c r="C3" i="31"/>
  <c r="C7" i="31"/>
  <c r="C11" i="31"/>
  <c r="C15" i="31"/>
  <c r="C19" i="31"/>
  <c r="C23" i="31"/>
  <c r="C31" i="31"/>
  <c r="C35" i="31"/>
  <c r="C39" i="31"/>
  <c r="C43" i="31"/>
  <c r="C52" i="31"/>
  <c r="C56" i="31"/>
  <c r="C60" i="31"/>
  <c r="C64" i="31"/>
  <c r="E9" i="6"/>
  <c r="E5" i="6"/>
  <c r="E18" i="6"/>
  <c r="E30" i="6"/>
  <c r="E37" i="6"/>
  <c r="E44" i="6"/>
  <c r="E48" i="6"/>
  <c r="E56" i="6"/>
  <c r="F14" i="31"/>
  <c r="F8" i="31"/>
  <c r="E6" i="31"/>
  <c r="E51" i="31"/>
  <c r="E22" i="31"/>
  <c r="C4" i="31"/>
  <c r="C8" i="31"/>
  <c r="C12" i="31"/>
  <c r="C16" i="31"/>
  <c r="C20" i="31"/>
  <c r="C24" i="31"/>
  <c r="C32" i="31"/>
  <c r="C36" i="31"/>
  <c r="C40" i="31"/>
  <c r="C49" i="31"/>
  <c r="C53" i="31"/>
  <c r="C57" i="31"/>
  <c r="C61" i="31"/>
  <c r="C65" i="31"/>
  <c r="E12" i="6"/>
  <c r="E8" i="6"/>
  <c r="E4" i="6"/>
  <c r="E17" i="6"/>
  <c r="E27" i="6"/>
  <c r="E41" i="6"/>
  <c r="E45" i="6"/>
  <c r="E49" i="6"/>
  <c r="E57" i="6"/>
  <c r="AA38" i="31"/>
  <c r="F4" i="31"/>
  <c r="E64" i="31"/>
  <c r="E42" i="31"/>
  <c r="P70" i="47"/>
  <c r="T70" i="47"/>
  <c r="AJ70" i="47"/>
  <c r="AM86" i="47"/>
  <c r="D53" i="48"/>
  <c r="C5" i="31"/>
  <c r="C9" i="31"/>
  <c r="C13" i="31"/>
  <c r="C17" i="31"/>
  <c r="C21" i="31"/>
  <c r="C25" i="31"/>
  <c r="C33" i="31"/>
  <c r="C37" i="31"/>
  <c r="C41" i="31"/>
  <c r="C50" i="31"/>
  <c r="C54" i="31"/>
  <c r="C58" i="31"/>
  <c r="C62" i="31"/>
  <c r="C66" i="31"/>
  <c r="E3" i="6"/>
  <c r="E11" i="6"/>
  <c r="E7" i="6"/>
  <c r="E16" i="6"/>
  <c r="E26" i="6"/>
  <c r="E36" i="6"/>
  <c r="E42" i="6"/>
  <c r="E46" i="6"/>
  <c r="F6" i="31"/>
  <c r="E26" i="31"/>
  <c r="E38" i="31"/>
  <c r="E10" i="31"/>
  <c r="AG8" i="48"/>
  <c r="AG10" i="48"/>
  <c r="AI10" i="48"/>
  <c r="AE8" i="48"/>
  <c r="AX24" i="47"/>
  <c r="AG15" i="48"/>
  <c r="AK15" i="48" s="1"/>
  <c r="AG17" i="48"/>
  <c r="AE17" i="48"/>
  <c r="AE15" i="48"/>
  <c r="AJ15" i="48" s="1"/>
  <c r="AI17" i="48"/>
  <c r="AG5" i="48"/>
  <c r="AK5" i="48" s="1"/>
  <c r="AE5" i="48"/>
  <c r="AJ5" i="48" s="1"/>
  <c r="AE10" i="48"/>
  <c r="K70" i="48"/>
  <c r="AJ12" i="48"/>
  <c r="AK12" i="48" s="1"/>
  <c r="AI8" i="48"/>
  <c r="F50" i="48"/>
  <c r="F51" i="48" s="1"/>
  <c r="G50" i="48"/>
  <c r="G51" i="48" s="1"/>
  <c r="K71" i="48"/>
  <c r="M71" i="48" s="1"/>
  <c r="AY23" i="47"/>
  <c r="AY28" i="47" s="1"/>
  <c r="BB11" i="47"/>
  <c r="AX29" i="47"/>
  <c r="BA14" i="47"/>
  <c r="BA3" i="47"/>
  <c r="BA5" i="47"/>
  <c r="BA7" i="47"/>
  <c r="BA8" i="47"/>
  <c r="BA6" i="47"/>
  <c r="BA9" i="47"/>
  <c r="BA10" i="47"/>
  <c r="BA11" i="47"/>
  <c r="BA12" i="47"/>
  <c r="BC18" i="47"/>
  <c r="AY22" i="47"/>
  <c r="AJ82" i="47"/>
  <c r="AM84" i="47"/>
  <c r="L51" i="48" l="1"/>
  <c r="BB10" i="47"/>
  <c r="BB13" i="47"/>
  <c r="AM85" i="47"/>
  <c r="M72" i="48"/>
  <c r="AA16" i="31"/>
  <c r="AJ71" i="47"/>
  <c r="E21" i="6"/>
  <c r="AA34" i="31"/>
  <c r="AA51" i="31"/>
  <c r="V70" i="47"/>
  <c r="AI71" i="47"/>
  <c r="M51" i="48"/>
  <c r="BB3" i="47"/>
  <c r="M70" i="48"/>
  <c r="BB5" i="47"/>
  <c r="BB8" i="47"/>
  <c r="BB14" i="47"/>
  <c r="M62" i="48"/>
  <c r="M61" i="48" s="1"/>
  <c r="BB7" i="47"/>
  <c r="BB12" i="47"/>
  <c r="BB4" i="47"/>
  <c r="BB9" i="47"/>
  <c r="BB6" i="47"/>
  <c r="AL71" i="47"/>
  <c r="M69" i="48"/>
  <c r="AA32" i="31"/>
  <c r="AA13" i="31"/>
  <c r="AA3" i="31"/>
  <c r="AA9" i="31"/>
  <c r="AK71" i="47"/>
  <c r="AA39" i="31"/>
  <c r="AA24" i="31"/>
  <c r="AA63" i="31"/>
  <c r="AA7" i="31"/>
  <c r="AA36" i="31"/>
  <c r="AA21" i="31"/>
  <c r="AA49" i="31"/>
  <c r="U70" i="47"/>
  <c r="AK10" i="48"/>
  <c r="AJ10" i="48"/>
  <c r="AK17" i="48"/>
  <c r="AJ17" i="48"/>
  <c r="AK8" i="48"/>
  <c r="AJ8" i="48"/>
  <c r="I51" i="48"/>
  <c r="J51" i="48"/>
  <c r="AJ92" i="47"/>
  <c r="AM92" i="47" s="1"/>
  <c r="AM91" i="47" s="1"/>
  <c r="AM82" i="47"/>
  <c r="AM81" i="47" s="1"/>
  <c r="AY24" i="47"/>
  <c r="AY27" i="47"/>
  <c r="AY29" i="47" s="1"/>
  <c r="AZ27" i="47" l="1"/>
  <c r="A33" i="5" l="1"/>
  <c r="A29" i="5"/>
  <c r="A30" i="5" s="1"/>
  <c r="R63" i="5"/>
  <c r="Q63" i="5"/>
  <c r="R62" i="5"/>
  <c r="Q62" i="5"/>
  <c r="Q64" i="5"/>
  <c r="R64" i="5"/>
  <c r="U45" i="5"/>
  <c r="R45" i="5"/>
  <c r="Q45" i="5"/>
  <c r="U44" i="5"/>
  <c r="R44" i="5"/>
  <c r="Q44" i="5"/>
  <c r="U47" i="5"/>
  <c r="R47" i="5"/>
  <c r="Q47" i="5"/>
  <c r="U48" i="5"/>
  <c r="R48" i="5"/>
  <c r="Q48" i="5"/>
  <c r="U46" i="5"/>
  <c r="R46" i="5"/>
  <c r="Q46" i="5"/>
  <c r="R54" i="43" l="1"/>
  <c r="R53" i="43"/>
  <c r="R52" i="43"/>
  <c r="R51" i="43"/>
  <c r="R46" i="43"/>
  <c r="R45" i="43"/>
  <c r="R44" i="43"/>
  <c r="R43" i="43"/>
  <c r="R42" i="43"/>
  <c r="R41" i="43"/>
  <c r="R40" i="43"/>
  <c r="R39" i="43"/>
  <c r="R38" i="43"/>
  <c r="R34" i="43"/>
  <c r="R33" i="43"/>
  <c r="R32" i="43"/>
  <c r="R31" i="43"/>
  <c r="R30" i="43"/>
  <c r="R29" i="43"/>
  <c r="R28" i="43"/>
  <c r="R27" i="43"/>
  <c r="R26" i="43"/>
  <c r="R24" i="43"/>
  <c r="R23" i="43"/>
  <c r="R22" i="43"/>
  <c r="R21" i="43"/>
  <c r="R20" i="43"/>
  <c r="R19" i="43"/>
  <c r="R18" i="43"/>
  <c r="R17" i="43"/>
  <c r="R16" i="43"/>
  <c r="R15" i="43"/>
  <c r="R14" i="43"/>
  <c r="R13" i="43"/>
  <c r="R12" i="43"/>
  <c r="R11" i="43"/>
  <c r="R10" i="43"/>
  <c r="R9" i="43"/>
  <c r="R8" i="43"/>
  <c r="R7" i="43"/>
  <c r="J25" i="45" l="1"/>
  <c r="I25" i="45"/>
  <c r="J24" i="45"/>
  <c r="J23" i="45"/>
  <c r="I22" i="45"/>
  <c r="K22" i="45" s="1"/>
  <c r="I21" i="45"/>
  <c r="K21" i="45" s="1"/>
  <c r="I20" i="45"/>
  <c r="K20" i="45" s="1"/>
  <c r="I19" i="45"/>
  <c r="K19" i="45" s="1"/>
  <c r="I18" i="45"/>
  <c r="K18" i="45" s="1"/>
  <c r="I17" i="45"/>
  <c r="K17" i="45" s="1"/>
  <c r="I16" i="45"/>
  <c r="K15" i="45"/>
  <c r="K14" i="45"/>
  <c r="K13" i="45"/>
  <c r="K12" i="45"/>
  <c r="K11" i="45"/>
  <c r="K10" i="45"/>
  <c r="K9" i="45"/>
  <c r="K8" i="45"/>
  <c r="K7" i="45"/>
  <c r="K6" i="45"/>
  <c r="K5" i="45"/>
  <c r="K4" i="45"/>
  <c r="K3" i="45"/>
  <c r="K2" i="45"/>
  <c r="I24" i="45" l="1"/>
  <c r="I23" i="45"/>
  <c r="K16" i="45"/>
  <c r="K23" i="45" s="1"/>
  <c r="K25" i="45"/>
  <c r="K24" i="45" l="1"/>
  <c r="K73" i="43"/>
  <c r="U66" i="43"/>
  <c r="X61" i="43"/>
  <c r="T61" i="43"/>
  <c r="X60" i="43"/>
  <c r="T60" i="43"/>
  <c r="X59" i="43"/>
  <c r="T59" i="43"/>
  <c r="Z58" i="43"/>
  <c r="Y58" i="43"/>
  <c r="K58" i="43"/>
  <c r="O58" i="43" s="1"/>
  <c r="Q58" i="43" s="1"/>
  <c r="J58" i="43"/>
  <c r="Z57" i="43"/>
  <c r="Y57" i="43"/>
  <c r="K57" i="43"/>
  <c r="O57" i="43" s="1"/>
  <c r="Q57" i="43" s="1"/>
  <c r="J57" i="43"/>
  <c r="Z56" i="43"/>
  <c r="Y56" i="43"/>
  <c r="K56" i="43"/>
  <c r="O56" i="43" s="1"/>
  <c r="J56" i="43"/>
  <c r="N56" i="43" s="1"/>
  <c r="Z55" i="43"/>
  <c r="Y55" i="43"/>
  <c r="K55" i="43"/>
  <c r="O55" i="43" s="1"/>
  <c r="Q55" i="43" s="1"/>
  <c r="J55" i="43"/>
  <c r="N55" i="43" s="1"/>
  <c r="E55" i="43"/>
  <c r="Z54" i="43"/>
  <c r="Y54" i="43"/>
  <c r="W54" i="43"/>
  <c r="K54" i="43"/>
  <c r="J54" i="43"/>
  <c r="E54" i="43"/>
  <c r="Z53" i="43"/>
  <c r="Y53" i="43"/>
  <c r="W53" i="43"/>
  <c r="J53" i="43"/>
  <c r="F53" i="43"/>
  <c r="E53" i="43"/>
  <c r="Z52" i="43"/>
  <c r="Y52" i="43"/>
  <c r="W52" i="43"/>
  <c r="J52" i="43"/>
  <c r="F52" i="43"/>
  <c r="E52" i="43"/>
  <c r="Z51" i="43"/>
  <c r="Y51" i="43"/>
  <c r="W51" i="43"/>
  <c r="J51" i="43"/>
  <c r="F51" i="43"/>
  <c r="E51" i="43"/>
  <c r="Z50" i="43"/>
  <c r="W50" i="43"/>
  <c r="Y50" i="43"/>
  <c r="K50" i="43"/>
  <c r="J50" i="43"/>
  <c r="Z49" i="43"/>
  <c r="W49" i="43"/>
  <c r="Y49" i="43"/>
  <c r="K49" i="43"/>
  <c r="J49" i="43"/>
  <c r="Z48" i="43"/>
  <c r="W48" i="43"/>
  <c r="K48" i="43"/>
  <c r="J48" i="43"/>
  <c r="Z47" i="43"/>
  <c r="W47" i="43"/>
  <c r="Y47" i="43"/>
  <c r="K47" i="43"/>
  <c r="J47" i="43"/>
  <c r="Z46" i="43"/>
  <c r="W46" i="43"/>
  <c r="K46" i="43"/>
  <c r="J46" i="43"/>
  <c r="Z45" i="43"/>
  <c r="W45" i="43"/>
  <c r="Y45" i="43"/>
  <c r="K45" i="43"/>
  <c r="J45" i="43"/>
  <c r="Z44" i="43"/>
  <c r="W44" i="43"/>
  <c r="K44" i="43"/>
  <c r="J44" i="43"/>
  <c r="F44" i="43"/>
  <c r="E44" i="43"/>
  <c r="Z43" i="43"/>
  <c r="W43" i="43"/>
  <c r="K43" i="43"/>
  <c r="J43" i="43"/>
  <c r="Z42" i="43"/>
  <c r="W42" i="43"/>
  <c r="Y42" i="43"/>
  <c r="K42" i="43"/>
  <c r="J42" i="43"/>
  <c r="Z41" i="43"/>
  <c r="W41" i="43"/>
  <c r="Y41" i="43"/>
  <c r="K41" i="43"/>
  <c r="J41" i="43"/>
  <c r="F41" i="43"/>
  <c r="E41" i="43"/>
  <c r="Z40" i="43"/>
  <c r="W40" i="43"/>
  <c r="Y40" i="43"/>
  <c r="K40" i="43"/>
  <c r="J40" i="43"/>
  <c r="Z39" i="43"/>
  <c r="Y39" i="43"/>
  <c r="W39" i="43"/>
  <c r="J39" i="43"/>
  <c r="L39" i="43" s="1"/>
  <c r="Z38" i="43"/>
  <c r="Y38" i="43"/>
  <c r="W38" i="43"/>
  <c r="J38" i="43"/>
  <c r="L38" i="43" s="1"/>
  <c r="Z37" i="43"/>
  <c r="W37" i="43"/>
  <c r="Y37" i="43"/>
  <c r="K37" i="43"/>
  <c r="M37" i="43" s="1"/>
  <c r="J37" i="43"/>
  <c r="L37" i="43" s="1"/>
  <c r="Z36" i="43"/>
  <c r="W36" i="43"/>
  <c r="Y36" i="43"/>
  <c r="K36" i="43"/>
  <c r="M36" i="43" s="1"/>
  <c r="J36" i="43"/>
  <c r="L36" i="43" s="1"/>
  <c r="Z35" i="43"/>
  <c r="W35" i="43"/>
  <c r="K35" i="43"/>
  <c r="J35" i="43"/>
  <c r="L35" i="43" s="1"/>
  <c r="Z34" i="43"/>
  <c r="W34" i="43"/>
  <c r="Y34" i="43"/>
  <c r="K34" i="43"/>
  <c r="J34" i="43"/>
  <c r="Z33" i="43"/>
  <c r="Y33" i="43"/>
  <c r="K33" i="43"/>
  <c r="J33" i="43"/>
  <c r="Z32" i="43"/>
  <c r="W32" i="43"/>
  <c r="Y32" i="43"/>
  <c r="K32" i="43"/>
  <c r="J32" i="43"/>
  <c r="Z31" i="43"/>
  <c r="W31" i="43"/>
  <c r="Y31" i="43"/>
  <c r="K31" i="43"/>
  <c r="M31" i="43" s="1"/>
  <c r="J31" i="43"/>
  <c r="Z30" i="43"/>
  <c r="W30" i="43"/>
  <c r="K30" i="43"/>
  <c r="J30" i="43"/>
  <c r="Z29" i="43"/>
  <c r="W29" i="43"/>
  <c r="Y29" i="43"/>
  <c r="K29" i="43"/>
  <c r="J29" i="43"/>
  <c r="Z28" i="43"/>
  <c r="W28" i="43"/>
  <c r="K28" i="43"/>
  <c r="J28" i="43"/>
  <c r="Z27" i="43"/>
  <c r="Y27" i="43"/>
  <c r="W27" i="43"/>
  <c r="J27" i="43"/>
  <c r="F27" i="43"/>
  <c r="E27" i="43"/>
  <c r="Z26" i="43"/>
  <c r="Y26" i="43"/>
  <c r="W26" i="43"/>
  <c r="J26" i="43"/>
  <c r="F26" i="43"/>
  <c r="E26" i="43"/>
  <c r="Z25" i="43"/>
  <c r="Y25" i="43"/>
  <c r="W25" i="43"/>
  <c r="J25" i="43"/>
  <c r="F25" i="43"/>
  <c r="E25" i="43"/>
  <c r="Z24" i="43"/>
  <c r="Y24" i="43"/>
  <c r="W24" i="43"/>
  <c r="J24" i="43"/>
  <c r="F24" i="43"/>
  <c r="E24" i="43"/>
  <c r="Z23" i="43"/>
  <c r="W23" i="43"/>
  <c r="Y23" i="43"/>
  <c r="K23" i="43"/>
  <c r="J23" i="43"/>
  <c r="Z22" i="43"/>
  <c r="W22" i="43"/>
  <c r="Y22" i="43"/>
  <c r="K22" i="43"/>
  <c r="J22" i="43"/>
  <c r="Z21" i="43"/>
  <c r="W21" i="43"/>
  <c r="Y21" i="43"/>
  <c r="K21" i="43"/>
  <c r="J21" i="43"/>
  <c r="Z20" i="43"/>
  <c r="W20" i="43"/>
  <c r="Y20" i="43"/>
  <c r="K20" i="43"/>
  <c r="J20" i="43"/>
  <c r="Z19" i="43"/>
  <c r="W19" i="43"/>
  <c r="Y19" i="43"/>
  <c r="K19" i="43"/>
  <c r="J19" i="43"/>
  <c r="Z18" i="43"/>
  <c r="W18" i="43"/>
  <c r="Y18" i="43"/>
  <c r="K18" i="43"/>
  <c r="J18" i="43"/>
  <c r="Z17" i="43"/>
  <c r="Y17" i="43"/>
  <c r="K17" i="43"/>
  <c r="J17" i="43"/>
  <c r="Z16" i="43"/>
  <c r="W16" i="43"/>
  <c r="Y16" i="43"/>
  <c r="K16" i="43"/>
  <c r="J16" i="43"/>
  <c r="Z15" i="43"/>
  <c r="W15" i="43"/>
  <c r="Y15" i="43"/>
  <c r="K15" i="43"/>
  <c r="J15" i="43"/>
  <c r="Z14" i="43"/>
  <c r="W14" i="43"/>
  <c r="Y14" i="43"/>
  <c r="K14" i="43"/>
  <c r="J14" i="43"/>
  <c r="Z13" i="43"/>
  <c r="W13" i="43"/>
  <c r="Y13" i="43"/>
  <c r="K13" i="43"/>
  <c r="J13" i="43"/>
  <c r="Z12" i="43"/>
  <c r="W12" i="43"/>
  <c r="Y12" i="43"/>
  <c r="K12" i="43"/>
  <c r="J12" i="43"/>
  <c r="Z11" i="43"/>
  <c r="W11" i="43"/>
  <c r="Y11" i="43"/>
  <c r="K11" i="43"/>
  <c r="J11" i="43"/>
  <c r="Z10" i="43"/>
  <c r="W10" i="43"/>
  <c r="Y10" i="43"/>
  <c r="K10" i="43"/>
  <c r="J10" i="43"/>
  <c r="Z9" i="43"/>
  <c r="W9" i="43"/>
  <c r="Y9" i="43"/>
  <c r="K9" i="43"/>
  <c r="J9" i="43"/>
  <c r="F9" i="43"/>
  <c r="E9" i="43"/>
  <c r="Z8" i="43"/>
  <c r="W8" i="43"/>
  <c r="Y8" i="43"/>
  <c r="K8" i="43"/>
  <c r="J8" i="43"/>
  <c r="F8" i="43"/>
  <c r="E8" i="43"/>
  <c r="Z7" i="43"/>
  <c r="W7" i="43"/>
  <c r="Y7" i="43"/>
  <c r="K7" i="43"/>
  <c r="J7" i="43"/>
  <c r="Z6" i="43"/>
  <c r="W6" i="43"/>
  <c r="Y6" i="43"/>
  <c r="K6" i="43"/>
  <c r="J6" i="43"/>
  <c r="Z5" i="43"/>
  <c r="W5" i="43"/>
  <c r="Y5" i="43"/>
  <c r="K5" i="43"/>
  <c r="J5" i="43"/>
  <c r="Z4" i="43"/>
  <c r="W4" i="43"/>
  <c r="Y4" i="43"/>
  <c r="K4" i="43"/>
  <c r="J4" i="43"/>
  <c r="Z3" i="43"/>
  <c r="W3" i="43"/>
  <c r="Y3" i="43"/>
  <c r="K3" i="43"/>
  <c r="J3" i="43"/>
  <c r="J1" i="43"/>
  <c r="K26" i="43" l="1"/>
  <c r="K24" i="43"/>
  <c r="N30" i="43"/>
  <c r="S30" i="43" s="1"/>
  <c r="N29" i="43"/>
  <c r="S29" i="43" s="1"/>
  <c r="N34" i="43"/>
  <c r="S34" i="43" s="1"/>
  <c r="N33" i="43"/>
  <c r="S33" i="43" s="1"/>
  <c r="N32" i="43"/>
  <c r="S32" i="43" s="1"/>
  <c r="L51" i="43"/>
  <c r="M58" i="43"/>
  <c r="X62" i="43"/>
  <c r="N37" i="43"/>
  <c r="S37" i="43" s="1"/>
  <c r="N28" i="43"/>
  <c r="S28" i="43" s="1"/>
  <c r="L24" i="43"/>
  <c r="P55" i="43"/>
  <c r="N38" i="43"/>
  <c r="N36" i="43"/>
  <c r="S36" i="43" s="1"/>
  <c r="N31" i="43"/>
  <c r="S31" i="43" s="1"/>
  <c r="N35" i="43"/>
  <c r="N39" i="43"/>
  <c r="S39" i="43" s="1"/>
  <c r="N43" i="43"/>
  <c r="S43" i="43" s="1"/>
  <c r="L44" i="43"/>
  <c r="M44" i="43"/>
  <c r="L52" i="43"/>
  <c r="M57" i="43"/>
  <c r="L9" i="43"/>
  <c r="L26" i="43"/>
  <c r="N42" i="43"/>
  <c r="S42" i="43" s="1"/>
  <c r="M41" i="43"/>
  <c r="J61" i="43"/>
  <c r="L53" i="43"/>
  <c r="M55" i="43"/>
  <c r="N58" i="43"/>
  <c r="T62" i="43"/>
  <c r="L41" i="43"/>
  <c r="L8" i="43"/>
  <c r="L54" i="43"/>
  <c r="N9" i="43"/>
  <c r="N13" i="43"/>
  <c r="S13" i="43" s="1"/>
  <c r="N24" i="43"/>
  <c r="S24" i="43" s="1"/>
  <c r="J60" i="43"/>
  <c r="L27" i="43"/>
  <c r="N27" i="43"/>
  <c r="S27" i="43" s="1"/>
  <c r="M30" i="43"/>
  <c r="N5" i="43"/>
  <c r="S5" i="43" s="1"/>
  <c r="N10" i="43"/>
  <c r="S10" i="43" s="1"/>
  <c r="N14" i="43"/>
  <c r="S14" i="43" s="1"/>
  <c r="N21" i="43"/>
  <c r="S21" i="43" s="1"/>
  <c r="N22" i="43"/>
  <c r="S22" i="43" s="1"/>
  <c r="K53" i="43"/>
  <c r="L25" i="43"/>
  <c r="N25" i="43"/>
  <c r="S25" i="43" s="1"/>
  <c r="Q56" i="43"/>
  <c r="N12" i="43"/>
  <c r="S12" i="43" s="1"/>
  <c r="AB15" i="43"/>
  <c r="N3" i="43"/>
  <c r="S3" i="43" s="1"/>
  <c r="N4" i="43"/>
  <c r="S4" i="43" s="1"/>
  <c r="N6" i="43"/>
  <c r="S6" i="43" s="1"/>
  <c r="N8" i="43"/>
  <c r="N11" i="43"/>
  <c r="S11" i="43" s="1"/>
  <c r="N15" i="43"/>
  <c r="S15" i="43" s="1"/>
  <c r="N20" i="43"/>
  <c r="S20" i="43" s="1"/>
  <c r="N23" i="43"/>
  <c r="S23" i="43" s="1"/>
  <c r="Y30" i="43"/>
  <c r="Y46" i="43"/>
  <c r="N46" i="43"/>
  <c r="S46" i="43" s="1"/>
  <c r="N48" i="43"/>
  <c r="S48" i="43" s="1"/>
  <c r="L55" i="43"/>
  <c r="J59" i="43"/>
  <c r="N7" i="43"/>
  <c r="S7" i="43" s="1"/>
  <c r="M8" i="43"/>
  <c r="M9" i="43"/>
  <c r="N16" i="43"/>
  <c r="S16" i="43" s="1"/>
  <c r="N17" i="43"/>
  <c r="S17" i="43" s="1"/>
  <c r="N18" i="43"/>
  <c r="S18" i="43" s="1"/>
  <c r="N19" i="43"/>
  <c r="S19" i="43" s="1"/>
  <c r="K52" i="43"/>
  <c r="K39" i="43"/>
  <c r="K38" i="43"/>
  <c r="K25" i="43"/>
  <c r="N26" i="43"/>
  <c r="S26" i="43" s="1"/>
  <c r="K27" i="43"/>
  <c r="N53" i="43"/>
  <c r="N51" i="43"/>
  <c r="Y43" i="43"/>
  <c r="N41" i="43"/>
  <c r="N40" i="43"/>
  <c r="S40" i="43" s="1"/>
  <c r="N52" i="43"/>
  <c r="N50" i="43"/>
  <c r="S50" i="43" s="1"/>
  <c r="N49" i="43"/>
  <c r="S49" i="43" s="1"/>
  <c r="N47" i="43"/>
  <c r="S47" i="43" s="1"/>
  <c r="N45" i="43"/>
  <c r="S45" i="43" s="1"/>
  <c r="Y48" i="43"/>
  <c r="N54" i="43"/>
  <c r="N57" i="43"/>
  <c r="Y28" i="43"/>
  <c r="M35" i="43"/>
  <c r="Y44" i="43"/>
  <c r="N44" i="43"/>
  <c r="M56" i="43"/>
  <c r="K51" i="43"/>
  <c r="Y35" i="43"/>
  <c r="P37" i="43" l="1"/>
  <c r="O27" i="43"/>
  <c r="O25" i="43"/>
  <c r="O26" i="43"/>
  <c r="P39" i="43"/>
  <c r="P36" i="43"/>
  <c r="P41" i="43"/>
  <c r="S41" i="43"/>
  <c r="P52" i="43"/>
  <c r="S52" i="43"/>
  <c r="P54" i="43"/>
  <c r="S54" i="43"/>
  <c r="P35" i="43"/>
  <c r="S35" i="43"/>
  <c r="P44" i="43"/>
  <c r="S44" i="43"/>
  <c r="P51" i="43"/>
  <c r="S51" i="43"/>
  <c r="P53" i="43"/>
  <c r="S53" i="43"/>
  <c r="P38" i="43"/>
  <c r="S38" i="43"/>
  <c r="P27" i="43"/>
  <c r="P26" i="43"/>
  <c r="P25" i="43"/>
  <c r="P24" i="43"/>
  <c r="P9" i="43"/>
  <c r="S9" i="43"/>
  <c r="P8" i="43"/>
  <c r="S8" i="43"/>
  <c r="O30" i="43"/>
  <c r="AA30" i="43" s="1"/>
  <c r="O39" i="43"/>
  <c r="O36" i="43"/>
  <c r="Q36" i="43" s="1"/>
  <c r="O28" i="43"/>
  <c r="O32" i="43"/>
  <c r="O37" i="43"/>
  <c r="AA37" i="43" s="1"/>
  <c r="O29" i="43"/>
  <c r="AA29" i="43" s="1"/>
  <c r="O35" i="43"/>
  <c r="Q35" i="43" s="1"/>
  <c r="O38" i="43"/>
  <c r="O31" i="43"/>
  <c r="Q31" i="43" s="1"/>
  <c r="O34" i="43"/>
  <c r="O33" i="43"/>
  <c r="O47" i="43"/>
  <c r="AA47" i="43" s="1"/>
  <c r="O15" i="43"/>
  <c r="O40" i="43"/>
  <c r="J62" i="43"/>
  <c r="V8" i="43"/>
  <c r="V14" i="43"/>
  <c r="V12" i="43"/>
  <c r="V5" i="43"/>
  <c r="V17" i="43"/>
  <c r="O46" i="43"/>
  <c r="O4" i="43"/>
  <c r="V50" i="43"/>
  <c r="V37" i="43"/>
  <c r="O17" i="43"/>
  <c r="O45" i="43"/>
  <c r="O50" i="43"/>
  <c r="V41" i="43"/>
  <c r="V33" i="43"/>
  <c r="N60" i="43"/>
  <c r="V23" i="43"/>
  <c r="V39" i="43"/>
  <c r="M39" i="43"/>
  <c r="V16" i="43"/>
  <c r="O6" i="43"/>
  <c r="V58" i="43"/>
  <c r="V15" i="43"/>
  <c r="V3" i="43"/>
  <c r="V22" i="43"/>
  <c r="O18" i="43"/>
  <c r="V10" i="43"/>
  <c r="V30" i="43"/>
  <c r="O16" i="43"/>
  <c r="M26" i="43"/>
  <c r="V26" i="43"/>
  <c r="V44" i="43"/>
  <c r="O19" i="43"/>
  <c r="O48" i="43"/>
  <c r="O54" i="43"/>
  <c r="V42" i="43"/>
  <c r="V25" i="43"/>
  <c r="M25" i="43"/>
  <c r="O24" i="43"/>
  <c r="M24" i="43"/>
  <c r="V24" i="43"/>
  <c r="V13" i="43"/>
  <c r="V19" i="43"/>
  <c r="V4" i="43"/>
  <c r="V34" i="43"/>
  <c r="O12" i="43"/>
  <c r="V48" i="43"/>
  <c r="V56" i="43"/>
  <c r="O41" i="43"/>
  <c r="O20" i="43"/>
  <c r="O9" i="43"/>
  <c r="O7" i="43"/>
  <c r="V49" i="43"/>
  <c r="V54" i="43"/>
  <c r="V46" i="43"/>
  <c r="O44" i="43"/>
  <c r="V36" i="43"/>
  <c r="V47" i="43"/>
  <c r="N61" i="43"/>
  <c r="V27" i="43"/>
  <c r="M27" i="43"/>
  <c r="K60" i="43"/>
  <c r="O23" i="43"/>
  <c r="V52" i="43"/>
  <c r="O52" i="43"/>
  <c r="M52" i="43"/>
  <c r="V18" i="43"/>
  <c r="V57" i="43"/>
  <c r="O10" i="43"/>
  <c r="O5" i="43"/>
  <c r="O11" i="43"/>
  <c r="V28" i="43"/>
  <c r="V29" i="43"/>
  <c r="O21" i="43"/>
  <c r="V51" i="43"/>
  <c r="M51" i="43"/>
  <c r="O51" i="43"/>
  <c r="V7" i="43"/>
  <c r="V45" i="43"/>
  <c r="V35" i="43"/>
  <c r="O43" i="43"/>
  <c r="V31" i="43"/>
  <c r="O14" i="43"/>
  <c r="O8" i="43"/>
  <c r="V43" i="43"/>
  <c r="V55" i="43"/>
  <c r="K59" i="43"/>
  <c r="V11" i="43"/>
  <c r="O42" i="43"/>
  <c r="O49" i="43"/>
  <c r="V40" i="43"/>
  <c r="V32" i="43"/>
  <c r="M38" i="43"/>
  <c r="K61" i="43"/>
  <c r="V38" i="43"/>
  <c r="N59" i="43"/>
  <c r="O22" i="43"/>
  <c r="V21" i="43"/>
  <c r="V6" i="43"/>
  <c r="M53" i="43"/>
  <c r="V53" i="43"/>
  <c r="O53" i="43"/>
  <c r="O13" i="43"/>
  <c r="V9" i="43"/>
  <c r="V20" i="43"/>
  <c r="O3" i="43"/>
  <c r="L2" i="45" l="1"/>
  <c r="AA36" i="43"/>
  <c r="L18" i="45"/>
  <c r="M18" i="45" s="1"/>
  <c r="L11" i="45"/>
  <c r="M11" i="45" s="1"/>
  <c r="L13" i="45"/>
  <c r="M13" i="45" s="1"/>
  <c r="L22" i="45"/>
  <c r="M22" i="45" s="1"/>
  <c r="L15" i="45"/>
  <c r="L16" i="45"/>
  <c r="M16" i="45" s="1"/>
  <c r="L12" i="45"/>
  <c r="M12" i="45" s="1"/>
  <c r="L17" i="45"/>
  <c r="M17" i="45" s="1"/>
  <c r="L10" i="45"/>
  <c r="M10" i="45" s="1"/>
  <c r="L3" i="45"/>
  <c r="M3" i="45" s="1"/>
  <c r="L19" i="45"/>
  <c r="M19" i="45" s="1"/>
  <c r="L20" i="45"/>
  <c r="M20" i="45" s="1"/>
  <c r="L5" i="45"/>
  <c r="M5" i="45" s="1"/>
  <c r="L21" i="45"/>
  <c r="M21" i="45" s="1"/>
  <c r="L8" i="45"/>
  <c r="M8" i="45" s="1"/>
  <c r="L4" i="45"/>
  <c r="M4" i="45" s="1"/>
  <c r="L6" i="45"/>
  <c r="M6" i="45" s="1"/>
  <c r="L14" i="45"/>
  <c r="M14" i="45" s="1"/>
  <c r="L7" i="45"/>
  <c r="M7" i="45" s="1"/>
  <c r="L9" i="45"/>
  <c r="M9" i="45" s="1"/>
  <c r="Q30" i="43"/>
  <c r="AA32" i="43"/>
  <c r="Q37" i="43"/>
  <c r="AA31" i="43"/>
  <c r="AA15" i="43"/>
  <c r="AA35" i="43"/>
  <c r="AA33" i="43"/>
  <c r="AA28" i="43"/>
  <c r="O60" i="43"/>
  <c r="N62" i="43"/>
  <c r="AA42" i="43"/>
  <c r="AA21" i="43"/>
  <c r="AA5" i="43"/>
  <c r="AA23" i="43"/>
  <c r="AA20" i="43"/>
  <c r="AA12" i="43"/>
  <c r="AA16" i="43"/>
  <c r="AA34" i="43"/>
  <c r="AA8" i="43"/>
  <c r="Q8" i="43"/>
  <c r="AA43" i="43"/>
  <c r="AA51" i="43"/>
  <c r="Q51" i="43"/>
  <c r="AA10" i="43"/>
  <c r="AA27" i="43"/>
  <c r="Q27" i="43"/>
  <c r="Q41" i="43"/>
  <c r="AA41" i="43"/>
  <c r="AA54" i="43"/>
  <c r="Q26" i="43"/>
  <c r="AA26" i="43"/>
  <c r="AA50" i="43"/>
  <c r="AA22" i="43"/>
  <c r="K62" i="43"/>
  <c r="AA14" i="43"/>
  <c r="AA52" i="43"/>
  <c r="Q52" i="43"/>
  <c r="AA44" i="43"/>
  <c r="Q44" i="43"/>
  <c r="O59" i="43"/>
  <c r="AA7" i="43"/>
  <c r="Q24" i="43"/>
  <c r="AA24" i="43"/>
  <c r="AA48" i="43"/>
  <c r="AA6" i="43"/>
  <c r="AA39" i="43"/>
  <c r="Q39" i="43"/>
  <c r="AA45" i="43"/>
  <c r="AA4" i="43"/>
  <c r="AA13" i="43"/>
  <c r="Q38" i="43"/>
  <c r="AA38" i="43"/>
  <c r="AA3" i="43"/>
  <c r="Q53" i="43"/>
  <c r="AA53" i="43"/>
  <c r="AA49" i="43"/>
  <c r="AA11" i="43"/>
  <c r="AA9" i="43"/>
  <c r="Q9" i="43"/>
  <c r="AA25" i="43"/>
  <c r="Q25" i="43"/>
  <c r="AA19" i="43"/>
  <c r="AA18" i="43"/>
  <c r="AA17" i="43"/>
  <c r="AA46" i="43"/>
  <c r="AA40" i="43"/>
  <c r="O61" i="43"/>
  <c r="M15" i="45" l="1"/>
  <c r="L24" i="45"/>
  <c r="M24" i="45" s="1"/>
  <c r="L25" i="45"/>
  <c r="M25" i="45" s="1"/>
  <c r="M2" i="45"/>
  <c r="L23" i="45"/>
  <c r="M23" i="45" s="1"/>
  <c r="O62" i="43"/>
  <c r="H24" i="31" l="1"/>
  <c r="A37" i="5" l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32" i="5"/>
  <c r="A34" i="5" s="1"/>
  <c r="A24" i="5"/>
  <c r="A25" i="5" s="1"/>
  <c r="A26" i="5" s="1"/>
  <c r="A20" i="5"/>
  <c r="A21" i="5" s="1"/>
  <c r="A4" i="5"/>
  <c r="A5" i="5" l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D39" i="18"/>
  <c r="AD38" i="18"/>
  <c r="AD37" i="18"/>
  <c r="AD36" i="18"/>
  <c r="AD35" i="18"/>
  <c r="AD34" i="18"/>
  <c r="AD33" i="18"/>
  <c r="AD32" i="18"/>
  <c r="AD31" i="18"/>
  <c r="AD30" i="18"/>
  <c r="AD29" i="18"/>
  <c r="AD28" i="18"/>
  <c r="AD27" i="18"/>
  <c r="AD26" i="18"/>
  <c r="AD25" i="18"/>
  <c r="AD24" i="18"/>
  <c r="AD23" i="18"/>
  <c r="AD22" i="18"/>
  <c r="AD21" i="18"/>
  <c r="AD20" i="18"/>
  <c r="AD19" i="18"/>
  <c r="AD18" i="18"/>
  <c r="AD17" i="18"/>
  <c r="AD16" i="18"/>
  <c r="AD15" i="18"/>
  <c r="AD14" i="18"/>
  <c r="AD13" i="18"/>
  <c r="AD12" i="18"/>
  <c r="AD11" i="18"/>
  <c r="AD10" i="18"/>
  <c r="AD9" i="18"/>
  <c r="AD8" i="18"/>
  <c r="AD7" i="18"/>
  <c r="AD6" i="18"/>
  <c r="AD5" i="18"/>
  <c r="AD4" i="18"/>
  <c r="AD3" i="18"/>
  <c r="E13" i="6" l="1"/>
  <c r="N63" i="31"/>
  <c r="U82" i="31" s="1"/>
  <c r="AM63" i="31"/>
  <c r="Q29" i="5"/>
  <c r="Q30" i="5"/>
  <c r="Q31" i="5"/>
  <c r="Q28" i="5"/>
  <c r="O63" i="31" l="1"/>
  <c r="G24" i="43"/>
  <c r="G27" i="43"/>
  <c r="G25" i="43"/>
  <c r="G26" i="43"/>
  <c r="G50" i="6"/>
  <c r="R8" i="5" l="1"/>
  <c r="Q8" i="5"/>
  <c r="Q22" i="5"/>
  <c r="Q23" i="5"/>
  <c r="R22" i="5"/>
  <c r="R21" i="5"/>
  <c r="R20" i="5"/>
  <c r="R19" i="5"/>
  <c r="R18" i="5"/>
  <c r="R17" i="5"/>
  <c r="R16" i="5"/>
  <c r="R23" i="5"/>
  <c r="Q50" i="5"/>
  <c r="Q49" i="5"/>
  <c r="G23" i="43" l="1"/>
  <c r="G38" i="43"/>
  <c r="G22" i="43"/>
  <c r="G39" i="43"/>
  <c r="O41" i="31" l="1"/>
  <c r="O42" i="31"/>
  <c r="O43" i="31"/>
  <c r="O26" i="31"/>
  <c r="O31" i="31"/>
  <c r="O24" i="31"/>
  <c r="O25" i="31"/>
  <c r="U59" i="5"/>
  <c r="R61" i="5"/>
  <c r="R60" i="5"/>
  <c r="R59" i="5"/>
  <c r="Q61" i="5"/>
  <c r="I62" i="31" s="1"/>
  <c r="Q60" i="5"/>
  <c r="U61" i="5"/>
  <c r="U60" i="5"/>
  <c r="R58" i="5"/>
  <c r="Q58" i="5"/>
  <c r="O58" i="5"/>
  <c r="AM61" i="31"/>
  <c r="G61" i="31"/>
  <c r="O61" i="31" s="1"/>
  <c r="AM60" i="31"/>
  <c r="AJ60" i="31"/>
  <c r="G60" i="31"/>
  <c r="AM62" i="31"/>
  <c r="H62" i="31"/>
  <c r="G62" i="31"/>
  <c r="O62" i="31" s="1"/>
  <c r="F60" i="31" l="1"/>
  <c r="O60" i="31"/>
  <c r="E60" i="31"/>
  <c r="G52" i="43"/>
  <c r="G53" i="43"/>
  <c r="F54" i="43"/>
  <c r="Q54" i="43" s="1"/>
  <c r="I63" i="31"/>
  <c r="G54" i="43"/>
  <c r="H60" i="31"/>
  <c r="H63" i="31"/>
  <c r="P63" i="31" s="1"/>
  <c r="AA60" i="31" l="1"/>
  <c r="AA67" i="31" s="1"/>
  <c r="M54" i="43"/>
  <c r="O56" i="6"/>
  <c r="N56" i="6"/>
  <c r="M56" i="6"/>
  <c r="L56" i="6"/>
  <c r="G58" i="6"/>
  <c r="G61" i="6" s="1"/>
  <c r="O57" i="6"/>
  <c r="N57" i="6"/>
  <c r="M57" i="6"/>
  <c r="L57" i="6"/>
  <c r="O55" i="6"/>
  <c r="N55" i="6"/>
  <c r="M55" i="6"/>
  <c r="L55" i="6"/>
  <c r="O51" i="6"/>
  <c r="N51" i="6"/>
  <c r="M51" i="6"/>
  <c r="L51" i="6"/>
  <c r="F51" i="6"/>
  <c r="AA18" i="6"/>
  <c r="O18" i="6"/>
  <c r="N18" i="6"/>
  <c r="M18" i="6"/>
  <c r="L18" i="6"/>
  <c r="F18" i="6"/>
  <c r="AA17" i="6"/>
  <c r="O17" i="6"/>
  <c r="N17" i="6"/>
  <c r="M17" i="6"/>
  <c r="L17" i="6"/>
  <c r="F17" i="6"/>
  <c r="AA16" i="6"/>
  <c r="O16" i="6"/>
  <c r="N16" i="6"/>
  <c r="M16" i="6"/>
  <c r="L16" i="6"/>
  <c r="F16" i="6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23" i="5"/>
  <c r="I24" i="5"/>
  <c r="I25" i="5"/>
  <c r="I26" i="5"/>
  <c r="I32" i="5"/>
  <c r="I33" i="5"/>
  <c r="I34" i="5"/>
  <c r="I35" i="5"/>
  <c r="I36" i="5"/>
  <c r="I37" i="5"/>
  <c r="I38" i="5"/>
  <c r="I39" i="5"/>
  <c r="I40" i="5"/>
  <c r="I41" i="5"/>
  <c r="I42" i="5"/>
  <c r="S18" i="6" l="1"/>
  <c r="S17" i="6"/>
  <c r="S51" i="6"/>
  <c r="S52" i="6"/>
  <c r="S54" i="6"/>
  <c r="S53" i="6"/>
  <c r="S55" i="6"/>
  <c r="S57" i="6"/>
  <c r="S16" i="6"/>
  <c r="S19" i="6"/>
  <c r="S20" i="6"/>
  <c r="S56" i="6"/>
  <c r="F21" i="6"/>
  <c r="O21" i="6"/>
  <c r="L21" i="6"/>
  <c r="M21" i="6"/>
  <c r="N21" i="6"/>
  <c r="P55" i="6"/>
  <c r="P56" i="6"/>
  <c r="P51" i="6"/>
  <c r="P57" i="6"/>
  <c r="O58" i="6"/>
  <c r="N58" i="6"/>
  <c r="L58" i="6"/>
  <c r="M58" i="6"/>
  <c r="P58" i="6" s="1"/>
  <c r="P16" i="6"/>
  <c r="P17" i="6"/>
  <c r="P18" i="6"/>
  <c r="T56" i="6" l="1"/>
  <c r="T57" i="6"/>
  <c r="T55" i="6"/>
  <c r="T52" i="6"/>
  <c r="T54" i="6"/>
  <c r="T53" i="6"/>
  <c r="Q59" i="5"/>
  <c r="Q40" i="5"/>
  <c r="H25" i="31"/>
  <c r="H26" i="31"/>
  <c r="T51" i="6" l="1"/>
  <c r="S58" i="6"/>
  <c r="G34" i="43"/>
  <c r="G51" i="43"/>
  <c r="I61" i="31"/>
  <c r="I60" i="31"/>
  <c r="Q4" i="5"/>
  <c r="Q5" i="5"/>
  <c r="Q6" i="5"/>
  <c r="Q7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I24" i="31"/>
  <c r="I25" i="31"/>
  <c r="I26" i="31"/>
  <c r="Q32" i="5"/>
  <c r="Q33" i="5"/>
  <c r="Q34" i="5"/>
  <c r="Q35" i="5"/>
  <c r="Q36" i="5"/>
  <c r="Q37" i="5"/>
  <c r="Q38" i="5"/>
  <c r="Q39" i="5"/>
  <c r="Q41" i="5"/>
  <c r="Q42" i="5"/>
  <c r="Q43" i="5"/>
  <c r="I42" i="31"/>
  <c r="I43" i="31"/>
  <c r="Q51" i="5"/>
  <c r="Q52" i="5"/>
  <c r="Q53" i="5"/>
  <c r="Q54" i="5"/>
  <c r="Q55" i="5"/>
  <c r="Q56" i="5"/>
  <c r="Q57" i="5"/>
  <c r="Q65" i="5"/>
  <c r="Q66" i="5"/>
  <c r="Q67" i="5"/>
  <c r="Q68" i="5"/>
  <c r="Q69" i="5"/>
  <c r="Q70" i="5"/>
  <c r="Q71" i="5"/>
  <c r="Q72" i="5"/>
  <c r="Q3" i="5"/>
  <c r="R4" i="5"/>
  <c r="R5" i="5"/>
  <c r="R6" i="5"/>
  <c r="R7" i="5"/>
  <c r="R9" i="5"/>
  <c r="R10" i="5"/>
  <c r="R11" i="5"/>
  <c r="R12" i="5"/>
  <c r="R13" i="5"/>
  <c r="R14" i="5"/>
  <c r="R15" i="5"/>
  <c r="R28" i="5"/>
  <c r="R29" i="5"/>
  <c r="R30" i="5"/>
  <c r="R31" i="5"/>
  <c r="R32" i="5"/>
  <c r="R33" i="5"/>
  <c r="R34" i="5"/>
  <c r="R35" i="5"/>
  <c r="R36" i="5"/>
  <c r="R37" i="5"/>
  <c r="R38" i="5"/>
  <c r="R39" i="5"/>
  <c r="R40" i="5"/>
  <c r="R41" i="5"/>
  <c r="R42" i="5"/>
  <c r="R43" i="5"/>
  <c r="R49" i="5"/>
  <c r="R50" i="5"/>
  <c r="R51" i="5"/>
  <c r="R52" i="5"/>
  <c r="R53" i="5"/>
  <c r="R54" i="5"/>
  <c r="R55" i="5"/>
  <c r="R56" i="5"/>
  <c r="R57" i="5"/>
  <c r="R65" i="5"/>
  <c r="R66" i="5"/>
  <c r="R67" i="5"/>
  <c r="R68" i="5"/>
  <c r="R69" i="5"/>
  <c r="R70" i="5"/>
  <c r="R71" i="5"/>
  <c r="R72" i="5"/>
  <c r="R3" i="5"/>
  <c r="O72" i="5"/>
  <c r="O71" i="5"/>
  <c r="O70" i="5"/>
  <c r="O68" i="5"/>
  <c r="O67" i="5"/>
  <c r="O66" i="5"/>
  <c r="O65" i="5"/>
  <c r="H61" i="31"/>
  <c r="O57" i="5"/>
  <c r="O56" i="5"/>
  <c r="O55" i="5"/>
  <c r="O54" i="5"/>
  <c r="O51" i="5"/>
  <c r="O43" i="5"/>
  <c r="O42" i="5"/>
  <c r="O41" i="5"/>
  <c r="O40" i="5"/>
  <c r="O39" i="5"/>
  <c r="O38" i="5"/>
  <c r="O37" i="5"/>
  <c r="O36" i="5"/>
  <c r="O35" i="5"/>
  <c r="O34" i="5"/>
  <c r="O33" i="5"/>
  <c r="O32" i="5"/>
  <c r="O23" i="5"/>
  <c r="O22" i="5"/>
  <c r="O21" i="5"/>
  <c r="O20" i="5"/>
  <c r="O19" i="5"/>
  <c r="O18" i="5"/>
  <c r="O17" i="5"/>
  <c r="O16" i="5"/>
  <c r="O15" i="5"/>
  <c r="O14" i="5"/>
  <c r="O13" i="5"/>
  <c r="O12" i="5"/>
  <c r="O11" i="5"/>
  <c r="O10" i="5"/>
  <c r="O7" i="5"/>
  <c r="O6" i="5"/>
  <c r="O5" i="5"/>
  <c r="O4" i="5"/>
  <c r="T19" i="6" l="1"/>
  <c r="T20" i="6"/>
  <c r="F4" i="43"/>
  <c r="M4" i="43" s="1"/>
  <c r="F11" i="43"/>
  <c r="M11" i="43" s="1"/>
  <c r="F28" i="43"/>
  <c r="Q28" i="43" s="1"/>
  <c r="F43" i="43"/>
  <c r="M43" i="43" s="1"/>
  <c r="G30" i="43"/>
  <c r="G11" i="43"/>
  <c r="G5" i="43"/>
  <c r="F13" i="43"/>
  <c r="M13" i="43" s="1"/>
  <c r="F23" i="43"/>
  <c r="M23" i="43" s="1"/>
  <c r="F33" i="43"/>
  <c r="M33" i="43" s="1"/>
  <c r="G58" i="43"/>
  <c r="G46" i="43"/>
  <c r="G29" i="43"/>
  <c r="G20" i="43"/>
  <c r="G15" i="43"/>
  <c r="G4" i="43"/>
  <c r="F14" i="43"/>
  <c r="M14" i="43" s="1"/>
  <c r="F19" i="43"/>
  <c r="Q19" i="43" s="1"/>
  <c r="F40" i="43"/>
  <c r="M40" i="43" s="1"/>
  <c r="F46" i="43"/>
  <c r="Q46" i="43" s="1"/>
  <c r="G57" i="43"/>
  <c r="G45" i="43"/>
  <c r="G41" i="43"/>
  <c r="G37" i="43"/>
  <c r="G32" i="43"/>
  <c r="G28" i="43"/>
  <c r="G19" i="43"/>
  <c r="G16" i="43"/>
  <c r="G14" i="43"/>
  <c r="G7" i="43"/>
  <c r="F10" i="43"/>
  <c r="Q10" i="43" s="1"/>
  <c r="F21" i="43"/>
  <c r="M21" i="43" s="1"/>
  <c r="F22" i="43"/>
  <c r="M22" i="43" s="1"/>
  <c r="F32" i="43"/>
  <c r="M32" i="43" s="1"/>
  <c r="G3" i="43"/>
  <c r="G55" i="43"/>
  <c r="G42" i="43"/>
  <c r="G35" i="43"/>
  <c r="G21" i="43"/>
  <c r="G10" i="43"/>
  <c r="F5" i="43"/>
  <c r="M5" i="43" s="1"/>
  <c r="F12" i="43"/>
  <c r="M12" i="43" s="1"/>
  <c r="F17" i="43"/>
  <c r="Q17" i="43" s="1"/>
  <c r="F29" i="43"/>
  <c r="M29" i="43" s="1"/>
  <c r="F45" i="43"/>
  <c r="M45" i="43" s="1"/>
  <c r="G44" i="43"/>
  <c r="G33" i="43"/>
  <c r="G18" i="43"/>
  <c r="F6" i="43"/>
  <c r="Q6" i="43" s="1"/>
  <c r="F16" i="43"/>
  <c r="M16" i="43" s="1"/>
  <c r="F34" i="43"/>
  <c r="Q34" i="43" s="1"/>
  <c r="F7" i="43"/>
  <c r="M7" i="43" s="1"/>
  <c r="F15" i="43"/>
  <c r="Q15" i="43" s="1"/>
  <c r="F18" i="43"/>
  <c r="M18" i="43" s="1"/>
  <c r="F20" i="43"/>
  <c r="Q20" i="43" s="1"/>
  <c r="F42" i="43"/>
  <c r="M42" i="43" s="1"/>
  <c r="G56" i="43"/>
  <c r="G43" i="43"/>
  <c r="G40" i="43"/>
  <c r="G36" i="43"/>
  <c r="G31" i="43"/>
  <c r="G17" i="43"/>
  <c r="G12" i="43"/>
  <c r="G13" i="43"/>
  <c r="G6" i="43"/>
  <c r="Q4" i="43"/>
  <c r="H57" i="31"/>
  <c r="F48" i="43"/>
  <c r="I59" i="31"/>
  <c r="G50" i="43"/>
  <c r="H58" i="31"/>
  <c r="F49" i="43"/>
  <c r="I58" i="31"/>
  <c r="G49" i="43"/>
  <c r="H56" i="31"/>
  <c r="F47" i="43"/>
  <c r="I56" i="31"/>
  <c r="G47" i="43"/>
  <c r="H59" i="31"/>
  <c r="F50" i="43"/>
  <c r="I57" i="31"/>
  <c r="G48" i="43"/>
  <c r="O3" i="5"/>
  <c r="N72" i="5"/>
  <c r="N71" i="5"/>
  <c r="N70" i="5"/>
  <c r="N68" i="5"/>
  <c r="N67" i="5"/>
  <c r="N66" i="5"/>
  <c r="N65" i="5"/>
  <c r="N57" i="5"/>
  <c r="N56" i="5"/>
  <c r="N55" i="5"/>
  <c r="N54" i="5"/>
  <c r="N51" i="5"/>
  <c r="N43" i="5"/>
  <c r="N42" i="5"/>
  <c r="N41" i="5"/>
  <c r="N40" i="5"/>
  <c r="N39" i="5"/>
  <c r="N38" i="5"/>
  <c r="N37" i="5"/>
  <c r="N36" i="5"/>
  <c r="N35" i="5"/>
  <c r="N34" i="5"/>
  <c r="N33" i="5"/>
  <c r="N32" i="5"/>
  <c r="N23" i="5"/>
  <c r="N22" i="5"/>
  <c r="N21" i="5"/>
  <c r="N20" i="5"/>
  <c r="N19" i="5"/>
  <c r="N18" i="5"/>
  <c r="N17" i="5"/>
  <c r="N16" i="5"/>
  <c r="N15" i="5"/>
  <c r="N14" i="5"/>
  <c r="N13" i="5"/>
  <c r="N12" i="5"/>
  <c r="N11" i="5"/>
  <c r="N10" i="5"/>
  <c r="N7" i="5"/>
  <c r="N6" i="5"/>
  <c r="N5" i="5"/>
  <c r="N4" i="5"/>
  <c r="N3" i="5"/>
  <c r="E210" i="41"/>
  <c r="F210" i="41" s="1"/>
  <c r="E209" i="41"/>
  <c r="F209" i="41" s="1"/>
  <c r="F208" i="41"/>
  <c r="F207" i="41"/>
  <c r="F206" i="41"/>
  <c r="F205" i="41"/>
  <c r="F204" i="41"/>
  <c r="F203" i="41"/>
  <c r="E200" i="41"/>
  <c r="F200" i="41" s="1"/>
  <c r="F199" i="41"/>
  <c r="F198" i="41"/>
  <c r="H193" i="41"/>
  <c r="I193" i="41" s="1"/>
  <c r="E193" i="41"/>
  <c r="F193" i="41" s="1"/>
  <c r="K192" i="41"/>
  <c r="F192" i="41"/>
  <c r="I191" i="41"/>
  <c r="F191" i="41"/>
  <c r="F190" i="41"/>
  <c r="K185" i="41"/>
  <c r="J185" i="41"/>
  <c r="I185" i="41"/>
  <c r="H185" i="41"/>
  <c r="G185" i="41"/>
  <c r="F185" i="41"/>
  <c r="E185" i="41"/>
  <c r="D185" i="41"/>
  <c r="M184" i="41"/>
  <c r="L184" i="41"/>
  <c r="M183" i="41"/>
  <c r="L183" i="41"/>
  <c r="M182" i="41"/>
  <c r="L182" i="41"/>
  <c r="M181" i="41"/>
  <c r="L181" i="41"/>
  <c r="M180" i="41"/>
  <c r="L180" i="41"/>
  <c r="Y174" i="41"/>
  <c r="X174" i="41"/>
  <c r="W174" i="41"/>
  <c r="V174" i="41"/>
  <c r="U174" i="41"/>
  <c r="S174" i="41"/>
  <c r="Q174" i="41"/>
  <c r="P174" i="41"/>
  <c r="O174" i="41"/>
  <c r="N174" i="41"/>
  <c r="L174" i="41"/>
  <c r="J174" i="41"/>
  <c r="H174" i="41"/>
  <c r="G174" i="41"/>
  <c r="F174" i="41"/>
  <c r="E174" i="41"/>
  <c r="Y173" i="41"/>
  <c r="X173" i="41"/>
  <c r="W173" i="41"/>
  <c r="V173" i="41"/>
  <c r="U173" i="41"/>
  <c r="S173" i="41"/>
  <c r="Q173" i="41"/>
  <c r="P173" i="41"/>
  <c r="O173" i="41"/>
  <c r="N173" i="41"/>
  <c r="L173" i="41"/>
  <c r="J173" i="41"/>
  <c r="H173" i="41"/>
  <c r="G173" i="41"/>
  <c r="F173" i="41"/>
  <c r="E173" i="41"/>
  <c r="Y172" i="41"/>
  <c r="Y175" i="41" s="1"/>
  <c r="X172" i="41"/>
  <c r="X175" i="41" s="1"/>
  <c r="W172" i="41"/>
  <c r="W175" i="41" s="1"/>
  <c r="V172" i="41"/>
  <c r="U172" i="41"/>
  <c r="U175" i="41" s="1"/>
  <c r="S172" i="41"/>
  <c r="S175" i="41" s="1"/>
  <c r="Q172" i="41"/>
  <c r="Q175" i="41" s="1"/>
  <c r="P172" i="41"/>
  <c r="P175" i="41" s="1"/>
  <c r="O172" i="41"/>
  <c r="O175" i="41" s="1"/>
  <c r="N172" i="41"/>
  <c r="L172" i="41"/>
  <c r="L175" i="41" s="1"/>
  <c r="J172" i="41"/>
  <c r="H172" i="41"/>
  <c r="H175" i="41" s="1"/>
  <c r="G172" i="41"/>
  <c r="F172" i="41"/>
  <c r="E172" i="41"/>
  <c r="E175" i="41" s="1"/>
  <c r="Z171" i="41"/>
  <c r="T171" i="41"/>
  <c r="R171" i="41"/>
  <c r="M171" i="41"/>
  <c r="K171" i="41"/>
  <c r="I171" i="41"/>
  <c r="Z170" i="41"/>
  <c r="T170" i="41"/>
  <c r="R170" i="41"/>
  <c r="M170" i="41"/>
  <c r="K170" i="41"/>
  <c r="I170" i="41"/>
  <c r="Z169" i="41"/>
  <c r="T169" i="41"/>
  <c r="R169" i="41"/>
  <c r="M169" i="41"/>
  <c r="K169" i="41"/>
  <c r="I169" i="41"/>
  <c r="Z168" i="41"/>
  <c r="T168" i="41"/>
  <c r="R168" i="41"/>
  <c r="M168" i="41"/>
  <c r="K168" i="41"/>
  <c r="I168" i="41"/>
  <c r="Z167" i="41"/>
  <c r="T167" i="41"/>
  <c r="R167" i="41"/>
  <c r="M167" i="41"/>
  <c r="K167" i="41"/>
  <c r="I167" i="41"/>
  <c r="AB166" i="41"/>
  <c r="AA166" i="41"/>
  <c r="Z166" i="41"/>
  <c r="T166" i="41"/>
  <c r="R166" i="41"/>
  <c r="M166" i="41"/>
  <c r="K166" i="41"/>
  <c r="I166" i="41"/>
  <c r="AB165" i="41"/>
  <c r="AA165" i="41"/>
  <c r="Z165" i="41"/>
  <c r="T165" i="41"/>
  <c r="R165" i="41"/>
  <c r="M165" i="41"/>
  <c r="K165" i="41"/>
  <c r="I165" i="41"/>
  <c r="AB164" i="41"/>
  <c r="AA164" i="41"/>
  <c r="Z164" i="41"/>
  <c r="T164" i="41"/>
  <c r="R164" i="41"/>
  <c r="M164" i="41"/>
  <c r="K164" i="41"/>
  <c r="I164" i="41"/>
  <c r="AB163" i="41"/>
  <c r="AA163" i="41"/>
  <c r="Z163" i="41"/>
  <c r="T163" i="41"/>
  <c r="R163" i="41"/>
  <c r="M163" i="41"/>
  <c r="K163" i="41"/>
  <c r="I163" i="41"/>
  <c r="AB162" i="41"/>
  <c r="AA162" i="41"/>
  <c r="Z162" i="41"/>
  <c r="T162" i="41"/>
  <c r="R162" i="41"/>
  <c r="M162" i="41"/>
  <c r="K162" i="41"/>
  <c r="I162" i="41"/>
  <c r="AB161" i="41"/>
  <c r="AA161" i="41"/>
  <c r="Z161" i="41"/>
  <c r="T161" i="41"/>
  <c r="R161" i="41"/>
  <c r="M161" i="41"/>
  <c r="K161" i="41"/>
  <c r="I161" i="41"/>
  <c r="Z160" i="41"/>
  <c r="T160" i="41"/>
  <c r="R160" i="41"/>
  <c r="M160" i="41"/>
  <c r="K160" i="41"/>
  <c r="I160" i="41"/>
  <c r="Z159" i="41"/>
  <c r="T159" i="41"/>
  <c r="R159" i="41"/>
  <c r="M159" i="41"/>
  <c r="K159" i="41"/>
  <c r="I159" i="41"/>
  <c r="Z158" i="41"/>
  <c r="T158" i="41"/>
  <c r="R158" i="41"/>
  <c r="M158" i="41"/>
  <c r="K158" i="41"/>
  <c r="I158" i="41"/>
  <c r="Z157" i="41"/>
  <c r="T157" i="41"/>
  <c r="R157" i="41"/>
  <c r="M157" i="41"/>
  <c r="K157" i="41"/>
  <c r="I157" i="41"/>
  <c r="Z156" i="41"/>
  <c r="T156" i="41"/>
  <c r="R156" i="41"/>
  <c r="M156" i="41"/>
  <c r="K156" i="41"/>
  <c r="I156" i="41"/>
  <c r="AB155" i="41"/>
  <c r="AA155" i="41"/>
  <c r="Z155" i="41"/>
  <c r="T155" i="41"/>
  <c r="R155" i="41"/>
  <c r="M155" i="41"/>
  <c r="K155" i="41"/>
  <c r="I155" i="41"/>
  <c r="AB154" i="41"/>
  <c r="AA154" i="41"/>
  <c r="Z154" i="41"/>
  <c r="T154" i="41"/>
  <c r="R154" i="41"/>
  <c r="M154" i="41"/>
  <c r="K154" i="41"/>
  <c r="I154" i="41"/>
  <c r="AB153" i="41"/>
  <c r="AA153" i="41"/>
  <c r="Z153" i="41"/>
  <c r="T153" i="41"/>
  <c r="R153" i="41"/>
  <c r="M153" i="41"/>
  <c r="K153" i="41"/>
  <c r="I153" i="41"/>
  <c r="AB152" i="41"/>
  <c r="AA152" i="41"/>
  <c r="Z152" i="41"/>
  <c r="T152" i="41"/>
  <c r="R152" i="41"/>
  <c r="M152" i="41"/>
  <c r="K152" i="41"/>
  <c r="I152" i="41"/>
  <c r="AB151" i="41"/>
  <c r="AA151" i="41"/>
  <c r="Z151" i="41"/>
  <c r="T151" i="41"/>
  <c r="R151" i="41"/>
  <c r="M151" i="41"/>
  <c r="K151" i="41"/>
  <c r="I151" i="41"/>
  <c r="AB150" i="41"/>
  <c r="AA150" i="41"/>
  <c r="Z150" i="41"/>
  <c r="T150" i="41"/>
  <c r="R150" i="41"/>
  <c r="M150" i="41"/>
  <c r="K150" i="41"/>
  <c r="I150" i="41"/>
  <c r="Z149" i="41"/>
  <c r="T149" i="41"/>
  <c r="R149" i="41"/>
  <c r="M149" i="41"/>
  <c r="K149" i="41"/>
  <c r="I149" i="41"/>
  <c r="Z148" i="41"/>
  <c r="T148" i="41"/>
  <c r="R148" i="41"/>
  <c r="M148" i="41"/>
  <c r="K148" i="41"/>
  <c r="I148" i="41"/>
  <c r="Z147" i="41"/>
  <c r="T147" i="41"/>
  <c r="R147" i="41"/>
  <c r="M147" i="41"/>
  <c r="K147" i="41"/>
  <c r="I147" i="41"/>
  <c r="Z146" i="41"/>
  <c r="T146" i="41"/>
  <c r="R146" i="41"/>
  <c r="M146" i="41"/>
  <c r="K146" i="41"/>
  <c r="I146" i="41"/>
  <c r="Z145" i="41"/>
  <c r="T145" i="41"/>
  <c r="R145" i="41"/>
  <c r="M145" i="41"/>
  <c r="K145" i="41"/>
  <c r="I145" i="41"/>
  <c r="Z144" i="41"/>
  <c r="T144" i="41"/>
  <c r="R144" i="41"/>
  <c r="M144" i="41"/>
  <c r="K144" i="41"/>
  <c r="I144" i="41"/>
  <c r="Z143" i="41"/>
  <c r="T143" i="41"/>
  <c r="R143" i="41"/>
  <c r="M143" i="41"/>
  <c r="K143" i="41"/>
  <c r="I143" i="41"/>
  <c r="Z142" i="41"/>
  <c r="T142" i="41"/>
  <c r="R142" i="41"/>
  <c r="M142" i="41"/>
  <c r="K142" i="41"/>
  <c r="I142" i="41"/>
  <c r="Z141" i="41"/>
  <c r="T141" i="41"/>
  <c r="R141" i="41"/>
  <c r="M141" i="41"/>
  <c r="K141" i="41"/>
  <c r="I141" i="41"/>
  <c r="Z140" i="41"/>
  <c r="T140" i="41"/>
  <c r="R140" i="41"/>
  <c r="M140" i="41"/>
  <c r="K140" i="41"/>
  <c r="I140" i="41"/>
  <c r="Z139" i="41"/>
  <c r="T139" i="41"/>
  <c r="R139" i="41"/>
  <c r="M139" i="41"/>
  <c r="K139" i="41"/>
  <c r="I139" i="41"/>
  <c r="Z138" i="41"/>
  <c r="T138" i="41"/>
  <c r="R138" i="41"/>
  <c r="M138" i="41"/>
  <c r="K138" i="41"/>
  <c r="I138" i="41"/>
  <c r="Z137" i="41"/>
  <c r="T137" i="41"/>
  <c r="R137" i="41"/>
  <c r="M137" i="41"/>
  <c r="K137" i="41"/>
  <c r="I137" i="41"/>
  <c r="Z136" i="41"/>
  <c r="T136" i="41"/>
  <c r="R136" i="41"/>
  <c r="M136" i="41"/>
  <c r="K136" i="41"/>
  <c r="I136" i="41"/>
  <c r="AB135" i="41"/>
  <c r="AA135" i="41"/>
  <c r="Z135" i="41"/>
  <c r="T135" i="41"/>
  <c r="R135" i="41"/>
  <c r="M135" i="41"/>
  <c r="K135" i="41"/>
  <c r="I135" i="41"/>
  <c r="AB134" i="41"/>
  <c r="AA134" i="41"/>
  <c r="Z134" i="41"/>
  <c r="T134" i="41"/>
  <c r="R134" i="41"/>
  <c r="M134" i="41"/>
  <c r="K134" i="41"/>
  <c r="I134" i="41"/>
  <c r="AB133" i="41"/>
  <c r="AA133" i="41"/>
  <c r="Z133" i="41"/>
  <c r="T133" i="41"/>
  <c r="R133" i="41"/>
  <c r="M133" i="41"/>
  <c r="K133" i="41"/>
  <c r="I133" i="41"/>
  <c r="AB132" i="41"/>
  <c r="AA132" i="41"/>
  <c r="Z132" i="41"/>
  <c r="T132" i="41"/>
  <c r="R132" i="41"/>
  <c r="M132" i="41"/>
  <c r="K132" i="41"/>
  <c r="I132" i="41"/>
  <c r="AB131" i="41"/>
  <c r="AA131" i="41"/>
  <c r="Z131" i="41"/>
  <c r="T131" i="41"/>
  <c r="R131" i="41"/>
  <c r="M131" i="41"/>
  <c r="K131" i="41"/>
  <c r="I131" i="41"/>
  <c r="AB130" i="41"/>
  <c r="AA130" i="41"/>
  <c r="Z130" i="41"/>
  <c r="T130" i="41"/>
  <c r="R130" i="41"/>
  <c r="M130" i="41"/>
  <c r="K130" i="41"/>
  <c r="I130" i="41"/>
  <c r="AB129" i="41"/>
  <c r="AA129" i="41"/>
  <c r="Z129" i="41"/>
  <c r="T129" i="41"/>
  <c r="R129" i="41"/>
  <c r="M129" i="41"/>
  <c r="K129" i="41"/>
  <c r="I129" i="41"/>
  <c r="AB128" i="41"/>
  <c r="AA128" i="41"/>
  <c r="Z128" i="41"/>
  <c r="T128" i="41"/>
  <c r="R128" i="41"/>
  <c r="M128" i="41"/>
  <c r="K128" i="41"/>
  <c r="I128" i="41"/>
  <c r="AB127" i="41"/>
  <c r="AA127" i="41"/>
  <c r="Z127" i="41"/>
  <c r="T127" i="41"/>
  <c r="R127" i="41"/>
  <c r="M127" i="41"/>
  <c r="K127" i="41"/>
  <c r="I127" i="41"/>
  <c r="AB126" i="41"/>
  <c r="AA126" i="41"/>
  <c r="Z126" i="41"/>
  <c r="T126" i="41"/>
  <c r="R126" i="41"/>
  <c r="M126" i="41"/>
  <c r="K126" i="41"/>
  <c r="I126" i="41"/>
  <c r="AB125" i="41"/>
  <c r="AA125" i="41"/>
  <c r="Z125" i="41"/>
  <c r="T125" i="41"/>
  <c r="R125" i="41"/>
  <c r="M125" i="41"/>
  <c r="K125" i="41"/>
  <c r="I125" i="41"/>
  <c r="AB124" i="41"/>
  <c r="AA124" i="41"/>
  <c r="Z124" i="41"/>
  <c r="T124" i="41"/>
  <c r="R124" i="41"/>
  <c r="M124" i="41"/>
  <c r="K124" i="41"/>
  <c r="I124" i="41"/>
  <c r="AB123" i="41"/>
  <c r="AA123" i="41"/>
  <c r="Z123" i="41"/>
  <c r="T123" i="41"/>
  <c r="R123" i="41"/>
  <c r="M123" i="41"/>
  <c r="K123" i="41"/>
  <c r="I123" i="41"/>
  <c r="S117" i="41"/>
  <c r="Q117" i="41"/>
  <c r="P117" i="41"/>
  <c r="O117" i="41"/>
  <c r="N117" i="41"/>
  <c r="M117" i="41"/>
  <c r="K117" i="41"/>
  <c r="I117" i="41"/>
  <c r="H117" i="41"/>
  <c r="G117" i="41"/>
  <c r="F117" i="41"/>
  <c r="E117" i="41"/>
  <c r="S116" i="41"/>
  <c r="Q116" i="41"/>
  <c r="P116" i="41"/>
  <c r="O116" i="41"/>
  <c r="N116" i="41"/>
  <c r="M116" i="41"/>
  <c r="K116" i="41"/>
  <c r="I116" i="41"/>
  <c r="H116" i="41"/>
  <c r="G116" i="41"/>
  <c r="F116" i="41"/>
  <c r="E116" i="41"/>
  <c r="S115" i="41"/>
  <c r="Q115" i="41"/>
  <c r="Q118" i="41" s="1"/>
  <c r="P115" i="41"/>
  <c r="O115" i="41"/>
  <c r="O118" i="41" s="1"/>
  <c r="N115" i="41"/>
  <c r="N118" i="41" s="1"/>
  <c r="M115" i="41"/>
  <c r="M118" i="41" s="1"/>
  <c r="K115" i="41"/>
  <c r="K118" i="41" s="1"/>
  <c r="I115" i="41"/>
  <c r="I118" i="41" s="1"/>
  <c r="H115" i="41"/>
  <c r="H118" i="41" s="1"/>
  <c r="G115" i="41"/>
  <c r="G118" i="41" s="1"/>
  <c r="F115" i="41"/>
  <c r="F118" i="41" s="1"/>
  <c r="E115" i="41"/>
  <c r="E118" i="41" s="1"/>
  <c r="T114" i="41"/>
  <c r="R114" i="41"/>
  <c r="L114" i="41"/>
  <c r="J114" i="41"/>
  <c r="T113" i="41"/>
  <c r="R113" i="41"/>
  <c r="L113" i="41"/>
  <c r="J113" i="41"/>
  <c r="T112" i="41"/>
  <c r="R112" i="41"/>
  <c r="L112" i="41"/>
  <c r="J112" i="41"/>
  <c r="T111" i="41"/>
  <c r="R111" i="41"/>
  <c r="L111" i="41"/>
  <c r="J111" i="41"/>
  <c r="T110" i="41"/>
  <c r="R110" i="41"/>
  <c r="L110" i="41"/>
  <c r="J110" i="41"/>
  <c r="T109" i="41"/>
  <c r="R109" i="41"/>
  <c r="L109" i="41"/>
  <c r="J109" i="41"/>
  <c r="T108" i="41"/>
  <c r="R108" i="41"/>
  <c r="L108" i="41"/>
  <c r="J108" i="41"/>
  <c r="T107" i="41"/>
  <c r="R107" i="41"/>
  <c r="L107" i="41"/>
  <c r="J107" i="41"/>
  <c r="T106" i="41"/>
  <c r="R106" i="41"/>
  <c r="L106" i="41"/>
  <c r="J106" i="41"/>
  <c r="V105" i="41"/>
  <c r="U105" i="41"/>
  <c r="T105" i="41"/>
  <c r="R105" i="41"/>
  <c r="L105" i="41"/>
  <c r="J105" i="41"/>
  <c r="V104" i="41"/>
  <c r="U104" i="41"/>
  <c r="T104" i="41"/>
  <c r="R104" i="41"/>
  <c r="L104" i="41"/>
  <c r="J104" i="41"/>
  <c r="V103" i="41"/>
  <c r="U103" i="41"/>
  <c r="T103" i="41"/>
  <c r="R103" i="41"/>
  <c r="L103" i="41"/>
  <c r="J103" i="41"/>
  <c r="V102" i="41"/>
  <c r="U102" i="41"/>
  <c r="T102" i="41"/>
  <c r="R102" i="41"/>
  <c r="L102" i="41"/>
  <c r="J102" i="41"/>
  <c r="V101" i="41"/>
  <c r="U101" i="41"/>
  <c r="T101" i="41"/>
  <c r="R101" i="41"/>
  <c r="L101" i="41"/>
  <c r="J101" i="41"/>
  <c r="V100" i="41"/>
  <c r="U100" i="41"/>
  <c r="T100" i="41"/>
  <c r="R100" i="41"/>
  <c r="L100" i="41"/>
  <c r="J100" i="41"/>
  <c r="T99" i="41"/>
  <c r="R99" i="41"/>
  <c r="L99" i="41"/>
  <c r="J99" i="41"/>
  <c r="T98" i="41"/>
  <c r="R98" i="41"/>
  <c r="L98" i="41"/>
  <c r="J98" i="41"/>
  <c r="T97" i="41"/>
  <c r="R97" i="41"/>
  <c r="L97" i="41"/>
  <c r="J97" i="41"/>
  <c r="T96" i="41"/>
  <c r="R96" i="41"/>
  <c r="L96" i="41"/>
  <c r="J96" i="41"/>
  <c r="V95" i="41"/>
  <c r="U95" i="41"/>
  <c r="T95" i="41"/>
  <c r="R95" i="41"/>
  <c r="L95" i="41"/>
  <c r="J95" i="41"/>
  <c r="V94" i="41"/>
  <c r="U94" i="41"/>
  <c r="T94" i="41"/>
  <c r="R94" i="41"/>
  <c r="L94" i="41"/>
  <c r="J94" i="41"/>
  <c r="V93" i="41"/>
  <c r="U93" i="41"/>
  <c r="T93" i="41"/>
  <c r="R93" i="41"/>
  <c r="L93" i="41"/>
  <c r="J93" i="41"/>
  <c r="T92" i="41"/>
  <c r="R92" i="41"/>
  <c r="L92" i="41"/>
  <c r="J92" i="41"/>
  <c r="T91" i="41"/>
  <c r="R91" i="41"/>
  <c r="L91" i="41"/>
  <c r="J91" i="41"/>
  <c r="T90" i="41"/>
  <c r="R90" i="41"/>
  <c r="L90" i="41"/>
  <c r="J90" i="41"/>
  <c r="T89" i="41"/>
  <c r="R89" i="41"/>
  <c r="L89" i="41"/>
  <c r="J89" i="41"/>
  <c r="T88" i="41"/>
  <c r="R88" i="41"/>
  <c r="L88" i="41"/>
  <c r="J88" i="41"/>
  <c r="T87" i="41"/>
  <c r="R87" i="41"/>
  <c r="L87" i="41"/>
  <c r="J87" i="41"/>
  <c r="T86" i="41"/>
  <c r="R86" i="41"/>
  <c r="L86" i="41"/>
  <c r="J86" i="41"/>
  <c r="T85" i="41"/>
  <c r="R85" i="41"/>
  <c r="L85" i="41"/>
  <c r="J85" i="41"/>
  <c r="T84" i="41"/>
  <c r="R84" i="41"/>
  <c r="L84" i="41"/>
  <c r="J84" i="41"/>
  <c r="T83" i="41"/>
  <c r="R83" i="41"/>
  <c r="L83" i="41"/>
  <c r="J83" i="41"/>
  <c r="T82" i="41"/>
  <c r="R82" i="41"/>
  <c r="L82" i="41"/>
  <c r="J82" i="41"/>
  <c r="V81" i="41"/>
  <c r="U81" i="41"/>
  <c r="T81" i="41"/>
  <c r="R81" i="41"/>
  <c r="L81" i="41"/>
  <c r="J81" i="41"/>
  <c r="V80" i="41"/>
  <c r="U80" i="41"/>
  <c r="T80" i="41"/>
  <c r="R80" i="41"/>
  <c r="L80" i="41"/>
  <c r="J80" i="41"/>
  <c r="V79" i="41"/>
  <c r="U79" i="41"/>
  <c r="T79" i="41"/>
  <c r="R79" i="41"/>
  <c r="L79" i="41"/>
  <c r="J79" i="41"/>
  <c r="V78" i="41"/>
  <c r="U78" i="41"/>
  <c r="T78" i="41"/>
  <c r="R78" i="41"/>
  <c r="L78" i="41"/>
  <c r="J78" i="41"/>
  <c r="V77" i="41"/>
  <c r="U77" i="41"/>
  <c r="T77" i="41"/>
  <c r="R77" i="41"/>
  <c r="L77" i="41"/>
  <c r="J77" i="41"/>
  <c r="V76" i="41"/>
  <c r="U76" i="41"/>
  <c r="T76" i="41"/>
  <c r="R76" i="41"/>
  <c r="L76" i="41"/>
  <c r="J76" i="41"/>
  <c r="V75" i="41"/>
  <c r="U75" i="41"/>
  <c r="T75" i="41"/>
  <c r="R75" i="41"/>
  <c r="L75" i="41"/>
  <c r="J75" i="41"/>
  <c r="C70" i="41"/>
  <c r="I69" i="41"/>
  <c r="H69" i="41"/>
  <c r="G69" i="41"/>
  <c r="F69" i="41"/>
  <c r="E69" i="41"/>
  <c r="D69" i="41"/>
  <c r="I68" i="41"/>
  <c r="H68" i="41"/>
  <c r="G68" i="41"/>
  <c r="F68" i="41"/>
  <c r="E68" i="41"/>
  <c r="D68" i="41"/>
  <c r="I67" i="41"/>
  <c r="H67" i="41"/>
  <c r="G67" i="41"/>
  <c r="F67" i="41"/>
  <c r="E67" i="41"/>
  <c r="D67" i="41"/>
  <c r="I66" i="41"/>
  <c r="H66" i="41"/>
  <c r="G66" i="41"/>
  <c r="F66" i="41"/>
  <c r="E66" i="41"/>
  <c r="D66" i="41"/>
  <c r="I65" i="41"/>
  <c r="H65" i="41"/>
  <c r="G65" i="41"/>
  <c r="F65" i="41"/>
  <c r="E65" i="41"/>
  <c r="D65" i="41"/>
  <c r="I64" i="41"/>
  <c r="H64" i="41"/>
  <c r="G64" i="41"/>
  <c r="F64" i="41"/>
  <c r="E64" i="41"/>
  <c r="D64" i="41"/>
  <c r="H43" i="41"/>
  <c r="G43" i="41"/>
  <c r="E43" i="41"/>
  <c r="D43" i="41"/>
  <c r="H42" i="41"/>
  <c r="G42" i="41"/>
  <c r="E42" i="41"/>
  <c r="D42" i="41"/>
  <c r="I41" i="41"/>
  <c r="F41" i="41"/>
  <c r="I40" i="41"/>
  <c r="F40" i="41"/>
  <c r="I39" i="41"/>
  <c r="F39" i="41"/>
  <c r="I38" i="41"/>
  <c r="F38" i="41"/>
  <c r="I37" i="41"/>
  <c r="F37" i="41"/>
  <c r="I36" i="41"/>
  <c r="F36" i="41"/>
  <c r="I35" i="41"/>
  <c r="F35" i="41"/>
  <c r="I34" i="41"/>
  <c r="F34" i="41"/>
  <c r="I33" i="41"/>
  <c r="F33" i="41"/>
  <c r="I32" i="41"/>
  <c r="F32" i="41"/>
  <c r="I31" i="41"/>
  <c r="F31" i="41"/>
  <c r="I30" i="41"/>
  <c r="F30" i="41"/>
  <c r="J23" i="41"/>
  <c r="L23" i="41" s="1"/>
  <c r="H23" i="41"/>
  <c r="G23" i="41"/>
  <c r="E23" i="41"/>
  <c r="D23" i="41"/>
  <c r="J22" i="41"/>
  <c r="L22" i="41" s="1"/>
  <c r="H22" i="41"/>
  <c r="G22" i="41"/>
  <c r="E22" i="41"/>
  <c r="D22" i="41"/>
  <c r="J21" i="41"/>
  <c r="L21" i="41" s="1"/>
  <c r="H21" i="41"/>
  <c r="G21" i="41"/>
  <c r="E21" i="41"/>
  <c r="D21" i="41"/>
  <c r="L20" i="41"/>
  <c r="I20" i="41"/>
  <c r="F20" i="41"/>
  <c r="L19" i="41"/>
  <c r="I19" i="41"/>
  <c r="F19" i="41"/>
  <c r="L18" i="41"/>
  <c r="I18" i="41"/>
  <c r="F18" i="41"/>
  <c r="L17" i="41"/>
  <c r="I17" i="41"/>
  <c r="F17" i="41"/>
  <c r="L16" i="41"/>
  <c r="I16" i="41"/>
  <c r="F16" i="41"/>
  <c r="L15" i="41"/>
  <c r="I15" i="41"/>
  <c r="F15" i="41"/>
  <c r="Q8" i="41"/>
  <c r="P8" i="41"/>
  <c r="O8" i="41"/>
  <c r="N8" i="41"/>
  <c r="C8" i="41"/>
  <c r="S7" i="41"/>
  <c r="K7" i="41"/>
  <c r="J7" i="41" s="1"/>
  <c r="I7" i="41"/>
  <c r="G7" i="41"/>
  <c r="L7" i="41" s="1"/>
  <c r="E7" i="41"/>
  <c r="S6" i="41"/>
  <c r="K6" i="41"/>
  <c r="I6" i="41"/>
  <c r="G6" i="41"/>
  <c r="L6" i="41" s="1"/>
  <c r="E6" i="41"/>
  <c r="S5" i="41"/>
  <c r="K5" i="41"/>
  <c r="M5" i="41" s="1"/>
  <c r="J5" i="41"/>
  <c r="I5" i="41"/>
  <c r="H5" i="41"/>
  <c r="G5" i="41"/>
  <c r="L5" i="41" s="1"/>
  <c r="F5" i="41"/>
  <c r="E5" i="41"/>
  <c r="D5" i="41"/>
  <c r="S4" i="41"/>
  <c r="K4" i="41"/>
  <c r="K8" i="41" s="1"/>
  <c r="J4" i="41"/>
  <c r="I4" i="41"/>
  <c r="H4" i="41"/>
  <c r="G4" i="41"/>
  <c r="G8" i="41" s="1"/>
  <c r="F4" i="41"/>
  <c r="E4" i="41"/>
  <c r="D4" i="41"/>
  <c r="Q5" i="43" l="1"/>
  <c r="Q23" i="43"/>
  <c r="M19" i="43"/>
  <c r="M10" i="43"/>
  <c r="M15" i="43"/>
  <c r="S118" i="41"/>
  <c r="Q45" i="43"/>
  <c r="M28" i="43"/>
  <c r="M6" i="43"/>
  <c r="Q22" i="43"/>
  <c r="M34" i="43"/>
  <c r="M20" i="43"/>
  <c r="M46" i="43"/>
  <c r="M17" i="43"/>
  <c r="Q14" i="43"/>
  <c r="Q33" i="43"/>
  <c r="Q16" i="43"/>
  <c r="Q43" i="43"/>
  <c r="Q32" i="43"/>
  <c r="Q12" i="43"/>
  <c r="E5" i="43"/>
  <c r="L5" i="43" s="1"/>
  <c r="E17" i="43"/>
  <c r="P17" i="43" s="1"/>
  <c r="E29" i="43"/>
  <c r="L29" i="43" s="1"/>
  <c r="E45" i="43"/>
  <c r="L45" i="43" s="1"/>
  <c r="E58" i="43"/>
  <c r="P58" i="43" s="1"/>
  <c r="E15" i="43"/>
  <c r="L15" i="43" s="1"/>
  <c r="E18" i="43"/>
  <c r="L18" i="43" s="1"/>
  <c r="E20" i="43"/>
  <c r="L20" i="43" s="1"/>
  <c r="E31" i="43"/>
  <c r="L31" i="43" s="1"/>
  <c r="E42" i="43"/>
  <c r="L42" i="43" s="1"/>
  <c r="E56" i="43"/>
  <c r="L56" i="43" s="1"/>
  <c r="Q42" i="43"/>
  <c r="Q18" i="43"/>
  <c r="Q7" i="43"/>
  <c r="Q40" i="43"/>
  <c r="Q13" i="43"/>
  <c r="Q21" i="43"/>
  <c r="Q29" i="43"/>
  <c r="Q11" i="43"/>
  <c r="E13" i="43"/>
  <c r="P13" i="43" s="1"/>
  <c r="E12" i="43"/>
  <c r="L12" i="43" s="1"/>
  <c r="E23" i="43"/>
  <c r="L23" i="43" s="1"/>
  <c r="E33" i="43"/>
  <c r="P33" i="43" s="1"/>
  <c r="E6" i="43"/>
  <c r="L6" i="43" s="1"/>
  <c r="E14" i="43"/>
  <c r="L14" i="43" s="1"/>
  <c r="E16" i="43"/>
  <c r="P16" i="43" s="1"/>
  <c r="E19" i="43"/>
  <c r="L19" i="43" s="1"/>
  <c r="E30" i="43"/>
  <c r="L30" i="43" s="1"/>
  <c r="E34" i="43"/>
  <c r="L34" i="43" s="1"/>
  <c r="E40" i="43"/>
  <c r="L40" i="43" s="1"/>
  <c r="E46" i="43"/>
  <c r="L46" i="43" s="1"/>
  <c r="F3" i="43"/>
  <c r="M3" i="43" s="1"/>
  <c r="E3" i="43"/>
  <c r="P3" i="43" s="1"/>
  <c r="E7" i="43"/>
  <c r="L7" i="43" s="1"/>
  <c r="E4" i="43"/>
  <c r="L4" i="43" s="1"/>
  <c r="E10" i="43"/>
  <c r="L10" i="43" s="1"/>
  <c r="E11" i="43"/>
  <c r="L11" i="43" s="1"/>
  <c r="E21" i="43"/>
  <c r="L21" i="43" s="1"/>
  <c r="E22" i="43"/>
  <c r="L22" i="43" s="1"/>
  <c r="E28" i="43"/>
  <c r="P28" i="43" s="1"/>
  <c r="E32" i="43"/>
  <c r="L32" i="43" s="1"/>
  <c r="E43" i="43"/>
  <c r="L43" i="43" s="1"/>
  <c r="E57" i="43"/>
  <c r="L57" i="43" s="1"/>
  <c r="G56" i="31"/>
  <c r="E47" i="43"/>
  <c r="M49" i="43"/>
  <c r="Q49" i="43"/>
  <c r="H70" i="41"/>
  <c r="G57" i="31"/>
  <c r="E48" i="43"/>
  <c r="M47" i="43"/>
  <c r="Q47" i="43"/>
  <c r="F23" i="41"/>
  <c r="G58" i="31"/>
  <c r="E49" i="43"/>
  <c r="M50" i="43"/>
  <c r="Q50" i="43"/>
  <c r="M48" i="43"/>
  <c r="Q48" i="43"/>
  <c r="G59" i="31"/>
  <c r="E50" i="43"/>
  <c r="K68" i="41"/>
  <c r="K65" i="41"/>
  <c r="Z175" i="41"/>
  <c r="I173" i="41"/>
  <c r="Z173" i="41"/>
  <c r="H44" i="41"/>
  <c r="L64" i="41"/>
  <c r="K172" i="41"/>
  <c r="K174" i="41"/>
  <c r="J64" i="41"/>
  <c r="L65" i="41"/>
  <c r="K67" i="41"/>
  <c r="I70" i="41"/>
  <c r="K69" i="41"/>
  <c r="F42" i="41"/>
  <c r="E24" i="41"/>
  <c r="F22" i="41"/>
  <c r="I42" i="41"/>
  <c r="R174" i="41"/>
  <c r="L185" i="41"/>
  <c r="H24" i="41"/>
  <c r="L8" i="41"/>
  <c r="M8" i="41"/>
  <c r="S8" i="41"/>
  <c r="D24" i="41"/>
  <c r="I22" i="41"/>
  <c r="J67" i="41"/>
  <c r="L68" i="41"/>
  <c r="J69" i="41"/>
  <c r="M174" i="41"/>
  <c r="Z174" i="41"/>
  <c r="K64" i="41"/>
  <c r="J68" i="41"/>
  <c r="L69" i="41"/>
  <c r="J116" i="41"/>
  <c r="J117" i="41"/>
  <c r="M185" i="41"/>
  <c r="G70" i="41"/>
  <c r="T173" i="41"/>
  <c r="I21" i="41"/>
  <c r="I23" i="41"/>
  <c r="E44" i="41"/>
  <c r="F43" i="41"/>
  <c r="J175" i="41"/>
  <c r="M175" i="41" s="1"/>
  <c r="R115" i="41"/>
  <c r="R116" i="41"/>
  <c r="R117" i="41"/>
  <c r="F175" i="41"/>
  <c r="M173" i="41"/>
  <c r="V175" i="41"/>
  <c r="F21" i="41"/>
  <c r="D44" i="41"/>
  <c r="I43" i="41"/>
  <c r="J65" i="41"/>
  <c r="F70" i="41"/>
  <c r="L67" i="41"/>
  <c r="N175" i="41"/>
  <c r="R173" i="41"/>
  <c r="F7" i="41"/>
  <c r="D7" i="41" s="1"/>
  <c r="F6" i="41"/>
  <c r="D6" i="41" s="1"/>
  <c r="R5" i="41"/>
  <c r="M4" i="41"/>
  <c r="H7" i="41"/>
  <c r="E8" i="41"/>
  <c r="I8" i="41"/>
  <c r="R4" i="41"/>
  <c r="R6" i="41"/>
  <c r="M7" i="41"/>
  <c r="M6" i="41"/>
  <c r="F8" i="41"/>
  <c r="J6" i="41"/>
  <c r="H6" i="41" s="1"/>
  <c r="H8" i="41" s="1"/>
  <c r="R7" i="41"/>
  <c r="L118" i="41"/>
  <c r="J118" i="41"/>
  <c r="T175" i="41"/>
  <c r="R175" i="41"/>
  <c r="I172" i="41"/>
  <c r="M172" i="41"/>
  <c r="K173" i="41"/>
  <c r="I174" i="41"/>
  <c r="G175" i="41"/>
  <c r="J24" i="41"/>
  <c r="L24" i="41" s="1"/>
  <c r="D70" i="41"/>
  <c r="L115" i="41"/>
  <c r="T115" i="41"/>
  <c r="L116" i="41"/>
  <c r="T116" i="41"/>
  <c r="L117" i="41"/>
  <c r="T117" i="41"/>
  <c r="P118" i="41"/>
  <c r="T172" i="41"/>
  <c r="T174" i="41"/>
  <c r="G24" i="41"/>
  <c r="G44" i="41"/>
  <c r="I44" i="41" s="1"/>
  <c r="E70" i="41"/>
  <c r="R8" i="41"/>
  <c r="J115" i="41"/>
  <c r="R172" i="41"/>
  <c r="Z172" i="41"/>
  <c r="L4" i="41"/>
  <c r="L13" i="43" l="1"/>
  <c r="L17" i="43"/>
  <c r="K70" i="41"/>
  <c r="L3" i="43"/>
  <c r="P32" i="43"/>
  <c r="P21" i="43"/>
  <c r="P6" i="43"/>
  <c r="P5" i="43"/>
  <c r="L33" i="43"/>
  <c r="P56" i="43"/>
  <c r="P43" i="43"/>
  <c r="P42" i="43"/>
  <c r="P34" i="43"/>
  <c r="P12" i="43"/>
  <c r="P18" i="43"/>
  <c r="P7" i="43"/>
  <c r="L28" i="43"/>
  <c r="Q3" i="43"/>
  <c r="P46" i="43"/>
  <c r="L58" i="43"/>
  <c r="P29" i="43"/>
  <c r="L16" i="43"/>
  <c r="P10" i="43"/>
  <c r="P57" i="43"/>
  <c r="P22" i="43"/>
  <c r="P40" i="43"/>
  <c r="P30" i="43"/>
  <c r="P19" i="43"/>
  <c r="P14" i="43"/>
  <c r="P45" i="43"/>
  <c r="P4" i="43"/>
  <c r="P20" i="43"/>
  <c r="P11" i="43"/>
  <c r="P31" i="43"/>
  <c r="P15" i="43"/>
  <c r="P23" i="43"/>
  <c r="L47" i="43"/>
  <c r="P47" i="43"/>
  <c r="L50" i="43"/>
  <c r="P50" i="43"/>
  <c r="L49" i="43"/>
  <c r="P49" i="43"/>
  <c r="L48" i="43"/>
  <c r="P48" i="43"/>
  <c r="F24" i="41"/>
  <c r="L70" i="41"/>
  <c r="I24" i="41"/>
  <c r="J70" i="41"/>
  <c r="F44" i="41"/>
  <c r="J8" i="41"/>
  <c r="T118" i="41"/>
  <c r="R118" i="41"/>
  <c r="I175" i="41"/>
  <c r="K175" i="41"/>
  <c r="D8" i="41"/>
  <c r="V23" i="5" l="1"/>
  <c r="U23" i="5"/>
  <c r="V22" i="5"/>
  <c r="U22" i="5"/>
  <c r="V21" i="5"/>
  <c r="U21" i="5"/>
  <c r="V20" i="5"/>
  <c r="U20" i="5"/>
  <c r="U6" i="5"/>
  <c r="U5" i="5"/>
  <c r="U4" i="5"/>
  <c r="U3" i="5"/>
  <c r="U58" i="5"/>
  <c r="U57" i="5"/>
  <c r="U56" i="5"/>
  <c r="U55" i="5"/>
  <c r="U54" i="5"/>
  <c r="U53" i="5"/>
  <c r="U52" i="5"/>
  <c r="U51" i="5"/>
  <c r="U50" i="5"/>
  <c r="U49" i="5"/>
  <c r="U43" i="5"/>
  <c r="U42" i="5"/>
  <c r="U8" i="5"/>
  <c r="U9" i="5"/>
  <c r="U10" i="5"/>
  <c r="U11" i="5"/>
  <c r="U12" i="5"/>
  <c r="U13" i="5"/>
  <c r="U14" i="5"/>
  <c r="U15" i="5"/>
  <c r="U16" i="5"/>
  <c r="U17" i="5"/>
  <c r="U18" i="5"/>
  <c r="U19" i="5"/>
  <c r="U28" i="5"/>
  <c r="U29" i="5"/>
  <c r="U30" i="5"/>
  <c r="U31" i="5"/>
  <c r="U32" i="5"/>
  <c r="U33" i="5"/>
  <c r="U34" i="5"/>
  <c r="U35" i="5"/>
  <c r="U36" i="5"/>
  <c r="U37" i="5"/>
  <c r="U38" i="5"/>
  <c r="U39" i="5"/>
  <c r="U40" i="5"/>
  <c r="U41" i="5"/>
  <c r="U7" i="5"/>
  <c r="V43" i="5"/>
  <c r="V42" i="5"/>
  <c r="AM26" i="31"/>
  <c r="AM23" i="31"/>
  <c r="N23" i="31"/>
  <c r="AM22" i="31"/>
  <c r="N22" i="31"/>
  <c r="AM21" i="31"/>
  <c r="N21" i="31"/>
  <c r="AM42" i="31"/>
  <c r="AM41" i="31"/>
  <c r="N41" i="31"/>
  <c r="I41" i="31"/>
  <c r="N29" i="31" l="1"/>
  <c r="P29" i="31" s="1"/>
  <c r="N30" i="31"/>
  <c r="N27" i="31"/>
  <c r="P27" i="31" s="1"/>
  <c r="N28" i="31"/>
  <c r="P41" i="31"/>
  <c r="N25" i="31"/>
  <c r="N26" i="31"/>
  <c r="N24" i="31"/>
  <c r="N31" i="31"/>
  <c r="N43" i="31"/>
  <c r="N42" i="31"/>
  <c r="P30" i="31" l="1"/>
  <c r="P28" i="31"/>
  <c r="P43" i="31"/>
  <c r="P42" i="31"/>
  <c r="P24" i="31"/>
  <c r="P31" i="31"/>
  <c r="P25" i="31"/>
  <c r="P26" i="31"/>
  <c r="V4" i="5"/>
  <c r="V5" i="5"/>
  <c r="V6" i="5"/>
  <c r="V7" i="5"/>
  <c r="V8" i="5"/>
  <c r="V9" i="5"/>
  <c r="V10" i="5"/>
  <c r="V11" i="5"/>
  <c r="V12" i="5"/>
  <c r="V13" i="5"/>
  <c r="V14" i="5"/>
  <c r="V15" i="5"/>
  <c r="V16" i="5"/>
  <c r="V17" i="5"/>
  <c r="V18" i="5"/>
  <c r="V19" i="5"/>
  <c r="V32" i="5"/>
  <c r="V33" i="5"/>
  <c r="V34" i="5"/>
  <c r="V35" i="5"/>
  <c r="V36" i="5"/>
  <c r="V37" i="5"/>
  <c r="V38" i="5"/>
  <c r="V41" i="5"/>
  <c r="V49" i="5"/>
  <c r="V50" i="5"/>
  <c r="V51" i="5"/>
  <c r="V52" i="5"/>
  <c r="V55" i="5"/>
  <c r="V3" i="5"/>
  <c r="AM6" i="31" l="1"/>
  <c r="N6" i="31"/>
  <c r="I6" i="31"/>
  <c r="H6" i="31"/>
  <c r="G6" i="31"/>
  <c r="AM5" i="31"/>
  <c r="N5" i="31"/>
  <c r="I5" i="31"/>
  <c r="H5" i="31"/>
  <c r="G5" i="31"/>
  <c r="AM4" i="31"/>
  <c r="N4" i="31"/>
  <c r="I4" i="31"/>
  <c r="H4" i="31"/>
  <c r="G4" i="31"/>
  <c r="AM3" i="31"/>
  <c r="N3" i="31"/>
  <c r="L3" i="31"/>
  <c r="I3" i="31"/>
  <c r="H3" i="31"/>
  <c r="G3" i="31"/>
  <c r="M3" i="31" l="1"/>
  <c r="V8" i="31" s="1"/>
  <c r="T14" i="31"/>
  <c r="T3" i="31"/>
  <c r="P3" i="31"/>
  <c r="P4" i="31"/>
  <c r="P6" i="31"/>
  <c r="O3" i="31"/>
  <c r="O5" i="31"/>
  <c r="P5" i="31"/>
  <c r="O4" i="31"/>
  <c r="O6" i="31"/>
  <c r="V3" i="31" l="1"/>
  <c r="R25" i="31"/>
  <c r="R3" i="31"/>
  <c r="E39" i="36"/>
  <c r="E38" i="36"/>
  <c r="E37" i="36"/>
  <c r="E36" i="36"/>
  <c r="E35" i="36"/>
  <c r="E34" i="36"/>
  <c r="E33" i="36"/>
  <c r="E32" i="36"/>
  <c r="E28" i="36"/>
  <c r="E27" i="36"/>
  <c r="E26" i="36"/>
  <c r="E25" i="36"/>
  <c r="E24" i="36"/>
  <c r="E23" i="36"/>
  <c r="E22" i="36"/>
  <c r="E21" i="36"/>
  <c r="E20" i="36"/>
  <c r="E19" i="36"/>
  <c r="E18" i="36"/>
  <c r="E17" i="36"/>
  <c r="E16" i="36"/>
  <c r="E15" i="36"/>
  <c r="E14" i="36"/>
  <c r="E13" i="36"/>
  <c r="E12" i="36"/>
  <c r="E11" i="36"/>
  <c r="E8" i="36"/>
  <c r="E7" i="36"/>
  <c r="E6" i="36"/>
  <c r="E5" i="36"/>
  <c r="E4" i="36"/>
  <c r="E3" i="36"/>
  <c r="AM56" i="31" l="1"/>
  <c r="N56" i="31"/>
  <c r="AM57" i="31"/>
  <c r="N57" i="31"/>
  <c r="AM58" i="31"/>
  <c r="N58" i="31"/>
  <c r="AM59" i="31"/>
  <c r="N59" i="31"/>
  <c r="N61" i="31" l="1"/>
  <c r="P61" i="31" s="1"/>
  <c r="N62" i="31"/>
  <c r="P62" i="31" s="1"/>
  <c r="N60" i="31"/>
  <c r="O58" i="31"/>
  <c r="O57" i="31"/>
  <c r="P58" i="31"/>
  <c r="O56" i="31"/>
  <c r="P57" i="31"/>
  <c r="O59" i="31"/>
  <c r="P59" i="31"/>
  <c r="P56" i="31"/>
  <c r="Z1" i="31"/>
  <c r="L1" i="31" l="1"/>
  <c r="G39" i="36" l="1"/>
  <c r="G38" i="36"/>
  <c r="G37" i="36"/>
  <c r="G36" i="36"/>
  <c r="G35" i="36"/>
  <c r="G34" i="36"/>
  <c r="G33" i="36"/>
  <c r="G32" i="36"/>
  <c r="G28" i="36"/>
  <c r="G27" i="36"/>
  <c r="G26" i="36"/>
  <c r="G25" i="36"/>
  <c r="G24" i="36"/>
  <c r="G23" i="36"/>
  <c r="G22" i="36"/>
  <c r="G21" i="36"/>
  <c r="G20" i="36"/>
  <c r="G19" i="36"/>
  <c r="G18" i="36"/>
  <c r="G17" i="36"/>
  <c r="G16" i="36"/>
  <c r="G15" i="36"/>
  <c r="G14" i="36"/>
  <c r="G13" i="36"/>
  <c r="G12" i="36"/>
  <c r="G11" i="36"/>
  <c r="G8" i="36"/>
  <c r="G7" i="36"/>
  <c r="G6" i="36"/>
  <c r="G5" i="36"/>
  <c r="G4" i="36"/>
  <c r="G3" i="36"/>
  <c r="F4" i="36"/>
  <c r="H4" i="36" s="1"/>
  <c r="F5" i="36"/>
  <c r="H5" i="36" s="1"/>
  <c r="F6" i="36"/>
  <c r="H6" i="36" s="1"/>
  <c r="F7" i="36"/>
  <c r="H7" i="36" s="1"/>
  <c r="F8" i="36"/>
  <c r="H8" i="36" s="1"/>
  <c r="F11" i="36"/>
  <c r="H11" i="36" s="1"/>
  <c r="F12" i="36"/>
  <c r="H12" i="36" s="1"/>
  <c r="F13" i="36"/>
  <c r="H13" i="36" s="1"/>
  <c r="F14" i="36"/>
  <c r="H14" i="36" s="1"/>
  <c r="F15" i="36"/>
  <c r="H15" i="36" s="1"/>
  <c r="F16" i="36"/>
  <c r="H16" i="36" s="1"/>
  <c r="F17" i="36"/>
  <c r="H17" i="36" s="1"/>
  <c r="F18" i="36"/>
  <c r="H18" i="36" s="1"/>
  <c r="F19" i="36"/>
  <c r="H19" i="36" s="1"/>
  <c r="F20" i="36"/>
  <c r="H20" i="36" s="1"/>
  <c r="F21" i="36"/>
  <c r="H21" i="36" s="1"/>
  <c r="F22" i="36"/>
  <c r="H22" i="36" s="1"/>
  <c r="F23" i="36"/>
  <c r="H23" i="36" s="1"/>
  <c r="F24" i="36"/>
  <c r="H24" i="36" s="1"/>
  <c r="F25" i="36"/>
  <c r="H25" i="36" s="1"/>
  <c r="F26" i="36"/>
  <c r="H26" i="36" s="1"/>
  <c r="F27" i="36"/>
  <c r="H27" i="36" s="1"/>
  <c r="F28" i="36"/>
  <c r="H28" i="36" s="1"/>
  <c r="I31" i="36"/>
  <c r="F32" i="36"/>
  <c r="H32" i="36" s="1"/>
  <c r="F33" i="36"/>
  <c r="H33" i="36" s="1"/>
  <c r="F34" i="36"/>
  <c r="H34" i="36" s="1"/>
  <c r="F35" i="36"/>
  <c r="H35" i="36" s="1"/>
  <c r="F36" i="36"/>
  <c r="H36" i="36" s="1"/>
  <c r="F37" i="36"/>
  <c r="H37" i="36" s="1"/>
  <c r="F38" i="36"/>
  <c r="H38" i="36" s="1"/>
  <c r="F39" i="36"/>
  <c r="H39" i="36" s="1"/>
  <c r="I43" i="36"/>
  <c r="F3" i="36"/>
  <c r="H3" i="36" s="1"/>
  <c r="N3" i="36"/>
  <c r="P3" i="36"/>
  <c r="Q3" i="36"/>
  <c r="N4" i="36"/>
  <c r="P4" i="36"/>
  <c r="Q4" i="36"/>
  <c r="N5" i="36"/>
  <c r="P5" i="36"/>
  <c r="Q5" i="36"/>
  <c r="N6" i="36"/>
  <c r="P6" i="36"/>
  <c r="Q6" i="36"/>
  <c r="N7" i="36"/>
  <c r="P7" i="36"/>
  <c r="Q7" i="36"/>
  <c r="N8" i="36"/>
  <c r="P8" i="36"/>
  <c r="Q8" i="36"/>
  <c r="N9" i="36"/>
  <c r="P9" i="36"/>
  <c r="Q9" i="36"/>
  <c r="N10" i="36"/>
  <c r="P10" i="36"/>
  <c r="Q10" i="36"/>
  <c r="N11" i="36"/>
  <c r="P11" i="36"/>
  <c r="Q11" i="36"/>
  <c r="N12" i="36"/>
  <c r="P12" i="36"/>
  <c r="Q12" i="36"/>
  <c r="N13" i="36"/>
  <c r="P13" i="36"/>
  <c r="Q13" i="36"/>
  <c r="N14" i="36"/>
  <c r="P14" i="36"/>
  <c r="Q14" i="36"/>
  <c r="N15" i="36"/>
  <c r="P15" i="36"/>
  <c r="Q15" i="36"/>
  <c r="N16" i="36"/>
  <c r="P16" i="36"/>
  <c r="Q16" i="36"/>
  <c r="N17" i="36"/>
  <c r="P17" i="36"/>
  <c r="Q17" i="36"/>
  <c r="N18" i="36"/>
  <c r="P18" i="36"/>
  <c r="Q18" i="36"/>
  <c r="N19" i="36"/>
  <c r="P19" i="36"/>
  <c r="Q19" i="36"/>
  <c r="N20" i="36"/>
  <c r="P20" i="36"/>
  <c r="Q20" i="36"/>
  <c r="N21" i="36"/>
  <c r="P21" i="36"/>
  <c r="Q21" i="36"/>
  <c r="N22" i="36"/>
  <c r="P22" i="36"/>
  <c r="Q22" i="36"/>
  <c r="N23" i="36"/>
  <c r="P23" i="36"/>
  <c r="Q23" i="36"/>
  <c r="N24" i="36"/>
  <c r="P24" i="36"/>
  <c r="Q24" i="36"/>
  <c r="N25" i="36"/>
  <c r="P25" i="36"/>
  <c r="Q25" i="36"/>
  <c r="N26" i="36"/>
  <c r="P26" i="36"/>
  <c r="Q26" i="36"/>
  <c r="N27" i="36"/>
  <c r="P27" i="36"/>
  <c r="Q27" i="36"/>
  <c r="N28" i="36"/>
  <c r="P28" i="36"/>
  <c r="Q28" i="36"/>
  <c r="N29" i="36"/>
  <c r="P29" i="36"/>
  <c r="Q29" i="36"/>
  <c r="N30" i="36"/>
  <c r="P30" i="36"/>
  <c r="Q30" i="36"/>
  <c r="N31" i="36"/>
  <c r="P31" i="36"/>
  <c r="Q31" i="36"/>
  <c r="N32" i="36"/>
  <c r="P32" i="36"/>
  <c r="Q32" i="36"/>
  <c r="N33" i="36"/>
  <c r="P33" i="36"/>
  <c r="Q33" i="36"/>
  <c r="N34" i="36"/>
  <c r="P34" i="36"/>
  <c r="Q34" i="36"/>
  <c r="N35" i="36"/>
  <c r="P35" i="36"/>
  <c r="Q35" i="36"/>
  <c r="N36" i="36"/>
  <c r="P36" i="36"/>
  <c r="Q36" i="36"/>
  <c r="N37" i="36"/>
  <c r="P37" i="36"/>
  <c r="Q37" i="36"/>
  <c r="N38" i="36"/>
  <c r="P38" i="36"/>
  <c r="Q38" i="36"/>
  <c r="N39" i="36"/>
  <c r="P39" i="36"/>
  <c r="Q39" i="36"/>
  <c r="N40" i="36"/>
  <c r="P40" i="36"/>
  <c r="Q40" i="36"/>
  <c r="P41" i="36"/>
  <c r="Q41" i="36"/>
  <c r="P42" i="36"/>
  <c r="Q42" i="36"/>
  <c r="P43" i="36"/>
  <c r="Q43" i="36"/>
  <c r="L44" i="36"/>
  <c r="O44" i="36"/>
  <c r="L45" i="36"/>
  <c r="O45" i="36"/>
  <c r="L46" i="36"/>
  <c r="O46" i="36"/>
  <c r="L51" i="36"/>
  <c r="G58" i="36"/>
  <c r="I53" i="36"/>
  <c r="I52" i="36"/>
  <c r="I51" i="36"/>
  <c r="K46" i="36"/>
  <c r="K45" i="36"/>
  <c r="K44" i="36"/>
  <c r="G43" i="36"/>
  <c r="G42" i="36"/>
  <c r="I42" i="36"/>
  <c r="J42" i="36" s="1"/>
  <c r="G41" i="36"/>
  <c r="I41" i="36"/>
  <c r="J41" i="36" s="1"/>
  <c r="G40" i="36"/>
  <c r="I40" i="36"/>
  <c r="J40" i="36" s="1"/>
  <c r="I30" i="36"/>
  <c r="I29" i="36"/>
  <c r="I10" i="36"/>
  <c r="I9" i="36"/>
  <c r="F1" i="36"/>
  <c r="J43" i="36" l="1"/>
  <c r="L47" i="36"/>
  <c r="M20" i="36"/>
  <c r="O47" i="36"/>
  <c r="M11" i="36"/>
  <c r="E45" i="36"/>
  <c r="H45" i="36" s="1"/>
  <c r="G45" i="36"/>
  <c r="G46" i="36"/>
  <c r="M24" i="36"/>
  <c r="K47" i="36"/>
  <c r="M3" i="36"/>
  <c r="I37" i="36"/>
  <c r="J37" i="36" s="1"/>
  <c r="I11" i="36"/>
  <c r="J11" i="36" s="1"/>
  <c r="M22" i="36"/>
  <c r="I16" i="36"/>
  <c r="J16" i="36" s="1"/>
  <c r="I4" i="36"/>
  <c r="J4" i="36" s="1"/>
  <c r="I7" i="36"/>
  <c r="J7" i="36" s="1"/>
  <c r="I33" i="36"/>
  <c r="J33" i="36" s="1"/>
  <c r="I35" i="36"/>
  <c r="J35" i="36" s="1"/>
  <c r="I38" i="36"/>
  <c r="J38" i="36" s="1"/>
  <c r="I14" i="36"/>
  <c r="J14" i="36" s="1"/>
  <c r="I17" i="36"/>
  <c r="J17" i="36" s="1"/>
  <c r="I39" i="36"/>
  <c r="I22" i="36"/>
  <c r="J22" i="36" s="1"/>
  <c r="I34" i="36"/>
  <c r="J34" i="36" s="1"/>
  <c r="I36" i="36"/>
  <c r="J36" i="36" s="1"/>
  <c r="I5" i="36"/>
  <c r="J5" i="36" s="1"/>
  <c r="I23" i="36"/>
  <c r="J23" i="36" s="1"/>
  <c r="I3" i="36"/>
  <c r="I6" i="36"/>
  <c r="J6" i="36" s="1"/>
  <c r="I13" i="36"/>
  <c r="J13" i="36" s="1"/>
  <c r="I20" i="36"/>
  <c r="J20" i="36" s="1"/>
  <c r="I12" i="36"/>
  <c r="J12" i="36" s="1"/>
  <c r="I28" i="36"/>
  <c r="J28" i="36" s="1"/>
  <c r="I18" i="36"/>
  <c r="J18" i="36" s="1"/>
  <c r="I19" i="36"/>
  <c r="J19" i="36" s="1"/>
  <c r="I8" i="36"/>
  <c r="J8" i="36" s="1"/>
  <c r="I21" i="36"/>
  <c r="I26" i="36"/>
  <c r="J26" i="36" s="1"/>
  <c r="E44" i="36"/>
  <c r="H44" i="36" s="1"/>
  <c r="I15" i="36"/>
  <c r="J15" i="36" s="1"/>
  <c r="I24" i="36"/>
  <c r="J24" i="36" s="1"/>
  <c r="I25" i="36"/>
  <c r="J25" i="36" s="1"/>
  <c r="I27" i="36"/>
  <c r="J27" i="36" s="1"/>
  <c r="I32" i="36"/>
  <c r="E46" i="36"/>
  <c r="H46" i="36" s="1"/>
  <c r="M31" i="18"/>
  <c r="M29" i="18"/>
  <c r="L31" i="18"/>
  <c r="L29" i="18"/>
  <c r="L30" i="18"/>
  <c r="R38" i="20"/>
  <c r="G44" i="36" l="1"/>
  <c r="G47" i="36" s="1"/>
  <c r="M32" i="36"/>
  <c r="M40" i="36"/>
  <c r="M27" i="36"/>
  <c r="M15" i="36"/>
  <c r="M33" i="36"/>
  <c r="M7" i="36"/>
  <c r="M36" i="36"/>
  <c r="M41" i="36"/>
  <c r="M5" i="36"/>
  <c r="M38" i="36"/>
  <c r="M43" i="36"/>
  <c r="M18" i="36"/>
  <c r="M39" i="36"/>
  <c r="M17" i="36"/>
  <c r="M19" i="36"/>
  <c r="M12" i="36"/>
  <c r="M9" i="36"/>
  <c r="M42" i="36"/>
  <c r="M28" i="36"/>
  <c r="M16" i="36"/>
  <c r="M26" i="36"/>
  <c r="M35" i="36"/>
  <c r="M13" i="36"/>
  <c r="M37" i="36"/>
  <c r="M4" i="36"/>
  <c r="M8" i="36"/>
  <c r="M21" i="36"/>
  <c r="M30" i="36"/>
  <c r="M6" i="36"/>
  <c r="M29" i="36"/>
  <c r="M14" i="36"/>
  <c r="M25" i="36"/>
  <c r="M31" i="36"/>
  <c r="M10" i="36"/>
  <c r="M34" i="36"/>
  <c r="M23" i="36"/>
  <c r="I45" i="36"/>
  <c r="J45" i="36" s="1"/>
  <c r="I46" i="36"/>
  <c r="J46" i="36" s="1"/>
  <c r="J32" i="36"/>
  <c r="E47" i="36"/>
  <c r="H47" i="36" s="1"/>
  <c r="I44" i="36"/>
  <c r="J3" i="36"/>
  <c r="I47" i="36" l="1"/>
  <c r="J47" i="36" s="1"/>
  <c r="J44" i="36"/>
  <c r="M9" i="18"/>
  <c r="M30" i="18" l="1"/>
  <c r="G64" i="31" l="1"/>
  <c r="G65" i="31"/>
  <c r="G66" i="31"/>
  <c r="G67" i="31"/>
  <c r="G8" i="31"/>
  <c r="G9" i="31"/>
  <c r="G10" i="31"/>
  <c r="G11" i="31"/>
  <c r="G12" i="31"/>
  <c r="G13" i="31"/>
  <c r="G14" i="31"/>
  <c r="G15" i="31"/>
  <c r="G32" i="31"/>
  <c r="G33" i="31"/>
  <c r="G34" i="31"/>
  <c r="G35" i="31"/>
  <c r="G49" i="31"/>
  <c r="G50" i="31"/>
  <c r="G51" i="31"/>
  <c r="G52" i="31"/>
  <c r="G53" i="31"/>
  <c r="G54" i="31"/>
  <c r="G55" i="31"/>
  <c r="G7" i="31"/>
  <c r="N67" i="31" l="1"/>
  <c r="P67" i="31" s="1"/>
  <c r="O67" i="31"/>
  <c r="N66" i="31"/>
  <c r="P66" i="31" s="1"/>
  <c r="O66" i="31"/>
  <c r="N65" i="31"/>
  <c r="P65" i="31" s="1"/>
  <c r="O65" i="31"/>
  <c r="N64" i="31"/>
  <c r="P64" i="31" s="1"/>
  <c r="O64" i="31"/>
  <c r="N55" i="31"/>
  <c r="N54" i="31"/>
  <c r="N53" i="31"/>
  <c r="N52" i="31"/>
  <c r="N51" i="31"/>
  <c r="N50" i="31"/>
  <c r="N49" i="31"/>
  <c r="N40" i="31"/>
  <c r="N39" i="31"/>
  <c r="N38" i="31"/>
  <c r="N37" i="31"/>
  <c r="N36" i="31"/>
  <c r="N35" i="31"/>
  <c r="N34" i="31"/>
  <c r="N33" i="31"/>
  <c r="N32" i="31"/>
  <c r="L32" i="31"/>
  <c r="M32" i="31" s="1"/>
  <c r="N20" i="31"/>
  <c r="N19" i="31"/>
  <c r="N18" i="31"/>
  <c r="N17" i="31"/>
  <c r="N16" i="31"/>
  <c r="N15" i="31"/>
  <c r="N14" i="31"/>
  <c r="N13" i="31"/>
  <c r="N12" i="31"/>
  <c r="N11" i="31"/>
  <c r="N10" i="31"/>
  <c r="N9" i="31"/>
  <c r="N8" i="31"/>
  <c r="N7" i="31"/>
  <c r="G15" i="6"/>
  <c r="G59" i="6" s="1"/>
  <c r="G25" i="6"/>
  <c r="G32" i="6"/>
  <c r="G40" i="6"/>
  <c r="G28" i="20"/>
  <c r="G24" i="20"/>
  <c r="G19" i="20"/>
  <c r="O49" i="6"/>
  <c r="N49" i="6"/>
  <c r="M49" i="6"/>
  <c r="L49" i="6"/>
  <c r="O48" i="6"/>
  <c r="N48" i="6"/>
  <c r="M48" i="6"/>
  <c r="L48" i="6"/>
  <c r="O47" i="6"/>
  <c r="N47" i="6"/>
  <c r="M47" i="6"/>
  <c r="L47" i="6"/>
  <c r="O46" i="6"/>
  <c r="N46" i="6"/>
  <c r="M46" i="6"/>
  <c r="L46" i="6"/>
  <c r="O45" i="6"/>
  <c r="N45" i="6"/>
  <c r="M45" i="6"/>
  <c r="L45" i="6"/>
  <c r="O44" i="6"/>
  <c r="N44" i="6"/>
  <c r="M44" i="6"/>
  <c r="L44" i="6"/>
  <c r="O43" i="6"/>
  <c r="N43" i="6"/>
  <c r="M43" i="6"/>
  <c r="L43" i="6"/>
  <c r="O42" i="6"/>
  <c r="N42" i="6"/>
  <c r="M42" i="6"/>
  <c r="L42" i="6"/>
  <c r="O41" i="6"/>
  <c r="N41" i="6"/>
  <c r="M41" i="6"/>
  <c r="S41" i="6" s="1"/>
  <c r="L41" i="6"/>
  <c r="O39" i="6"/>
  <c r="N39" i="6"/>
  <c r="M39" i="6"/>
  <c r="L39" i="6"/>
  <c r="O37" i="6"/>
  <c r="N37" i="6"/>
  <c r="M37" i="6"/>
  <c r="L37" i="6"/>
  <c r="O36" i="6"/>
  <c r="N36" i="6"/>
  <c r="M36" i="6"/>
  <c r="L36" i="6"/>
  <c r="O31" i="6"/>
  <c r="N31" i="6"/>
  <c r="M31" i="6"/>
  <c r="L31" i="6"/>
  <c r="O30" i="6"/>
  <c r="N30" i="6"/>
  <c r="M30" i="6"/>
  <c r="L30" i="6"/>
  <c r="O27" i="6"/>
  <c r="N27" i="6"/>
  <c r="M27" i="6"/>
  <c r="L27" i="6"/>
  <c r="O26" i="6"/>
  <c r="N26" i="6"/>
  <c r="M26" i="6"/>
  <c r="L26" i="6"/>
  <c r="O24" i="6"/>
  <c r="N24" i="6"/>
  <c r="M24" i="6"/>
  <c r="P24" i="6" s="1"/>
  <c r="L24" i="6"/>
  <c r="O23" i="6"/>
  <c r="N23" i="6"/>
  <c r="M23" i="6"/>
  <c r="P23" i="6" s="1"/>
  <c r="L23" i="6"/>
  <c r="O22" i="6"/>
  <c r="N22" i="6"/>
  <c r="M22" i="6"/>
  <c r="P22" i="6" s="1"/>
  <c r="L22" i="6"/>
  <c r="O14" i="6"/>
  <c r="N14" i="6"/>
  <c r="M14" i="6"/>
  <c r="L14" i="6"/>
  <c r="O13" i="6"/>
  <c r="N13" i="6"/>
  <c r="M13" i="6"/>
  <c r="L13" i="6"/>
  <c r="O12" i="6"/>
  <c r="N12" i="6"/>
  <c r="M12" i="6"/>
  <c r="L12" i="6"/>
  <c r="O11" i="6"/>
  <c r="N11" i="6"/>
  <c r="M11" i="6"/>
  <c r="L11" i="6"/>
  <c r="O10" i="6"/>
  <c r="N10" i="6"/>
  <c r="M10" i="6"/>
  <c r="L10" i="6"/>
  <c r="O9" i="6"/>
  <c r="N9" i="6"/>
  <c r="M9" i="6"/>
  <c r="L9" i="6"/>
  <c r="O8" i="6"/>
  <c r="N8" i="6"/>
  <c r="M8" i="6"/>
  <c r="L8" i="6"/>
  <c r="O7" i="6"/>
  <c r="N7" i="6"/>
  <c r="M7" i="6"/>
  <c r="L7" i="6"/>
  <c r="O6" i="6"/>
  <c r="N6" i="6"/>
  <c r="M6" i="6"/>
  <c r="L6" i="6"/>
  <c r="O5" i="6"/>
  <c r="N5" i="6"/>
  <c r="M5" i="6"/>
  <c r="L5" i="6"/>
  <c r="O4" i="6"/>
  <c r="N4" i="6"/>
  <c r="M4" i="6"/>
  <c r="L4" i="6"/>
  <c r="O3" i="6"/>
  <c r="N3" i="6"/>
  <c r="M3" i="6"/>
  <c r="S3" i="6" s="1"/>
  <c r="L3" i="6"/>
  <c r="L1" i="6"/>
  <c r="R32" i="31" l="1"/>
  <c r="V35" i="31"/>
  <c r="V49" i="31"/>
  <c r="L32" i="6"/>
  <c r="S26" i="6"/>
  <c r="S28" i="6"/>
  <c r="S29" i="6"/>
  <c r="P27" i="6"/>
  <c r="S27" i="6"/>
  <c r="P30" i="6"/>
  <c r="S30" i="6"/>
  <c r="P31" i="6"/>
  <c r="S31" i="6"/>
  <c r="S36" i="6"/>
  <c r="T36" i="6" s="1"/>
  <c r="S34" i="6"/>
  <c r="T34" i="6" s="1"/>
  <c r="S38" i="6"/>
  <c r="T38" i="6" s="1"/>
  <c r="S35" i="6"/>
  <c r="T35" i="6" s="1"/>
  <c r="S33" i="6"/>
  <c r="T33" i="6" s="1"/>
  <c r="P37" i="6"/>
  <c r="S37" i="6"/>
  <c r="T37" i="6" s="1"/>
  <c r="P39" i="6"/>
  <c r="S39" i="6"/>
  <c r="T39" i="6" s="1"/>
  <c r="S42" i="6"/>
  <c r="S43" i="6"/>
  <c r="S44" i="6"/>
  <c r="S45" i="6"/>
  <c r="S46" i="6"/>
  <c r="S47" i="6"/>
  <c r="S48" i="6"/>
  <c r="S49" i="6"/>
  <c r="P4" i="6"/>
  <c r="S4" i="6"/>
  <c r="P5" i="6"/>
  <c r="S5" i="6"/>
  <c r="P6" i="6"/>
  <c r="S6" i="6"/>
  <c r="S7" i="6"/>
  <c r="P8" i="6"/>
  <c r="S8" i="6"/>
  <c r="P9" i="6"/>
  <c r="S9" i="6"/>
  <c r="P10" i="6"/>
  <c r="S10" i="6"/>
  <c r="P11" i="6"/>
  <c r="S11" i="6"/>
  <c r="P12" i="6"/>
  <c r="S12" i="6"/>
  <c r="P13" i="6"/>
  <c r="S13" i="6"/>
  <c r="P14" i="6"/>
  <c r="S14" i="6"/>
  <c r="P42" i="6"/>
  <c r="P43" i="6"/>
  <c r="P44" i="6"/>
  <c r="P45" i="6"/>
  <c r="P46" i="6"/>
  <c r="P47" i="6"/>
  <c r="P48" i="6"/>
  <c r="P49" i="6"/>
  <c r="AI21" i="31"/>
  <c r="AI17" i="31"/>
  <c r="AI18" i="31"/>
  <c r="AI30" i="31"/>
  <c r="AI29" i="31"/>
  <c r="AI28" i="31"/>
  <c r="AI27" i="31"/>
  <c r="L40" i="6"/>
  <c r="L60" i="6" s="1"/>
  <c r="N40" i="6"/>
  <c r="T45" i="31"/>
  <c r="V45" i="31" s="1"/>
  <c r="T46" i="31"/>
  <c r="V46" i="31" s="1"/>
  <c r="AI45" i="31"/>
  <c r="AI46" i="31"/>
  <c r="U47" i="31"/>
  <c r="AN47" i="31" s="1"/>
  <c r="U45" i="31"/>
  <c r="U46" i="31"/>
  <c r="T47" i="31"/>
  <c r="V47" i="31" s="1"/>
  <c r="AI44" i="31"/>
  <c r="AI47" i="31"/>
  <c r="T48" i="31"/>
  <c r="T44" i="31"/>
  <c r="V44" i="31" s="1"/>
  <c r="U48" i="31"/>
  <c r="X48" i="31" s="1"/>
  <c r="U44" i="31"/>
  <c r="AI69" i="31"/>
  <c r="AI48" i="31"/>
  <c r="T69" i="31"/>
  <c r="V69" i="31" s="1"/>
  <c r="U69" i="31"/>
  <c r="AI70" i="31"/>
  <c r="AI68" i="31"/>
  <c r="T68" i="31"/>
  <c r="V68" i="31" s="1"/>
  <c r="U68" i="31"/>
  <c r="T70" i="31"/>
  <c r="V70" i="31" s="1"/>
  <c r="U70" i="31"/>
  <c r="U60" i="31"/>
  <c r="G60" i="6"/>
  <c r="O32" i="31"/>
  <c r="L72" i="31"/>
  <c r="M72" i="31" s="1"/>
  <c r="T32" i="31"/>
  <c r="V32" i="31" s="1"/>
  <c r="S32" i="31" s="1"/>
  <c r="T41" i="31"/>
  <c r="V41" i="31" s="1"/>
  <c r="T43" i="31"/>
  <c r="V43" i="31" s="1"/>
  <c r="T42" i="31"/>
  <c r="V42" i="31" s="1"/>
  <c r="O34" i="31"/>
  <c r="T34" i="31"/>
  <c r="V34" i="31" s="1"/>
  <c r="T36" i="31"/>
  <c r="V36" i="31" s="1"/>
  <c r="T38" i="31"/>
  <c r="V38" i="31" s="1"/>
  <c r="O40" i="31"/>
  <c r="T40" i="31"/>
  <c r="V40" i="31" s="1"/>
  <c r="O50" i="31"/>
  <c r="O52" i="31"/>
  <c r="O54" i="31"/>
  <c r="L71" i="31"/>
  <c r="M71" i="31" s="1"/>
  <c r="U32" i="31"/>
  <c r="U41" i="31"/>
  <c r="U43" i="31"/>
  <c r="U42" i="31"/>
  <c r="P34" i="31"/>
  <c r="U34" i="31"/>
  <c r="U36" i="31"/>
  <c r="U38" i="31"/>
  <c r="P40" i="31"/>
  <c r="U40" i="31"/>
  <c r="O33" i="31"/>
  <c r="T33" i="31"/>
  <c r="V33" i="31" s="1"/>
  <c r="S33" i="31" s="1"/>
  <c r="O35" i="31"/>
  <c r="T35" i="31"/>
  <c r="T37" i="31"/>
  <c r="V37" i="31" s="1"/>
  <c r="O39" i="31"/>
  <c r="T39" i="31"/>
  <c r="V39" i="31" s="1"/>
  <c r="O49" i="31"/>
  <c r="L73" i="31"/>
  <c r="M73" i="31" s="1"/>
  <c r="O51" i="31"/>
  <c r="O53" i="31"/>
  <c r="O55" i="31"/>
  <c r="U33" i="31"/>
  <c r="P35" i="31"/>
  <c r="U35" i="31"/>
  <c r="U37" i="31"/>
  <c r="P39" i="31"/>
  <c r="U39" i="31"/>
  <c r="L15" i="6"/>
  <c r="L59" i="6" s="1"/>
  <c r="N32" i="6"/>
  <c r="N50" i="6"/>
  <c r="N61" i="6" s="1"/>
  <c r="O7" i="31"/>
  <c r="O9" i="31"/>
  <c r="O11" i="31"/>
  <c r="O13" i="31"/>
  <c r="O15" i="31"/>
  <c r="O8" i="31"/>
  <c r="O10" i="31"/>
  <c r="O12" i="31"/>
  <c r="O14" i="31"/>
  <c r="O16" i="31"/>
  <c r="O20" i="31"/>
  <c r="P16" i="31"/>
  <c r="P20" i="31"/>
  <c r="O40" i="6"/>
  <c r="O15" i="6"/>
  <c r="O59" i="6" s="1"/>
  <c r="AI63" i="31"/>
  <c r="L25" i="6"/>
  <c r="O50" i="6"/>
  <c r="O61" i="6" s="1"/>
  <c r="P41" i="6"/>
  <c r="M50" i="6"/>
  <c r="O32" i="6"/>
  <c r="M15" i="6"/>
  <c r="P3" i="6"/>
  <c r="P7" i="6"/>
  <c r="M32" i="6"/>
  <c r="P26" i="6"/>
  <c r="M40" i="6"/>
  <c r="P36" i="6"/>
  <c r="N15" i="6"/>
  <c r="N59" i="6" s="1"/>
  <c r="M25" i="6"/>
  <c r="O25" i="6"/>
  <c r="N25" i="6"/>
  <c r="AO15" i="31"/>
  <c r="AI26" i="31"/>
  <c r="AI23" i="31"/>
  <c r="AI22" i="31"/>
  <c r="AI41" i="31"/>
  <c r="AI5" i="31"/>
  <c r="AI6" i="31"/>
  <c r="AI4" i="31"/>
  <c r="AI3" i="31"/>
  <c r="AI57" i="31"/>
  <c r="AI56" i="31"/>
  <c r="AI59" i="31"/>
  <c r="AI58" i="31"/>
  <c r="I3" i="5"/>
  <c r="AA49" i="6"/>
  <c r="AA48" i="6"/>
  <c r="AA47" i="6"/>
  <c r="AA46" i="6"/>
  <c r="AA45" i="6"/>
  <c r="AA44" i="6"/>
  <c r="AA43" i="6"/>
  <c r="AA42" i="6"/>
  <c r="AA41" i="6"/>
  <c r="AA31" i="6"/>
  <c r="AA30" i="6"/>
  <c r="AA27" i="6"/>
  <c r="AA26" i="6"/>
  <c r="AA14" i="6"/>
  <c r="AA13" i="6"/>
  <c r="AA12" i="6"/>
  <c r="AA11" i="6"/>
  <c r="AA10" i="6"/>
  <c r="AA9" i="6"/>
  <c r="AA8" i="6"/>
  <c r="AA7" i="6"/>
  <c r="AA6" i="6"/>
  <c r="AA5" i="6"/>
  <c r="AA4" i="6"/>
  <c r="AA3" i="6"/>
  <c r="F49" i="6"/>
  <c r="F48" i="6"/>
  <c r="F47" i="6"/>
  <c r="F46" i="6"/>
  <c r="F45" i="6"/>
  <c r="F44" i="6"/>
  <c r="F43" i="6"/>
  <c r="F39" i="6"/>
  <c r="F37" i="6"/>
  <c r="F36" i="6"/>
  <c r="F27" i="6"/>
  <c r="F26" i="6"/>
  <c r="F24" i="6"/>
  <c r="E24" i="6"/>
  <c r="F23" i="6"/>
  <c r="E23" i="6"/>
  <c r="F22" i="6"/>
  <c r="F14" i="6"/>
  <c r="F12" i="6"/>
  <c r="F11" i="6"/>
  <c r="F10" i="6"/>
  <c r="F9" i="6"/>
  <c r="F8" i="6"/>
  <c r="F7" i="6"/>
  <c r="F6" i="6"/>
  <c r="F5" i="6"/>
  <c r="F4" i="6"/>
  <c r="A4" i="6"/>
  <c r="F3" i="6"/>
  <c r="M74" i="31" l="1"/>
  <c r="W48" i="31"/>
  <c r="V48" i="31"/>
  <c r="F40" i="6"/>
  <c r="W19" i="6"/>
  <c r="X19" i="6" s="1"/>
  <c r="Y20" i="6"/>
  <c r="Z20" i="6" s="1"/>
  <c r="Y19" i="6"/>
  <c r="Z19" i="6" s="1"/>
  <c r="P25" i="6"/>
  <c r="W20" i="6"/>
  <c r="X20" i="6" s="1"/>
  <c r="P40" i="6"/>
  <c r="N60" i="6"/>
  <c r="X47" i="31"/>
  <c r="AN48" i="31"/>
  <c r="AN46" i="31"/>
  <c r="X46" i="31"/>
  <c r="AN45" i="31"/>
  <c r="X45" i="31"/>
  <c r="W46" i="31"/>
  <c r="W45" i="31"/>
  <c r="W47" i="31"/>
  <c r="AN44" i="31"/>
  <c r="X44" i="31"/>
  <c r="W44" i="31"/>
  <c r="AN69" i="31"/>
  <c r="X69" i="31"/>
  <c r="W69" i="31"/>
  <c r="AN68" i="31"/>
  <c r="X68" i="31"/>
  <c r="W68" i="31"/>
  <c r="X70" i="31"/>
  <c r="AN70" i="31"/>
  <c r="W70" i="31"/>
  <c r="W34" i="31"/>
  <c r="W41" i="31"/>
  <c r="W40" i="31"/>
  <c r="O60" i="6"/>
  <c r="W39" i="31"/>
  <c r="W43" i="31"/>
  <c r="W35" i="31"/>
  <c r="W42" i="31"/>
  <c r="W33" i="31"/>
  <c r="W32" i="31"/>
  <c r="T72" i="31"/>
  <c r="P50" i="6"/>
  <c r="P61" i="6" s="1"/>
  <c r="M61" i="6"/>
  <c r="P21" i="6"/>
  <c r="M59" i="6"/>
  <c r="P32" i="6"/>
  <c r="P60" i="6" s="1"/>
  <c r="M60" i="6"/>
  <c r="X40" i="31"/>
  <c r="X41" i="31"/>
  <c r="X42" i="31"/>
  <c r="X35" i="31"/>
  <c r="X34" i="31"/>
  <c r="X39" i="31"/>
  <c r="X43" i="31"/>
  <c r="P15" i="6"/>
  <c r="Y18" i="6"/>
  <c r="Z18" i="6" s="1"/>
  <c r="Y17" i="6"/>
  <c r="Z17" i="6" s="1"/>
  <c r="Y16" i="6"/>
  <c r="Z16" i="6" s="1"/>
  <c r="AI42" i="31"/>
  <c r="E50" i="6"/>
  <c r="E61" i="6" s="1"/>
  <c r="F25" i="6"/>
  <c r="F50" i="6"/>
  <c r="F15" i="6"/>
  <c r="F59" i="6" s="1"/>
  <c r="E15" i="6"/>
  <c r="E59" i="6" s="1"/>
  <c r="F32" i="6"/>
  <c r="L50" i="6"/>
  <c r="L61" i="6" s="1"/>
  <c r="AJ43" i="18"/>
  <c r="AJ42" i="18"/>
  <c r="AJ41" i="18"/>
  <c r="AJ40" i="18"/>
  <c r="AJ39" i="18"/>
  <c r="AJ38" i="18"/>
  <c r="AJ37" i="18"/>
  <c r="AJ36" i="18"/>
  <c r="AJ35" i="18"/>
  <c r="AJ34" i="18"/>
  <c r="AJ33" i="18"/>
  <c r="AJ32" i="18"/>
  <c r="AJ31" i="18"/>
  <c r="AJ30" i="18"/>
  <c r="AJ29" i="18"/>
  <c r="AJ28" i="18"/>
  <c r="AJ27" i="18"/>
  <c r="AJ26" i="18"/>
  <c r="AJ25" i="18"/>
  <c r="AJ24" i="18"/>
  <c r="AJ23" i="18"/>
  <c r="AJ22" i="18"/>
  <c r="AJ21" i="18"/>
  <c r="AJ20" i="18"/>
  <c r="AJ19" i="18"/>
  <c r="AJ18" i="18"/>
  <c r="AJ17" i="18"/>
  <c r="AJ16" i="18"/>
  <c r="AJ15" i="18"/>
  <c r="AJ14" i="18"/>
  <c r="AJ13" i="18"/>
  <c r="AJ12" i="18"/>
  <c r="AJ11" i="18"/>
  <c r="AJ10" i="18"/>
  <c r="AJ9" i="18"/>
  <c r="AJ8" i="18"/>
  <c r="AJ7" i="18"/>
  <c r="AJ6" i="18"/>
  <c r="AJ5" i="18"/>
  <c r="AJ4" i="18"/>
  <c r="V72" i="31" l="1"/>
  <c r="P59" i="6"/>
  <c r="F58" i="6"/>
  <c r="F61" i="6" s="1"/>
  <c r="Z62" i="31"/>
  <c r="AI62" i="31"/>
  <c r="Z61" i="31"/>
  <c r="AI61" i="31"/>
  <c r="AN41" i="31"/>
  <c r="AN42" i="31"/>
  <c r="E62" i="6"/>
  <c r="F60" i="6"/>
  <c r="I152" i="34"/>
  <c r="D86" i="34"/>
  <c r="P85" i="34"/>
  <c r="H85" i="34"/>
  <c r="D85" i="34"/>
  <c r="Q84" i="34"/>
  <c r="Q83" i="34"/>
  <c r="Q82" i="34"/>
  <c r="Q81" i="34"/>
  <c r="J81" i="34"/>
  <c r="E81" i="34"/>
  <c r="G81" i="34" s="1"/>
  <c r="I81" i="34" s="1"/>
  <c r="Q80" i="34"/>
  <c r="Q79" i="34"/>
  <c r="Q78" i="34"/>
  <c r="Q77" i="34"/>
  <c r="J77" i="34"/>
  <c r="E77" i="34"/>
  <c r="G77" i="34" s="1"/>
  <c r="I77" i="34" s="1"/>
  <c r="Q76" i="34"/>
  <c r="Q75" i="34"/>
  <c r="Q74" i="34"/>
  <c r="Q73" i="34"/>
  <c r="J73" i="34"/>
  <c r="I73" i="34"/>
  <c r="Q72" i="34"/>
  <c r="Q71" i="34"/>
  <c r="J71" i="34"/>
  <c r="E71" i="34"/>
  <c r="G71" i="34" s="1"/>
  <c r="I71" i="34" s="1"/>
  <c r="Q70" i="34"/>
  <c r="Q69" i="34"/>
  <c r="Q68" i="34"/>
  <c r="J68" i="34"/>
  <c r="E68" i="34"/>
  <c r="G68" i="34" s="1"/>
  <c r="I68" i="34" s="1"/>
  <c r="Q67" i="34"/>
  <c r="Q66" i="34"/>
  <c r="E66" i="34"/>
  <c r="G66" i="34" s="1"/>
  <c r="I66" i="34" s="1"/>
  <c r="Q65" i="34"/>
  <c r="Q64" i="34"/>
  <c r="Q63" i="34"/>
  <c r="J63" i="34"/>
  <c r="E63" i="34"/>
  <c r="G63" i="34" s="1"/>
  <c r="I63" i="34" s="1"/>
  <c r="Q62" i="34"/>
  <c r="Q61" i="34"/>
  <c r="Q60" i="34"/>
  <c r="J60" i="34"/>
  <c r="E60" i="34"/>
  <c r="G60" i="34" s="1"/>
  <c r="I60" i="34" s="1"/>
  <c r="Q59" i="34"/>
  <c r="Q58" i="34"/>
  <c r="J58" i="34"/>
  <c r="E58" i="34"/>
  <c r="G58" i="34" s="1"/>
  <c r="I58" i="34" s="1"/>
  <c r="Q57" i="34"/>
  <c r="Q56" i="34"/>
  <c r="J56" i="34"/>
  <c r="E56" i="34"/>
  <c r="G56" i="34" s="1"/>
  <c r="I56" i="34" s="1"/>
  <c r="Q55" i="34"/>
  <c r="Q54" i="34"/>
  <c r="E54" i="34"/>
  <c r="G54" i="34" s="1"/>
  <c r="I54" i="34" s="1"/>
  <c r="Q53" i="34"/>
  <c r="Q52" i="34"/>
  <c r="Q51" i="34"/>
  <c r="Q50" i="34"/>
  <c r="J50" i="34"/>
  <c r="F50" i="34"/>
  <c r="F85" i="34" s="1"/>
  <c r="E50" i="34"/>
  <c r="Q49" i="34"/>
  <c r="Q48" i="34"/>
  <c r="Q47" i="34"/>
  <c r="Q46" i="34"/>
  <c r="J46" i="34"/>
  <c r="E46" i="34"/>
  <c r="G46" i="34" s="1"/>
  <c r="I46" i="34" s="1"/>
  <c r="Q45" i="34"/>
  <c r="Q44" i="34"/>
  <c r="E44" i="34"/>
  <c r="G44" i="34" s="1"/>
  <c r="I44" i="34" s="1"/>
  <c r="Q43" i="34"/>
  <c r="Q42" i="34"/>
  <c r="Q41" i="34"/>
  <c r="J41" i="34"/>
  <c r="E41" i="34"/>
  <c r="G41" i="34" s="1"/>
  <c r="I41" i="34" s="1"/>
  <c r="Q40" i="34"/>
  <c r="Q39" i="34"/>
  <c r="Q38" i="34"/>
  <c r="J38" i="34"/>
  <c r="E38" i="34"/>
  <c r="G38" i="34" s="1"/>
  <c r="I38" i="34" s="1"/>
  <c r="Q37" i="34"/>
  <c r="Q36" i="34"/>
  <c r="Q35" i="34"/>
  <c r="Q34" i="34"/>
  <c r="J34" i="34"/>
  <c r="E34" i="34"/>
  <c r="G34" i="34" s="1"/>
  <c r="I34" i="34" s="1"/>
  <c r="Q33" i="34"/>
  <c r="Q32" i="34"/>
  <c r="Q31" i="34"/>
  <c r="Q30" i="34"/>
  <c r="Q29" i="34"/>
  <c r="J29" i="34"/>
  <c r="E29" i="34"/>
  <c r="G29" i="34" s="1"/>
  <c r="I29" i="34" s="1"/>
  <c r="Q28" i="34"/>
  <c r="Q27" i="34"/>
  <c r="E27" i="34"/>
  <c r="G27" i="34" s="1"/>
  <c r="F62" i="6" l="1"/>
  <c r="R41" i="34"/>
  <c r="D87" i="34"/>
  <c r="R44" i="34"/>
  <c r="G50" i="34"/>
  <c r="I50" i="34" s="1"/>
  <c r="R50" i="34" s="1"/>
  <c r="R63" i="34"/>
  <c r="R68" i="34"/>
  <c r="R38" i="34"/>
  <c r="R66" i="34"/>
  <c r="R71" i="34"/>
  <c r="R73" i="34"/>
  <c r="R29" i="34"/>
  <c r="R46" i="34"/>
  <c r="R81" i="34"/>
  <c r="Q85" i="34"/>
  <c r="R56" i="34"/>
  <c r="R58" i="34"/>
  <c r="R60" i="34"/>
  <c r="R34" i="34"/>
  <c r="R54" i="34"/>
  <c r="R77" i="34"/>
  <c r="I27" i="34"/>
  <c r="G85" i="34" l="1"/>
  <c r="I85" i="34"/>
  <c r="R27" i="34"/>
  <c r="Z43" i="31" l="1"/>
  <c r="Z40" i="31"/>
  <c r="AK72" i="31"/>
  <c r="AM66" i="31"/>
  <c r="AM65" i="31"/>
  <c r="AM64" i="31"/>
  <c r="AM55" i="31"/>
  <c r="AM54" i="31"/>
  <c r="AM53" i="31"/>
  <c r="AM52" i="31"/>
  <c r="AM51" i="31"/>
  <c r="AM50" i="31"/>
  <c r="AM49" i="31"/>
  <c r="AM43" i="31"/>
  <c r="AM40" i="31"/>
  <c r="AM39" i="31"/>
  <c r="AM38" i="31"/>
  <c r="AM37" i="31"/>
  <c r="AM36" i="31"/>
  <c r="AM35" i="31"/>
  <c r="AM34" i="31"/>
  <c r="AM33" i="31"/>
  <c r="AM32" i="31"/>
  <c r="AM31" i="31"/>
  <c r="AM25" i="31"/>
  <c r="AM24" i="31"/>
  <c r="AM20" i="31"/>
  <c r="AM19" i="31"/>
  <c r="AM18" i="31"/>
  <c r="AM17" i="31"/>
  <c r="AM16" i="31"/>
  <c r="AM15" i="31"/>
  <c r="AM14" i="31"/>
  <c r="AM13" i="31"/>
  <c r="AM12" i="31"/>
  <c r="AM11" i="31"/>
  <c r="AM10" i="31"/>
  <c r="AM9" i="31"/>
  <c r="AD9" i="31"/>
  <c r="AM8" i="31"/>
  <c r="AM7" i="31"/>
  <c r="AD7" i="31"/>
  <c r="AB7" i="31"/>
  <c r="H55" i="31"/>
  <c r="P55" i="31" s="1"/>
  <c r="H54" i="31"/>
  <c r="P54" i="31" s="1"/>
  <c r="H53" i="31"/>
  <c r="P53" i="31" s="1"/>
  <c r="H52" i="31"/>
  <c r="P52" i="31" s="1"/>
  <c r="H51" i="31"/>
  <c r="P51" i="31" s="1"/>
  <c r="H50" i="31"/>
  <c r="P50" i="31" s="1"/>
  <c r="H49" i="31"/>
  <c r="P49" i="31" s="1"/>
  <c r="I40" i="31"/>
  <c r="I39" i="31"/>
  <c r="H38" i="31"/>
  <c r="H37" i="31"/>
  <c r="H36" i="31"/>
  <c r="H33" i="31"/>
  <c r="H32" i="31"/>
  <c r="I15" i="31"/>
  <c r="H15" i="31"/>
  <c r="P15" i="31" s="1"/>
  <c r="I14" i="31"/>
  <c r="H14" i="31"/>
  <c r="P14" i="31" s="1"/>
  <c r="I13" i="31"/>
  <c r="H13" i="31"/>
  <c r="P13" i="31" s="1"/>
  <c r="I12" i="31"/>
  <c r="H12" i="31"/>
  <c r="P12" i="31" s="1"/>
  <c r="I11" i="31"/>
  <c r="H11" i="31"/>
  <c r="P11" i="31" s="1"/>
  <c r="I10" i="31"/>
  <c r="H10" i="31"/>
  <c r="P10" i="31" s="1"/>
  <c r="H9" i="31"/>
  <c r="P9" i="31" s="1"/>
  <c r="H8" i="31"/>
  <c r="P8" i="31" s="1"/>
  <c r="I7" i="31"/>
  <c r="H7" i="31"/>
  <c r="P7" i="31" s="1"/>
  <c r="T66" i="31"/>
  <c r="A4" i="20"/>
  <c r="T44" i="18"/>
  <c r="T45" i="18"/>
  <c r="T46" i="18"/>
  <c r="AI4" i="18"/>
  <c r="AI5" i="18"/>
  <c r="AI6" i="18"/>
  <c r="AI7" i="18"/>
  <c r="AI8" i="18"/>
  <c r="AI9" i="18"/>
  <c r="AI10" i="18"/>
  <c r="AI11" i="18"/>
  <c r="AI12" i="18"/>
  <c r="AI13" i="18"/>
  <c r="AI14" i="18"/>
  <c r="AI15" i="18"/>
  <c r="AI16" i="18"/>
  <c r="AI17" i="18"/>
  <c r="AI18" i="18"/>
  <c r="AI19" i="18"/>
  <c r="AI20" i="18"/>
  <c r="AI21" i="18"/>
  <c r="AI22" i="18"/>
  <c r="AI23" i="18"/>
  <c r="AI24" i="18"/>
  <c r="AI25" i="18"/>
  <c r="AI26" i="18"/>
  <c r="AI27" i="18"/>
  <c r="AI28" i="18"/>
  <c r="AI29" i="18"/>
  <c r="AI30" i="18"/>
  <c r="AI31" i="18"/>
  <c r="AI32" i="18"/>
  <c r="AI33" i="18"/>
  <c r="AI34" i="18"/>
  <c r="AI35" i="18"/>
  <c r="AI36" i="18"/>
  <c r="AI37" i="18"/>
  <c r="AI38" i="18"/>
  <c r="AI39" i="18"/>
  <c r="AI40" i="18"/>
  <c r="AI41" i="18"/>
  <c r="AI42" i="18"/>
  <c r="AI43" i="18"/>
  <c r="AI3" i="18"/>
  <c r="W66" i="31" l="1"/>
  <c r="V66" i="31"/>
  <c r="AD74" i="31"/>
  <c r="P37" i="31"/>
  <c r="X37" i="31"/>
  <c r="P32" i="31"/>
  <c r="X32" i="31"/>
  <c r="P38" i="31"/>
  <c r="X38" i="31"/>
  <c r="P33" i="31"/>
  <c r="X33" i="31"/>
  <c r="P36" i="31"/>
  <c r="X36" i="31"/>
  <c r="U66" i="31"/>
  <c r="X66" i="31" s="1"/>
  <c r="T47" i="18"/>
  <c r="E6" i="18"/>
  <c r="F6" i="18"/>
  <c r="G6" i="18"/>
  <c r="L6" i="18"/>
  <c r="M6" i="18"/>
  <c r="AF6" i="18"/>
  <c r="AH6" i="18"/>
  <c r="V7" i="18"/>
  <c r="V9" i="18"/>
  <c r="O6" i="18" l="1"/>
  <c r="N6" i="18"/>
  <c r="W14" i="18"/>
  <c r="V14" i="18"/>
  <c r="V16" i="18"/>
  <c r="W19" i="18"/>
  <c r="V19" i="18"/>
  <c r="AH15" i="18"/>
  <c r="AF15" i="18"/>
  <c r="M15" i="18"/>
  <c r="L15" i="18"/>
  <c r="M41" i="18"/>
  <c r="M42" i="18"/>
  <c r="M43" i="18"/>
  <c r="Q43" i="18" s="1"/>
  <c r="S43" i="18" s="1"/>
  <c r="M40" i="18"/>
  <c r="L43" i="18"/>
  <c r="P43" i="18" s="1"/>
  <c r="R43" i="18" s="1"/>
  <c r="L42" i="18"/>
  <c r="L41" i="18"/>
  <c r="L40" i="18"/>
  <c r="AF40" i="18"/>
  <c r="AF10" i="18"/>
  <c r="AF9" i="18"/>
  <c r="W28" i="18"/>
  <c r="V28" i="18"/>
  <c r="W26" i="18"/>
  <c r="V26" i="18"/>
  <c r="W16" i="18"/>
  <c r="W11" i="18"/>
  <c r="V11" i="18"/>
  <c r="AH13" i="18"/>
  <c r="AF13" i="18"/>
  <c r="M13" i="18"/>
  <c r="L13" i="18"/>
  <c r="G13" i="18"/>
  <c r="F13" i="18"/>
  <c r="E13" i="18"/>
  <c r="AH12" i="18"/>
  <c r="AF12" i="18"/>
  <c r="M12" i="18"/>
  <c r="L12" i="18"/>
  <c r="G12" i="18"/>
  <c r="F12" i="18"/>
  <c r="E12" i="18"/>
  <c r="AH11" i="18"/>
  <c r="AF11" i="18"/>
  <c r="M11" i="18"/>
  <c r="L11" i="18"/>
  <c r="G11" i="18"/>
  <c r="F11" i="18"/>
  <c r="E11" i="18"/>
  <c r="E49" i="5"/>
  <c r="E52" i="5" s="1"/>
  <c r="E35" i="5"/>
  <c r="E27" i="5"/>
  <c r="E22" i="5"/>
  <c r="E18" i="5"/>
  <c r="Q37" i="20"/>
  <c r="Q36" i="20"/>
  <c r="Q35" i="20"/>
  <c r="Q34" i="20"/>
  <c r="E50" i="5" l="1"/>
  <c r="E51" i="5"/>
  <c r="N12" i="18"/>
  <c r="O13" i="18"/>
  <c r="N11" i="18"/>
  <c r="O12" i="18"/>
  <c r="N13" i="18"/>
  <c r="O11" i="18"/>
  <c r="G15" i="20"/>
  <c r="E9" i="20"/>
  <c r="G10" i="18" l="1"/>
  <c r="G9" i="18"/>
  <c r="G31" i="18"/>
  <c r="G30" i="18"/>
  <c r="G29" i="18"/>
  <c r="I49" i="31"/>
  <c r="L27" i="18"/>
  <c r="L28" i="18"/>
  <c r="P29" i="18"/>
  <c r="P30" i="18"/>
  <c r="P31" i="18"/>
  <c r="L26" i="18"/>
  <c r="AH31" i="18"/>
  <c r="AF31" i="18"/>
  <c r="F31" i="18"/>
  <c r="E31" i="18"/>
  <c r="AH30" i="18"/>
  <c r="AF30" i="18"/>
  <c r="F30" i="18"/>
  <c r="E30" i="18"/>
  <c r="AH29" i="18"/>
  <c r="AF29" i="18"/>
  <c r="W29" i="18"/>
  <c r="F29" i="18"/>
  <c r="E29" i="18"/>
  <c r="I66" i="31"/>
  <c r="W43" i="18"/>
  <c r="AH43" i="18"/>
  <c r="Q30" i="18" l="1"/>
  <c r="S30" i="18" s="1"/>
  <c r="V31" i="18"/>
  <c r="Q29" i="18"/>
  <c r="S29" i="18" s="1"/>
  <c r="V29" i="18"/>
  <c r="R30" i="18"/>
  <c r="R29" i="18"/>
  <c r="R31" i="18"/>
  <c r="V30" i="18"/>
  <c r="Q31" i="18"/>
  <c r="S31" i="18" s="1"/>
  <c r="O31" i="18"/>
  <c r="O30" i="18"/>
  <c r="O29" i="18"/>
  <c r="V43" i="18"/>
  <c r="U43" i="18"/>
  <c r="Y43" i="18" s="1"/>
  <c r="AB43" i="18" s="1"/>
  <c r="O43" i="18"/>
  <c r="N43" i="18"/>
  <c r="AA43" i="18" l="1"/>
  <c r="AC43" i="18"/>
  <c r="L19" i="18"/>
  <c r="M19" i="18"/>
  <c r="AF19" i="18"/>
  <c r="AH19" i="18"/>
  <c r="V22" i="18"/>
  <c r="L17" i="18"/>
  <c r="M17" i="18"/>
  <c r="AF17" i="18"/>
  <c r="AH17" i="18"/>
  <c r="L18" i="18"/>
  <c r="M18" i="18"/>
  <c r="AF18" i="18"/>
  <c r="AH18" i="18"/>
  <c r="R24" i="20" l="1"/>
  <c r="R15" i="20" l="1"/>
  <c r="AF39" i="18"/>
  <c r="AF38" i="18"/>
  <c r="AF37" i="18"/>
  <c r="AF36" i="18"/>
  <c r="AF35" i="18"/>
  <c r="AF34" i="18"/>
  <c r="AF33" i="18"/>
  <c r="AF32" i="18"/>
  <c r="AF28" i="18"/>
  <c r="AF26" i="18"/>
  <c r="AF25" i="18"/>
  <c r="AF24" i="18"/>
  <c r="AF23" i="18"/>
  <c r="AF22" i="18"/>
  <c r="AF21" i="18"/>
  <c r="AF20" i="18"/>
  <c r="AF16" i="18"/>
  <c r="AF14" i="18"/>
  <c r="AF8" i="18"/>
  <c r="AF7" i="18"/>
  <c r="AF5" i="18"/>
  <c r="AF4" i="18"/>
  <c r="AF27" i="18"/>
  <c r="O18" i="20" l="1"/>
  <c r="N18" i="20"/>
  <c r="M18" i="20"/>
  <c r="L18" i="20"/>
  <c r="F18" i="20"/>
  <c r="E18" i="20"/>
  <c r="O17" i="20"/>
  <c r="N17" i="20"/>
  <c r="M17" i="20"/>
  <c r="L17" i="20"/>
  <c r="F17" i="20"/>
  <c r="E17" i="20"/>
  <c r="O16" i="20"/>
  <c r="N16" i="20"/>
  <c r="M16" i="20"/>
  <c r="L16" i="20"/>
  <c r="F16" i="20"/>
  <c r="E16" i="20"/>
  <c r="F35" i="5"/>
  <c r="F22" i="5"/>
  <c r="O27" i="20"/>
  <c r="N27" i="20"/>
  <c r="M27" i="20"/>
  <c r="L27" i="20"/>
  <c r="F27" i="20"/>
  <c r="E27" i="20"/>
  <c r="O26" i="20"/>
  <c r="N26" i="20"/>
  <c r="M26" i="20"/>
  <c r="L26" i="20"/>
  <c r="F26" i="20"/>
  <c r="E26" i="20"/>
  <c r="O25" i="20"/>
  <c r="N25" i="20"/>
  <c r="M25" i="20"/>
  <c r="L25" i="20"/>
  <c r="F25" i="20"/>
  <c r="E25" i="20"/>
  <c r="L28" i="20" l="1"/>
  <c r="L19" i="20"/>
  <c r="M28" i="20"/>
  <c r="M19" i="20"/>
  <c r="N28" i="20"/>
  <c r="N19" i="20"/>
  <c r="O28" i="20"/>
  <c r="O19" i="20"/>
  <c r="F19" i="20"/>
  <c r="P16" i="20"/>
  <c r="P17" i="20"/>
  <c r="P18" i="20"/>
  <c r="P26" i="20"/>
  <c r="P25" i="20"/>
  <c r="P27" i="20"/>
  <c r="I65" i="31" l="1"/>
  <c r="Q33" i="20"/>
  <c r="Q32" i="20"/>
  <c r="Q31" i="20"/>
  <c r="Q23" i="20"/>
  <c r="Q22" i="20"/>
  <c r="Q21" i="20"/>
  <c r="Q20" i="20"/>
  <c r="Q14" i="20"/>
  <c r="Q13" i="20"/>
  <c r="Q12" i="20"/>
  <c r="Q11" i="20"/>
  <c r="Q10" i="20"/>
  <c r="Q9" i="20"/>
  <c r="Q8" i="20"/>
  <c r="Q7" i="20"/>
  <c r="Q6" i="20"/>
  <c r="Q5" i="20"/>
  <c r="Q4" i="20"/>
  <c r="Q3" i="20"/>
  <c r="Z13" i="20"/>
  <c r="O13" i="20"/>
  <c r="N13" i="20"/>
  <c r="M13" i="20"/>
  <c r="U13" i="20" s="1"/>
  <c r="L13" i="20"/>
  <c r="F13" i="20"/>
  <c r="E13" i="20"/>
  <c r="Z12" i="20"/>
  <c r="O12" i="20"/>
  <c r="N12" i="20"/>
  <c r="M12" i="20"/>
  <c r="U12" i="20" s="1"/>
  <c r="L12" i="20"/>
  <c r="F12" i="20"/>
  <c r="E12" i="20"/>
  <c r="W36" i="18"/>
  <c r="V36" i="18"/>
  <c r="W34" i="18"/>
  <c r="V34" i="18"/>
  <c r="AH37" i="18"/>
  <c r="M37" i="18"/>
  <c r="L37" i="18"/>
  <c r="F37" i="18"/>
  <c r="E37" i="18"/>
  <c r="AH36" i="18"/>
  <c r="M36" i="18"/>
  <c r="L36" i="18"/>
  <c r="F36" i="18"/>
  <c r="E36" i="18"/>
  <c r="G43" i="18" l="1"/>
  <c r="I67" i="31"/>
  <c r="Q15" i="20"/>
  <c r="Q24" i="20"/>
  <c r="Q38" i="20"/>
  <c r="O37" i="18"/>
  <c r="O36" i="18"/>
  <c r="P13" i="20"/>
  <c r="P12" i="20"/>
  <c r="N37" i="18"/>
  <c r="N36" i="18"/>
  <c r="AH20" i="18"/>
  <c r="M20" i="18"/>
  <c r="L20" i="18"/>
  <c r="H22" i="31" l="1"/>
  <c r="G22" i="31"/>
  <c r="I22" i="31"/>
  <c r="G20" i="18"/>
  <c r="F20" i="18"/>
  <c r="O20" i="18" s="1"/>
  <c r="E20" i="18"/>
  <c r="N20" i="18" s="1"/>
  <c r="Z37" i="20"/>
  <c r="O37" i="20"/>
  <c r="N37" i="20"/>
  <c r="M37" i="20"/>
  <c r="U37" i="20" s="1"/>
  <c r="L37" i="20"/>
  <c r="F37" i="20"/>
  <c r="E37" i="20"/>
  <c r="O22" i="31" l="1"/>
  <c r="P22" i="31"/>
  <c r="P37" i="20"/>
  <c r="Z55" i="31" l="1"/>
  <c r="Z54" i="31"/>
  <c r="U67" i="31"/>
  <c r="U65" i="31"/>
  <c r="X65" i="31" s="1"/>
  <c r="U64" i="31"/>
  <c r="X64" i="31" s="1"/>
  <c r="Y67" i="31" l="1"/>
  <c r="AC67" i="31" s="1"/>
  <c r="AF67" i="31" s="1"/>
  <c r="X67" i="31"/>
  <c r="Z63" i="31"/>
  <c r="AI67" i="31"/>
  <c r="AI66" i="31"/>
  <c r="AI14" i="31"/>
  <c r="AI25" i="31"/>
  <c r="AI39" i="31"/>
  <c r="AI7" i="31"/>
  <c r="AI43" i="31"/>
  <c r="AI64" i="31"/>
  <c r="AI15" i="31"/>
  <c r="AI40" i="31"/>
  <c r="AI65" i="31"/>
  <c r="AI9" i="31"/>
  <c r="AI11" i="31"/>
  <c r="AI13" i="31"/>
  <c r="AI19" i="31"/>
  <c r="AI37" i="31"/>
  <c r="AI49" i="31"/>
  <c r="AI51" i="31"/>
  <c r="AI53" i="31"/>
  <c r="AI55" i="31"/>
  <c r="AI24" i="31"/>
  <c r="AI32" i="31"/>
  <c r="AI34" i="31"/>
  <c r="AI8" i="31"/>
  <c r="AI10" i="31"/>
  <c r="AI12" i="31"/>
  <c r="AI16" i="31"/>
  <c r="AI20" i="31"/>
  <c r="AI31" i="31"/>
  <c r="AI33" i="31"/>
  <c r="AI35" i="31"/>
  <c r="AI36" i="31"/>
  <c r="AI38" i="31"/>
  <c r="AI50" i="31"/>
  <c r="AI52" i="31"/>
  <c r="AI54" i="31"/>
  <c r="AH78" i="31"/>
  <c r="AN40" i="31"/>
  <c r="AN43" i="31"/>
  <c r="AN37" i="31"/>
  <c r="N71" i="31"/>
  <c r="AN33" i="31"/>
  <c r="AN35" i="31"/>
  <c r="N72" i="31"/>
  <c r="T64" i="31"/>
  <c r="V64" i="31" s="1"/>
  <c r="T65" i="31"/>
  <c r="T67" i="31"/>
  <c r="W39" i="18"/>
  <c r="W67" i="31" l="1"/>
  <c r="V67" i="31"/>
  <c r="W65" i="31"/>
  <c r="V65" i="31"/>
  <c r="W64" i="31"/>
  <c r="Y38" i="31"/>
  <c r="AN38" i="31"/>
  <c r="AN32" i="31"/>
  <c r="Y32" i="31"/>
  <c r="AN34" i="31"/>
  <c r="Y34" i="31"/>
  <c r="Y39" i="31"/>
  <c r="AN39" i="31"/>
  <c r="Y36" i="31"/>
  <c r="AN36" i="31"/>
  <c r="U72" i="31"/>
  <c r="AC34" i="31" l="1"/>
  <c r="AC39" i="31"/>
  <c r="AC32" i="31"/>
  <c r="AC36" i="31"/>
  <c r="AC38" i="31"/>
  <c r="L74" i="31"/>
  <c r="AF39" i="31" l="1"/>
  <c r="AF36" i="31"/>
  <c r="AF38" i="31"/>
  <c r="AF32" i="31"/>
  <c r="AF34" i="31"/>
  <c r="I32" i="31"/>
  <c r="I33" i="31"/>
  <c r="P75" i="5"/>
  <c r="P74" i="5"/>
  <c r="P73" i="5"/>
  <c r="O75" i="5"/>
  <c r="N75" i="5"/>
  <c r="H46" i="18"/>
  <c r="H45" i="18"/>
  <c r="H44" i="18"/>
  <c r="I45" i="18"/>
  <c r="I44" i="18"/>
  <c r="F61" i="43" l="1"/>
  <c r="M61" i="43" s="1"/>
  <c r="E61" i="43"/>
  <c r="H47" i="18"/>
  <c r="I46" i="18"/>
  <c r="I47" i="18" s="1"/>
  <c r="AG46" i="18"/>
  <c r="AD46" i="18"/>
  <c r="E39" i="18"/>
  <c r="F39" i="18"/>
  <c r="L39" i="18"/>
  <c r="M39" i="18"/>
  <c r="AH39" i="18"/>
  <c r="L38" i="18"/>
  <c r="AG44" i="18"/>
  <c r="AD44" i="18"/>
  <c r="I55" i="31"/>
  <c r="I54" i="31"/>
  <c r="I52" i="31"/>
  <c r="I51" i="31"/>
  <c r="I38" i="31"/>
  <c r="I37" i="31"/>
  <c r="I36" i="31"/>
  <c r="I35" i="31"/>
  <c r="I34" i="31"/>
  <c r="I19" i="31"/>
  <c r="I18" i="31"/>
  <c r="Q61" i="43" l="1"/>
  <c r="L61" i="43"/>
  <c r="P61" i="43"/>
  <c r="I21" i="31"/>
  <c r="I23" i="31"/>
  <c r="I17" i="31"/>
  <c r="G15" i="18"/>
  <c r="G17" i="18"/>
  <c r="G18" i="18"/>
  <c r="G19" i="18"/>
  <c r="G36" i="18"/>
  <c r="G37" i="18"/>
  <c r="G39" i="18"/>
  <c r="Q74" i="5"/>
  <c r="Q73" i="5"/>
  <c r="Q75" i="5"/>
  <c r="O39" i="18"/>
  <c r="N39" i="18"/>
  <c r="G60" i="43" l="1"/>
  <c r="G59" i="43"/>
  <c r="G61" i="43"/>
  <c r="Q76" i="5"/>
  <c r="Z36" i="20"/>
  <c r="Z35" i="20"/>
  <c r="Z34" i="20"/>
  <c r="Z33" i="20"/>
  <c r="Z32" i="20"/>
  <c r="Z31" i="20"/>
  <c r="Z30" i="20"/>
  <c r="Z29" i="20"/>
  <c r="Z23" i="20"/>
  <c r="Z22" i="20"/>
  <c r="Z21" i="20"/>
  <c r="Z20" i="20"/>
  <c r="Z4" i="20"/>
  <c r="Z5" i="20"/>
  <c r="Z6" i="20"/>
  <c r="Z7" i="20"/>
  <c r="Z8" i="20"/>
  <c r="Z9" i="20"/>
  <c r="Z10" i="20"/>
  <c r="Z11" i="20"/>
  <c r="Z14" i="20"/>
  <c r="Z3" i="20"/>
  <c r="AH42" i="18"/>
  <c r="AH41" i="18"/>
  <c r="AH40" i="18"/>
  <c r="AH38" i="18"/>
  <c r="AH35" i="18"/>
  <c r="AH34" i="18"/>
  <c r="AH33" i="18"/>
  <c r="AH32" i="18"/>
  <c r="AH28" i="18"/>
  <c r="AH27" i="18"/>
  <c r="AH26" i="18"/>
  <c r="AH25" i="18"/>
  <c r="AH24" i="18"/>
  <c r="AH23" i="18"/>
  <c r="AH22" i="18"/>
  <c r="AH21" i="18"/>
  <c r="AH16" i="18"/>
  <c r="AH14" i="18"/>
  <c r="AH10" i="18"/>
  <c r="AH9" i="18"/>
  <c r="AH8" i="18"/>
  <c r="AH7" i="18"/>
  <c r="AH5" i="18"/>
  <c r="AH4" i="18"/>
  <c r="AH3" i="18"/>
  <c r="G62" i="43" l="1"/>
  <c r="E14" i="20"/>
  <c r="E11" i="20"/>
  <c r="E10" i="20"/>
  <c r="E8" i="20"/>
  <c r="E7" i="20"/>
  <c r="E6" i="20"/>
  <c r="E5" i="20"/>
  <c r="E4" i="20"/>
  <c r="E3" i="20"/>
  <c r="E23" i="20"/>
  <c r="E22" i="20"/>
  <c r="E21" i="20"/>
  <c r="E20" i="20"/>
  <c r="E30" i="20"/>
  <c r="E31" i="20"/>
  <c r="E32" i="20"/>
  <c r="E33" i="20"/>
  <c r="E34" i="20"/>
  <c r="E35" i="20"/>
  <c r="E36" i="20"/>
  <c r="E29" i="20"/>
  <c r="F14" i="20"/>
  <c r="F11" i="20"/>
  <c r="F10" i="20"/>
  <c r="F9" i="20"/>
  <c r="F8" i="20"/>
  <c r="F7" i="20"/>
  <c r="F6" i="20"/>
  <c r="F5" i="20"/>
  <c r="F4" i="20"/>
  <c r="F3" i="20"/>
  <c r="F23" i="20"/>
  <c r="F22" i="20"/>
  <c r="F21" i="20"/>
  <c r="F20" i="20"/>
  <c r="F30" i="20"/>
  <c r="F31" i="20"/>
  <c r="F32" i="20"/>
  <c r="F33" i="20"/>
  <c r="F34" i="20"/>
  <c r="F35" i="20"/>
  <c r="F36" i="20"/>
  <c r="F29" i="20"/>
  <c r="V3" i="18"/>
  <c r="V32" i="18"/>
  <c r="V24" i="18"/>
  <c r="W32" i="18"/>
  <c r="W24" i="18"/>
  <c r="W22" i="18"/>
  <c r="W5" i="18"/>
  <c r="M10" i="18"/>
  <c r="Q10" i="18" s="1"/>
  <c r="AK10" i="18" s="1"/>
  <c r="L10" i="18"/>
  <c r="L9" i="18"/>
  <c r="Z3" i="18"/>
  <c r="X3" i="18"/>
  <c r="AJ3" i="18" s="1"/>
  <c r="I5" i="24"/>
  <c r="I7" i="24"/>
  <c r="I9" i="24"/>
  <c r="I10" i="24"/>
  <c r="I11" i="24"/>
  <c r="I12" i="24"/>
  <c r="I18" i="24"/>
  <c r="I20" i="24"/>
  <c r="I21" i="24"/>
  <c r="I23" i="24"/>
  <c r="I25" i="24"/>
  <c r="I27" i="24"/>
  <c r="I30" i="24"/>
  <c r="I33" i="24"/>
  <c r="I35" i="24"/>
  <c r="I37" i="24"/>
  <c r="I38" i="24"/>
  <c r="Q41" i="18"/>
  <c r="Q42" i="18"/>
  <c r="Q40" i="18"/>
  <c r="P42" i="18"/>
  <c r="P41" i="18"/>
  <c r="P40" i="18"/>
  <c r="G40" i="18"/>
  <c r="G41" i="18"/>
  <c r="G42" i="18"/>
  <c r="V5" i="18" l="1"/>
  <c r="Q9" i="18"/>
  <c r="AK9" i="18" s="1"/>
  <c r="P9" i="18"/>
  <c r="R9" i="18" s="1"/>
  <c r="N10" i="18"/>
  <c r="P10" i="18"/>
  <c r="R10" i="18" s="1"/>
  <c r="E15" i="20"/>
  <c r="E38" i="20"/>
  <c r="E50" i="20" s="1"/>
  <c r="V39" i="18"/>
  <c r="F15" i="20"/>
  <c r="O9" i="18"/>
  <c r="S42" i="18"/>
  <c r="N9" i="18"/>
  <c r="O10" i="18"/>
  <c r="S10" i="18"/>
  <c r="S41" i="18"/>
  <c r="S40" i="18"/>
  <c r="Z5" i="18"/>
  <c r="Z47" i="18" s="1"/>
  <c r="S9" i="18" l="1"/>
  <c r="I36" i="24"/>
  <c r="L8" i="18"/>
  <c r="L14" i="18"/>
  <c r="L16" i="18"/>
  <c r="L21" i="18"/>
  <c r="L22" i="18"/>
  <c r="L23" i="18"/>
  <c r="L24" i="18"/>
  <c r="L25" i="18"/>
  <c r="L32" i="18"/>
  <c r="L33" i="18"/>
  <c r="L34" i="18"/>
  <c r="L35" i="18"/>
  <c r="L46" i="18" l="1"/>
  <c r="L45" i="18"/>
  <c r="P34" i="18"/>
  <c r="P33" i="18"/>
  <c r="P32" i="18"/>
  <c r="P37" i="18"/>
  <c r="R37" i="18" s="1"/>
  <c r="P36" i="18"/>
  <c r="R36" i="18" s="1"/>
  <c r="P38" i="18"/>
  <c r="P39" i="18"/>
  <c r="P35" i="18"/>
  <c r="M3" i="18"/>
  <c r="P46" i="18" l="1"/>
  <c r="N31" i="18"/>
  <c r="N29" i="18"/>
  <c r="N30" i="18"/>
  <c r="P27" i="18"/>
  <c r="P28" i="18"/>
  <c r="P23" i="18"/>
  <c r="P25" i="18"/>
  <c r="P22" i="18"/>
  <c r="P26" i="18"/>
  <c r="P24" i="18"/>
  <c r="R39" i="18"/>
  <c r="P53" i="18"/>
  <c r="AG45" i="18"/>
  <c r="AG47" i="18" l="1"/>
  <c r="L1" i="20"/>
  <c r="O35" i="20"/>
  <c r="N35" i="20"/>
  <c r="M35" i="20"/>
  <c r="U35" i="20" s="1"/>
  <c r="L35" i="20"/>
  <c r="O34" i="20"/>
  <c r="N34" i="20"/>
  <c r="M34" i="20"/>
  <c r="U34" i="20" s="1"/>
  <c r="L34" i="20"/>
  <c r="P34" i="20" l="1"/>
  <c r="P35" i="20"/>
  <c r="M58" i="18" l="1"/>
  <c r="O42" i="18" l="1"/>
  <c r="O41" i="18"/>
  <c r="O40" i="18"/>
  <c r="N41" i="18" l="1"/>
  <c r="R41" i="18"/>
  <c r="N40" i="18"/>
  <c r="R40" i="18"/>
  <c r="N42" i="18"/>
  <c r="R42" i="18"/>
  <c r="G4" i="18"/>
  <c r="G5" i="18"/>
  <c r="G7" i="18"/>
  <c r="G8" i="18"/>
  <c r="G14" i="18"/>
  <c r="G16" i="18"/>
  <c r="G21" i="18"/>
  <c r="G22" i="18"/>
  <c r="G23" i="18"/>
  <c r="G24" i="18"/>
  <c r="G25" i="18"/>
  <c r="G26" i="18"/>
  <c r="G27" i="18"/>
  <c r="G28" i="18"/>
  <c r="G32" i="18"/>
  <c r="G33" i="18"/>
  <c r="G34" i="18"/>
  <c r="G35" i="18"/>
  <c r="G38" i="18"/>
  <c r="G3" i="18"/>
  <c r="F4" i="18"/>
  <c r="F5" i="18"/>
  <c r="F7" i="18"/>
  <c r="F8" i="18"/>
  <c r="F14" i="18"/>
  <c r="F22" i="18"/>
  <c r="F23" i="18"/>
  <c r="F32" i="18"/>
  <c r="F33" i="18"/>
  <c r="F34" i="18"/>
  <c r="F35" i="18"/>
  <c r="F38" i="18"/>
  <c r="F46" i="18"/>
  <c r="F3" i="18"/>
  <c r="R73" i="5"/>
  <c r="G44" i="18" s="1"/>
  <c r="F52" i="5"/>
  <c r="F51" i="5"/>
  <c r="F50" i="5"/>
  <c r="F49" i="5"/>
  <c r="R75" i="5"/>
  <c r="G46" i="18" s="1"/>
  <c r="H23" i="31"/>
  <c r="G23" i="31"/>
  <c r="F27" i="5"/>
  <c r="R74" i="5"/>
  <c r="G45" i="18" s="1"/>
  <c r="H21" i="31"/>
  <c r="G21" i="31"/>
  <c r="F18" i="5"/>
  <c r="P21" i="31" l="1"/>
  <c r="P23" i="31"/>
  <c r="O23" i="31"/>
  <c r="O21" i="31"/>
  <c r="G18" i="31"/>
  <c r="G37" i="31"/>
  <c r="H18" i="31"/>
  <c r="G38" i="31"/>
  <c r="G36" i="31"/>
  <c r="F19" i="18"/>
  <c r="O19" i="18" s="1"/>
  <c r="E17" i="18"/>
  <c r="N17" i="18" s="1"/>
  <c r="G19" i="31"/>
  <c r="F17" i="18"/>
  <c r="O17" i="18" s="1"/>
  <c r="H19" i="31"/>
  <c r="G17" i="31"/>
  <c r="E15" i="18"/>
  <c r="N15" i="18" s="1"/>
  <c r="E18" i="18"/>
  <c r="N18" i="18" s="1"/>
  <c r="E19" i="18"/>
  <c r="N19" i="18" s="1"/>
  <c r="H17" i="31"/>
  <c r="F15" i="18"/>
  <c r="O15" i="18" s="1"/>
  <c r="F18" i="18"/>
  <c r="O18" i="18" s="1"/>
  <c r="O74" i="5"/>
  <c r="N73" i="5"/>
  <c r="F28" i="18"/>
  <c r="O73" i="5"/>
  <c r="F21" i="18"/>
  <c r="F27" i="18"/>
  <c r="F26" i="18"/>
  <c r="N74" i="5"/>
  <c r="E53" i="5"/>
  <c r="F16" i="18"/>
  <c r="P76" i="5"/>
  <c r="F53" i="5"/>
  <c r="R76" i="5"/>
  <c r="G47" i="18" s="1"/>
  <c r="O38" i="31" l="1"/>
  <c r="W38" i="31"/>
  <c r="P17" i="31"/>
  <c r="O17" i="31"/>
  <c r="P18" i="31"/>
  <c r="P19" i="31"/>
  <c r="O37" i="31"/>
  <c r="W37" i="31"/>
  <c r="O19" i="31"/>
  <c r="O36" i="31"/>
  <c r="W36" i="31"/>
  <c r="O18" i="31"/>
  <c r="F60" i="43"/>
  <c r="Q60" i="43" s="1"/>
  <c r="F59" i="43"/>
  <c r="M59" i="43" s="1"/>
  <c r="E60" i="43"/>
  <c r="E59" i="43"/>
  <c r="F45" i="18"/>
  <c r="O76" i="5"/>
  <c r="N76" i="5"/>
  <c r="F44" i="18"/>
  <c r="O26" i="24"/>
  <c r="M60" i="43" l="1"/>
  <c r="Q59" i="43"/>
  <c r="F62" i="43"/>
  <c r="Q62" i="43" s="1"/>
  <c r="L59" i="43"/>
  <c r="P59" i="43"/>
  <c r="L60" i="43"/>
  <c r="P60" i="43"/>
  <c r="E62" i="43"/>
  <c r="F47" i="18"/>
  <c r="E38" i="18"/>
  <c r="E35" i="18"/>
  <c r="E34" i="18"/>
  <c r="E33" i="18"/>
  <c r="E32" i="18"/>
  <c r="E28" i="18"/>
  <c r="E27" i="18"/>
  <c r="E26" i="18"/>
  <c r="E25" i="18"/>
  <c r="E24" i="18"/>
  <c r="E23" i="18"/>
  <c r="E22" i="18"/>
  <c r="E21" i="18"/>
  <c r="E16" i="18"/>
  <c r="E14" i="18"/>
  <c r="E8" i="18"/>
  <c r="E7" i="18"/>
  <c r="E5" i="18"/>
  <c r="E4" i="18"/>
  <c r="E3" i="18"/>
  <c r="M62" i="43" l="1"/>
  <c r="L62" i="43"/>
  <c r="P62" i="43"/>
  <c r="E46" i="18"/>
  <c r="N46" i="18" s="1"/>
  <c r="E14" i="24"/>
  <c r="E13" i="24"/>
  <c r="F27" i="24"/>
  <c r="E27" i="24"/>
  <c r="E8" i="24"/>
  <c r="L19" i="24"/>
  <c r="F20" i="24"/>
  <c r="E20" i="24"/>
  <c r="L15" i="24"/>
  <c r="F16" i="24"/>
  <c r="E16" i="24"/>
  <c r="Q15" i="24"/>
  <c r="F15" i="24"/>
  <c r="E15" i="24"/>
  <c r="M27" i="18"/>
  <c r="Q51" i="18" l="1"/>
  <c r="X15" i="24"/>
  <c r="X27" i="24"/>
  <c r="X20" i="24"/>
  <c r="X16" i="24"/>
  <c r="O27" i="18"/>
  <c r="Y15" i="24" l="1"/>
  <c r="Z15" i="24" s="1"/>
  <c r="Q36" i="24"/>
  <c r="Q34" i="24"/>
  <c r="Q31" i="24"/>
  <c r="Q26" i="24"/>
  <c r="Q24" i="24"/>
  <c r="Q19" i="24"/>
  <c r="Q6" i="24"/>
  <c r="Q39" i="24" l="1"/>
  <c r="L3" i="18"/>
  <c r="L4" i="18"/>
  <c r="M4" i="18"/>
  <c r="L5" i="18"/>
  <c r="M5" i="18"/>
  <c r="L7" i="18"/>
  <c r="M7" i="18"/>
  <c r="M8" i="18"/>
  <c r="M14" i="18"/>
  <c r="M16" i="18"/>
  <c r="M21" i="18"/>
  <c r="M22" i="18"/>
  <c r="M23" i="18"/>
  <c r="M24" i="18"/>
  <c r="M25" i="18"/>
  <c r="M26" i="18"/>
  <c r="M28" i="18"/>
  <c r="M32" i="18"/>
  <c r="M33" i="18"/>
  <c r="M34" i="18"/>
  <c r="M35" i="18"/>
  <c r="M38" i="18"/>
  <c r="Q6" i="18" l="1"/>
  <c r="AE6" i="18"/>
  <c r="P6" i="18"/>
  <c r="R6" i="18" s="1"/>
  <c r="AE38" i="18"/>
  <c r="AE34" i="18"/>
  <c r="AE35" i="18"/>
  <c r="AE15" i="18"/>
  <c r="Q15" i="18"/>
  <c r="AE26" i="18"/>
  <c r="AE22" i="18"/>
  <c r="P15" i="18"/>
  <c r="R15" i="18" s="1"/>
  <c r="AE32" i="18"/>
  <c r="AE28" i="18"/>
  <c r="AE33" i="18"/>
  <c r="AE24" i="18"/>
  <c r="AE16" i="18"/>
  <c r="AE23" i="18"/>
  <c r="AE14" i="18"/>
  <c r="AE42" i="18"/>
  <c r="AE40" i="18"/>
  <c r="AE30" i="18"/>
  <c r="AE17" i="18"/>
  <c r="AE39" i="18"/>
  <c r="AE18" i="18"/>
  <c r="AE36" i="18"/>
  <c r="AE9" i="18"/>
  <c r="AE43" i="18"/>
  <c r="AE31" i="18"/>
  <c r="AE19" i="18"/>
  <c r="AE41" i="18"/>
  <c r="AE29" i="18"/>
  <c r="AE37" i="18"/>
  <c r="AE10" i="18"/>
  <c r="AE20" i="18"/>
  <c r="AE27" i="18"/>
  <c r="AE25" i="18"/>
  <c r="AE21" i="18"/>
  <c r="AE13" i="18"/>
  <c r="Q11" i="18"/>
  <c r="Q13" i="18"/>
  <c r="AE11" i="18"/>
  <c r="Q12" i="18"/>
  <c r="AE12" i="18"/>
  <c r="P12" i="18"/>
  <c r="R12" i="18" s="1"/>
  <c r="P11" i="18"/>
  <c r="R11" i="18" s="1"/>
  <c r="P13" i="18"/>
  <c r="R13" i="18" s="1"/>
  <c r="M45" i="18"/>
  <c r="M44" i="18"/>
  <c r="M46" i="18"/>
  <c r="L44" i="18"/>
  <c r="Q19" i="18"/>
  <c r="P19" i="18"/>
  <c r="R19" i="18" s="1"/>
  <c r="Q17" i="18"/>
  <c r="P17" i="18"/>
  <c r="R17" i="18" s="1"/>
  <c r="Q18" i="18"/>
  <c r="P18" i="18"/>
  <c r="R18" i="18" s="1"/>
  <c r="Q34" i="18"/>
  <c r="Q26" i="18"/>
  <c r="Q14" i="18"/>
  <c r="P5" i="18"/>
  <c r="Q33" i="18"/>
  <c r="Q21" i="18"/>
  <c r="Q4" i="18"/>
  <c r="Q3" i="18"/>
  <c r="Q20" i="18"/>
  <c r="Q38" i="18"/>
  <c r="Q24" i="18"/>
  <c r="Q7" i="18"/>
  <c r="P4" i="18"/>
  <c r="Q22" i="18"/>
  <c r="Q27" i="18"/>
  <c r="Q25" i="18"/>
  <c r="Q8" i="18"/>
  <c r="Q32" i="18"/>
  <c r="Q36" i="18"/>
  <c r="Q37" i="18"/>
  <c r="AK37" i="18" s="1"/>
  <c r="Q39" i="18"/>
  <c r="U39" i="18" s="1"/>
  <c r="Y39" i="18" s="1"/>
  <c r="Q35" i="18"/>
  <c r="Q28" i="18"/>
  <c r="U28" i="18" s="1"/>
  <c r="Q23" i="18"/>
  <c r="Q16" i="18"/>
  <c r="P7" i="18"/>
  <c r="Q5" i="18"/>
  <c r="P3" i="18"/>
  <c r="P20" i="18"/>
  <c r="R20" i="18" s="1"/>
  <c r="P21" i="18"/>
  <c r="P14" i="18"/>
  <c r="P8" i="18"/>
  <c r="P16" i="18"/>
  <c r="Q52" i="18"/>
  <c r="Q53" i="18"/>
  <c r="S6" i="18" l="1"/>
  <c r="AK6" i="18"/>
  <c r="U16" i="18"/>
  <c r="Y16" i="18" s="1"/>
  <c r="U19" i="18"/>
  <c r="AA19" i="18" s="1"/>
  <c r="U14" i="18"/>
  <c r="AK15" i="18"/>
  <c r="S15" i="18"/>
  <c r="U34" i="18"/>
  <c r="AA34" i="18" s="1"/>
  <c r="U26" i="18"/>
  <c r="Y28" i="18"/>
  <c r="AA28" i="18"/>
  <c r="U11" i="18"/>
  <c r="AK13" i="18"/>
  <c r="S13" i="18"/>
  <c r="AK11" i="18"/>
  <c r="S11" i="18"/>
  <c r="AK12" i="18"/>
  <c r="S12" i="18"/>
  <c r="P44" i="18"/>
  <c r="Q46" i="18"/>
  <c r="AK30" i="18"/>
  <c r="AK29" i="18"/>
  <c r="U29" i="18"/>
  <c r="AK31" i="18"/>
  <c r="U22" i="18"/>
  <c r="AK19" i="18"/>
  <c r="S19" i="18"/>
  <c r="AK17" i="18"/>
  <c r="S17" i="18"/>
  <c r="AK18" i="18"/>
  <c r="S18" i="18"/>
  <c r="U36" i="18"/>
  <c r="S37" i="18"/>
  <c r="AK36" i="18"/>
  <c r="S36" i="18"/>
  <c r="AK20" i="18"/>
  <c r="S20" i="18"/>
  <c r="AA39" i="18"/>
  <c r="AK39" i="18"/>
  <c r="S39" i="18"/>
  <c r="N27" i="18"/>
  <c r="M47" i="18"/>
  <c r="Y19" i="18" l="1"/>
  <c r="AB19" i="18" s="1"/>
  <c r="AA14" i="18"/>
  <c r="Y14" i="18"/>
  <c r="Y34" i="18"/>
  <c r="AC34" i="18" s="1"/>
  <c r="AA16" i="18"/>
  <c r="AB28" i="18"/>
  <c r="I28" i="24" s="1"/>
  <c r="AC28" i="18"/>
  <c r="Y26" i="18"/>
  <c r="AA26" i="18"/>
  <c r="Y11" i="18"/>
  <c r="AA11" i="18"/>
  <c r="AB16" i="18"/>
  <c r="I16" i="24" s="1"/>
  <c r="AC16" i="18"/>
  <c r="Y29" i="18"/>
  <c r="AA29" i="18"/>
  <c r="Y36" i="18"/>
  <c r="AA36" i="18"/>
  <c r="AB39" i="18"/>
  <c r="AC39" i="18"/>
  <c r="L47" i="18"/>
  <c r="F38" i="24"/>
  <c r="F37" i="24"/>
  <c r="F36" i="24"/>
  <c r="E38" i="24"/>
  <c r="E37" i="24"/>
  <c r="E36" i="24"/>
  <c r="AB34" i="18" l="1"/>
  <c r="I34" i="24" s="1"/>
  <c r="AC19" i="18"/>
  <c r="AC14" i="18"/>
  <c r="AB14" i="18"/>
  <c r="AB26" i="18"/>
  <c r="AC26" i="18"/>
  <c r="AB11" i="18"/>
  <c r="I8" i="24" s="1"/>
  <c r="AC11" i="18"/>
  <c r="AC29" i="18"/>
  <c r="AB29" i="18"/>
  <c r="I19" i="24"/>
  <c r="AC36" i="18"/>
  <c r="AB36" i="18"/>
  <c r="L1" i="18"/>
  <c r="O6" i="24" l="1"/>
  <c r="A5" i="24" l="1"/>
  <c r="A6" i="24" s="1"/>
  <c r="A7" i="24" s="1"/>
  <c r="A8" i="24" s="1"/>
  <c r="A9" i="24" s="1"/>
  <c r="A10" i="24" s="1"/>
  <c r="A11" i="24" s="1"/>
  <c r="A12" i="24" s="1"/>
  <c r="A13" i="24" l="1"/>
  <c r="A14" i="24" s="1"/>
  <c r="A17" i="24" s="1"/>
  <c r="A18" i="24" s="1"/>
  <c r="A15" i="24"/>
  <c r="A16" i="24" s="1"/>
  <c r="A19" i="24" l="1"/>
  <c r="A21" i="24" s="1"/>
  <c r="A22" i="24" s="1"/>
  <c r="A23" i="24" s="1"/>
  <c r="A24" i="24" s="1"/>
  <c r="A25" i="24" s="1"/>
  <c r="A20" i="24"/>
  <c r="A26" i="24" l="1"/>
  <c r="A28" i="24" s="1"/>
  <c r="A29" i="24" s="1"/>
  <c r="A30" i="24" s="1"/>
  <c r="A31" i="24" s="1"/>
  <c r="A32" i="24" s="1"/>
  <c r="A33" i="24" s="1"/>
  <c r="A34" i="24" s="1"/>
  <c r="A35" i="24" s="1"/>
  <c r="A36" i="24" s="1"/>
  <c r="A37" i="24" s="1"/>
  <c r="A38" i="24" s="1"/>
  <c r="A27" i="24"/>
  <c r="D2" i="24" l="1"/>
  <c r="H39" i="24" l="1"/>
  <c r="O39" i="24"/>
  <c r="E7" i="24" l="1"/>
  <c r="F5" i="24" l="1"/>
  <c r="F6" i="24"/>
  <c r="F8" i="24"/>
  <c r="F9" i="24"/>
  <c r="F10" i="24"/>
  <c r="F11" i="24"/>
  <c r="F12" i="24"/>
  <c r="F17" i="24"/>
  <c r="F18" i="24"/>
  <c r="F19" i="24"/>
  <c r="F21" i="24"/>
  <c r="F22" i="24"/>
  <c r="F23" i="24"/>
  <c r="F24" i="24"/>
  <c r="F25" i="24"/>
  <c r="F26" i="24"/>
  <c r="F28" i="24"/>
  <c r="F29" i="24"/>
  <c r="F30" i="24"/>
  <c r="F31" i="24"/>
  <c r="F32" i="24"/>
  <c r="F33" i="24"/>
  <c r="F34" i="24"/>
  <c r="F35" i="24"/>
  <c r="F4" i="24"/>
  <c r="E4" i="24"/>
  <c r="E5" i="24"/>
  <c r="E6" i="24"/>
  <c r="X7" i="24"/>
  <c r="E9" i="24"/>
  <c r="E10" i="24"/>
  <c r="E11" i="24"/>
  <c r="E12" i="24"/>
  <c r="E17" i="24"/>
  <c r="E18" i="24"/>
  <c r="E19" i="24"/>
  <c r="E21" i="24"/>
  <c r="E22" i="24"/>
  <c r="E23" i="24"/>
  <c r="E24" i="24"/>
  <c r="E25" i="24"/>
  <c r="E26" i="24"/>
  <c r="E28" i="24"/>
  <c r="E29" i="24"/>
  <c r="E30" i="24"/>
  <c r="E31" i="24"/>
  <c r="E32" i="24"/>
  <c r="E33" i="24"/>
  <c r="E34" i="24"/>
  <c r="E35" i="24"/>
  <c r="P39" i="24"/>
  <c r="G39" i="24"/>
  <c r="X38" i="24"/>
  <c r="X37" i="24"/>
  <c r="X36" i="24"/>
  <c r="L36" i="24"/>
  <c r="K36" i="24"/>
  <c r="J36" i="24"/>
  <c r="L34" i="24"/>
  <c r="L31" i="24"/>
  <c r="L29" i="24"/>
  <c r="L26" i="24"/>
  <c r="L24" i="24"/>
  <c r="L22" i="24"/>
  <c r="L6" i="24"/>
  <c r="L4" i="24"/>
  <c r="W1" i="24"/>
  <c r="W3" i="18" l="1"/>
  <c r="J15" i="24"/>
  <c r="J19" i="24"/>
  <c r="N19" i="24" s="1"/>
  <c r="J26" i="24"/>
  <c r="N26" i="24" s="1"/>
  <c r="J6" i="24"/>
  <c r="K19" i="24"/>
  <c r="K15" i="24"/>
  <c r="K6" i="24"/>
  <c r="N36" i="24"/>
  <c r="S36" i="24" s="1"/>
  <c r="X35" i="24"/>
  <c r="X26" i="24"/>
  <c r="X17" i="24"/>
  <c r="X22" i="24"/>
  <c r="X10" i="24"/>
  <c r="X14" i="24"/>
  <c r="L39" i="24"/>
  <c r="X31" i="24"/>
  <c r="X11" i="24"/>
  <c r="X23" i="24"/>
  <c r="X18" i="24"/>
  <c r="W30" i="24"/>
  <c r="X5" i="24"/>
  <c r="X6" i="24"/>
  <c r="K31" i="24"/>
  <c r="J24" i="24"/>
  <c r="N24" i="24" s="1"/>
  <c r="F2" i="24"/>
  <c r="J34" i="24"/>
  <c r="N34" i="24" s="1"/>
  <c r="K4" i="24"/>
  <c r="X34" i="24"/>
  <c r="X25" i="24"/>
  <c r="J29" i="24"/>
  <c r="N29" i="24" s="1"/>
  <c r="X21" i="24"/>
  <c r="X9" i="24"/>
  <c r="K34" i="24"/>
  <c r="J31" i="24"/>
  <c r="N31" i="24" s="1"/>
  <c r="X33" i="24"/>
  <c r="K29" i="24"/>
  <c r="X24" i="24"/>
  <c r="X8" i="24"/>
  <c r="K26" i="24"/>
  <c r="K22" i="24"/>
  <c r="J22" i="24"/>
  <c r="N22" i="24" s="1"/>
  <c r="X32" i="24"/>
  <c r="K24" i="24"/>
  <c r="X28" i="24"/>
  <c r="X29" i="24"/>
  <c r="Y29" i="24" s="1"/>
  <c r="Z29" i="24" s="1"/>
  <c r="X12" i="24"/>
  <c r="F39" i="24"/>
  <c r="X19" i="24"/>
  <c r="E39" i="24"/>
  <c r="J4" i="24"/>
  <c r="X4" i="24"/>
  <c r="N4" i="24" l="1"/>
  <c r="N6" i="24"/>
  <c r="W19" i="24" s="1"/>
  <c r="U15" i="24"/>
  <c r="T15" i="24"/>
  <c r="N15" i="24"/>
  <c r="R36" i="24"/>
  <c r="Y26" i="24"/>
  <c r="Z26" i="24" s="1"/>
  <c r="Y22" i="24"/>
  <c r="Z22" i="24" s="1"/>
  <c r="Y17" i="24"/>
  <c r="Z17" i="24" s="1"/>
  <c r="Y34" i="24"/>
  <c r="Z34" i="24" s="1"/>
  <c r="T29" i="24"/>
  <c r="T19" i="24"/>
  <c r="T24" i="24"/>
  <c r="K39" i="24"/>
  <c r="T26" i="24"/>
  <c r="U34" i="24"/>
  <c r="T34" i="24"/>
  <c r="U4" i="24"/>
  <c r="J39" i="24"/>
  <c r="T4" i="24"/>
  <c r="U6" i="24"/>
  <c r="T6" i="24"/>
  <c r="U22" i="24"/>
  <c r="T22" i="24"/>
  <c r="T31" i="24"/>
  <c r="S19" i="24"/>
  <c r="U19" i="24"/>
  <c r="U29" i="24"/>
  <c r="U24" i="24"/>
  <c r="U17" i="24"/>
  <c r="U26" i="24"/>
  <c r="Y4" i="24"/>
  <c r="Z4" i="24" s="1"/>
  <c r="S34" i="24"/>
  <c r="S31" i="24"/>
  <c r="Y31" i="24"/>
  <c r="Z31" i="24" s="1"/>
  <c r="S24" i="24"/>
  <c r="Y24" i="24"/>
  <c r="Z24" i="24" s="1"/>
  <c r="Y6" i="24"/>
  <c r="Z6" i="24" s="1"/>
  <c r="Y19" i="24"/>
  <c r="Z19" i="24" s="1"/>
  <c r="R26" i="24"/>
  <c r="W28" i="6" l="1"/>
  <c r="T28" i="6"/>
  <c r="W31" i="6"/>
  <c r="R15" i="24"/>
  <c r="S15" i="24"/>
  <c r="T39" i="24"/>
  <c r="R19" i="24"/>
  <c r="N39" i="24"/>
  <c r="R39" i="24" s="1"/>
  <c r="R31" i="24"/>
  <c r="R24" i="24"/>
  <c r="R34" i="24"/>
  <c r="W12" i="24"/>
  <c r="R29" i="24"/>
  <c r="S29" i="24"/>
  <c r="S26" i="24"/>
  <c r="S22" i="24"/>
  <c r="R22" i="24"/>
  <c r="S6" i="24"/>
  <c r="R6" i="24"/>
  <c r="S17" i="24"/>
  <c r="R4" i="24"/>
  <c r="S4" i="24"/>
  <c r="T29" i="6" l="1"/>
  <c r="W29" i="6"/>
  <c r="X28" i="6"/>
  <c r="Y28" i="6"/>
  <c r="Z28" i="6" s="1"/>
  <c r="S32" i="6"/>
  <c r="T31" i="6"/>
  <c r="X31" i="6"/>
  <c r="Y31" i="6"/>
  <c r="Z31" i="6" s="1"/>
  <c r="T26" i="6"/>
  <c r="W26" i="6"/>
  <c r="T27" i="6"/>
  <c r="W27" i="6"/>
  <c r="T30" i="6"/>
  <c r="W30" i="6"/>
  <c r="M32" i="20"/>
  <c r="U32" i="20" s="1"/>
  <c r="X29" i="6" l="1"/>
  <c r="Y29" i="6"/>
  <c r="Z29" i="6" s="1"/>
  <c r="X30" i="6"/>
  <c r="Y30" i="6"/>
  <c r="Z30" i="6" s="1"/>
  <c r="X27" i="6"/>
  <c r="Y27" i="6"/>
  <c r="Z27" i="6" s="1"/>
  <c r="X26" i="6"/>
  <c r="Y26" i="6"/>
  <c r="Z26" i="6" s="1"/>
  <c r="N30" i="20"/>
  <c r="O30" i="20"/>
  <c r="N31" i="20"/>
  <c r="O31" i="20"/>
  <c r="N32" i="20"/>
  <c r="O32" i="20"/>
  <c r="N33" i="20"/>
  <c r="O33" i="20"/>
  <c r="N36" i="20"/>
  <c r="O36" i="20"/>
  <c r="O29" i="20"/>
  <c r="N29" i="20"/>
  <c r="N21" i="20"/>
  <c r="O21" i="20"/>
  <c r="N22" i="20"/>
  <c r="O22" i="20"/>
  <c r="N23" i="20"/>
  <c r="O23" i="20"/>
  <c r="O20" i="20"/>
  <c r="N20" i="20"/>
  <c r="N4" i="20"/>
  <c r="O4" i="20"/>
  <c r="N5" i="20"/>
  <c r="O5" i="20"/>
  <c r="N6" i="20"/>
  <c r="O6" i="20"/>
  <c r="N7" i="20"/>
  <c r="O7" i="20"/>
  <c r="N8" i="20"/>
  <c r="O8" i="20"/>
  <c r="N9" i="20"/>
  <c r="O9" i="20"/>
  <c r="N10" i="20"/>
  <c r="O10" i="20"/>
  <c r="N11" i="20"/>
  <c r="O11" i="20"/>
  <c r="N14" i="20"/>
  <c r="O14" i="20"/>
  <c r="O3" i="20"/>
  <c r="N3" i="20"/>
  <c r="M4" i="20"/>
  <c r="U4" i="20" s="1"/>
  <c r="M3" i="20"/>
  <c r="U3" i="20" s="1"/>
  <c r="M30" i="20"/>
  <c r="U30" i="20" s="1"/>
  <c r="M31" i="20"/>
  <c r="U31" i="20" s="1"/>
  <c r="P32" i="20"/>
  <c r="M33" i="20"/>
  <c r="U33" i="20" s="1"/>
  <c r="M36" i="20"/>
  <c r="U36" i="20" s="1"/>
  <c r="M29" i="20"/>
  <c r="U29" i="20" s="1"/>
  <c r="M21" i="20"/>
  <c r="U21" i="20" s="1"/>
  <c r="M22" i="20"/>
  <c r="U22" i="20" s="1"/>
  <c r="M23" i="20"/>
  <c r="U23" i="20" s="1"/>
  <c r="M20" i="20"/>
  <c r="M5" i="20"/>
  <c r="U5" i="20" s="1"/>
  <c r="M6" i="20"/>
  <c r="U6" i="20" s="1"/>
  <c r="M7" i="20"/>
  <c r="U7" i="20" s="1"/>
  <c r="M8" i="20"/>
  <c r="U8" i="20" s="1"/>
  <c r="M9" i="20"/>
  <c r="U9" i="20" s="1"/>
  <c r="M10" i="20"/>
  <c r="U10" i="20" s="1"/>
  <c r="M11" i="20"/>
  <c r="U11" i="20" s="1"/>
  <c r="M14" i="20"/>
  <c r="U14" i="20" s="1"/>
  <c r="L3" i="20"/>
  <c r="L30" i="20"/>
  <c r="L31" i="20"/>
  <c r="L32" i="20"/>
  <c r="L33" i="20"/>
  <c r="L36" i="20"/>
  <c r="L29" i="20"/>
  <c r="L21" i="20"/>
  <c r="L22" i="20"/>
  <c r="L23" i="20"/>
  <c r="L20" i="20"/>
  <c r="L4" i="20"/>
  <c r="L5" i="20"/>
  <c r="L6" i="20"/>
  <c r="L7" i="20"/>
  <c r="L8" i="20"/>
  <c r="L9" i="20"/>
  <c r="L10" i="20"/>
  <c r="L11" i="20"/>
  <c r="L14" i="20"/>
  <c r="F38" i="20"/>
  <c r="F24" i="20"/>
  <c r="F41" i="20"/>
  <c r="E41" i="20"/>
  <c r="E40" i="20"/>
  <c r="F39" i="20"/>
  <c r="E39" i="20"/>
  <c r="N32" i="18"/>
  <c r="M24" i="20" l="1"/>
  <c r="M40" i="20" s="1"/>
  <c r="U20" i="20"/>
  <c r="U24" i="20" s="1"/>
  <c r="U38" i="20"/>
  <c r="N24" i="20"/>
  <c r="N40" i="20" s="1"/>
  <c r="U15" i="20"/>
  <c r="O38" i="20"/>
  <c r="O41" i="20" s="1"/>
  <c r="L38" i="20"/>
  <c r="L41" i="20" s="1"/>
  <c r="O24" i="20"/>
  <c r="O40" i="20" s="1"/>
  <c r="M38" i="20"/>
  <c r="M41" i="20" s="1"/>
  <c r="P41" i="20" s="1"/>
  <c r="L24" i="20"/>
  <c r="L40" i="20" s="1"/>
  <c r="O15" i="20"/>
  <c r="O39" i="20" s="1"/>
  <c r="N38" i="20"/>
  <c r="N41" i="20" s="1"/>
  <c r="L15" i="20"/>
  <c r="L39" i="20" s="1"/>
  <c r="M15" i="20"/>
  <c r="M39" i="20" s="1"/>
  <c r="P39" i="20" s="1"/>
  <c r="N15" i="20"/>
  <c r="N39" i="20" s="1"/>
  <c r="F40" i="20"/>
  <c r="F42" i="20" s="1"/>
  <c r="F28" i="20"/>
  <c r="P33" i="20"/>
  <c r="P21" i="20"/>
  <c r="P4" i="20"/>
  <c r="P31" i="20"/>
  <c r="P22" i="20"/>
  <c r="P23" i="20"/>
  <c r="P36" i="20"/>
  <c r="P30" i="20"/>
  <c r="P11" i="20"/>
  <c r="P10" i="20"/>
  <c r="P9" i="20"/>
  <c r="P5" i="20"/>
  <c r="P7" i="20"/>
  <c r="P6" i="20"/>
  <c r="P14" i="20"/>
  <c r="P8" i="20"/>
  <c r="E42" i="20"/>
  <c r="P3" i="20"/>
  <c r="P29" i="20"/>
  <c r="P20" i="20"/>
  <c r="O7" i="18"/>
  <c r="N7" i="18"/>
  <c r="N8" i="18"/>
  <c r="N16" i="18"/>
  <c r="E45" i="18"/>
  <c r="E44" i="18"/>
  <c r="O38" i="18"/>
  <c r="N38" i="18"/>
  <c r="N35" i="18"/>
  <c r="O35" i="18"/>
  <c r="O34" i="18"/>
  <c r="N34" i="18"/>
  <c r="O33" i="18"/>
  <c r="N33" i="18"/>
  <c r="O28" i="18"/>
  <c r="N28" i="18"/>
  <c r="N26" i="18"/>
  <c r="O25" i="18"/>
  <c r="N25" i="18"/>
  <c r="N24" i="18"/>
  <c r="O23" i="18"/>
  <c r="N23" i="18"/>
  <c r="N22" i="18"/>
  <c r="O21" i="18"/>
  <c r="N21" i="18"/>
  <c r="O16" i="18"/>
  <c r="N14" i="18"/>
  <c r="O8" i="18"/>
  <c r="N5" i="18"/>
  <c r="O4" i="18"/>
  <c r="N4" i="18"/>
  <c r="O3" i="18"/>
  <c r="L42" i="20" l="1"/>
  <c r="N42" i="20"/>
  <c r="O42" i="20"/>
  <c r="M42" i="20"/>
  <c r="P42" i="20" s="1"/>
  <c r="Y30" i="20"/>
  <c r="Y37" i="20"/>
  <c r="Y35" i="20"/>
  <c r="Y29" i="20"/>
  <c r="X29" i="20" s="1"/>
  <c r="Y32" i="20"/>
  <c r="Y33" i="20"/>
  <c r="Y31" i="20"/>
  <c r="Y36" i="20"/>
  <c r="Y34" i="20"/>
  <c r="X6" i="20"/>
  <c r="Y6" i="20" s="1"/>
  <c r="X14" i="20"/>
  <c r="Y14" i="20" s="1"/>
  <c r="X7" i="20"/>
  <c r="Y7" i="20" s="1"/>
  <c r="X3" i="20"/>
  <c r="Y3" i="20" s="1"/>
  <c r="X10" i="20"/>
  <c r="Y10" i="20" s="1"/>
  <c r="X11" i="20"/>
  <c r="Y11" i="20" s="1"/>
  <c r="X4" i="20"/>
  <c r="Y4" i="20" s="1"/>
  <c r="X12" i="20"/>
  <c r="X9" i="20"/>
  <c r="Y9" i="20" s="1"/>
  <c r="X13" i="20"/>
  <c r="Y13" i="20" s="1"/>
  <c r="X8" i="20"/>
  <c r="Y8" i="20" s="1"/>
  <c r="X5" i="20"/>
  <c r="Y5" i="20" s="1"/>
  <c r="P19" i="20"/>
  <c r="P15" i="20"/>
  <c r="P40" i="20"/>
  <c r="S12" i="20"/>
  <c r="S13" i="20"/>
  <c r="S14" i="20"/>
  <c r="S10" i="20"/>
  <c r="S11" i="20"/>
  <c r="S9" i="20"/>
  <c r="S3" i="20"/>
  <c r="S4" i="20"/>
  <c r="S7" i="20"/>
  <c r="S35" i="20"/>
  <c r="T35" i="20" s="1"/>
  <c r="S5" i="20"/>
  <c r="S8" i="20"/>
  <c r="S6" i="20"/>
  <c r="E47" i="18"/>
  <c r="P38" i="20"/>
  <c r="P24" i="20"/>
  <c r="O5" i="18"/>
  <c r="N44" i="18"/>
  <c r="O14" i="18"/>
  <c r="O22" i="18"/>
  <c r="O24" i="18"/>
  <c r="O26" i="18"/>
  <c r="O32" i="18"/>
  <c r="O45" i="18"/>
  <c r="N3" i="18"/>
  <c r="T14" i="20" l="1"/>
  <c r="V14" i="20"/>
  <c r="W14" i="20" s="1"/>
  <c r="T8" i="20"/>
  <c r="V8" i="20"/>
  <c r="W8" i="20" s="1"/>
  <c r="T10" i="20"/>
  <c r="V10" i="20"/>
  <c r="W10" i="20" s="1"/>
  <c r="T3" i="20"/>
  <c r="V3" i="20"/>
  <c r="W3" i="20" s="1"/>
  <c r="T9" i="20"/>
  <c r="V9" i="20"/>
  <c r="W9" i="20" s="1"/>
  <c r="T13" i="20"/>
  <c r="V13" i="20"/>
  <c r="W13" i="20" s="1"/>
  <c r="T4" i="20"/>
  <c r="V4" i="20"/>
  <c r="W4" i="20" s="1"/>
  <c r="T5" i="20"/>
  <c r="V5" i="20"/>
  <c r="W5" i="20" s="1"/>
  <c r="T6" i="20"/>
  <c r="V6" i="20"/>
  <c r="W6" i="20" s="1"/>
  <c r="T7" i="20"/>
  <c r="V7" i="20"/>
  <c r="W7" i="20" s="1"/>
  <c r="T11" i="20"/>
  <c r="V11" i="20"/>
  <c r="W11" i="20" s="1"/>
  <c r="T12" i="20"/>
  <c r="V12" i="20"/>
  <c r="W12" i="20" s="1"/>
  <c r="X15" i="20"/>
  <c r="Y12" i="20"/>
  <c r="S20" i="20"/>
  <c r="V20" i="20" s="1"/>
  <c r="W20" i="20" s="1"/>
  <c r="P28" i="20"/>
  <c r="S37" i="20"/>
  <c r="T37" i="20" s="1"/>
  <c r="S23" i="20"/>
  <c r="V23" i="20" s="1"/>
  <c r="W23" i="20" s="1"/>
  <c r="S36" i="20"/>
  <c r="T36" i="20" s="1"/>
  <c r="S33" i="20"/>
  <c r="X33" i="20" s="1"/>
  <c r="S34" i="20"/>
  <c r="T34" i="20" s="1"/>
  <c r="S29" i="20"/>
  <c r="S22" i="20"/>
  <c r="V22" i="20" s="1"/>
  <c r="W22" i="20" s="1"/>
  <c r="S31" i="20"/>
  <c r="X31" i="20" s="1"/>
  <c r="S30" i="20"/>
  <c r="X30" i="20" s="1"/>
  <c r="S32" i="20"/>
  <c r="X32" i="20" s="1"/>
  <c r="S21" i="20"/>
  <c r="V21" i="20" s="1"/>
  <c r="W21" i="20" s="1"/>
  <c r="O44" i="18"/>
  <c r="N45" i="18"/>
  <c r="O46" i="18"/>
  <c r="N47" i="18"/>
  <c r="T21" i="20" l="1"/>
  <c r="X21" i="20"/>
  <c r="Y21" i="20" s="1"/>
  <c r="T20" i="20"/>
  <c r="X20" i="20"/>
  <c r="Y20" i="20" s="1"/>
  <c r="T23" i="20"/>
  <c r="X23" i="20"/>
  <c r="Y23" i="20" s="1"/>
  <c r="T22" i="20"/>
  <c r="X22" i="20"/>
  <c r="Y22" i="20" s="1"/>
  <c r="T33" i="20"/>
  <c r="T31" i="20"/>
  <c r="T32" i="20"/>
  <c r="T29" i="20"/>
  <c r="T30" i="20"/>
  <c r="O47" i="18"/>
  <c r="W46" i="6" l="1"/>
  <c r="Y14" i="6"/>
  <c r="Z14" i="6" s="1"/>
  <c r="Y13" i="6"/>
  <c r="Z13" i="6" s="1"/>
  <c r="Y12" i="6"/>
  <c r="Z12" i="6" s="1"/>
  <c r="Y11" i="6"/>
  <c r="Z11" i="6" s="1"/>
  <c r="Y10" i="6"/>
  <c r="Z10" i="6" s="1"/>
  <c r="Y9" i="6"/>
  <c r="Z9" i="6" s="1"/>
  <c r="Y8" i="6"/>
  <c r="Z8" i="6" s="1"/>
  <c r="Y6" i="6"/>
  <c r="Z6" i="6" s="1"/>
  <c r="Y5" i="6"/>
  <c r="Z5" i="6" s="1"/>
  <c r="Y4" i="6"/>
  <c r="Z4" i="6" s="1"/>
  <c r="Y7" i="6"/>
  <c r="Y3" i="6"/>
  <c r="O62" i="6"/>
  <c r="L62" i="6"/>
  <c r="N62" i="6"/>
  <c r="X46" i="6" l="1"/>
  <c r="Y46" i="6"/>
  <c r="Z46" i="6" s="1"/>
  <c r="W44" i="6"/>
  <c r="W48" i="6"/>
  <c r="W45" i="6"/>
  <c r="W49" i="6"/>
  <c r="W42" i="6"/>
  <c r="W43" i="6"/>
  <c r="W47" i="6"/>
  <c r="T46" i="6"/>
  <c r="Z7" i="6"/>
  <c r="W4" i="6"/>
  <c r="X4" i="6" s="1"/>
  <c r="T11" i="6"/>
  <c r="T14" i="6"/>
  <c r="T12" i="6"/>
  <c r="T10" i="6"/>
  <c r="W13" i="6"/>
  <c r="X13" i="6" s="1"/>
  <c r="Z3" i="6"/>
  <c r="Y15" i="6"/>
  <c r="Y21" i="6" s="1"/>
  <c r="M62" i="6"/>
  <c r="T3" i="6" l="1"/>
  <c r="T44" i="6"/>
  <c r="W3" i="6"/>
  <c r="X3" i="6" s="1"/>
  <c r="W11" i="6"/>
  <c r="X11" i="6" s="1"/>
  <c r="T47" i="6"/>
  <c r="Y43" i="6"/>
  <c r="Z43" i="6" s="1"/>
  <c r="X43" i="6"/>
  <c r="Y42" i="6"/>
  <c r="Z42" i="6" s="1"/>
  <c r="X42" i="6"/>
  <c r="Y44" i="6"/>
  <c r="Z44" i="6" s="1"/>
  <c r="X44" i="6"/>
  <c r="Y45" i="6"/>
  <c r="Z45" i="6" s="1"/>
  <c r="X45" i="6"/>
  <c r="T45" i="6"/>
  <c r="X48" i="6"/>
  <c r="Y48" i="6"/>
  <c r="Z48" i="6" s="1"/>
  <c r="T48" i="6"/>
  <c r="Y47" i="6"/>
  <c r="Z47" i="6" s="1"/>
  <c r="X47" i="6"/>
  <c r="X49" i="6"/>
  <c r="Y49" i="6"/>
  <c r="Z49" i="6" s="1"/>
  <c r="T49" i="6"/>
  <c r="T4" i="6"/>
  <c r="W16" i="6"/>
  <c r="X16" i="6" s="1"/>
  <c r="T16" i="6"/>
  <c r="W17" i="6"/>
  <c r="X17" i="6" s="1"/>
  <c r="T17" i="6"/>
  <c r="W18" i="6"/>
  <c r="X18" i="6" s="1"/>
  <c r="T18" i="6"/>
  <c r="W12" i="6"/>
  <c r="X12" i="6" s="1"/>
  <c r="W14" i="6"/>
  <c r="X14" i="6" s="1"/>
  <c r="T43" i="6"/>
  <c r="T42" i="6"/>
  <c r="T13" i="6"/>
  <c r="W10" i="6"/>
  <c r="X10" i="6" s="1"/>
  <c r="W7" i="6"/>
  <c r="X7" i="6" s="1"/>
  <c r="T7" i="6"/>
  <c r="W6" i="6"/>
  <c r="X6" i="6" s="1"/>
  <c r="T6" i="6"/>
  <c r="W8" i="6"/>
  <c r="X8" i="6" s="1"/>
  <c r="T8" i="6"/>
  <c r="T5" i="6"/>
  <c r="W5" i="6"/>
  <c r="X5" i="6" s="1"/>
  <c r="W9" i="6"/>
  <c r="X9" i="6" s="1"/>
  <c r="T9" i="6"/>
  <c r="AD51" i="18"/>
  <c r="AE5" i="18" l="1"/>
  <c r="AE8" i="18"/>
  <c r="AE7" i="18"/>
  <c r="AE3" i="18"/>
  <c r="K58" i="18" s="1"/>
  <c r="AE4" i="18"/>
  <c r="S35" i="18"/>
  <c r="R38" i="18"/>
  <c r="S33" i="18"/>
  <c r="AD45" i="18"/>
  <c r="AK7" i="18"/>
  <c r="S38" i="18"/>
  <c r="R34" i="18"/>
  <c r="S34" i="18"/>
  <c r="R35" i="18"/>
  <c r="R16" i="18"/>
  <c r="R7" i="18"/>
  <c r="AK23" i="18"/>
  <c r="R27" i="18"/>
  <c r="R24" i="18"/>
  <c r="S28" i="18"/>
  <c r="R26" i="18"/>
  <c r="S21" i="18"/>
  <c r="R4" i="18"/>
  <c r="AK16" i="18"/>
  <c r="S8" i="18"/>
  <c r="R14" i="18"/>
  <c r="R28" i="18" l="1"/>
  <c r="P52" i="18"/>
  <c r="P51" i="18"/>
  <c r="U3" i="18"/>
  <c r="S5" i="18"/>
  <c r="U5" i="18"/>
  <c r="Y5" i="18" s="1"/>
  <c r="AD47" i="18"/>
  <c r="Y22" i="18"/>
  <c r="S14" i="18"/>
  <c r="S32" i="18"/>
  <c r="U32" i="18"/>
  <c r="Y32" i="18" s="1"/>
  <c r="S46" i="18"/>
  <c r="R32" i="18"/>
  <c r="R46" i="18"/>
  <c r="S24" i="18"/>
  <c r="U24" i="18"/>
  <c r="Y24" i="18" s="1"/>
  <c r="S23" i="18"/>
  <c r="R5" i="18"/>
  <c r="S26" i="18"/>
  <c r="AK14" i="18"/>
  <c r="AK38" i="18"/>
  <c r="AK32" i="18"/>
  <c r="AK26" i="18"/>
  <c r="AK28" i="18"/>
  <c r="AK24" i="18"/>
  <c r="AK3" i="18"/>
  <c r="Q44" i="18"/>
  <c r="P45" i="18"/>
  <c r="R45" i="18" s="1"/>
  <c r="R22" i="18"/>
  <c r="S27" i="18"/>
  <c r="AK27" i="18"/>
  <c r="R25" i="18"/>
  <c r="R23" i="18"/>
  <c r="S22" i="18"/>
  <c r="Q45" i="18"/>
  <c r="S45" i="18" s="1"/>
  <c r="AK22" i="18"/>
  <c r="R21" i="18"/>
  <c r="S4" i="18"/>
  <c r="R3" i="18"/>
  <c r="S25" i="18"/>
  <c r="AK25" i="18"/>
  <c r="AK35" i="18"/>
  <c r="AK4" i="18"/>
  <c r="S3" i="18"/>
  <c r="R33" i="18"/>
  <c r="AK34" i="18"/>
  <c r="R8" i="18"/>
  <c r="AK33" i="18"/>
  <c r="AK8" i="18"/>
  <c r="S16" i="18"/>
  <c r="S7" i="18"/>
  <c r="AK5" i="18"/>
  <c r="AK21" i="18"/>
  <c r="Z67" i="31" l="1"/>
  <c r="Z36" i="31"/>
  <c r="Z11" i="31"/>
  <c r="Z32" i="31"/>
  <c r="Z38" i="31"/>
  <c r="Z34" i="31"/>
  <c r="Z39" i="31"/>
  <c r="Y3" i="18"/>
  <c r="AC3" i="18" s="1"/>
  <c r="U47" i="18"/>
  <c r="AA3" i="18"/>
  <c r="AA24" i="18"/>
  <c r="AA32" i="18"/>
  <c r="AA22" i="18"/>
  <c r="I17" i="24"/>
  <c r="AB5" i="18"/>
  <c r="I6" i="24" s="1"/>
  <c r="AA5" i="18"/>
  <c r="R44" i="18"/>
  <c r="P47" i="18"/>
  <c r="R47" i="18" s="1"/>
  <c r="S44" i="18"/>
  <c r="Q47" i="18"/>
  <c r="S47" i="18" s="1"/>
  <c r="AE38" i="31" l="1"/>
  <c r="AG38" i="31"/>
  <c r="AE39" i="31"/>
  <c r="AG39" i="31"/>
  <c r="AE36" i="31"/>
  <c r="AG36" i="31"/>
  <c r="AE32" i="31"/>
  <c r="AG32" i="31"/>
  <c r="AE34" i="31"/>
  <c r="AG34" i="31"/>
  <c r="AE67" i="31"/>
  <c r="AG67" i="31"/>
  <c r="Y47" i="18"/>
  <c r="AB3" i="18"/>
  <c r="I4" i="24" s="1"/>
  <c r="I15" i="24"/>
  <c r="I31" i="24"/>
  <c r="AC22" i="18"/>
  <c r="AB22" i="18"/>
  <c r="I22" i="24" s="1"/>
  <c r="AC32" i="18"/>
  <c r="AB32" i="18"/>
  <c r="I29" i="24" s="1"/>
  <c r="I26" i="24"/>
  <c r="AB24" i="18"/>
  <c r="I24" i="24" s="1"/>
  <c r="AC24" i="18"/>
  <c r="AC5" i="18"/>
  <c r="I32" i="24" l="1"/>
  <c r="I39" i="24" s="1"/>
  <c r="P60" i="31" l="1"/>
  <c r="AI60" i="31"/>
  <c r="N73" i="31"/>
  <c r="N74" i="31" l="1"/>
  <c r="AJ56" i="31"/>
  <c r="F56" i="31" l="1"/>
  <c r="E56" i="31"/>
  <c r="AJ58" i="31"/>
  <c r="AJ59" i="31"/>
  <c r="F59" i="31" s="1"/>
  <c r="AJ57" i="31"/>
  <c r="F57" i="31" s="1"/>
  <c r="F58" i="31" l="1"/>
  <c r="E59" i="31"/>
  <c r="E57" i="31"/>
  <c r="AA56" i="31" l="1"/>
  <c r="T50" i="31"/>
  <c r="AK73" i="31"/>
  <c r="U52" i="31"/>
  <c r="AN52" i="31" s="1"/>
  <c r="U58" i="31"/>
  <c r="X58" i="31" s="1"/>
  <c r="U55" i="31"/>
  <c r="X55" i="31" s="1"/>
  <c r="U62" i="31"/>
  <c r="AN62" i="31" s="1"/>
  <c r="U54" i="31"/>
  <c r="AN54" i="31" s="1"/>
  <c r="T56" i="31"/>
  <c r="T51" i="31"/>
  <c r="V51" i="31" s="1"/>
  <c r="U50" i="31"/>
  <c r="AN50" i="31" s="1"/>
  <c r="U61" i="31"/>
  <c r="AN61" i="31" s="1"/>
  <c r="T58" i="31"/>
  <c r="T57" i="31"/>
  <c r="V57" i="31" s="1"/>
  <c r="S70" i="31" s="1"/>
  <c r="T59" i="31"/>
  <c r="V59" i="31" s="1"/>
  <c r="S69" i="31" s="1"/>
  <c r="T61" i="31"/>
  <c r="T52" i="31"/>
  <c r="V52" i="31" s="1"/>
  <c r="T55" i="31"/>
  <c r="V55" i="31" s="1"/>
  <c r="T54" i="31"/>
  <c r="U59" i="31"/>
  <c r="T60" i="31"/>
  <c r="V60" i="31" s="1"/>
  <c r="S46" i="31" s="1"/>
  <c r="T62" i="31"/>
  <c r="V62" i="31" s="1"/>
  <c r="V63" i="31"/>
  <c r="S68" i="31" s="1"/>
  <c r="U57" i="31"/>
  <c r="AN57" i="31" s="1"/>
  <c r="U56" i="31"/>
  <c r="X56" i="31" s="1"/>
  <c r="U51" i="31"/>
  <c r="AN51" i="31" s="1"/>
  <c r="U63" i="31"/>
  <c r="X63" i="31" s="1"/>
  <c r="U49" i="31"/>
  <c r="AJ53" i="31"/>
  <c r="F53" i="31" s="1"/>
  <c r="W61" i="31" l="1"/>
  <c r="V61" i="31"/>
  <c r="S55" i="31"/>
  <c r="W50" i="31"/>
  <c r="V50" i="31"/>
  <c r="W58" i="31"/>
  <c r="V58" i="31"/>
  <c r="S63" i="31"/>
  <c r="S41" i="31"/>
  <c r="S34" i="31"/>
  <c r="S36" i="31"/>
  <c r="S51" i="31"/>
  <c r="W54" i="31"/>
  <c r="V54" i="31"/>
  <c r="W56" i="31"/>
  <c r="V56" i="31"/>
  <c r="T53" i="31"/>
  <c r="T73" i="31" s="1"/>
  <c r="X59" i="31"/>
  <c r="X60" i="31"/>
  <c r="E53" i="31"/>
  <c r="AN59" i="31"/>
  <c r="W62" i="31"/>
  <c r="W55" i="31"/>
  <c r="X50" i="31"/>
  <c r="X57" i="31"/>
  <c r="Y63" i="31"/>
  <c r="AC63" i="31" s="1"/>
  <c r="AG63" i="31" s="1"/>
  <c r="Y56" i="31"/>
  <c r="Z56" i="31" s="1"/>
  <c r="AE56" i="31" s="1"/>
  <c r="Y51" i="31"/>
  <c r="U53" i="31"/>
  <c r="Y49" i="31"/>
  <c r="W63" i="31"/>
  <c r="W60" i="31"/>
  <c r="W52" i="31"/>
  <c r="W49" i="31"/>
  <c r="W59" i="31"/>
  <c r="W57" i="31"/>
  <c r="X61" i="31"/>
  <c r="AN56" i="31"/>
  <c r="W51" i="31"/>
  <c r="X49" i="31"/>
  <c r="AN58" i="31"/>
  <c r="X52" i="31"/>
  <c r="X51" i="31"/>
  <c r="AN60" i="31"/>
  <c r="AN49" i="31"/>
  <c r="Y60" i="31"/>
  <c r="X54" i="31"/>
  <c r="X62" i="31"/>
  <c r="AN55" i="31"/>
  <c r="AN63" i="31"/>
  <c r="S47" i="31" l="1"/>
  <c r="S48" i="31"/>
  <c r="S59" i="31"/>
  <c r="S58" i="31"/>
  <c r="W53" i="31"/>
  <c r="V53" i="31"/>
  <c r="S54" i="31"/>
  <c r="S39" i="31"/>
  <c r="S35" i="31"/>
  <c r="S45" i="31"/>
  <c r="S56" i="31"/>
  <c r="S50" i="31"/>
  <c r="S44" i="31"/>
  <c r="S57" i="31"/>
  <c r="S52" i="31"/>
  <c r="S49" i="31"/>
  <c r="AE63" i="31"/>
  <c r="AF63" i="31"/>
  <c r="V73" i="31"/>
  <c r="AC56" i="31"/>
  <c r="AG56" i="31" s="1"/>
  <c r="Z49" i="31"/>
  <c r="AE49" i="31" s="1"/>
  <c r="AC49" i="31"/>
  <c r="Y53" i="31"/>
  <c r="AN53" i="31"/>
  <c r="X53" i="31"/>
  <c r="Z51" i="31"/>
  <c r="AE51" i="31" s="1"/>
  <c r="AC51" i="31"/>
  <c r="U73" i="31"/>
  <c r="AC60" i="31"/>
  <c r="Z60" i="31"/>
  <c r="AE60" i="31" s="1"/>
  <c r="S37" i="31" l="1"/>
  <c r="S53" i="31"/>
  <c r="S38" i="31"/>
  <c r="AF56" i="31"/>
  <c r="AG51" i="31"/>
  <c r="AF51" i="31"/>
  <c r="AC53" i="31"/>
  <c r="Z53" i="31"/>
  <c r="AE53" i="31" s="1"/>
  <c r="AG60" i="31"/>
  <c r="AF60" i="31"/>
  <c r="AF49" i="31"/>
  <c r="AG49" i="31"/>
  <c r="AF53" i="31" l="1"/>
  <c r="AG53" i="31"/>
  <c r="T41" i="6" l="1"/>
  <c r="W41" i="6"/>
  <c r="Y41" i="6" s="1"/>
  <c r="Z41" i="6" s="1"/>
  <c r="X41" i="6" l="1"/>
  <c r="AL18" i="31"/>
  <c r="V24" i="31"/>
  <c r="V20" i="31"/>
  <c r="S20" i="31" s="1"/>
  <c r="V28" i="31"/>
  <c r="V25" i="31"/>
  <c r="V15" i="31"/>
  <c r="V29" i="31"/>
  <c r="V11" i="31"/>
  <c r="V27" i="31"/>
  <c r="S27" i="31" s="1"/>
  <c r="V10" i="31"/>
  <c r="V17" i="31"/>
  <c r="V5" i="31"/>
  <c r="V16" i="31"/>
  <c r="S16" i="31" s="1"/>
  <c r="V30" i="31"/>
  <c r="V31" i="31"/>
  <c r="V6" i="31"/>
  <c r="V14" i="31"/>
  <c r="V4" i="31"/>
  <c r="V22" i="31"/>
  <c r="V21" i="31"/>
  <c r="V12" i="31"/>
  <c r="V26" i="31"/>
  <c r="V13" i="31"/>
  <c r="V9" i="31"/>
  <c r="V7" i="31"/>
  <c r="S7" i="31" s="1"/>
  <c r="V23" i="31"/>
  <c r="T4" i="31"/>
  <c r="W4" i="31" s="1"/>
  <c r="U30" i="31"/>
  <c r="X30" i="31" s="1"/>
  <c r="T24" i="31"/>
  <c r="W24" i="31" s="1"/>
  <c r="U14" i="31"/>
  <c r="AN14" i="31" s="1"/>
  <c r="U31" i="31"/>
  <c r="AN31" i="31" s="1"/>
  <c r="U4" i="31"/>
  <c r="X4" i="31" s="1"/>
  <c r="U23" i="31"/>
  <c r="X23" i="31" s="1"/>
  <c r="U29" i="31"/>
  <c r="X29" i="31" s="1"/>
  <c r="U12" i="31"/>
  <c r="AN12" i="31" s="1"/>
  <c r="U17" i="31"/>
  <c r="X17" i="31" s="1"/>
  <c r="T23" i="31"/>
  <c r="W23" i="31" s="1"/>
  <c r="U6" i="31"/>
  <c r="X6" i="31" s="1"/>
  <c r="T16" i="31"/>
  <c r="W16" i="31" s="1"/>
  <c r="U15" i="31"/>
  <c r="AN15" i="31" s="1"/>
  <c r="T8" i="31"/>
  <c r="W8" i="31" s="1"/>
  <c r="T26" i="31"/>
  <c r="W26" i="31" s="1"/>
  <c r="T21" i="31"/>
  <c r="W21" i="31" s="1"/>
  <c r="AL19" i="31"/>
  <c r="T30" i="31"/>
  <c r="W30" i="31" s="1"/>
  <c r="U5" i="31"/>
  <c r="AN5" i="31" s="1"/>
  <c r="T28" i="31"/>
  <c r="W28" i="31" s="1"/>
  <c r="U20" i="31"/>
  <c r="X20" i="31" s="1"/>
  <c r="U10" i="31"/>
  <c r="X10" i="31" s="1"/>
  <c r="T9" i="31"/>
  <c r="W9" i="31" s="1"/>
  <c r="U9" i="31"/>
  <c r="T27" i="31"/>
  <c r="W27" i="31" s="1"/>
  <c r="T15" i="31"/>
  <c r="W15" i="31" s="1"/>
  <c r="T20" i="31"/>
  <c r="W20" i="31" s="1"/>
  <c r="T12" i="31"/>
  <c r="W12" i="31" s="1"/>
  <c r="U11" i="31"/>
  <c r="X11" i="31" s="1"/>
  <c r="U7" i="31"/>
  <c r="AN7" i="31" s="1"/>
  <c r="U22" i="31"/>
  <c r="X22" i="31" s="1"/>
  <c r="T5" i="31"/>
  <c r="W5" i="31" s="1"/>
  <c r="U8" i="31"/>
  <c r="X8" i="31" s="1"/>
  <c r="T22" i="31"/>
  <c r="W22" i="31" s="1"/>
  <c r="U27" i="31"/>
  <c r="AN27" i="31" s="1"/>
  <c r="U21" i="31"/>
  <c r="X21" i="31" s="1"/>
  <c r="U26" i="31"/>
  <c r="X26" i="31" s="1"/>
  <c r="U28" i="31"/>
  <c r="AN28" i="31" s="1"/>
  <c r="T31" i="31"/>
  <c r="W31" i="31" s="1"/>
  <c r="U25" i="31"/>
  <c r="AN25" i="31" s="1"/>
  <c r="U13" i="31"/>
  <c r="X13" i="31" s="1"/>
  <c r="AJ19" i="31"/>
  <c r="E19" i="31" s="1"/>
  <c r="W3" i="31"/>
  <c r="T10" i="31"/>
  <c r="W10" i="31" s="1"/>
  <c r="U24" i="31"/>
  <c r="AN24" i="31" s="1"/>
  <c r="U16" i="31"/>
  <c r="AN16" i="31" s="1"/>
  <c r="W14" i="31"/>
  <c r="T17" i="31"/>
  <c r="W17" i="31" s="1"/>
  <c r="U3" i="31"/>
  <c r="AN3" i="31" s="1"/>
  <c r="AK71" i="31"/>
  <c r="AK74" i="31" s="1"/>
  <c r="T6" i="31"/>
  <c r="W6" i="31" s="1"/>
  <c r="T13" i="31"/>
  <c r="W13" i="31" s="1"/>
  <c r="T11" i="31"/>
  <c r="W11" i="31" s="1"/>
  <c r="T29" i="31"/>
  <c r="W29" i="31" s="1"/>
  <c r="T25" i="31"/>
  <c r="W25" i="31" s="1"/>
  <c r="T7" i="31"/>
  <c r="W7" i="31" s="1"/>
  <c r="AJ18" i="31"/>
  <c r="F18" i="31" s="1"/>
  <c r="E18" i="31"/>
  <c r="S21" i="31" l="1"/>
  <c r="S10" i="31"/>
  <c r="S15" i="31"/>
  <c r="S30" i="31"/>
  <c r="S43" i="31"/>
  <c r="S60" i="31"/>
  <c r="S62" i="31"/>
  <c r="S42" i="31"/>
  <c r="S61" i="31"/>
  <c r="S40" i="31"/>
  <c r="S14" i="31"/>
  <c r="S3" i="31"/>
  <c r="S13" i="31"/>
  <c r="S8" i="31"/>
  <c r="S24" i="31"/>
  <c r="S11" i="31"/>
  <c r="S29" i="31"/>
  <c r="S22" i="31"/>
  <c r="S26" i="31"/>
  <c r="S4" i="31"/>
  <c r="S28" i="31"/>
  <c r="S6" i="31"/>
  <c r="S31" i="31"/>
  <c r="S12" i="31"/>
  <c r="S25" i="31"/>
  <c r="S5" i="31"/>
  <c r="T19" i="31"/>
  <c r="W19" i="31" s="1"/>
  <c r="Y16" i="31"/>
  <c r="AC16" i="31" s="1"/>
  <c r="AF16" i="31" s="1"/>
  <c r="X16" i="31"/>
  <c r="AN21" i="31"/>
  <c r="Y21" i="31"/>
  <c r="Z21" i="31" s="1"/>
  <c r="AE21" i="31" s="1"/>
  <c r="AN30" i="31"/>
  <c r="Y7" i="31"/>
  <c r="Z7" i="31" s="1"/>
  <c r="AE7" i="31" s="1"/>
  <c r="AN11" i="31"/>
  <c r="U18" i="31"/>
  <c r="AN18" i="31" s="1"/>
  <c r="X15" i="31"/>
  <c r="Y13" i="31"/>
  <c r="X24" i="31"/>
  <c r="AN8" i="31"/>
  <c r="Y3" i="31"/>
  <c r="AC3" i="31" s="1"/>
  <c r="AF3" i="31" s="1"/>
  <c r="AN22" i="31"/>
  <c r="X7" i="31"/>
  <c r="Y9" i="31"/>
  <c r="AC9" i="31" s="1"/>
  <c r="Y24" i="31"/>
  <c r="X25" i="31"/>
  <c r="T18" i="31"/>
  <c r="W18" i="31" s="1"/>
  <c r="X28" i="31"/>
  <c r="X27" i="31"/>
  <c r="AN10" i="31"/>
  <c r="X5" i="31"/>
  <c r="AN29" i="31"/>
  <c r="AN9" i="31"/>
  <c r="X9" i="31"/>
  <c r="U19" i="31"/>
  <c r="AN26" i="31"/>
  <c r="AN20" i="31"/>
  <c r="AN23" i="31"/>
  <c r="X31" i="31"/>
  <c r="F19" i="31"/>
  <c r="G73" i="31" s="1"/>
  <c r="W73" i="31" s="1"/>
  <c r="V19" i="31"/>
  <c r="S19" i="31" s="1"/>
  <c r="AN6" i="31"/>
  <c r="AN17" i="31"/>
  <c r="V18" i="31"/>
  <c r="S18" i="31" s="1"/>
  <c r="X3" i="31"/>
  <c r="AN13" i="31"/>
  <c r="AN4" i="31"/>
  <c r="X14" i="31"/>
  <c r="X12" i="31"/>
  <c r="AC21" i="31" l="1"/>
  <c r="AG21" i="31" s="1"/>
  <c r="S23" i="31"/>
  <c r="S9" i="31"/>
  <c r="S17" i="31"/>
  <c r="Z16" i="31"/>
  <c r="AE16" i="31" s="1"/>
  <c r="H71" i="31"/>
  <c r="G72" i="31"/>
  <c r="W72" i="31" s="1"/>
  <c r="V71" i="31"/>
  <c r="V74" i="31" s="1"/>
  <c r="E73" i="31"/>
  <c r="O73" i="31" s="1"/>
  <c r="E72" i="31"/>
  <c r="O72" i="31" s="1"/>
  <c r="F73" i="31"/>
  <c r="P73" i="31" s="1"/>
  <c r="G71" i="31"/>
  <c r="Y18" i="31"/>
  <c r="AC18" i="31" s="1"/>
  <c r="AC7" i="31"/>
  <c r="AF7" i="31" s="1"/>
  <c r="X18" i="31"/>
  <c r="Z9" i="31"/>
  <c r="AE9" i="31" s="1"/>
  <c r="Z13" i="31"/>
  <c r="AE13" i="31" s="1"/>
  <c r="AC13" i="31"/>
  <c r="AG16" i="31"/>
  <c r="Z3" i="31"/>
  <c r="AE3" i="31" s="1"/>
  <c r="AF9" i="31"/>
  <c r="F72" i="31"/>
  <c r="P72" i="31" s="1"/>
  <c r="AN19" i="31"/>
  <c r="X19" i="31"/>
  <c r="AA18" i="31"/>
  <c r="F71" i="31"/>
  <c r="T71" i="31"/>
  <c r="Z24" i="31"/>
  <c r="AE24" i="31" s="1"/>
  <c r="AC24" i="31"/>
  <c r="E71" i="31"/>
  <c r="U71" i="31"/>
  <c r="AF21" i="31" l="1"/>
  <c r="G74" i="31"/>
  <c r="AG7" i="31"/>
  <c r="Y74" i="31"/>
  <c r="Z18" i="31"/>
  <c r="AE18" i="31" s="1"/>
  <c r="AG9" i="31"/>
  <c r="AG13" i="31"/>
  <c r="AF13" i="31"/>
  <c r="AG3" i="31"/>
  <c r="E74" i="31"/>
  <c r="O74" i="31" s="1"/>
  <c r="O71" i="31"/>
  <c r="AG24" i="31"/>
  <c r="AF24" i="31"/>
  <c r="F74" i="31"/>
  <c r="P74" i="31" s="1"/>
  <c r="P71" i="31"/>
  <c r="U74" i="31"/>
  <c r="X71" i="31"/>
  <c r="W71" i="31"/>
  <c r="T74" i="31"/>
  <c r="AC74" i="31"/>
  <c r="AF18" i="31"/>
  <c r="H72" i="31"/>
  <c r="H73" i="31" s="1"/>
  <c r="X73" i="31" s="1"/>
  <c r="AG18" i="31" l="1"/>
  <c r="X72" i="31"/>
  <c r="H74" i="31"/>
</calcChain>
</file>

<file path=xl/comments1.xml><?xml version="1.0" encoding="utf-8"?>
<comments xmlns="http://schemas.openxmlformats.org/spreadsheetml/2006/main">
  <authors>
    <author>tinhlq1</author>
  </authors>
  <commentList>
    <comment ref="E40" authorId="0" shapeId="0">
      <text>
        <r>
          <rPr>
            <b/>
            <sz val="9"/>
            <color indexed="81"/>
            <rFont val="Tahoma"/>
            <family val="2"/>
          </rPr>
          <t>tinhlq1:</t>
        </r>
        <r>
          <rPr>
            <sz val="9"/>
            <color indexed="81"/>
            <rFont val="Tahoma"/>
            <family val="2"/>
          </rPr>
          <t xml:space="preserve">
giả định 1M do chưa ép tải</t>
        </r>
      </text>
    </comment>
    <comment ref="E41" authorId="0" shapeId="0">
      <text>
        <r>
          <rPr>
            <b/>
            <sz val="9"/>
            <color indexed="81"/>
            <rFont val="Tahoma"/>
            <family val="2"/>
          </rPr>
          <t>tinhlq1:</t>
        </r>
        <r>
          <rPr>
            <sz val="9"/>
            <color indexed="81"/>
            <rFont val="Tahoma"/>
            <family val="2"/>
          </rPr>
          <t xml:space="preserve">
giả định 1M do chưa ép tải</t>
        </r>
      </text>
    </comment>
    <comment ref="E42" authorId="0" shapeId="0">
      <text>
        <r>
          <rPr>
            <b/>
            <sz val="9"/>
            <color indexed="81"/>
            <rFont val="Tahoma"/>
            <family val="2"/>
          </rPr>
          <t>tinhlq1:</t>
        </r>
        <r>
          <rPr>
            <sz val="9"/>
            <color indexed="81"/>
            <rFont val="Tahoma"/>
            <family val="2"/>
          </rPr>
          <t xml:space="preserve">
giả định 1M do chưa ép tải</t>
        </r>
      </text>
    </comment>
    <comment ref="E43" authorId="0" shapeId="0">
      <text>
        <r>
          <rPr>
            <b/>
            <sz val="9"/>
            <color indexed="81"/>
            <rFont val="Tahoma"/>
            <family val="2"/>
          </rPr>
          <t>tinhlq1:</t>
        </r>
        <r>
          <rPr>
            <sz val="9"/>
            <color indexed="81"/>
            <rFont val="Tahoma"/>
            <family val="2"/>
          </rPr>
          <t xml:space="preserve">
giả định 1M do chưa ép tải</t>
        </r>
      </text>
    </comment>
  </commentList>
</comments>
</file>

<file path=xl/comments2.xml><?xml version="1.0" encoding="utf-8"?>
<comments xmlns="http://schemas.openxmlformats.org/spreadsheetml/2006/main">
  <authors>
    <author>tinhlq1</author>
  </authors>
  <commentList>
    <comment ref="E55" authorId="0" shapeId="0">
      <text>
        <r>
          <rPr>
            <b/>
            <sz val="9"/>
            <color indexed="81"/>
            <rFont val="Tahoma"/>
            <family val="2"/>
          </rPr>
          <t>tinhlq1:</t>
        </r>
        <r>
          <rPr>
            <sz val="9"/>
            <color indexed="81"/>
            <rFont val="Tahoma"/>
            <family val="2"/>
          </rPr>
          <t xml:space="preserve">
giả định 1M do chưa ép tải</t>
        </r>
      </text>
    </comment>
    <comment ref="E56" authorId="0" shapeId="0">
      <text>
        <r>
          <rPr>
            <b/>
            <sz val="9"/>
            <color indexed="81"/>
            <rFont val="Tahoma"/>
            <family val="2"/>
          </rPr>
          <t>tinhlq1:</t>
        </r>
        <r>
          <rPr>
            <sz val="9"/>
            <color indexed="81"/>
            <rFont val="Tahoma"/>
            <family val="2"/>
          </rPr>
          <t xml:space="preserve">
giả định 1M do chưa ép tải</t>
        </r>
      </text>
    </comment>
    <comment ref="E57" authorId="0" shapeId="0">
      <text>
        <r>
          <rPr>
            <b/>
            <sz val="9"/>
            <color indexed="81"/>
            <rFont val="Tahoma"/>
            <family val="2"/>
          </rPr>
          <t>tinhlq1:</t>
        </r>
        <r>
          <rPr>
            <sz val="9"/>
            <color indexed="81"/>
            <rFont val="Tahoma"/>
            <family val="2"/>
          </rPr>
          <t xml:space="preserve">
giả định 1M do chưa ép tải</t>
        </r>
      </text>
    </comment>
    <comment ref="E58" authorId="0" shapeId="0">
      <text>
        <r>
          <rPr>
            <b/>
            <sz val="9"/>
            <color indexed="81"/>
            <rFont val="Tahoma"/>
            <family val="2"/>
          </rPr>
          <t>tinhlq1:</t>
        </r>
        <r>
          <rPr>
            <sz val="9"/>
            <color indexed="81"/>
            <rFont val="Tahoma"/>
            <family val="2"/>
          </rPr>
          <t xml:space="preserve">
giả định 1M do chưa ép tải</t>
        </r>
      </text>
    </comment>
  </commentList>
</comments>
</file>

<file path=xl/comments3.xml><?xml version="1.0" encoding="utf-8"?>
<comments xmlns="http://schemas.openxmlformats.org/spreadsheetml/2006/main">
  <authors>
    <author>tinhlq1</author>
  </authors>
  <commentList>
    <comment ref="Y1" authorId="0" shapeId="0">
      <text>
        <r>
          <rPr>
            <b/>
            <sz val="9"/>
            <color indexed="81"/>
            <rFont val="Tahoma"/>
            <family val="2"/>
          </rPr>
          <t>tinhlq1:</t>
        </r>
        <r>
          <rPr>
            <sz val="9"/>
            <color indexed="81"/>
            <rFont val="Tahoma"/>
            <family val="2"/>
          </rPr>
          <t xml:space="preserve">
Hệ số Bearer IMS/Total Bearer</t>
        </r>
      </text>
    </comment>
    <comment ref="G64" authorId="0" shapeId="0">
      <text>
        <r>
          <rPr>
            <b/>
            <sz val="9"/>
            <color indexed="81"/>
            <rFont val="Tahoma"/>
            <family val="2"/>
          </rPr>
          <t>tinhlq1:</t>
        </r>
        <r>
          <rPr>
            <sz val="9"/>
            <color indexed="81"/>
            <rFont val="Tahoma"/>
            <family val="2"/>
          </rPr>
          <t xml:space="preserve">
giả định 1M do chưa ép tải</t>
        </r>
      </text>
    </comment>
    <comment ref="G65" authorId="0" shapeId="0">
      <text>
        <r>
          <rPr>
            <b/>
            <sz val="9"/>
            <color indexed="81"/>
            <rFont val="Tahoma"/>
            <family val="2"/>
          </rPr>
          <t>tinhlq1:</t>
        </r>
        <r>
          <rPr>
            <sz val="9"/>
            <color indexed="81"/>
            <rFont val="Tahoma"/>
            <family val="2"/>
          </rPr>
          <t xml:space="preserve">
giả định 1M do chưa ép tải</t>
        </r>
      </text>
    </comment>
    <comment ref="G66" authorId="0" shapeId="0">
      <text>
        <r>
          <rPr>
            <b/>
            <sz val="9"/>
            <color indexed="81"/>
            <rFont val="Tahoma"/>
            <family val="2"/>
          </rPr>
          <t>tinhlq1:</t>
        </r>
        <r>
          <rPr>
            <sz val="9"/>
            <color indexed="81"/>
            <rFont val="Tahoma"/>
            <family val="2"/>
          </rPr>
          <t xml:space="preserve">
giả định 1M do chưa ép tải</t>
        </r>
      </text>
    </comment>
    <comment ref="G67" authorId="0" shapeId="0">
      <text>
        <r>
          <rPr>
            <b/>
            <sz val="9"/>
            <color indexed="81"/>
            <rFont val="Tahoma"/>
            <family val="2"/>
          </rPr>
          <t>tinhlq1:</t>
        </r>
        <r>
          <rPr>
            <sz val="9"/>
            <color indexed="81"/>
            <rFont val="Tahoma"/>
            <family val="2"/>
          </rPr>
          <t xml:space="preserve">
giả định 1M do chưa ép tải</t>
        </r>
      </text>
    </comment>
  </commentList>
</comments>
</file>

<file path=xl/comments4.xml><?xml version="1.0" encoding="utf-8"?>
<comments xmlns="http://schemas.openxmlformats.org/spreadsheetml/2006/main">
  <authors>
    <author>dientq</author>
  </authors>
  <commentList>
    <comment ref="B63" authorId="0" shapeId="0">
      <text>
        <r>
          <rPr>
            <b/>
            <sz val="9"/>
            <color indexed="81"/>
            <rFont val="Tahoma"/>
            <family val="2"/>
          </rPr>
          <t>dientq:</t>
        </r>
        <r>
          <rPr>
            <sz val="9"/>
            <color indexed="81"/>
            <rFont val="Tahoma"/>
            <family val="2"/>
          </rPr>
          <t xml:space="preserve">
Change name: 07/08 to 09/10 (manhpd5) email on 14/4/2023</t>
        </r>
      </text>
    </comment>
    <comment ref="B77" authorId="0" shapeId="0">
      <text>
        <r>
          <rPr>
            <b/>
            <sz val="9"/>
            <color indexed="81"/>
            <rFont val="Tahoma"/>
            <family val="2"/>
          </rPr>
          <t>dientq:</t>
        </r>
        <r>
          <rPr>
            <sz val="9"/>
            <color indexed="81"/>
            <rFont val="Tahoma"/>
            <family val="2"/>
          </rPr>
          <t xml:space="preserve">
Change name: 11/12 to 13/14 (manhpd5) email on 14/4/2023</t>
        </r>
      </text>
    </comment>
  </commentList>
</comments>
</file>

<file path=xl/sharedStrings.xml><?xml version="1.0" encoding="utf-8"?>
<sst xmlns="http://schemas.openxmlformats.org/spreadsheetml/2006/main" count="12792" uniqueCount="1248">
  <si>
    <t>STT</t>
  </si>
  <si>
    <t>PDP</t>
  </si>
  <si>
    <t>GGSN</t>
  </si>
  <si>
    <t>Total</t>
  </si>
  <si>
    <t>Ericsson</t>
  </si>
  <si>
    <t>License</t>
  </si>
  <si>
    <t>Tỷ lệ sử dụng</t>
  </si>
  <si>
    <t>Node</t>
  </si>
  <si>
    <t>VENDOR</t>
  </si>
  <si>
    <t>Khu vực</t>
  </si>
  <si>
    <t>License SAU</t>
  </si>
  <si>
    <t>License SAU (VHKT)</t>
  </si>
  <si>
    <t>Max. sau_total</t>
  </si>
  <si>
    <t>%SAU license</t>
  </si>
  <si>
    <t>Ghi chú</t>
  </si>
  <si>
    <t>KV1</t>
  </si>
  <si>
    <t>SGHL04</t>
  </si>
  <si>
    <t>SGHL05</t>
  </si>
  <si>
    <t>SGHL06</t>
  </si>
  <si>
    <t>SGHL07</t>
  </si>
  <si>
    <t>SGHL08</t>
  </si>
  <si>
    <t>SGHL09</t>
  </si>
  <si>
    <t>SGHL10</t>
  </si>
  <si>
    <t>Pool KV1</t>
  </si>
  <si>
    <t>SGHK01</t>
  </si>
  <si>
    <t>KV2</t>
  </si>
  <si>
    <t>SGHK02</t>
  </si>
  <si>
    <t>SGHK03</t>
  </si>
  <si>
    <t>Pool KV2</t>
  </si>
  <si>
    <t>SGHT07</t>
  </si>
  <si>
    <t>KV3</t>
  </si>
  <si>
    <t>SGHT08</t>
  </si>
  <si>
    <t>SGHT09</t>
  </si>
  <si>
    <t>SGHT10</t>
  </si>
  <si>
    <t>SGHT11</t>
  </si>
  <si>
    <t>SGHT12</t>
  </si>
  <si>
    <t>Pool KV3</t>
  </si>
  <si>
    <t>SGSN_KV1</t>
  </si>
  <si>
    <t/>
  </si>
  <si>
    <t>SGSN_KV2</t>
  </si>
  <si>
    <t>SGSN_KV3</t>
  </si>
  <si>
    <t>SGSN_TQ</t>
  </si>
  <si>
    <t>Back to "Gioi Thieu Tai lieu"</t>
  </si>
  <si>
    <t>Vendor</t>
  </si>
  <si>
    <t>AREA CODE</t>
  </si>
  <si>
    <t>Bear</t>
  </si>
  <si>
    <t>Throughput</t>
  </si>
  <si>
    <t>Total IPv4</t>
  </si>
  <si>
    <t>Thgoughput</t>
  </si>
  <si>
    <t>%Bear</t>
  </si>
  <si>
    <t>%Throughput</t>
  </si>
  <si>
    <t>GGSN Mbps license (official)</t>
  </si>
  <si>
    <t>Total GGSN IPv4v6 Mbps</t>
  </si>
  <si>
    <t>CGNAT/FW Name</t>
  </si>
  <si>
    <t>CGNAT/FW Mbps</t>
  </si>
  <si>
    <t>CGNAT/FW Mbps license</t>
  </si>
  <si>
    <t>CGNAT/FW uplink</t>
  </si>
  <si>
    <t>Hiệu suất (%)</t>
  </si>
  <si>
    <t>GGHL04</t>
  </si>
  <si>
    <t>FWHL03/04</t>
  </si>
  <si>
    <t>GGHL05</t>
  </si>
  <si>
    <t>GGHL06</t>
  </si>
  <si>
    <t>CGNATHL01/02</t>
  </si>
  <si>
    <t>GGHL07</t>
  </si>
  <si>
    <t>GGHL08</t>
  </si>
  <si>
    <t>GGHL09</t>
  </si>
  <si>
    <t>GGHL10</t>
  </si>
  <si>
    <t>GGHL11</t>
  </si>
  <si>
    <t>GGHL12</t>
  </si>
  <si>
    <t>GGHL13</t>
  </si>
  <si>
    <t>CGNATHL03/04</t>
  </si>
  <si>
    <t>GGHL14</t>
  </si>
  <si>
    <t>GGHL15</t>
  </si>
  <si>
    <t>CGNATHL05/06</t>
  </si>
  <si>
    <t>GGHL16</t>
  </si>
  <si>
    <t>GGHK01</t>
  </si>
  <si>
    <t>FWHK01/02</t>
  </si>
  <si>
    <t>GGHK02</t>
  </si>
  <si>
    <t>GGHK03</t>
  </si>
  <si>
    <t>CGNATHK01/02</t>
  </si>
  <si>
    <t>GGHK06</t>
  </si>
  <si>
    <t>GGHK07</t>
  </si>
  <si>
    <t>CGNATHK03/04</t>
  </si>
  <si>
    <t>GGHK08</t>
  </si>
  <si>
    <t>GGHT07</t>
  </si>
  <si>
    <t>FWHT05/06</t>
  </si>
  <si>
    <t>GGHT08</t>
  </si>
  <si>
    <t>GGHT09</t>
  </si>
  <si>
    <t>CGNATHT01/02</t>
  </si>
  <si>
    <t>GGHT10</t>
  </si>
  <si>
    <t>GGHT11</t>
  </si>
  <si>
    <t>GGHT12</t>
  </si>
  <si>
    <t>CGNATHT05/06</t>
  </si>
  <si>
    <t>GGHT13</t>
  </si>
  <si>
    <t>GGSN_KV1</t>
  </si>
  <si>
    <t>GGSN_KV2</t>
  </si>
  <si>
    <t>GGSN_KV3</t>
  </si>
  <si>
    <t>GGSN_TQ</t>
  </si>
  <si>
    <t>DEVICE_CODE</t>
  </si>
  <si>
    <t>SAU_4G</t>
  </si>
  <si>
    <t>BEARER_4G</t>
  </si>
  <si>
    <t>PDP_TOTAL</t>
  </si>
  <si>
    <t>SAU_TOTAL</t>
  </si>
  <si>
    <t>KV</t>
  </si>
  <si>
    <t>TQ</t>
  </si>
  <si>
    <t>SGHK06</t>
  </si>
  <si>
    <t>SGHL11</t>
  </si>
  <si>
    <t>SGHL12</t>
  </si>
  <si>
    <t>SGHL13</t>
  </si>
  <si>
    <t>Max. sau_4g sử dụng</t>
  </si>
  <si>
    <t>Max. sau_total sử dụng</t>
  </si>
  <si>
    <t>Bear 4G sửng dụng</t>
  </si>
  <si>
    <t>Total PDP+Bear sửa dụng</t>
  </si>
  <si>
    <t>Tên node</t>
  </si>
  <si>
    <t>% PDP</t>
  </si>
  <si>
    <t>% PDP-SR</t>
  </si>
  <si>
    <t>Uplink GN</t>
  </si>
  <si>
    <t>Downlink GN</t>
  </si>
  <si>
    <t>Total(Gn)</t>
  </si>
  <si>
    <t>%Total(Gn)</t>
  </si>
  <si>
    <t>EPS Bearer</t>
  </si>
  <si>
    <t>% Bearer</t>
  </si>
  <si>
    <t>% Bearer/PDP</t>
  </si>
  <si>
    <t>PGW Bearer-SR</t>
  </si>
  <si>
    <t>SGW Bearer-SR</t>
  </si>
  <si>
    <t>SGW EPS Bearer</t>
  </si>
  <si>
    <t>SGW S1S4S12 Throughput (Mpbs)</t>
  </si>
  <si>
    <t>SGW S5S8 Throughput (Mpbs)</t>
  </si>
  <si>
    <t>SGW Thoughput</t>
  </si>
  <si>
    <t>Thời gian</t>
  </si>
  <si>
    <t>Thời gian lấy dữ liệu</t>
  </si>
  <si>
    <t>SGHT13</t>
  </si>
  <si>
    <t>SGHT14</t>
  </si>
  <si>
    <t>Day of date_hour</t>
  </si>
  <si>
    <t>vendor</t>
  </si>
  <si>
    <t>object_id</t>
  </si>
  <si>
    <t>Max. downlink_ggsn</t>
  </si>
  <si>
    <t>Max. uplink_ggsn</t>
  </si>
  <si>
    <t>Max. Total throughput (up&amp;down)</t>
  </si>
  <si>
    <t>Max. License throughput</t>
  </si>
  <si>
    <t>Max. License throughput (VHKT)</t>
  </si>
  <si>
    <t>%Throughput Ipv4</t>
  </si>
  <si>
    <t>Max. throughput_ggsn_ipv6</t>
  </si>
  <si>
    <t>%Throughput Ipv6</t>
  </si>
  <si>
    <t>%Throughput (VHKT)</t>
  </si>
  <si>
    <t>Max. pdp_context_ggsn_2g_3g</t>
  </si>
  <si>
    <t>Max. pdp_context_bear_ggsn_4g</t>
  </si>
  <si>
    <t>Max. pdp_context_bear_ggsn_2g_3g_4g</t>
  </si>
  <si>
    <t>Max. Total PDP (Ipv4)</t>
  </si>
  <si>
    <t>Max. License PDP node mạng</t>
  </si>
  <si>
    <t>%PDP (Ipv4)/(license node mang)</t>
  </si>
  <si>
    <t xml:space="preserve">Max. License PDP IPv4 Pool </t>
  </si>
  <si>
    <t>%PDP (Ipv4)/(License Ipv4 pool)</t>
  </si>
  <si>
    <t>Max. pdp_context_ggsn_2g_3g_ipv4v6</t>
  </si>
  <si>
    <t>Max. pdp_context_bear_ggsn_4g_ipv4v6</t>
  </si>
  <si>
    <t>Max. pdp_context_bear_ggsn_2g_3g_4g_ipv4v6</t>
  </si>
  <si>
    <t>%PDP Ipv4v6</t>
  </si>
  <si>
    <t>Max. pdp_context_bear_ggsn_2g_3g_4g_ipv6 (all)</t>
  </si>
  <si>
    <t xml:space="preserve">Max. License PDP IPv6 Pool </t>
  </si>
  <si>
    <t>%PDP Ipv6 (all)/(License pdp Ipv6 pool)</t>
  </si>
  <si>
    <t>ericsson</t>
  </si>
  <si>
    <t>gghl04</t>
  </si>
  <si>
    <t>gghl05</t>
  </si>
  <si>
    <t>gghl06</t>
  </si>
  <si>
    <t>gghl07</t>
  </si>
  <si>
    <t>gghl08</t>
  </si>
  <si>
    <t>gghl09</t>
  </si>
  <si>
    <t>gghl10</t>
  </si>
  <si>
    <t>gghl11</t>
  </si>
  <si>
    <t>gghl12</t>
  </si>
  <si>
    <t>gghl13</t>
  </si>
  <si>
    <t>gghl14</t>
  </si>
  <si>
    <t>gghl15</t>
  </si>
  <si>
    <t>gghl16</t>
  </si>
  <si>
    <t>vttek</t>
  </si>
  <si>
    <t>gghk01</t>
  </si>
  <si>
    <t>gghk02</t>
  </si>
  <si>
    <t>gghk03</t>
  </si>
  <si>
    <t>gghk06</t>
  </si>
  <si>
    <t>gghk07</t>
  </si>
  <si>
    <t>gghk08</t>
  </si>
  <si>
    <t>gght07</t>
  </si>
  <si>
    <t>gght08</t>
  </si>
  <si>
    <t>gght09</t>
  </si>
  <si>
    <t>gght10</t>
  </si>
  <si>
    <t>gght11</t>
  </si>
  <si>
    <t>gght12</t>
  </si>
  <si>
    <t>gght13</t>
  </si>
  <si>
    <t>date_time_str_day</t>
  </si>
  <si>
    <t>country</t>
  </si>
  <si>
    <t>Danh gia</t>
  </si>
  <si>
    <t>Max. sau_2g</t>
  </si>
  <si>
    <t>Max. sau_3g</t>
  </si>
  <si>
    <t>Max. sau_4g</t>
  </si>
  <si>
    <t>Max. License SAU</t>
  </si>
  <si>
    <t>Max. License SAU (VHKT)</t>
  </si>
  <si>
    <t>%SAU</t>
  </si>
  <si>
    <t>%SAU (VHKT)</t>
  </si>
  <si>
    <t>Max. pdp_context_sgsn_2g</t>
  </si>
  <si>
    <t>Max. pdp_context_sgsn_3g</t>
  </si>
  <si>
    <t>Max. pdp_context_sgsn_4g</t>
  </si>
  <si>
    <t>Max. pdp_context_sgsn_total</t>
  </si>
  <si>
    <t>Max. License PDP</t>
  </si>
  <si>
    <t>Max. License PDP (VHKT)</t>
  </si>
  <si>
    <t>%PDP</t>
  </si>
  <si>
    <t>%PDP (VHKT)</t>
  </si>
  <si>
    <t>Max. uplink_sgsn</t>
  </si>
  <si>
    <t>Max. downlink_sgsn</t>
  </si>
  <si>
    <t>Max. Total throughput</t>
  </si>
  <si>
    <t>Total throughput (Mbps)</t>
  </si>
  <si>
    <t>VNM</t>
  </si>
  <si>
    <t>Đảm bảo</t>
  </si>
  <si>
    <t>sghl04</t>
  </si>
  <si>
    <t>sghl05</t>
  </si>
  <si>
    <t>sghl06</t>
  </si>
  <si>
    <t>sghl07</t>
  </si>
  <si>
    <t>sghl08</t>
  </si>
  <si>
    <t>sghl09</t>
  </si>
  <si>
    <t>sghl10</t>
  </si>
  <si>
    <t>sghl11</t>
  </si>
  <si>
    <t>sghl12</t>
  </si>
  <si>
    <t>sghl13</t>
  </si>
  <si>
    <t>sghl20</t>
  </si>
  <si>
    <t>sghl21</t>
  </si>
  <si>
    <t>sghk01</t>
  </si>
  <si>
    <t>sghk02</t>
  </si>
  <si>
    <t>sghk03</t>
  </si>
  <si>
    <t>sghk06</t>
  </si>
  <si>
    <t>sght07</t>
  </si>
  <si>
    <t>sght08</t>
  </si>
  <si>
    <t>sght09</t>
  </si>
  <si>
    <t>sght10</t>
  </si>
  <si>
    <t>sght11</t>
  </si>
  <si>
    <t>sght12</t>
  </si>
  <si>
    <t>1/ Trước khi cân tải</t>
  </si>
  <si>
    <t>Route IPv6 to CGNAT</t>
  </si>
  <si>
    <t>Max. Total throughput (IPv4v6 Mbps)</t>
  </si>
  <si>
    <t>Max. Total throughput (IPv6 Mbps)</t>
  </si>
  <si>
    <t>Total GGSN IPv6 Mbps</t>
  </si>
  <si>
    <t>Total GGSN Mbps license</t>
  </si>
  <si>
    <t>Hiệu suất (%) theo Uplink</t>
  </si>
  <si>
    <t>Max. Total throughput (IPv4 Mbps)</t>
  </si>
  <si>
    <t>%Gbps on FW/CGNAT</t>
  </si>
  <si>
    <t>04 vs 03</t>
  </si>
  <si>
    <t>04 vs 02</t>
  </si>
  <si>
    <t>YES</t>
  </si>
  <si>
    <t>Đêm 08/4/2021</t>
  </si>
  <si>
    <t>Đêm 10/4/2021</t>
  </si>
  <si>
    <t>GGHL20</t>
  </si>
  <si>
    <t>VHT</t>
  </si>
  <si>
    <t>GGHT14</t>
  </si>
  <si>
    <t>Cisco</t>
  </si>
  <si>
    <t>GGHT15</t>
  </si>
  <si>
    <t>GGHT16</t>
  </si>
  <si>
    <t>sght13</t>
  </si>
  <si>
    <t>sght14</t>
  </si>
  <si>
    <t>GGHL19</t>
  </si>
  <si>
    <t>sghl19</t>
  </si>
  <si>
    <t>Hiệu suất khi bypass IPv6 (%)</t>
  </si>
  <si>
    <t>License (VHKT)</t>
  </si>
  <si>
    <t>GGSN Mbps license VHKT</t>
  </si>
  <si>
    <t>License Bear 
(License Node)</t>
  </si>
  <si>
    <t>License Throughput VHKT</t>
  </si>
  <si>
    <t>Bear sử dụng</t>
  </si>
  <si>
    <t>Weight</t>
  </si>
  <si>
    <t xml:space="preserve">GGSN Mbps license </t>
  </si>
  <si>
    <t>Actual Usage</t>
  </si>
  <si>
    <t>CGNAT/FW Mbps license mở rộng</t>
  </si>
  <si>
    <t>ON/OFF</t>
  </si>
  <si>
    <t>NEW WEIGHT</t>
  </si>
  <si>
    <t>Node down</t>
  </si>
  <si>
    <t>T/H NODE DOWN</t>
  </si>
  <si>
    <t>gghl17</t>
  </si>
  <si>
    <t>gghl18</t>
  </si>
  <si>
    <t>gghl25</t>
  </si>
  <si>
    <t>gghk09</t>
  </si>
  <si>
    <t>GGHK09</t>
  </si>
  <si>
    <t>GGHL17</t>
  </si>
  <si>
    <t>GGHL18</t>
  </si>
  <si>
    <t>GGHL25</t>
  </si>
  <si>
    <t>gghl19</t>
  </si>
  <si>
    <t>gghl20</t>
  </si>
  <si>
    <t>Hardware version</t>
  </si>
  <si>
    <t>Software version</t>
  </si>
  <si>
    <t>Throughput VHKT</t>
  </si>
  <si>
    <t>Throughput Node</t>
  </si>
  <si>
    <t>MkVIII</t>
  </si>
  <si>
    <t>SSR 8020</t>
  </si>
  <si>
    <t>EPG 2.15</t>
  </si>
  <si>
    <t>MkX</t>
  </si>
  <si>
    <t>Cloud-TCHL01</t>
  </si>
  <si>
    <t>1.50</t>
  </si>
  <si>
    <t>Cloud-TCHL02</t>
  </si>
  <si>
    <t>EPG 2.14</t>
  </si>
  <si>
    <t>Cloud-TCHK01</t>
  </si>
  <si>
    <t>Cloud-TCHT01</t>
  </si>
  <si>
    <t>1.61</t>
  </si>
  <si>
    <t>Cloud-TCHT01-NFVI02</t>
  </si>
  <si>
    <t>Bear share</t>
  </si>
  <si>
    <t>Zone</t>
  </si>
  <si>
    <t>zone1</t>
  </si>
  <si>
    <t>zone1,2</t>
  </si>
  <si>
    <t>Total Bear|PDP</t>
  </si>
  <si>
    <t>Subs</t>
  </si>
  <si>
    <t>Tăng/giảm</t>
  </si>
  <si>
    <t>Total Bearer &amp;pdp (copy)</t>
  </si>
  <si>
    <t>Max. pdp</t>
  </si>
  <si>
    <t>Max. Bearer</t>
  </si>
  <si>
    <t>Hour of date_hour</t>
  </si>
  <si>
    <t>Tot Throughput (Mbps)</t>
  </si>
  <si>
    <t>uplink (Mbps)</t>
  </si>
  <si>
    <t>Downlink (Mbps)</t>
  </si>
  <si>
    <t>pgw_subdatastat_totdlbytefwd</t>
  </si>
  <si>
    <t>pgw_subdatastat_totulbytefwd</t>
  </si>
  <si>
    <t>CGNATHL07/08</t>
  </si>
  <si>
    <t>CGNATHL09/10</t>
  </si>
  <si>
    <t>%IPv6/Total</t>
  </si>
  <si>
    <t>CGNATHT09/10</t>
  </si>
  <si>
    <t>Change</t>
  </si>
  <si>
    <t>RMC</t>
  </si>
  <si>
    <t>current weight</t>
  </si>
  <si>
    <t>New weight</t>
  </si>
  <si>
    <t>MAX_SAU_UCTT</t>
  </si>
  <si>
    <t>SAU_UCTT</t>
  </si>
  <si>
    <t>%SAU_UCTT</t>
  </si>
  <si>
    <t>Tỷ lệ SAU sử dụng khi UCTT (SGSN Down)</t>
  </si>
  <si>
    <t>gght17</t>
  </si>
  <si>
    <t>EPG 2.16</t>
  </si>
  <si>
    <t>GGHT17</t>
  </si>
  <si>
    <t>Total IPv6</t>
  </si>
  <si>
    <t>Cảnh báo license PDP</t>
  </si>
  <si>
    <t>sght15</t>
  </si>
  <si>
    <t>15/05/2023</t>
  </si>
  <si>
    <t>sghk07</t>
  </si>
  <si>
    <t>sghk08</t>
  </si>
  <si>
    <t>sghk09</t>
  </si>
  <si>
    <t>SGHT15</t>
  </si>
  <si>
    <t>GGHL26</t>
  </si>
  <si>
    <t>GGHT18</t>
  </si>
  <si>
    <t>gghl26</t>
  </si>
  <si>
    <t>gghk10</t>
  </si>
  <si>
    <t>gghk12</t>
  </si>
  <si>
    <t>CGNATHT11/12</t>
  </si>
  <si>
    <t>sghl14</t>
  </si>
  <si>
    <t>sghl15</t>
  </si>
  <si>
    <t>SGHL14</t>
  </si>
  <si>
    <t>SGHL15</t>
  </si>
  <si>
    <t>1.65</t>
  </si>
  <si>
    <t>SGHK07</t>
  </si>
  <si>
    <t>SGHK08</t>
  </si>
  <si>
    <t>SGHK09</t>
  </si>
  <si>
    <t>SGHL19</t>
  </si>
  <si>
    <t>SGHL20</t>
  </si>
  <si>
    <t>SGHL21</t>
  </si>
  <si>
    <t>SAU UCTT_Moved_Subs</t>
  </si>
  <si>
    <t>%SAU UCTT_Moved_Subs</t>
  </si>
  <si>
    <t>21.28.2</t>
  </si>
  <si>
    <t>TCHK02</t>
  </si>
  <si>
    <t>EPG 2.17</t>
  </si>
  <si>
    <t>GGHK10</t>
  </si>
  <si>
    <t>GGHK11</t>
  </si>
  <si>
    <t>GGHK12</t>
  </si>
  <si>
    <t>CGNATHL15/16
 (new)</t>
  </si>
  <si>
    <t>CGNATHL11/12 
(new)</t>
  </si>
  <si>
    <t>CGNATHK05/06
(new)</t>
  </si>
  <si>
    <t>CGNATHK07/08
(new)</t>
  </si>
  <si>
    <t>CGNATHT13/14
(new)</t>
  </si>
  <si>
    <t>13/03/2024</t>
  </si>
  <si>
    <t>Cảnh báo license SAU và PDP</t>
  </si>
  <si>
    <t>20/03/2024</t>
  </si>
  <si>
    <t>HW/NFVI Site</t>
  </si>
  <si>
    <t>Tải GGSN sau khi cắt chuyển/cân tải</t>
  </si>
  <si>
    <t>Viettel</t>
  </si>
  <si>
    <t>I</t>
  </si>
  <si>
    <t>Quy hoạch 1.6T vEPC</t>
  </si>
  <si>
    <t>II</t>
  </si>
  <si>
    <t>Đầu tư 1.6Tbps cho CGNAT, chia làm 03 phase:</t>
  </si>
  <si>
    <t>Phase 1:  Mở rộng 12 node vừa triển HCM</t>
  </si>
  <si>
    <t>Phase 2: Đầu tư mới 600 Gbps, sẽ có thêm 2 cặp 300 Gbps tại HNI và HCM</t>
  </si>
  <si>
    <t>III</t>
  </si>
  <si>
    <t>Quy hoạch CGNAT</t>
  </si>
  <si>
    <t>QH CGNAT</t>
  </si>
  <si>
    <t>PEPS</t>
  </si>
  <si>
    <t>Name</t>
  </si>
  <si>
    <t>CGNAT/FW Mbps license (before 2022)</t>
  </si>
  <si>
    <t>CGNAT/FW Mbps license (Add 2022)</t>
  </si>
  <si>
    <t>CGNAT/FW Mbps license (Total 2022)</t>
  </si>
  <si>
    <t>Phase 1 (1T) 
of 1.6T</t>
  </si>
  <si>
    <t>License after
Phase 1 (1T) of 1.6T</t>
  </si>
  <si>
    <t>Phase 2 (0.6T) 
of 1.6T</t>
  </si>
  <si>
    <t>License after
Phase 2 (0.6T) of 1.6T</t>
  </si>
  <si>
    <t>Uplink 1 mặt</t>
  </si>
  <si>
    <t>PEPS name</t>
  </si>
  <si>
    <t>VRF trên PEPS</t>
  </si>
  <si>
    <t>Legacy/ Telco_Cloud</t>
  </si>
  <si>
    <t>Throughput license</t>
  </si>
  <si>
    <t>Throughput to CGNAT (80%)</t>
  </si>
  <si>
    <t>Delta CGNAT - GGSN</t>
  </si>
  <si>
    <t>PDP license</t>
  </si>
  <si>
    <t>PE_PS_03/04</t>
  </si>
  <si>
    <t>Legacy</t>
  </si>
  <si>
    <t>PEDD05/06</t>
  </si>
  <si>
    <t>PEPS05/06</t>
  </si>
  <si>
    <t>TCHL01</t>
  </si>
  <si>
    <t>TCHL02</t>
  </si>
  <si>
    <t>TCHL01+02</t>
  </si>
  <si>
    <t>PEPS07/08 (new)</t>
  </si>
  <si>
    <t>TCHL03 (NEW)</t>
  </si>
  <si>
    <t>GGHL27</t>
  </si>
  <si>
    <t>800Gps Erricsson</t>
  </si>
  <si>
    <t>GGHL28</t>
  </si>
  <si>
    <t>GGHL29</t>
  </si>
  <si>
    <t>GGHL29 (Backup)</t>
  </si>
  <si>
    <t>PEPS_PDL_01/02 (chuyển từ HLC sang PĐL) (NEW)</t>
  </si>
  <si>
    <t>TCPD01 (NEW)</t>
  </si>
  <si>
    <t>GGPD01</t>
  </si>
  <si>
    <t>800Gps VHT</t>
  </si>
  <si>
    <t>GGPD02</t>
  </si>
  <si>
    <t>GGPD03</t>
  </si>
  <si>
    <t>GGPD04 (Backup)</t>
  </si>
  <si>
    <t>800Gps VHT (node dự phòng)</t>
  </si>
  <si>
    <t>PEPS01/02</t>
  </si>
  <si>
    <t>PE_DĐ_03/04</t>
  </si>
  <si>
    <t>PEPS03/04</t>
  </si>
  <si>
    <t>TCHK01</t>
  </si>
  <si>
    <t>TCHK03 (NEW)</t>
  </si>
  <si>
    <t>GGHK13</t>
  </si>
  <si>
    <t>GGHK14 (Backup)</t>
  </si>
  <si>
    <t>Node dự phòng</t>
  </si>
  <si>
    <t>VHT 300G</t>
  </si>
  <si>
    <t>PEDĐ01/02</t>
  </si>
  <si>
    <t>CGNAT HCM1 (CGNAT11/12)</t>
  </si>
  <si>
    <t>Chuyển 1 card 52G sang cặp CGNAT09/10</t>
  </si>
  <si>
    <t>CGNAT HCM2 (CGNAT09/10)</t>
  </si>
  <si>
    <t>TCHT02</t>
  </si>
  <si>
    <t>GGHT14 Cisco</t>
  </si>
  <si>
    <t>Thêm 1 card 52G từ cặp CGNAT11/12</t>
  </si>
  <si>
    <t>GGHT15 Cisco</t>
  </si>
  <si>
    <t>TCHT03</t>
  </si>
  <si>
    <t>GGHT16 Cisco</t>
  </si>
  <si>
    <t>TCHT01</t>
  </si>
  <si>
    <t>GGHT17 (PO3)</t>
  </si>
  <si>
    <t>CGNAT HCM4 (CGNAT13/14)</t>
  </si>
  <si>
    <t>GGHT18 Cisco</t>
  </si>
  <si>
    <t>TCHT04</t>
  </si>
  <si>
    <t>GGHT19</t>
  </si>
  <si>
    <t>GGHT20</t>
  </si>
  <si>
    <t>GGHT21 (Backup)</t>
  </si>
  <si>
    <t>CGNAT HCM5 (CGNAT15/16)_new</t>
  </si>
  <si>
    <t>PEPS_PLM_01/02 (chuyên từ HHT sang PLM) New</t>
  </si>
  <si>
    <t>TCPL01 (NEW)</t>
  </si>
  <si>
    <t>GGPL01</t>
  </si>
  <si>
    <t>GGPL02</t>
  </si>
  <si>
    <t>GGPL03</t>
  </si>
  <si>
    <t>GGPL04 (Backup)</t>
  </si>
  <si>
    <t>TT</t>
  </si>
  <si>
    <t>Mục hướng dẫn</t>
  </si>
  <si>
    <t>Hướng dẫn lấy dữ liệu NPMS đưa vào báo cáo</t>
  </si>
  <si>
    <t>Hướng dẫn lấy dữ liệu NOCPRO đưa vào báo cáo</t>
  </si>
  <si>
    <t>CGNAT ĐNG1 (CGNATHK03/04)</t>
  </si>
  <si>
    <t>CGNAT HNI5 (CGNATHL15/16)</t>
  </si>
  <si>
    <t>CGNAT HNI3 (CGNATHL11/12)</t>
  </si>
  <si>
    <t>CGNAT HNI1 (CGNATHL07/08)</t>
  </si>
  <si>
    <t>CGNAT HNI2 (CGNATHL09/10)</t>
  </si>
  <si>
    <t>CGNAT HNI4 (CGNATHL13/14)</t>
  </si>
  <si>
    <t>CGNAT HNI6 (CGNATHL17/18)_new</t>
  </si>
  <si>
    <t>CGNAT ĐNG2 (CGNATHK07/08)</t>
  </si>
  <si>
    <t>CGNAT ĐNG3 (CGNATHK09/10)
(chuyển từ KV3 -&gt; KV2)</t>
  </si>
  <si>
    <t>SAU UCTT_Khi MME VHT down (KV1,2)</t>
  </si>
  <si>
    <t>%SAU UCTT_Khi MME VHT down (KV1,2)</t>
  </si>
  <si>
    <t>Hướng dẫn tạo báo cáo khi 1 node hoặc nhiều node thuộc cùng 1 TC hoặc CGNAT down</t>
  </si>
  <si>
    <t>Hướng dẫn lấy cấu hình tải đầu vào</t>
  </si>
  <si>
    <t>+ Lấy rmc weight MME</t>
  </si>
  <si>
    <t>+ Lấy dns weight SPGW</t>
  </si>
  <si>
    <t>File/script athena đính kèm</t>
  </si>
  <si>
    <t>SGSN</t>
  </si>
  <si>
    <t>Current Weight</t>
  </si>
  <si>
    <t>SELECT node, param_value FROM `eric_param` where type = 'modify_ne' and param ='rmc'</t>
  </si>
  <si>
    <t>SELECT target, dnsname, weight FROM dns.include_srv where dnsname rlike '.zone' and node = 'idhk0102' ORDER BY target</t>
  </si>
  <si>
    <t>Bao gồm cả GGSN và MME</t>
  </si>
  <si>
    <t>SYS_DATETIME</t>
  </si>
  <si>
    <t>NE_NAME</t>
  </si>
  <si>
    <t>OBJECT_INSTANCE</t>
  </si>
  <si>
    <t>PDP_2G</t>
  </si>
  <si>
    <t>PDP_3G</t>
  </si>
  <si>
    <t>SAU_2G</t>
  </si>
  <si>
    <t>SAU_3G</t>
  </si>
  <si>
    <t>BEARER_PDP_TOTAL</t>
  </si>
  <si>
    <t>THROUGHPUT</t>
  </si>
  <si>
    <t>Ericson</t>
  </si>
  <si>
    <t>License Bear UCTT 
(110% License Node)</t>
  </si>
  <si>
    <t>GGPL04</t>
  </si>
  <si>
    <t>GGPD07</t>
  </si>
  <si>
    <t>spgw zone</t>
  </si>
  <si>
    <t>Hardware/cloud_name</t>
  </si>
  <si>
    <t>GGSN IP</t>
  </si>
  <si>
    <t>GGPD05</t>
  </si>
  <si>
    <t>GGPD04</t>
  </si>
  <si>
    <t>GGPD06</t>
  </si>
  <si>
    <t>16/07/2024</t>
  </si>
  <si>
    <t>2024-07-16-00</t>
  </si>
  <si>
    <t>27/07/2024</t>
  </si>
  <si>
    <t>IPPool</t>
  </si>
  <si>
    <t>Cảnh báo</t>
  </si>
  <si>
    <t>Max. License IP pool  IMS</t>
  </si>
  <si>
    <t>Max. pgwavailableipv4addressesinsharedippool</t>
  </si>
  <si>
    <t xml:space="preserve"> IP pool  IMS (đang dùng)</t>
  </si>
  <si>
    <t xml:space="preserve">% HSSD IP pool  IMS </t>
  </si>
  <si>
    <t>%IP Pool</t>
  </si>
  <si>
    <t>14/08/2024</t>
  </si>
  <si>
    <t>Ngày nâng cấp 2.17</t>
  </si>
  <si>
    <t>28/8/2024</t>
  </si>
  <si>
    <t>27/8/2024</t>
  </si>
  <si>
    <t>22/8/2024</t>
  </si>
  <si>
    <t>18/7/2024</t>
  </si>
  <si>
    <t>01/8/2024</t>
  </si>
  <si>
    <t>15/8/2024</t>
  </si>
  <si>
    <t>01/3/2024</t>
  </si>
  <si>
    <t>01/5/2024</t>
  </si>
  <si>
    <t>EP Version</t>
  </si>
  <si>
    <t xml:space="preserve">EPG 2.17 EP19 27R18C127 </t>
  </si>
  <si>
    <t>EP16 27R18C91</t>
  </si>
  <si>
    <t>EPG 2.17 EP16 27R18C91</t>
  </si>
  <si>
    <t>EPG 2.17 EP12 27R18C79</t>
  </si>
  <si>
    <t>Note</t>
  </si>
  <si>
    <t>EPG 2.17 EP8 27R18C56</t>
  </si>
  <si>
    <t>HW</t>
  </si>
  <si>
    <t>SW version</t>
  </si>
  <si>
    <t>VoLTE CSR fixed</t>
  </si>
  <si>
    <t>Native</t>
  </si>
  <si>
    <t>EP12 27R18C79</t>
  </si>
  <si>
    <t>OK</t>
  </si>
  <si>
    <t>Virtual</t>
  </si>
  <si>
    <t>EP8 27R18C56</t>
  </si>
  <si>
    <t>30/9/2024</t>
  </si>
  <si>
    <t>03/10/2024</t>
  </si>
  <si>
    <t>TCPL04</t>
  </si>
  <si>
    <t>2024-10-13-00</t>
  </si>
  <si>
    <t>gghk13-cp</t>
  </si>
  <si>
    <t>gghk14-cp</t>
  </si>
  <si>
    <t>gghl27-cp</t>
  </si>
  <si>
    <t>gghl28-cp</t>
  </si>
  <si>
    <t>gghl29-cp</t>
  </si>
  <si>
    <t>gghl30-cp</t>
  </si>
  <si>
    <t>gght19-cp</t>
  </si>
  <si>
    <t>gght20-cp</t>
  </si>
  <si>
    <t>gght21-cp</t>
  </si>
  <si>
    <t>CGNAT HNI6 (CGNAT17/18)_new</t>
  </si>
  <si>
    <t>EPG 2.17 EP22 27R18C155</t>
  </si>
  <si>
    <t>20/12/2024</t>
  </si>
  <si>
    <t>01/11/2024</t>
  </si>
  <si>
    <t>04/12/2024</t>
  </si>
  <si>
    <t>06/12/2024</t>
  </si>
  <si>
    <t>10/12/2024</t>
  </si>
  <si>
    <t>18/12/2024</t>
  </si>
  <si>
    <t>Số đêm nâng cấp</t>
  </si>
  <si>
    <t>EPG 2.17 EP19 27R18C139</t>
  </si>
  <si>
    <t>20/11/2024</t>
  </si>
  <si>
    <t>12/11/2024</t>
  </si>
  <si>
    <t>11/01/2024</t>
  </si>
  <si>
    <t>EPG 2.17 EP8 27R18C91</t>
  </si>
  <si>
    <t>23/04/2024</t>
  </si>
  <si>
    <t>29/11/2024</t>
  </si>
  <si>
    <t>17/12/2024</t>
  </si>
  <si>
    <t>13/12/2023</t>
  </si>
  <si>
    <t>EPG 2.16 EP8 27R17C89</t>
  </si>
  <si>
    <t>30/11/2021</t>
  </si>
  <si>
    <t>26/03/2024</t>
  </si>
  <si>
    <t>04/09/2023</t>
  </si>
  <si>
    <t>16/01/2023</t>
  </si>
  <si>
    <t>EPG 2.16 sắp tới theo plan là lấy TAC trước 2/2025 ( làm cùng upgrade với NFVI, khi đó cũng sẽ upgrade latest sw)</t>
  </si>
  <si>
    <t>17/09/2024</t>
  </si>
  <si>
    <t>23/06/2023</t>
  </si>
  <si>
    <t>Sắp tới theo plan là lấy TAC trước 2/2025 ( làm cùng upgrade với NFVI, khi đó cũng sẽ upgrade latest sw)</t>
  </si>
  <si>
    <t>Đang lỗi 1 compute, thiếu resource tạo được VM Gc mở rộng</t>
  </si>
  <si>
    <t>Sắp tới theo plan là lấy TAC trước 2/2025 ( làm cùng upgrade với NFVI, khi đó cũng sẽ upgrade latest sw) (đã thực hiện nâng cấp qua manual không qua EO)</t>
  </si>
  <si>
    <t>CUPS</t>
  </si>
  <si>
    <t>TCHL04</t>
  </si>
  <si>
    <t>TCHK03</t>
  </si>
  <si>
    <t>TCPL01</t>
  </si>
  <si>
    <t>SGPL01</t>
  </si>
  <si>
    <t>SGPL02</t>
  </si>
  <si>
    <t>SGPL03</t>
  </si>
  <si>
    <t>SGPL04</t>
  </si>
  <si>
    <t>I. Hệ thống CS</t>
  </si>
  <si>
    <t>1. MSC</t>
  </si>
  <si>
    <t>Số Node</t>
  </si>
  <si>
    <t>ATT 2G</t>
  </si>
  <si>
    <t>ATT 3G</t>
  </si>
  <si>
    <t>ATT 4G</t>
  </si>
  <si>
    <t>ATT 2G+3G+4G</t>
  </si>
  <si>
    <t>REG 2G</t>
  </si>
  <si>
    <t>REG 3G</t>
  </si>
  <si>
    <t>REG 4G</t>
  </si>
  <si>
    <t>REG 2G+3G+4G</t>
  </si>
  <si>
    <t>%Sub ATT</t>
  </si>
  <si>
    <t>% Sub REG</t>
  </si>
  <si>
    <t>Dung lượng Sub ATT</t>
  </si>
  <si>
    <t>Dung lượng Sub REG</t>
  </si>
  <si>
    <t xml:space="preserve">BHCA </t>
  </si>
  <si>
    <t>Dung lượng BHCA</t>
  </si>
  <si>
    <t>BHCA/Sub</t>
  </si>
  <si>
    <t>% BHCA</t>
  </si>
  <si>
    <t>Nokia</t>
  </si>
  <si>
    <t>Huawei</t>
  </si>
  <si>
    <t>Toàn mạng</t>
  </si>
  <si>
    <t>Ghi chú: Tổng license theo KV/toàn mạng không tính Huawei</t>
  </si>
  <si>
    <t>2. GMSC</t>
  </si>
  <si>
    <t>Max. BHCA</t>
  </si>
  <si>
    <t>Avg. License BHCA</t>
  </si>
  <si>
    <t>%BHCA</t>
  </si>
  <si>
    <t>Max. Peak traffic</t>
  </si>
  <si>
    <t>Avg. Number device license</t>
  </si>
  <si>
    <t>%Traffic/Device</t>
  </si>
  <si>
    <t>Max. SCC</t>
  </si>
  <si>
    <t>License SCC</t>
  </si>
  <si>
    <t>%SCC</t>
  </si>
  <si>
    <t>GSPD01</t>
  </si>
  <si>
    <t>GSHL02</t>
  </si>
  <si>
    <t>GSNH03</t>
  </si>
  <si>
    <t>GSHK04</t>
  </si>
  <si>
    <t>GSHT05</t>
  </si>
  <si>
    <t>GSPL06</t>
  </si>
  <si>
    <t>3. STP</t>
  </si>
  <si>
    <t>Max. GTT hien tai</t>
  </si>
  <si>
    <t>Avg. License GTT</t>
  </si>
  <si>
    <t>% GTT</t>
  </si>
  <si>
    <t>Max. Sigtran hien tai</t>
  </si>
  <si>
    <t>Avg. License Sigtran</t>
  </si>
  <si>
    <t>% Sigtran</t>
  </si>
  <si>
    <t>ISPD01</t>
  </si>
  <si>
    <t>STGM01</t>
  </si>
  <si>
    <t>nội mạng KV1</t>
  </si>
  <si>
    <t>STPD01</t>
  </si>
  <si>
    <t>STPD03</t>
  </si>
  <si>
    <t>STPV01</t>
  </si>
  <si>
    <t>STPV02</t>
  </si>
  <si>
    <t>ISHT01</t>
  </si>
  <si>
    <t>STHT01</t>
  </si>
  <si>
    <t>nội mạng KV3</t>
  </si>
  <si>
    <t>STHT02</t>
  </si>
  <si>
    <t>STPL01</t>
  </si>
  <si>
    <t>STPL02</t>
  </si>
  <si>
    <t>STHT03</t>
  </si>
  <si>
    <t>ngoại mạng +STPD03</t>
  </si>
  <si>
    <t>4. UDC</t>
  </si>
  <si>
    <t>Tuần</t>
  </si>
  <si>
    <t>Max. Sub HSS_Static</t>
  </si>
  <si>
    <t>License HSS static</t>
  </si>
  <si>
    <t>% Sub static_HSS</t>
  </si>
  <si>
    <t>Max. Sub active_HSS</t>
  </si>
  <si>
    <t>License HSS active</t>
  </si>
  <si>
    <t>% Sub active_HSS</t>
  </si>
  <si>
    <t>Max. Sub active_HLR</t>
  </si>
  <si>
    <t>License HLR active</t>
  </si>
  <si>
    <t>% Sub active_HLR</t>
  </si>
  <si>
    <t>Max. Sub static_HLR</t>
  </si>
  <si>
    <t>License HLR static</t>
  </si>
  <si>
    <t>% Sub static_HLR</t>
  </si>
  <si>
    <t>Max. Tot_MNP</t>
  </si>
  <si>
    <t>License MNP_Static</t>
  </si>
  <si>
    <t>%MNP</t>
  </si>
  <si>
    <t>Max. Sub active_5G</t>
  </si>
  <si>
    <t>Max. License  Sub active 5G</t>
  </si>
  <si>
    <t>% Sub active 5G</t>
  </si>
  <si>
    <t>47/2024</t>
  </si>
  <si>
    <t>48/2024</t>
  </si>
  <si>
    <t>49/2024</t>
  </si>
  <si>
    <t>50/2024</t>
  </si>
  <si>
    <t>51/2024</t>
  </si>
  <si>
    <t>5. IMS</t>
  </si>
  <si>
    <t>Sub IMS_active</t>
  </si>
  <si>
    <t>License IMS Sub active</t>
  </si>
  <si>
    <t>%IMS_Sub Active</t>
  </si>
  <si>
    <t>Sub IMS_Static</t>
  </si>
  <si>
    <t>License IMS Sub Static</t>
  </si>
  <si>
    <t>%IMS Sub Static</t>
  </si>
  <si>
    <t xml:space="preserve">II. Hệ thống  PS/VAS </t>
  </si>
  <si>
    <t>SAU</t>
  </si>
  <si>
    <t>Thoughput (Mb/s)</t>
  </si>
  <si>
    <t>License PDP (VHKT)</t>
  </si>
  <si>
    <t xml:space="preserve">License Thoughput Ipv4 (Mb/s) </t>
  </si>
  <si>
    <t xml:space="preserve">%Thoughput IPv4 </t>
  </si>
  <si>
    <t>1. Hệ thống SGSN</t>
  </si>
  <si>
    <t xml:space="preserve"> </t>
  </si>
  <si>
    <t xml:space="preserve">PDP context </t>
  </si>
  <si>
    <t>%SAU (VHKT)/POOL khi 1 node down</t>
  </si>
  <si>
    <t>%PDP (VHKT)/POOL khi 1 node down</t>
  </si>
  <si>
    <t>Pool SGSN Ericsson KV1</t>
  </si>
  <si>
    <t>SGHL16</t>
  </si>
  <si>
    <t>SGHL17</t>
  </si>
  <si>
    <t>SGHL18</t>
  </si>
  <si>
    <t>Pool SGSN Ericsson KV2</t>
  </si>
  <si>
    <t>Pool SGSN Ericsson KV3</t>
  </si>
  <si>
    <t>HTMME01</t>
  </si>
  <si>
    <t>HTMME02</t>
  </si>
  <si>
    <t>2. Hệ thống GGSN</t>
  </si>
  <si>
    <t>Throughput 2G&amp;3G&amp;4G</t>
  </si>
  <si>
    <t>PDP 2G&amp;3G&amp;Bearer</t>
  </si>
  <si>
    <t>%Throughput Ipv4 (VHKT)</t>
  </si>
  <si>
    <t>Max. Throughput Ipv6</t>
  </si>
  <si>
    <t>%Throughput (VHKT)/Pool khi 1 node down</t>
  </si>
  <si>
    <t>%PDP (Ipv4)/Pool khi 1 node down</t>
  </si>
  <si>
    <t>Pool GGSN Ericsson KV1</t>
  </si>
  <si>
    <t>Pool GGSN Ericsson KV2</t>
  </si>
  <si>
    <t>3. Hệ thống SMSC</t>
  </si>
  <si>
    <t>Node mạng</t>
  </si>
  <si>
    <t>Max. mo_peak</t>
  </si>
  <si>
    <t>Max. ao_peak</t>
  </si>
  <si>
    <t>Max. at_peak</t>
  </si>
  <si>
    <t>Max. mt_peak</t>
  </si>
  <si>
    <t>Max. LICENSE MO+AO</t>
  </si>
  <si>
    <t>Max. LICENSE MT+AT</t>
  </si>
  <si>
    <t>Max. Tổng MO+AO</t>
  </si>
  <si>
    <t>Max. Tổng MT+AT</t>
  </si>
  <si>
    <t>%MO+AO</t>
  </si>
  <si>
    <t>%MT+AT</t>
  </si>
  <si>
    <t>SCGM03</t>
  </si>
  <si>
    <t>SCGM04</t>
  </si>
  <si>
    <t>SCGM05</t>
  </si>
  <si>
    <t>SCHL04</t>
  </si>
  <si>
    <t>SCHL05</t>
  </si>
  <si>
    <t>4. Hệ thống CRBT</t>
  </si>
  <si>
    <t>License CAPS</t>
  </si>
  <si>
    <t>Sử dụng</t>
  </si>
  <si>
    <t>% sử dụng</t>
  </si>
  <si>
    <t>License Active Subs</t>
  </si>
  <si>
    <t>Trong đó:</t>
  </si>
  <si>
    <t>RTHK01</t>
  </si>
  <si>
    <t>luỹ kế thuê bao</t>
  </si>
  <si>
    <t>RTHL05</t>
  </si>
  <si>
    <t xml:space="preserve">sub expand: TB quảng cáo </t>
  </si>
  <si>
    <t>RTHT05</t>
  </si>
  <si>
    <t>5. Hệ thống MMSC</t>
  </si>
  <si>
    <t>Cnode</t>
  </si>
  <si>
    <t>License TPS</t>
  </si>
  <si>
    <t>MMHL01</t>
  </si>
  <si>
    <t>ZTE</t>
  </si>
  <si>
    <t>MMHT01</t>
  </si>
  <si>
    <t>6. Hệ thống DSC</t>
  </si>
  <si>
    <t>DEHL01</t>
  </si>
  <si>
    <t>DEHT01</t>
  </si>
  <si>
    <t>DRHL01</t>
  </si>
  <si>
    <t>DRHL02</t>
  </si>
  <si>
    <t>DRHT01</t>
  </si>
  <si>
    <t>DRHT02</t>
  </si>
  <si>
    <t>Network-DEA</t>
  </si>
  <si>
    <t>Network-DRA</t>
  </si>
  <si>
    <t>Cloud-TCHL04</t>
  </si>
  <si>
    <t>KV1-Pool1</t>
  </si>
  <si>
    <t>KV1-Pool3</t>
  </si>
  <si>
    <t>Mạng</t>
  </si>
  <si>
    <t>Sub Attached</t>
  </si>
  <si>
    <t>Sub Detached</t>
  </si>
  <si>
    <t>Sub Register</t>
  </si>
  <si>
    <t>Day of Time</t>
  </si>
  <si>
    <t>Mức</t>
  </si>
  <si>
    <t>Province</t>
  </si>
  <si>
    <t>2G</t>
  </si>
  <si>
    <t>3G</t>
  </si>
  <si>
    <t>4G</t>
  </si>
  <si>
    <t>Area</t>
  </si>
  <si>
    <t>Network</t>
  </si>
  <si>
    <t>BGG</t>
  </si>
  <si>
    <t>BKN</t>
  </si>
  <si>
    <t>BNH</t>
  </si>
  <si>
    <t>CBG</t>
  </si>
  <si>
    <t>DBN</t>
  </si>
  <si>
    <t>HBH</t>
  </si>
  <si>
    <t>HDG</t>
  </si>
  <si>
    <t>HGG</t>
  </si>
  <si>
    <t>HNI</t>
  </si>
  <si>
    <t>HNM</t>
  </si>
  <si>
    <t>HPG</t>
  </si>
  <si>
    <t>HTH</t>
  </si>
  <si>
    <t>HYN</t>
  </si>
  <si>
    <t>LCI</t>
  </si>
  <si>
    <t>LCU</t>
  </si>
  <si>
    <t>LSN</t>
  </si>
  <si>
    <t>NAN</t>
  </si>
  <si>
    <t>NBH</t>
  </si>
  <si>
    <t>NDH</t>
  </si>
  <si>
    <t>PTO</t>
  </si>
  <si>
    <t>QBH</t>
  </si>
  <si>
    <t>QNH</t>
  </si>
  <si>
    <t>SLA</t>
  </si>
  <si>
    <t>TBH</t>
  </si>
  <si>
    <t>THA</t>
  </si>
  <si>
    <t>TNN</t>
  </si>
  <si>
    <t>TQG</t>
  </si>
  <si>
    <t>VPC</t>
  </si>
  <si>
    <t>YBI</t>
  </si>
  <si>
    <t>BDH</t>
  </si>
  <si>
    <t>BTN</t>
  </si>
  <si>
    <t>DCN</t>
  </si>
  <si>
    <t>DLK</t>
  </si>
  <si>
    <t>DNG</t>
  </si>
  <si>
    <t>GLI</t>
  </si>
  <si>
    <t>KHA</t>
  </si>
  <si>
    <t>KTM</t>
  </si>
  <si>
    <t>LDG</t>
  </si>
  <si>
    <t>NTN</t>
  </si>
  <si>
    <t>PYN</t>
  </si>
  <si>
    <t>QNI</t>
  </si>
  <si>
    <t>QNM</t>
  </si>
  <si>
    <t>QTI</t>
  </si>
  <si>
    <t>TTH</t>
  </si>
  <si>
    <t>AGG</t>
  </si>
  <si>
    <t>BDG</t>
  </si>
  <si>
    <t>BLU</t>
  </si>
  <si>
    <t>BPC</t>
  </si>
  <si>
    <t>BTE</t>
  </si>
  <si>
    <t>CMU</t>
  </si>
  <si>
    <t>CTO</t>
  </si>
  <si>
    <t>DNI</t>
  </si>
  <si>
    <t>DTP</t>
  </si>
  <si>
    <t>HCM</t>
  </si>
  <si>
    <t>HUG</t>
  </si>
  <si>
    <t>KGG</t>
  </si>
  <si>
    <t>LAN</t>
  </si>
  <si>
    <t>STG</t>
  </si>
  <si>
    <t>TGG</t>
  </si>
  <si>
    <t>TNH</t>
  </si>
  <si>
    <t>TVH</t>
  </si>
  <si>
    <t>VLG</t>
  </si>
  <si>
    <t>VTU</t>
  </si>
  <si>
    <t>Pool1 KV1</t>
  </si>
  <si>
    <t>Pool2 KV1</t>
  </si>
  <si>
    <t>Nâng cấp lại</t>
  </si>
  <si>
    <t>TCPD07</t>
  </si>
  <si>
    <t>CGNATHL13/14</t>
  </si>
  <si>
    <t>IMS</t>
  </si>
  <si>
    <t>node</t>
  </si>
  <si>
    <t>SBPD07</t>
  </si>
  <si>
    <t>SBHL04</t>
  </si>
  <si>
    <t>SBHL15</t>
  </si>
  <si>
    <t>SBHL16</t>
  </si>
  <si>
    <t>SBHL13</t>
  </si>
  <si>
    <t>PCSCF</t>
  </si>
  <si>
    <t>Site</t>
  </si>
  <si>
    <t>Telco Cloud</t>
  </si>
  <si>
    <t>Profile/Mated Pair</t>
  </si>
  <si>
    <t>No of PMP</t>
  </si>
  <si>
    <t>Capacity</t>
  </si>
  <si>
    <t>Preference License</t>
  </si>
  <si>
    <t>Current Sub on PGW</t>
  </si>
  <si>
    <t>Sub (PGW) Load</t>
  </si>
  <si>
    <t>HLC</t>
  </si>
  <si>
    <t>SBHL10</t>
  </si>
  <si>
    <t>TCHL06</t>
  </si>
  <si>
    <t>SBHL11</t>
  </si>
  <si>
    <t>SBHL12</t>
  </si>
  <si>
    <t>TCHL07</t>
  </si>
  <si>
    <t>TCHL08</t>
  </si>
  <si>
    <t>SBPD14</t>
  </si>
  <si>
    <t>PDL</t>
  </si>
  <si>
    <t>TCPD06</t>
  </si>
  <si>
    <t>SBHT10</t>
  </si>
  <si>
    <t>HHT</t>
  </si>
  <si>
    <t>TCHT06</t>
  </si>
  <si>
    <t>SBHT11</t>
  </si>
  <si>
    <t>SBHT13</t>
  </si>
  <si>
    <t>TCHT08</t>
  </si>
  <si>
    <t>SBHT14</t>
  </si>
  <si>
    <t>SBPL12</t>
  </si>
  <si>
    <t>PLM</t>
  </si>
  <si>
    <t>TCPL03</t>
  </si>
  <si>
    <t>SBHL05</t>
  </si>
  <si>
    <t>SBHL06</t>
  </si>
  <si>
    <t>TCPD05</t>
  </si>
  <si>
    <t>SBPD08</t>
  </si>
  <si>
    <t>SBHK05</t>
  </si>
  <si>
    <t>HKH</t>
  </si>
  <si>
    <t>SBPL07</t>
  </si>
  <si>
    <t>TCPL02</t>
  </si>
  <si>
    <t>SBHT05</t>
  </si>
  <si>
    <t>SBHT06</t>
  </si>
  <si>
    <t>Sum</t>
  </si>
  <si>
    <t>IMS_Load</t>
  </si>
  <si>
    <t>p</t>
  </si>
  <si>
    <t>Sum Ericsson</t>
  </si>
  <si>
    <t>Sum VHT</t>
  </si>
  <si>
    <t>GGHK17</t>
  </si>
  <si>
    <t>GGHK18</t>
  </si>
  <si>
    <t>GGHK19</t>
  </si>
  <si>
    <t>TCHK07</t>
  </si>
  <si>
    <t>GGHK15</t>
  </si>
  <si>
    <t>GGHK16</t>
  </si>
  <si>
    <t>TCHK06</t>
  </si>
  <si>
    <t>GGHT22</t>
  </si>
  <si>
    <t>TCHT10</t>
  </si>
  <si>
    <t>GGHT23</t>
  </si>
  <si>
    <t>GGHT24</t>
  </si>
  <si>
    <t>SGHK10</t>
  </si>
  <si>
    <t>SGHK11</t>
  </si>
  <si>
    <t>SGHK12</t>
  </si>
  <si>
    <t>SGHK13</t>
  </si>
  <si>
    <t>Node Name</t>
  </si>
  <si>
    <t>Phase 1 (2016)</t>
  </si>
  <si>
    <t>Phase 2 and swap 2G (2017)</t>
  </si>
  <si>
    <t xml:space="preserve"> ( Q4-2018)</t>
  </si>
  <si>
    <t>Current License ( Q1-2020)</t>
  </si>
  <si>
    <t>Existing</t>
  </si>
  <si>
    <t>Ordering</t>
  </si>
  <si>
    <t>Existing 
Board (PPB/SSC3)</t>
  </si>
  <si>
    <t>Added
 Board</t>
  </si>
  <si>
    <t>Targeted
 Board</t>
  </si>
  <si>
    <t>Card Requirement</t>
  </si>
  <si>
    <t>Node type</t>
  </si>
  <si>
    <t>Remark/SW version</t>
  </si>
  <si>
    <t>OSS/ENM</t>
  </si>
  <si>
    <t>CPB/PPB</t>
  </si>
  <si>
    <t>Target Q4/2021</t>
  </si>
  <si>
    <t>Targeted (Q4-2023)</t>
  </si>
  <si>
    <t>Targeted (Q4-2024)</t>
  </si>
  <si>
    <t>TCC</t>
  </si>
  <si>
    <t>PE-PS</t>
  </si>
  <si>
    <t>CGNAT</t>
  </si>
  <si>
    <t>PE-PS/PE-DĐ</t>
  </si>
  <si>
    <t>MME</t>
  </si>
  <si>
    <t>GGSN/PGW</t>
  </si>
  <si>
    <t>% SAU</t>
  </si>
  <si>
    <t>% Gbps</t>
  </si>
  <si>
    <t>% IMS</t>
  </si>
  <si>
    <t>KSAU</t>
  </si>
  <si>
    <t>KBearer</t>
  </si>
  <si>
    <t>Gbps</t>
  </si>
  <si>
    <t>Số node</t>
  </si>
  <si>
    <t>kSAU</t>
  </si>
  <si>
    <t>ksub</t>
  </si>
  <si>
    <t>Native Ericsson</t>
  </si>
  <si>
    <t>N/A</t>
  </si>
  <si>
    <t>PEPS_HLC_03/04</t>
  </si>
  <si>
    <t>FWHL03/04 (120 Gbps)</t>
  </si>
  <si>
    <t>Cắt sang CGNATHL01/02</t>
  </si>
  <si>
    <t>PEDĐ_HLC_05/06</t>
  </si>
  <si>
    <t>CGNATHL01/02 (416 Gbps)</t>
  </si>
  <si>
    <t>PEPS_HLC_05/06</t>
  </si>
  <si>
    <t>Gồm VIM dự phòng 5M sub VHT</t>
  </si>
  <si>
    <t>CGNATHL15/16 (450 Gbps)</t>
  </si>
  <si>
    <t>PEPS_HLC_07/08</t>
  </si>
  <si>
    <t>Expansion</t>
  </si>
  <si>
    <t>EPG 1.10</t>
  </si>
  <si>
    <t>OSS</t>
  </si>
  <si>
    <t>3 SSC1 + 8 SSC3</t>
  </si>
  <si>
    <t>PEPS_PDL_01/02</t>
  </si>
  <si>
    <t>PEPS_HKH_01/02</t>
  </si>
  <si>
    <t>GGHL10 (Backup)</t>
  </si>
  <si>
    <t>HW Only/EPG 2.x ( this node was upraded for 5G trial and still used OSS)</t>
  </si>
  <si>
    <t>PEDĐ_HKH_03/04</t>
  </si>
  <si>
    <t>EPG 2.x</t>
  </si>
  <si>
    <t>ENM</t>
  </si>
  <si>
    <t>9 SSC3 (2+7)</t>
  </si>
  <si>
    <t>PEPS_HKH_03/04</t>
  </si>
  <si>
    <t>Gồm VIM dự phòng 4 GGSN, 4 MME VHT</t>
  </si>
  <si>
    <t>PEPS_HHT_01/02</t>
  </si>
  <si>
    <t>NFV Ericsson</t>
  </si>
  <si>
    <t>CGNATHL11/12 (450 Gbps)</t>
  </si>
  <si>
    <t>PEPS_HHT_03/04</t>
  </si>
  <si>
    <t>CGNATHL07/08 (416 Gbps)</t>
  </si>
  <si>
    <t xml:space="preserve">PEPS_PLM_01/02 </t>
  </si>
  <si>
    <t>CGNATHL09/10 (416 Gbps)</t>
  </si>
  <si>
    <t>SUM</t>
  </si>
  <si>
    <t>GGHL16 (Backup)</t>
  </si>
  <si>
    <t>Redundancy</t>
  </si>
  <si>
    <t>Capacity expansion</t>
  </si>
  <si>
    <t>Redundancy expansion</t>
  </si>
  <si>
    <t>IMS Eric</t>
  </si>
  <si>
    <t>IMS VHT</t>
  </si>
  <si>
    <t>CGNATHL13/14 (750 Gbps)</t>
  </si>
  <si>
    <t>Mbps</t>
  </si>
  <si>
    <t>GGHL30 (Backup)</t>
  </si>
  <si>
    <t>NFV VHT</t>
  </si>
  <si>
    <t>CGNATPD01/02 (600 Gbps)</t>
  </si>
  <si>
    <t>% HLC</t>
  </si>
  <si>
    <t>GGPD07 (Backup)</t>
  </si>
  <si>
    <t>GGHL31</t>
  </si>
  <si>
    <t>TCHL10</t>
  </si>
  <si>
    <t>Triển khai Q4/2024</t>
  </si>
  <si>
    <t>GGHL32</t>
  </si>
  <si>
    <t>GGHL33</t>
  </si>
  <si>
    <t>Tăng 5M 5G</t>
  </si>
  <si>
    <t>Tăng 750G 5G</t>
  </si>
  <si>
    <t>GGHL34 (Backup)</t>
  </si>
  <si>
    <t>Total Hanoi</t>
  </si>
  <si>
    <t>Move 250K PDP to GGHL08</t>
  </si>
  <si>
    <t>FWHK01/02 (120 Gbps)</t>
  </si>
  <si>
    <t>Cắt sang CGNATHK01/02</t>
  </si>
  <si>
    <t>Move 250K PDP to GGHL09</t>
  </si>
  <si>
    <t>GGHK03 (Backup)</t>
  </si>
  <si>
    <t>HW Only/EPG 1.10</t>
  </si>
  <si>
    <t>CGNATHK01/02 (208 Gbps)</t>
  </si>
  <si>
    <t>CGNATHK03/04 (260 Gbps)</t>
  </si>
  <si>
    <t>GGHK08 (Backup)</t>
  </si>
  <si>
    <t>CGNATHK07/08 (600 Gbps)</t>
  </si>
  <si>
    <t>CGNATHK09/10 (600 Gbps)</t>
  </si>
  <si>
    <t>GGHK12 (Backup)</t>
  </si>
  <si>
    <t>Total Danang</t>
  </si>
  <si>
    <t>FWHT05/06 (120 Gbps)</t>
  </si>
  <si>
    <t>Cắt sang CGNATHT01/02</t>
  </si>
  <si>
    <t>Cắt sang CGNATHT11/12</t>
  </si>
  <si>
    <t>CGNATHT01/02 (364 Gbps)</t>
  </si>
  <si>
    <t>CGNATHT11/12 (260 Gbps)</t>
  </si>
  <si>
    <t>3 SSC1 + 9 SSC3</t>
  </si>
  <si>
    <t>GGHT12 (Backup)</t>
  </si>
  <si>
    <t>Cant expand due to bottle-neck was reached ( 120G on 160G)- Link LAG only support up to 16 link 10G</t>
  </si>
  <si>
    <t>11 SSC3 (2+9)</t>
  </si>
  <si>
    <t>CGNATHT09/10 (364 Gbps)</t>
  </si>
  <si>
    <t>CGNATHT13/14 (600 Gbps)</t>
  </si>
  <si>
    <t>NFV Cisco</t>
  </si>
  <si>
    <t>GGHT16 (Backup)</t>
  </si>
  <si>
    <t>CGNATPL01/02 (450 Gbps)</t>
  </si>
  <si>
    <t>GGHT24 (Backup)</t>
  </si>
  <si>
    <t>Total Hochiminh</t>
  </si>
  <si>
    <t>TOTAL</t>
  </si>
  <si>
    <t>Delta</t>
  </si>
  <si>
    <t>VIM dự phòng ĐNG</t>
  </si>
  <si>
    <t>GGHK16 (Backup)</t>
  </si>
  <si>
    <t>GGHK17 (Backup)</t>
  </si>
  <si>
    <t>GGHK18 (Backup)</t>
  </si>
  <si>
    <t>GGHK19 (Backup)</t>
  </si>
  <si>
    <t>Total VIM dự phòng</t>
  </si>
  <si>
    <t>Dung lượng license (Gbps)</t>
  </si>
  <si>
    <t>Dung lượng backup (Gbps)</t>
  </si>
  <si>
    <t>Dung lượng với backup tối thiểu N+1 theo khu vực (Gbps)</t>
  </si>
  <si>
    <t>Dung lượng với backup còn lại (Gbps)</t>
  </si>
  <si>
    <t>Targeted (Q4-2021)</t>
  </si>
  <si>
    <t>License VHKT</t>
  </si>
  <si>
    <t>Current kSAU 10/2024</t>
  </si>
  <si>
    <t>SGSN/MME Pool</t>
  </si>
  <si>
    <t>Telco-Cloud</t>
  </si>
  <si>
    <t>KPPS</t>
  </si>
  <si>
    <t>TC/Native</t>
  </si>
  <si>
    <t>License kSAU
commercial</t>
  </si>
  <si>
    <t>License kSAU
VHKT</t>
  </si>
  <si>
    <t>Phân bổ current kSAU 10/2024</t>
  </si>
  <si>
    <t>% SAU/License (1 TC down)</t>
  </si>
  <si>
    <t>% SAU/License VHKT (1 TC down)</t>
  </si>
  <si>
    <t>TC down</t>
  </si>
  <si>
    <t>SGHL04 (MKVIII)</t>
  </si>
  <si>
    <t>HNI01</t>
  </si>
  <si>
    <t>Native01</t>
  </si>
  <si>
    <t>HNI01 (Eric)</t>
  </si>
  <si>
    <t>SGHL05 (MKVIII)</t>
  </si>
  <si>
    <t>SGHL06 (MKX)</t>
  </si>
  <si>
    <t>down</t>
  </si>
  <si>
    <t>SGHL07 (MKX)</t>
  </si>
  <si>
    <t>HNI02 (Eric)</t>
  </si>
  <si>
    <t>SGHL08 (MKX)</t>
  </si>
  <si>
    <t>SGHL09 (Backup)</t>
  </si>
  <si>
    <t>ĐNG01 (Eric)</t>
  </si>
  <si>
    <t>Native02</t>
  </si>
  <si>
    <t>SGHL11 (Backup)</t>
  </si>
  <si>
    <t>ĐNG02 (VHT)</t>
  </si>
  <si>
    <t>HCM01 (Eric)</t>
  </si>
  <si>
    <t>Native03</t>
  </si>
  <si>
    <t>SGHL15 (Backup)</t>
  </si>
  <si>
    <t>HNI02</t>
  </si>
  <si>
    <t>HCM02 (VHT)</t>
  </si>
  <si>
    <t>PEPS_PLM_01/02</t>
  </si>
  <si>
    <t>SGHL18 (Backup)</t>
  </si>
  <si>
    <t xml:space="preserve">SGHL23 </t>
  </si>
  <si>
    <t>SGHL24 (backup</t>
  </si>
  <si>
    <t>SGHK01 (MKVIII)</t>
  </si>
  <si>
    <t>DNG01</t>
  </si>
  <si>
    <t>SGHK02 (MKVIII)</t>
  </si>
  <si>
    <t>SGHK03 (Backup)</t>
  </si>
  <si>
    <t>SGHK14</t>
  </si>
  <si>
    <t>SGHK15</t>
  </si>
  <si>
    <t>DNG02</t>
  </si>
  <si>
    <t>SGHK09 (Backup)</t>
  </si>
  <si>
    <t>SGHT07 (MKVIII)</t>
  </si>
  <si>
    <t>HCM01</t>
  </si>
  <si>
    <t>SGHT08 (MKVIII)</t>
  </si>
  <si>
    <t>SGHT09 (MKX)</t>
  </si>
  <si>
    <t>SGHT10 (MKX)</t>
  </si>
  <si>
    <t>SGHT11 (Backup)</t>
  </si>
  <si>
    <t>SGHT13 (Backup)</t>
  </si>
  <si>
    <t>HCM02</t>
  </si>
  <si>
    <t>SGPL04 (Backup)</t>
  </si>
  <si>
    <t>SGHT16</t>
  </si>
  <si>
    <t>SGHT17</t>
  </si>
  <si>
    <t>SGHT18 (Backup)</t>
  </si>
  <si>
    <t>VIM dự phòng Hanoi</t>
  </si>
  <si>
    <t>SGHK10 (Backup)</t>
  </si>
  <si>
    <t>DNG-TCHK06</t>
  </si>
  <si>
    <t>SGHK11 (Backup)</t>
  </si>
  <si>
    <t>SGHK12 (Backup)</t>
  </si>
  <si>
    <t>DNG-TCHK07</t>
  </si>
  <si>
    <t>SGHK13 (Backup)</t>
  </si>
  <si>
    <t>Dung lượng license (SAU)</t>
  </si>
  <si>
    <t>Dung lượng backup (SAU)</t>
  </si>
  <si>
    <t>Dung lượng với backup tối thiểu N+1 theo khu vực (SAU)</t>
  </si>
  <si>
    <t>Dung lượng với backup còn lại (SAU)</t>
  </si>
  <si>
    <t xml:space="preserve">License Bear </t>
  </si>
  <si>
    <t>License Throughput</t>
  </si>
  <si>
    <t>License node</t>
  </si>
  <si>
    <t>Total IPv4
(v-internet)</t>
  </si>
  <si>
    <t>M3+($M$15-$U$15)*R3/SUM($R$3:$R$14))</t>
  </si>
  <si>
    <t>SAU UCTT_After_move</t>
  </si>
  <si>
    <t>SAU UCTT_Khi MME Pool khác down</t>
  </si>
  <si>
    <t>%SAU UCTT_Khi MME Pool khác down</t>
  </si>
  <si>
    <t>zone3</t>
  </si>
  <si>
    <t>Beaer cắt chuyển về KV3</t>
  </si>
  <si>
    <t>Bearer IMS dự kiến</t>
  </si>
  <si>
    <t>Sum E</t>
  </si>
  <si>
    <t>Sum V</t>
  </si>
  <si>
    <t>GGHK14</t>
  </si>
  <si>
    <t>GGHL34</t>
  </si>
  <si>
    <t>GGHL30</t>
  </si>
  <si>
    <t>GGHT21</t>
  </si>
  <si>
    <t>SGHL23</t>
  </si>
  <si>
    <t>SGHL24</t>
  </si>
  <si>
    <t>sgw.zone</t>
  </si>
  <si>
    <t>weight.sgw.zone</t>
  </si>
  <si>
    <t>pgw.zonedata</t>
  </si>
  <si>
    <t>weight.pgw.zonedata</t>
  </si>
  <si>
    <t>pgw.zoneims</t>
  </si>
  <si>
    <t>weight.pgw.zoneims</t>
  </si>
  <si>
    <t>Update_time</t>
  </si>
  <si>
    <t>zone2</t>
  </si>
  <si>
    <t>Version</t>
  </si>
  <si>
    <t>zone2ims</t>
  </si>
  <si>
    <t>zone1ims</t>
  </si>
  <si>
    <t>zone3ims</t>
  </si>
  <si>
    <t>SGHT18</t>
  </si>
  <si>
    <t>relative_capacity</t>
  </si>
  <si>
    <t>IMS_Bearer</t>
  </si>
  <si>
    <t>Bear Total sử dụng</t>
  </si>
  <si>
    <t>Bear IMS</t>
  </si>
  <si>
    <t>mme_code</t>
  </si>
  <si>
    <t>mme_group</t>
  </si>
  <si>
    <t>Thgoughput dự kiến</t>
  </si>
  <si>
    <t>SGHT19</t>
  </si>
  <si>
    <t>50</t>
  </si>
  <si>
    <t>zone2ericvht</t>
  </si>
  <si>
    <t>70</t>
  </si>
  <si>
    <t>65</t>
  </si>
  <si>
    <t>125</t>
  </si>
  <si>
    <t>20</t>
  </si>
  <si>
    <t>115</t>
  </si>
  <si>
    <t>60</t>
  </si>
  <si>
    <t>40</t>
  </si>
  <si>
    <t>30</t>
  </si>
  <si>
    <t>80</t>
  </si>
  <si>
    <t>120</t>
  </si>
  <si>
    <t>100</t>
  </si>
  <si>
    <t>95</t>
  </si>
  <si>
    <t>150</t>
  </si>
  <si>
    <t>90</t>
  </si>
  <si>
    <t>1,360,229</t>
  </si>
  <si>
    <t>1,448,712</t>
  </si>
  <si>
    <t>date_time_str_hour</t>
  </si>
  <si>
    <t>pgwsharedippoolname</t>
  </si>
  <si>
    <t>2026-06-15-00</t>
  </si>
  <si>
    <t>2026-06-15-20</t>
  </si>
  <si>
    <t>IMS-shared-ip-pool</t>
  </si>
  <si>
    <t>1,037,560</t>
  </si>
  <si>
    <t>1,031,223</t>
  </si>
  <si>
    <t>1,023,023</t>
  </si>
  <si>
    <t>gghk13</t>
  </si>
  <si>
    <t>gghk14</t>
  </si>
  <si>
    <t>1,422,498</t>
  </si>
  <si>
    <t>1,427,434</t>
  </si>
  <si>
    <t>1,438,610</t>
  </si>
  <si>
    <t>1,425,730</t>
  </si>
  <si>
    <t>1,437,636</t>
  </si>
  <si>
    <t>gghl27</t>
  </si>
  <si>
    <t>gghl28</t>
  </si>
  <si>
    <t>gghl29</t>
  </si>
  <si>
    <t>1,316,530</t>
  </si>
  <si>
    <t>gghl30</t>
  </si>
  <si>
    <t>gghl31</t>
  </si>
  <si>
    <t>gghl32</t>
  </si>
  <si>
    <t>gghl33</t>
  </si>
  <si>
    <t>gghl34</t>
  </si>
  <si>
    <t>1,106,815</t>
  </si>
  <si>
    <t>1,592,073</t>
  </si>
  <si>
    <t>gght19</t>
  </si>
  <si>
    <t>1,338,175</t>
  </si>
  <si>
    <t>gght20</t>
  </si>
  <si>
    <t>1,327,086</t>
  </si>
  <si>
    <t>gght21</t>
  </si>
  <si>
    <t>1,345,755</t>
  </si>
  <si>
    <t>SBHT20</t>
  </si>
  <si>
    <t>SBHT21</t>
  </si>
  <si>
    <t>SBHA19</t>
  </si>
  <si>
    <t>SBHA22</t>
  </si>
  <si>
    <t>SBHA20</t>
  </si>
  <si>
    <t>SBHA18</t>
  </si>
  <si>
    <t>SBHT08</t>
  </si>
  <si>
    <t>SBPD09</t>
  </si>
  <si>
    <t>SBHA17</t>
  </si>
  <si>
    <t>SBHA23</t>
  </si>
  <si>
    <t>SBHA21</t>
  </si>
  <si>
    <t>P-CSCF</t>
  </si>
  <si>
    <t>EricssonUS</t>
  </si>
  <si>
    <t>SBHT16</t>
  </si>
  <si>
    <t>SBHT15</t>
  </si>
  <si>
    <t>Tải IMS sau cắt chuyển</t>
  </si>
  <si>
    <t>Tải IMS Trước cắt chuyển</t>
  </si>
  <si>
    <t>pcscf</t>
  </si>
  <si>
    <t>pool</t>
  </si>
  <si>
    <t>GGHK01	IMS	IMS</t>
  </si>
  <si>
    <t>GGHK02	IMS	IMS</t>
  </si>
  <si>
    <t>GGHK03	IMS	IMS</t>
  </si>
  <si>
    <t>GGHK06	IMS	IMS</t>
  </si>
  <si>
    <t>GGHK07	IMS	IMS</t>
  </si>
  <si>
    <t>GGHK08	IMS	IMS</t>
  </si>
  <si>
    <t>GGHK09	IMS	IMS</t>
  </si>
  <si>
    <t>GGHL04	IMS	IMS</t>
  </si>
  <si>
    <t>GGHL05	IMS	IMS</t>
  </si>
  <si>
    <t>GGHL06	IMS	IMS</t>
  </si>
  <si>
    <t>GGHL07	IMS	IMS</t>
  </si>
  <si>
    <t>GGHL08	IMS	IMS</t>
  </si>
  <si>
    <t>GGHL09	IMS	IMS</t>
  </si>
  <si>
    <t>GGHL10	IMS	IMS</t>
  </si>
  <si>
    <t>GGHL11	IMS	IMS</t>
  </si>
  <si>
    <t>GGHL12	IMS	IMS</t>
  </si>
  <si>
    <t>GGHL13	IMS	IMS</t>
  </si>
  <si>
    <t>GGHL14	IMS	IMS</t>
  </si>
  <si>
    <t>GGHL15	IMS	IMS</t>
  </si>
  <si>
    <t>GGHL16	IMS	IMS</t>
  </si>
  <si>
    <t>GGHL17	IMS	IMS</t>
  </si>
  <si>
    <t>GGHL18	IMS	IMS</t>
  </si>
  <si>
    <t>GGHL25	IMS	IMS</t>
  </si>
  <si>
    <t>GGHL26	IMS	IMS</t>
  </si>
  <si>
    <t>GGHT07	IMS	IMS</t>
  </si>
  <si>
    <t>GGHT08	IMS	IMS</t>
  </si>
  <si>
    <t>GGHT09	IMS	IMS</t>
  </si>
  <si>
    <t>GGHT10	IMS	IMS</t>
  </si>
  <si>
    <t>GGHT11	IMS	IMS</t>
  </si>
  <si>
    <t>GGHT12	IMS	IMS</t>
  </si>
  <si>
    <t>GGHT13	IMS	IMS</t>
  </si>
  <si>
    <t>GGHT17	IMS	IMS</t>
  </si>
  <si>
    <t>GGHK13	IMS	IMS</t>
  </si>
  <si>
    <t>GGHK14	IMS	IMS</t>
  </si>
  <si>
    <t>GGHL27	IMS	IMS</t>
  </si>
  <si>
    <t>GGHL28	IMS	IMS</t>
  </si>
  <si>
    <t>GGHL29	IMS	IMS</t>
  </si>
  <si>
    <t>GGHL30	IMS	IMS</t>
  </si>
  <si>
    <t>GGHL31	IMS	IMS</t>
  </si>
  <si>
    <t>GGHL32	IMS	IMS</t>
  </si>
  <si>
    <t>GGHL33	IMS	IMS</t>
  </si>
  <si>
    <t>GGHL34	IMS	IMS</t>
  </si>
  <si>
    <t>GGHT19	IMS	IMS</t>
  </si>
  <si>
    <t>GGHT20	IMS	IMS</t>
  </si>
  <si>
    <t>GGHT21	IMS	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</si>
</sst>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dd/mm/yyyy\ hh:mm:ss"/>
    <numFmt numFmtId="167" formatCode="###,##0.00"/>
    <numFmt numFmtId="168" formatCode="m/d/yyyy\ hh:mm"/>
    <numFmt numFmtId="169" formatCode="_-* #,##0.00\ _₫_-;\-* #,##0.00\ _₫_-;_-* &quot;-&quot;??\ _₫_-;_-@_-"/>
    <numFmt numFmtId="170" formatCode="_-* #,##0\ _₫_-;\-* #,##0\ _₫_-;_-* &quot;-&quot;??\ _₫_-;_-@_-"/>
    <numFmt numFmtId="171" formatCode="#,##0_ ;\-#,##0\ "/>
    <numFmt numFmtId="172" formatCode="_-* #,##0_-;\-* #,##0_-;_-* &quot;-&quot;??_-;_-@_-"/>
    <numFmt numFmtId="173" formatCode="_(* #,##0.0_);_(* \(#,##0.0\);_(* &quot;-&quot;??_);_(@_)"/>
    <numFmt numFmtId="174" formatCode="_(* #,##0.000_);_(* \(#,##0.000\);_(* &quot;-&quot;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b/>
      <sz val="11"/>
      <color theme="1"/>
      <name val="Times New Roman"/>
      <family val="1"/>
    </font>
    <font>
      <sz val="10"/>
      <name val="Arial"/>
      <family val="2"/>
    </font>
    <font>
      <sz val="10"/>
      <name val="Times New Roman"/>
      <family val="1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name val="Times New Roman"/>
      <family val="1"/>
    </font>
    <font>
      <b/>
      <sz val="10"/>
      <color rgb="FFFF0000"/>
      <name val="Times New Roman"/>
      <family val="1"/>
    </font>
    <font>
      <sz val="10"/>
      <color rgb="FFFF0000"/>
      <name val="Times New Roman"/>
      <family val="1"/>
    </font>
    <font>
      <b/>
      <sz val="11"/>
      <name val="Time new Roman"/>
    </font>
    <font>
      <sz val="11"/>
      <name val="Time new Roman"/>
    </font>
    <font>
      <u/>
      <sz val="11"/>
      <color theme="10"/>
      <name val="Times New Roman"/>
      <family val="1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sz val="11"/>
      <color rgb="FFFF0000"/>
      <name val="Times New Roman"/>
      <family val="1"/>
    </font>
    <font>
      <sz val="11"/>
      <color theme="1"/>
      <name val="Calibri"/>
      <family val="2"/>
      <charset val="163"/>
      <scheme val="minor"/>
    </font>
    <font>
      <b/>
      <i/>
      <sz val="14"/>
      <color theme="1"/>
      <name val="Times New Roman"/>
      <family val="1"/>
    </font>
    <font>
      <sz val="9"/>
      <color rgb="FF333333"/>
      <name val="Arial"/>
      <family val="2"/>
    </font>
    <font>
      <sz val="9"/>
      <color theme="1"/>
      <name val="Calibri"/>
      <family val="2"/>
      <scheme val="minor"/>
    </font>
    <font>
      <sz val="9"/>
      <color rgb="FF666666"/>
      <name val="Arial"/>
      <family val="2"/>
    </font>
    <font>
      <b/>
      <i/>
      <sz val="10"/>
      <color theme="1"/>
      <name val="Times New Roman"/>
      <family val="1"/>
    </font>
    <font>
      <sz val="11"/>
      <name val="Times New Roman"/>
      <family val="1"/>
    </font>
    <font>
      <b/>
      <sz val="14"/>
      <color theme="1"/>
      <name val="Times New Roman"/>
      <family val="1"/>
    </font>
    <font>
      <b/>
      <sz val="11"/>
      <name val="Times New Roman"/>
      <family val="1"/>
    </font>
    <font>
      <b/>
      <sz val="10"/>
      <name val="Calibri Light"/>
      <family val="2"/>
      <scheme val="major"/>
    </font>
    <font>
      <sz val="10"/>
      <color theme="1"/>
      <name val="Calibri Light"/>
      <family val="2"/>
      <scheme val="major"/>
    </font>
    <font>
      <sz val="10"/>
      <name val="Calibri Light"/>
      <family val="2"/>
      <scheme val="major"/>
    </font>
    <font>
      <sz val="9"/>
      <color theme="1"/>
      <name val="Calibri Light"/>
      <family val="2"/>
      <scheme val="major"/>
    </font>
    <font>
      <sz val="10"/>
      <color rgb="FFFF0000"/>
      <name val="Calibri Light"/>
      <family val="2"/>
      <scheme val="major"/>
    </font>
    <font>
      <sz val="10"/>
      <color theme="1" tint="4.9989318521683403E-2"/>
      <name val="Calibri Light"/>
      <family val="2"/>
      <scheme val="major"/>
    </font>
    <font>
      <sz val="11"/>
      <color rgb="FF92D050"/>
      <name val="Times New Roman"/>
      <family val="1"/>
    </font>
    <font>
      <b/>
      <sz val="11"/>
      <color rgb="FFFF0000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5DA8F1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F0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6F4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n">
        <color auto="1"/>
      </right>
      <top style="thin">
        <color indexed="8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7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9" fillId="0" borderId="0"/>
    <xf numFmtId="0" fontId="1" fillId="18" borderId="0" applyNumberFormat="0" applyBorder="0" applyAlignment="0" applyProtection="0"/>
    <xf numFmtId="0" fontId="28" fillId="0" borderId="0"/>
    <xf numFmtId="169" fontId="28" fillId="0" borderId="0" applyFont="0" applyFill="0" applyBorder="0" applyAlignment="0" applyProtection="0"/>
    <xf numFmtId="9" fontId="28" fillId="0" borderId="0" applyFont="0" applyFill="0" applyBorder="0" applyAlignment="0" applyProtection="0"/>
  </cellStyleXfs>
  <cellXfs count="1293"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vertical="center"/>
    </xf>
    <xf numFmtId="0" fontId="0" fillId="0" borderId="1" xfId="0" applyBorder="1"/>
    <xf numFmtId="164" fontId="0" fillId="0" borderId="1" xfId="1" applyNumberFormat="1" applyFont="1" applyBorder="1"/>
    <xf numFmtId="0" fontId="2" fillId="0" borderId="0" xfId="0" applyFont="1"/>
    <xf numFmtId="0" fontId="13" fillId="5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vertical="center" wrapText="1"/>
    </xf>
    <xf numFmtId="164" fontId="13" fillId="2" borderId="1" xfId="1" applyNumberFormat="1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164" fontId="13" fillId="4" borderId="1" xfId="1" applyNumberFormat="1" applyFont="1" applyFill="1" applyBorder="1" applyAlignment="1">
      <alignment horizontal="center" vertical="center" wrapText="1"/>
    </xf>
    <xf numFmtId="164" fontId="14" fillId="4" borderId="1" xfId="1" applyNumberFormat="1" applyFont="1" applyFill="1" applyBorder="1" applyAlignment="1">
      <alignment horizontal="center" vertical="center" wrapText="1"/>
    </xf>
    <xf numFmtId="0" fontId="0" fillId="4" borderId="1" xfId="0" applyFill="1" applyBorder="1" applyAlignment="1">
      <alignment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/>
    </xf>
    <xf numFmtId="0" fontId="10" fillId="0" borderId="1" xfId="0" applyFont="1" applyBorder="1"/>
    <xf numFmtId="164" fontId="10" fillId="0" borderId="1" xfId="1" applyNumberFormat="1" applyFont="1" applyFill="1" applyBorder="1" applyAlignment="1">
      <alignment horizontal="left"/>
    </xf>
    <xf numFmtId="164" fontId="15" fillId="0" borderId="1" xfId="1" applyNumberFormat="1" applyFont="1" applyFill="1" applyBorder="1" applyAlignment="1">
      <alignment horizontal="left"/>
    </xf>
    <xf numFmtId="10" fontId="0" fillId="0" borderId="1" xfId="2" applyNumberFormat="1" applyFont="1" applyBorder="1"/>
    <xf numFmtId="0" fontId="10" fillId="6" borderId="1" xfId="0" applyFont="1" applyFill="1" applyBorder="1" applyAlignment="1">
      <alignment horizontal="left"/>
    </xf>
    <xf numFmtId="164" fontId="10" fillId="6" borderId="1" xfId="0" applyNumberFormat="1" applyFont="1" applyFill="1" applyBorder="1" applyAlignment="1">
      <alignment horizontal="left"/>
    </xf>
    <xf numFmtId="0" fontId="10" fillId="6" borderId="1" xfId="0" applyFont="1" applyFill="1" applyBorder="1"/>
    <xf numFmtId="164" fontId="10" fillId="6" borderId="1" xfId="1" applyNumberFormat="1" applyFont="1" applyFill="1" applyBorder="1" applyAlignment="1">
      <alignment horizontal="left"/>
    </xf>
    <xf numFmtId="0" fontId="13" fillId="0" borderId="1" xfId="0" applyFont="1" applyBorder="1" applyAlignment="1">
      <alignment horizontal="left"/>
    </xf>
    <xf numFmtId="0" fontId="13" fillId="0" borderId="1" xfId="0" applyFont="1" applyBorder="1"/>
    <xf numFmtId="164" fontId="13" fillId="7" borderId="1" xfId="1" applyNumberFormat="1" applyFont="1" applyFill="1" applyBorder="1" applyAlignment="1">
      <alignment horizontal="right"/>
    </xf>
    <xf numFmtId="0" fontId="0" fillId="0" borderId="0" xfId="0" applyAlignment="1">
      <alignment horizontal="left" vertical="top"/>
    </xf>
    <xf numFmtId="0" fontId="12" fillId="0" borderId="0" xfId="6" quotePrefix="1"/>
    <xf numFmtId="0" fontId="5" fillId="5" borderId="0" xfId="0" applyFont="1" applyFill="1" applyAlignment="1">
      <alignment horizontal="center"/>
    </xf>
    <xf numFmtId="0" fontId="8" fillId="5" borderId="1" xfId="0" applyFont="1" applyFill="1" applyBorder="1"/>
    <xf numFmtId="0" fontId="0" fillId="8" borderId="0" xfId="0" applyFill="1"/>
    <xf numFmtId="0" fontId="13" fillId="6" borderId="1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left"/>
    </xf>
    <xf numFmtId="0" fontId="10" fillId="9" borderId="1" xfId="0" applyFont="1" applyFill="1" applyBorder="1"/>
    <xf numFmtId="164" fontId="10" fillId="9" borderId="1" xfId="1" applyNumberFormat="1" applyFont="1" applyFill="1" applyBorder="1" applyAlignment="1">
      <alignment horizontal="left"/>
    </xf>
    <xf numFmtId="164" fontId="10" fillId="8" borderId="1" xfId="1" applyNumberFormat="1" applyFont="1" applyFill="1" applyBorder="1" applyAlignment="1">
      <alignment horizontal="left"/>
    </xf>
    <xf numFmtId="0" fontId="10" fillId="10" borderId="1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left"/>
    </xf>
    <xf numFmtId="0" fontId="10" fillId="10" borderId="1" xfId="0" applyFont="1" applyFill="1" applyBorder="1"/>
    <xf numFmtId="164" fontId="10" fillId="10" borderId="1" xfId="1" applyNumberFormat="1" applyFont="1" applyFill="1" applyBorder="1" applyAlignment="1">
      <alignment horizontal="left"/>
    </xf>
    <xf numFmtId="0" fontId="10" fillId="11" borderId="1" xfId="0" applyFont="1" applyFill="1" applyBorder="1" applyAlignment="1">
      <alignment horizontal="left"/>
    </xf>
    <xf numFmtId="0" fontId="10" fillId="11" borderId="1" xfId="0" applyFont="1" applyFill="1" applyBorder="1"/>
    <xf numFmtId="164" fontId="13" fillId="10" borderId="1" xfId="1" applyNumberFormat="1" applyFont="1" applyFill="1" applyBorder="1" applyAlignment="1">
      <alignment horizontal="right"/>
    </xf>
    <xf numFmtId="0" fontId="13" fillId="10" borderId="1" xfId="0" applyFont="1" applyFill="1" applyBorder="1" applyAlignment="1">
      <alignment horizontal="left"/>
    </xf>
    <xf numFmtId="0" fontId="13" fillId="10" borderId="1" xfId="0" applyFont="1" applyFill="1" applyBorder="1"/>
    <xf numFmtId="0" fontId="0" fillId="2" borderId="0" xfId="0" applyFill="1"/>
    <xf numFmtId="0" fontId="16" fillId="12" borderId="1" xfId="0" applyFont="1" applyFill="1" applyBorder="1" applyAlignment="1">
      <alignment horizontal="center" vertical="center" wrapText="1"/>
    </xf>
    <xf numFmtId="3" fontId="17" fillId="0" borderId="1" xfId="0" applyNumberFormat="1" applyFont="1" applyBorder="1" applyAlignment="1">
      <alignment horizontal="right"/>
    </xf>
    <xf numFmtId="0" fontId="17" fillId="0" borderId="1" xfId="0" applyFont="1" applyBorder="1" applyAlignment="1">
      <alignment horizontal="left"/>
    </xf>
    <xf numFmtId="166" fontId="17" fillId="0" borderId="1" xfId="0" applyNumberFormat="1" applyFont="1" applyBorder="1" applyAlignment="1">
      <alignment horizontal="center"/>
    </xf>
    <xf numFmtId="167" fontId="17" fillId="0" borderId="1" xfId="0" applyNumberFormat="1" applyFont="1" applyBorder="1" applyAlignment="1">
      <alignment horizontal="right"/>
    </xf>
    <xf numFmtId="0" fontId="0" fillId="0" borderId="0" xfId="0" applyBorder="1"/>
    <xf numFmtId="164" fontId="0" fillId="0" borderId="0" xfId="0" applyNumberFormat="1"/>
    <xf numFmtId="164" fontId="0" fillId="8" borderId="1" xfId="1" applyNumberFormat="1" applyFont="1" applyFill="1" applyBorder="1"/>
    <xf numFmtId="165" fontId="0" fillId="0" borderId="0" xfId="2" applyNumberFormat="1" applyFont="1"/>
    <xf numFmtId="43" fontId="0" fillId="0" borderId="0" xfId="0" applyNumberFormat="1"/>
    <xf numFmtId="0" fontId="0" fillId="2" borderId="1" xfId="0" applyFill="1" applyBorder="1" applyAlignment="1">
      <alignment vertical="center"/>
    </xf>
    <xf numFmtId="0" fontId="10" fillId="6" borderId="1" xfId="0" applyFont="1" applyFill="1" applyBorder="1" applyAlignment="1">
      <alignment horizontal="left" vertical="center"/>
    </xf>
    <xf numFmtId="0" fontId="10" fillId="6" borderId="1" xfId="0" applyFont="1" applyFill="1" applyBorder="1" applyAlignment="1">
      <alignment vertical="center"/>
    </xf>
    <xf numFmtId="164" fontId="10" fillId="6" borderId="1" xfId="1" applyNumberFormat="1" applyFont="1" applyFill="1" applyBorder="1" applyAlignment="1">
      <alignment horizontal="left" vertical="center"/>
    </xf>
    <xf numFmtId="0" fontId="10" fillId="6" borderId="1" xfId="0" applyFont="1" applyFill="1" applyBorder="1" applyAlignment="1">
      <alignment vertical="center" wrapText="1"/>
    </xf>
    <xf numFmtId="0" fontId="3" fillId="8" borderId="0" xfId="0" applyFont="1" applyFill="1" applyAlignment="1">
      <alignment horizontal="center"/>
    </xf>
    <xf numFmtId="0" fontId="3" fillId="8" borderId="0" xfId="0" applyFont="1" applyFill="1"/>
    <xf numFmtId="0" fontId="3" fillId="0" borderId="0" xfId="0" applyFont="1"/>
    <xf numFmtId="10" fontId="3" fillId="10" borderId="1" xfId="2" applyNumberFormat="1" applyFont="1" applyFill="1" applyBorder="1" applyAlignment="1">
      <alignment horizontal="center"/>
    </xf>
    <xf numFmtId="0" fontId="3" fillId="8" borderId="1" xfId="0" applyFont="1" applyFill="1" applyBorder="1"/>
    <xf numFmtId="0" fontId="18" fillId="0" borderId="0" xfId="6" quotePrefix="1" applyFont="1"/>
    <xf numFmtId="0" fontId="3" fillId="0" borderId="0" xfId="0" applyFont="1" applyAlignment="1">
      <alignment horizontal="left" vertical="top"/>
    </xf>
    <xf numFmtId="0" fontId="3" fillId="8" borderId="0" xfId="0" applyFont="1" applyFill="1" applyAlignment="1">
      <alignment horizontal="left" vertical="top"/>
    </xf>
    <xf numFmtId="0" fontId="3" fillId="2" borderId="0" xfId="0" applyFont="1" applyFill="1"/>
    <xf numFmtId="0" fontId="3" fillId="0" borderId="0" xfId="0" applyFont="1" applyAlignment="1">
      <alignment horizontal="center"/>
    </xf>
    <xf numFmtId="0" fontId="3" fillId="8" borderId="1" xfId="0" applyFont="1" applyFill="1" applyBorder="1" applyAlignment="1">
      <alignment horizontal="center"/>
    </xf>
    <xf numFmtId="10" fontId="10" fillId="6" borderId="1" xfId="2" applyNumberFormat="1" applyFont="1" applyFill="1" applyBorder="1" applyAlignment="1">
      <alignment vertical="center" wrapText="1"/>
    </xf>
    <xf numFmtId="4" fontId="0" fillId="0" borderId="0" xfId="0" applyNumberFormat="1"/>
    <xf numFmtId="164" fontId="10" fillId="6" borderId="1" xfId="0" applyNumberFormat="1" applyFont="1" applyFill="1" applyBorder="1" applyAlignment="1">
      <alignment vertical="center" wrapText="1"/>
    </xf>
    <xf numFmtId="4" fontId="0" fillId="0" borderId="1" xfId="0" applyNumberFormat="1" applyFill="1" applyBorder="1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14" fontId="2" fillId="0" borderId="0" xfId="0" applyNumberFormat="1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14" fillId="5" borderId="1" xfId="0" applyFont="1" applyFill="1" applyBorder="1" applyAlignment="1">
      <alignment horizontal="center" vertical="center" wrapText="1"/>
    </xf>
    <xf numFmtId="0" fontId="13" fillId="5" borderId="0" xfId="0" applyFont="1" applyFill="1" applyBorder="1" applyAlignment="1">
      <alignment vertical="center" wrapText="1"/>
    </xf>
    <xf numFmtId="0" fontId="13" fillId="5" borderId="9" xfId="0" applyFont="1" applyFill="1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/>
    <xf numFmtId="0" fontId="10" fillId="13" borderId="1" xfId="0" applyFont="1" applyFill="1" applyBorder="1" applyAlignment="1">
      <alignment horizontal="center" vertical="center"/>
    </xf>
    <xf numFmtId="0" fontId="10" fillId="13" borderId="1" xfId="0" applyFont="1" applyFill="1" applyBorder="1" applyAlignment="1">
      <alignment horizontal="left"/>
    </xf>
    <xf numFmtId="0" fontId="10" fillId="13" borderId="1" xfId="0" applyFont="1" applyFill="1" applyBorder="1"/>
    <xf numFmtId="164" fontId="10" fillId="13" borderId="1" xfId="1" applyNumberFormat="1" applyFont="1" applyFill="1" applyBorder="1" applyAlignment="1">
      <alignment horizontal="left"/>
    </xf>
    <xf numFmtId="0" fontId="0" fillId="0" borderId="0" xfId="0" applyAlignment="1">
      <alignment horizontal="right"/>
    </xf>
    <xf numFmtId="164" fontId="0" fillId="0" borderId="0" xfId="2" applyNumberFormat="1" applyFont="1"/>
    <xf numFmtId="9" fontId="0" fillId="0" borderId="0" xfId="2" applyFont="1"/>
    <xf numFmtId="0" fontId="15" fillId="13" borderId="1" xfId="0" applyFont="1" applyFill="1" applyBorder="1" applyAlignment="1">
      <alignment horizontal="left"/>
    </xf>
    <xf numFmtId="0" fontId="15" fillId="13" borderId="1" xfId="0" applyFont="1" applyFill="1" applyBorder="1"/>
    <xf numFmtId="164" fontId="15" fillId="13" borderId="1" xfId="1" applyNumberFormat="1" applyFont="1" applyFill="1" applyBorder="1" applyAlignment="1">
      <alignment horizontal="left"/>
    </xf>
    <xf numFmtId="0" fontId="10" fillId="14" borderId="1" xfId="0" applyFont="1" applyFill="1" applyBorder="1" applyAlignment="1">
      <alignment horizontal="left"/>
    </xf>
    <xf numFmtId="0" fontId="10" fillId="14" borderId="1" xfId="0" applyFont="1" applyFill="1" applyBorder="1"/>
    <xf numFmtId="164" fontId="10" fillId="14" borderId="1" xfId="1" applyNumberFormat="1" applyFont="1" applyFill="1" applyBorder="1" applyAlignment="1">
      <alignment horizontal="left"/>
    </xf>
    <xf numFmtId="0" fontId="10" fillId="2" borderId="1" xfId="0" applyFont="1" applyFill="1" applyBorder="1" applyAlignment="1">
      <alignment horizontal="left"/>
    </xf>
    <xf numFmtId="0" fontId="10" fillId="2" borderId="1" xfId="0" applyFont="1" applyFill="1" applyBorder="1"/>
    <xf numFmtId="164" fontId="10" fillId="2" borderId="1" xfId="1" applyNumberFormat="1" applyFont="1" applyFill="1" applyBorder="1" applyAlignment="1">
      <alignment horizontal="left"/>
    </xf>
    <xf numFmtId="164" fontId="2" fillId="0" borderId="1" xfId="0" applyNumberFormat="1" applyFont="1" applyBorder="1"/>
    <xf numFmtId="0" fontId="2" fillId="0" borderId="1" xfId="0" applyFont="1" applyBorder="1" applyAlignment="1">
      <alignment vertical="center"/>
    </xf>
    <xf numFmtId="9" fontId="2" fillId="0" borderId="1" xfId="2" applyFont="1" applyBorder="1"/>
    <xf numFmtId="164" fontId="2" fillId="0" borderId="0" xfId="0" applyNumberFormat="1" applyFont="1" applyBorder="1"/>
    <xf numFmtId="0" fontId="2" fillId="0" borderId="0" xfId="0" applyFont="1" applyBorder="1" applyAlignment="1">
      <alignment vertical="center"/>
    </xf>
    <xf numFmtId="9" fontId="2" fillId="0" borderId="0" xfId="2" applyFont="1" applyBorder="1"/>
    <xf numFmtId="0" fontId="10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left"/>
    </xf>
    <xf numFmtId="0" fontId="10" fillId="0" borderId="1" xfId="0" applyFont="1" applyFill="1" applyBorder="1"/>
    <xf numFmtId="0" fontId="15" fillId="0" borderId="1" xfId="0" applyFont="1" applyFill="1" applyBorder="1" applyAlignment="1">
      <alignment horizontal="left"/>
    </xf>
    <xf numFmtId="0" fontId="10" fillId="8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left"/>
    </xf>
    <xf numFmtId="0" fontId="10" fillId="8" borderId="1" xfId="0" applyFont="1" applyFill="1" applyBorder="1"/>
    <xf numFmtId="164" fontId="0" fillId="0" borderId="1" xfId="1" applyNumberFormat="1" applyFont="1" applyFill="1" applyBorder="1"/>
    <xf numFmtId="4" fontId="0" fillId="2" borderId="1" xfId="0" applyNumberFormat="1" applyFill="1" applyBorder="1"/>
    <xf numFmtId="0" fontId="2" fillId="2" borderId="0" xfId="0" applyFont="1" applyFill="1"/>
    <xf numFmtId="9" fontId="2" fillId="2" borderId="1" xfId="2" applyFont="1" applyFill="1" applyBorder="1"/>
    <xf numFmtId="9" fontId="2" fillId="2" borderId="0" xfId="2" applyFont="1" applyFill="1" applyBorder="1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64" fontId="2" fillId="2" borderId="1" xfId="0" applyNumberFormat="1" applyFont="1" applyFill="1" applyBorder="1"/>
    <xf numFmtId="164" fontId="2" fillId="2" borderId="0" xfId="0" applyNumberFormat="1" applyFont="1" applyFill="1" applyBorder="1"/>
    <xf numFmtId="0" fontId="10" fillId="15" borderId="1" xfId="0" applyFont="1" applyFill="1" applyBorder="1" applyAlignment="1">
      <alignment horizontal="center" vertical="center"/>
    </xf>
    <xf numFmtId="0" fontId="10" fillId="15" borderId="1" xfId="0" applyFont="1" applyFill="1" applyBorder="1" applyAlignment="1">
      <alignment horizontal="left"/>
    </xf>
    <xf numFmtId="0" fontId="10" fillId="15" borderId="1" xfId="0" applyFont="1" applyFill="1" applyBorder="1"/>
    <xf numFmtId="164" fontId="10" fillId="15" borderId="1" xfId="1" applyNumberFormat="1" applyFont="1" applyFill="1" applyBorder="1" applyAlignment="1">
      <alignment horizontal="left"/>
    </xf>
    <xf numFmtId="10" fontId="3" fillId="2" borderId="1" xfId="2" applyNumberFormat="1" applyFont="1" applyFill="1" applyBorder="1" applyAlignment="1">
      <alignment horizontal="center"/>
    </xf>
    <xf numFmtId="164" fontId="10" fillId="16" borderId="1" xfId="1" applyNumberFormat="1" applyFont="1" applyFill="1" applyBorder="1" applyAlignment="1">
      <alignment horizontal="left"/>
    </xf>
    <xf numFmtId="0" fontId="0" fillId="15" borderId="0" xfId="0" applyFill="1" applyAlignment="1">
      <alignment horizontal="right"/>
    </xf>
    <xf numFmtId="164" fontId="0" fillId="15" borderId="0" xfId="0" applyNumberFormat="1" applyFill="1"/>
    <xf numFmtId="9" fontId="0" fillId="15" borderId="0" xfId="2" applyFont="1" applyFill="1"/>
    <xf numFmtId="0" fontId="0" fillId="15" borderId="0" xfId="0" applyFill="1"/>
    <xf numFmtId="43" fontId="0" fillId="15" borderId="0" xfId="0" applyNumberFormat="1" applyFill="1"/>
    <xf numFmtId="0" fontId="0" fillId="2" borderId="0" xfId="0" applyFill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3" fontId="19" fillId="16" borderId="1" xfId="0" applyNumberFormat="1" applyFont="1" applyFill="1" applyBorder="1" applyAlignment="1">
      <alignment vertical="center"/>
    </xf>
    <xf numFmtId="0" fontId="3" fillId="2" borderId="1" xfId="0" applyFont="1" applyFill="1" applyBorder="1"/>
    <xf numFmtId="164" fontId="13" fillId="2" borderId="1" xfId="1" applyNumberFormat="1" applyFont="1" applyFill="1" applyBorder="1" applyAlignment="1">
      <alignment horizontal="right"/>
    </xf>
    <xf numFmtId="0" fontId="3" fillId="2" borderId="0" xfId="0" applyFont="1" applyFill="1" applyAlignment="1">
      <alignment horizontal="left" vertical="top"/>
    </xf>
    <xf numFmtId="0" fontId="3" fillId="2" borderId="0" xfId="0" applyFont="1" applyFill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3" fillId="16" borderId="1" xfId="0" applyFont="1" applyFill="1" applyBorder="1"/>
    <xf numFmtId="0" fontId="3" fillId="16" borderId="1" xfId="0" applyFont="1" applyFill="1" applyBorder="1" applyAlignment="1">
      <alignment horizontal="center"/>
    </xf>
    <xf numFmtId="4" fontId="0" fillId="16" borderId="1" xfId="0" applyNumberFormat="1" applyFill="1" applyBorder="1"/>
    <xf numFmtId="164" fontId="0" fillId="16" borderId="1" xfId="1" applyNumberFormat="1" applyFont="1" applyFill="1" applyBorder="1"/>
    <xf numFmtId="0" fontId="10" fillId="17" borderId="1" xfId="0" applyFont="1" applyFill="1" applyBorder="1" applyAlignment="1">
      <alignment horizontal="center" vertical="center"/>
    </xf>
    <xf numFmtId="0" fontId="10" fillId="17" borderId="1" xfId="0" applyFont="1" applyFill="1" applyBorder="1" applyAlignment="1">
      <alignment horizontal="left"/>
    </xf>
    <xf numFmtId="0" fontId="10" fillId="17" borderId="1" xfId="0" applyFont="1" applyFill="1" applyBorder="1"/>
    <xf numFmtId="164" fontId="10" fillId="17" borderId="1" xfId="1" applyNumberFormat="1" applyFont="1" applyFill="1" applyBorder="1" applyAlignment="1">
      <alignment horizontal="left"/>
    </xf>
    <xf numFmtId="10" fontId="3" fillId="17" borderId="1" xfId="2" applyNumberFormat="1" applyFont="1" applyFill="1" applyBorder="1" applyAlignment="1">
      <alignment horizontal="center"/>
    </xf>
    <xf numFmtId="164" fontId="0" fillId="17" borderId="1" xfId="1" applyNumberFormat="1" applyFont="1" applyFill="1" applyBorder="1"/>
    <xf numFmtId="0" fontId="3" fillId="17" borderId="0" xfId="0" applyFont="1" applyFill="1"/>
    <xf numFmtId="0" fontId="3" fillId="17" borderId="1" xfId="0" applyFont="1" applyFill="1" applyBorder="1" applyAlignment="1">
      <alignment horizontal="center"/>
    </xf>
    <xf numFmtId="0" fontId="13" fillId="17" borderId="1" xfId="0" applyFont="1" applyFill="1" applyBorder="1" applyAlignment="1">
      <alignment horizontal="center" vertical="center" wrapText="1"/>
    </xf>
    <xf numFmtId="164" fontId="13" fillId="17" borderId="1" xfId="1" applyNumberFormat="1" applyFont="1" applyFill="1" applyBorder="1" applyAlignment="1">
      <alignment horizontal="right"/>
    </xf>
    <xf numFmtId="0" fontId="3" fillId="17" borderId="0" xfId="0" applyFont="1" applyFill="1" applyAlignment="1">
      <alignment horizontal="center"/>
    </xf>
    <xf numFmtId="0" fontId="3" fillId="17" borderId="0" xfId="0" applyFont="1" applyFill="1" applyAlignment="1">
      <alignment horizontal="left" vertical="top"/>
    </xf>
    <xf numFmtId="4" fontId="0" fillId="8" borderId="1" xfId="0" applyNumberFormat="1" applyFill="1" applyBorder="1"/>
    <xf numFmtId="10" fontId="3" fillId="8" borderId="1" xfId="2" applyNumberFormat="1" applyFont="1" applyFill="1" applyBorder="1" applyAlignment="1">
      <alignment horizontal="center"/>
    </xf>
    <xf numFmtId="3" fontId="0" fillId="8" borderId="1" xfId="0" applyNumberFormat="1" applyFill="1" applyBorder="1"/>
    <xf numFmtId="164" fontId="15" fillId="8" borderId="1" xfId="1" applyNumberFormat="1" applyFont="1" applyFill="1" applyBorder="1" applyAlignment="1">
      <alignment horizontal="left"/>
    </xf>
    <xf numFmtId="164" fontId="10" fillId="9" borderId="10" xfId="1" quotePrefix="1" applyNumberFormat="1" applyFont="1" applyFill="1" applyBorder="1" applyAlignment="1">
      <alignment horizontal="left"/>
    </xf>
    <xf numFmtId="0" fontId="0" fillId="0" borderId="1" xfId="0" quotePrefix="1" applyBorder="1"/>
    <xf numFmtId="164" fontId="3" fillId="2" borderId="0" xfId="1" applyNumberFormat="1" applyFont="1" applyFill="1"/>
    <xf numFmtId="43" fontId="0" fillId="2" borderId="1" xfId="1" applyNumberFormat="1" applyFont="1" applyFill="1" applyBorder="1"/>
    <xf numFmtId="43" fontId="3" fillId="2" borderId="0" xfId="0" applyNumberFormat="1" applyFont="1" applyFill="1"/>
    <xf numFmtId="4" fontId="3" fillId="0" borderId="0" xfId="0" applyNumberFormat="1" applyFont="1" applyAlignment="1">
      <alignment horizontal="center"/>
    </xf>
    <xf numFmtId="3" fontId="0" fillId="0" borderId="0" xfId="0" applyNumberFormat="1"/>
    <xf numFmtId="0" fontId="0" fillId="2" borderId="1" xfId="0" applyFill="1" applyBorder="1"/>
    <xf numFmtId="0" fontId="0" fillId="2" borderId="8" xfId="0" applyFill="1" applyBorder="1"/>
    <xf numFmtId="9" fontId="11" fillId="0" borderId="0" xfId="0" applyNumberFormat="1" applyFont="1"/>
    <xf numFmtId="164" fontId="0" fillId="0" borderId="0" xfId="1" applyNumberFormat="1" applyFont="1" applyBorder="1"/>
    <xf numFmtId="0" fontId="0" fillId="0" borderId="0" xfId="0" applyAlignment="1">
      <alignment wrapText="1"/>
    </xf>
    <xf numFmtId="164" fontId="3" fillId="17" borderId="0" xfId="0" applyNumberFormat="1" applyFont="1" applyFill="1" applyAlignment="1">
      <alignment horizontal="center"/>
    </xf>
    <xf numFmtId="43" fontId="3" fillId="0" borderId="0" xfId="0" applyNumberFormat="1" applyFont="1"/>
    <xf numFmtId="164" fontId="10" fillId="6" borderId="1" xfId="1" applyNumberFormat="1" applyFont="1" applyFill="1" applyBorder="1" applyAlignment="1">
      <alignment vertical="center" wrapText="1"/>
    </xf>
    <xf numFmtId="164" fontId="0" fillId="2" borderId="1" xfId="1" applyNumberFormat="1" applyFont="1" applyFill="1" applyBorder="1" applyAlignment="1">
      <alignment vertical="center"/>
    </xf>
    <xf numFmtId="164" fontId="10" fillId="2" borderId="1" xfId="1" applyNumberFormat="1" applyFont="1" applyFill="1" applyBorder="1" applyAlignment="1">
      <alignment vertical="center"/>
    </xf>
    <xf numFmtId="9" fontId="10" fillId="2" borderId="1" xfId="2" applyFont="1" applyFill="1" applyBorder="1" applyAlignment="1">
      <alignment vertical="center"/>
    </xf>
    <xf numFmtId="4" fontId="0" fillId="17" borderId="1" xfId="0" applyNumberFormat="1" applyFill="1" applyBorder="1"/>
    <xf numFmtId="0" fontId="13" fillId="16" borderId="1" xfId="0" applyFont="1" applyFill="1" applyBorder="1" applyAlignment="1">
      <alignment horizontal="center" vertical="center" wrapText="1"/>
    </xf>
    <xf numFmtId="0" fontId="0" fillId="15" borderId="1" xfId="0" applyFill="1" applyBorder="1" applyAlignment="1">
      <alignment vertical="center" wrapText="1"/>
    </xf>
    <xf numFmtId="164" fontId="14" fillId="15" borderId="1" xfId="1" applyNumberFormat="1" applyFont="1" applyFill="1" applyBorder="1" applyAlignment="1">
      <alignment horizontal="center" vertical="center" wrapText="1"/>
    </xf>
    <xf numFmtId="0" fontId="0" fillId="15" borderId="1" xfId="0" applyFill="1" applyBorder="1"/>
    <xf numFmtId="43" fontId="0" fillId="15" borderId="1" xfId="1" applyNumberFormat="1" applyFont="1" applyFill="1" applyBorder="1"/>
    <xf numFmtId="10" fontId="0" fillId="15" borderId="1" xfId="2" applyNumberFormat="1" applyFont="1" applyFill="1" applyBorder="1"/>
    <xf numFmtId="1" fontId="0" fillId="15" borderId="1" xfId="0" applyNumberFormat="1" applyFill="1" applyBorder="1"/>
    <xf numFmtId="164" fontId="10" fillId="15" borderId="1" xfId="1" applyNumberFormat="1" applyFont="1" applyFill="1" applyBorder="1" applyAlignment="1">
      <alignment vertical="center" wrapText="1"/>
    </xf>
    <xf numFmtId="164" fontId="0" fillId="15" borderId="1" xfId="1" applyNumberFormat="1" applyFont="1" applyFill="1" applyBorder="1"/>
    <xf numFmtId="10" fontId="3" fillId="0" borderId="1" xfId="2" applyNumberFormat="1" applyFont="1" applyFill="1" applyBorder="1" applyAlignment="1">
      <alignment horizontal="center"/>
    </xf>
    <xf numFmtId="43" fontId="0" fillId="0" borderId="1" xfId="1" applyNumberFormat="1" applyFont="1" applyFill="1" applyBorder="1"/>
    <xf numFmtId="10" fontId="10" fillId="0" borderId="1" xfId="2" applyNumberFormat="1" applyFont="1" applyFill="1" applyBorder="1" applyAlignment="1">
      <alignment horizontal="left"/>
    </xf>
    <xf numFmtId="43" fontId="3" fillId="0" borderId="0" xfId="0" applyNumberFormat="1" applyFont="1" applyFill="1"/>
    <xf numFmtId="0" fontId="3" fillId="0" borderId="0" xfId="0" applyFont="1" applyFill="1"/>
    <xf numFmtId="164" fontId="13" fillId="2" borderId="8" xfId="1" applyNumberFormat="1" applyFont="1" applyFill="1" applyBorder="1" applyAlignment="1">
      <alignment horizontal="center" vertical="center" wrapText="1"/>
    </xf>
    <xf numFmtId="164" fontId="10" fillId="15" borderId="1" xfId="2" applyNumberFormat="1" applyFont="1" applyFill="1" applyBorder="1" applyAlignment="1">
      <alignment vertical="center" wrapText="1"/>
    </xf>
    <xf numFmtId="0" fontId="0" fillId="4" borderId="1" xfId="0" applyFill="1" applyBorder="1" applyAlignment="1">
      <alignment horizontal="center"/>
    </xf>
    <xf numFmtId="10" fontId="10" fillId="0" borderId="1" xfId="2" applyNumberFormat="1" applyFont="1" applyBorder="1"/>
    <xf numFmtId="0" fontId="0" fillId="17" borderId="1" xfId="0" applyFill="1" applyBorder="1"/>
    <xf numFmtId="0" fontId="0" fillId="17" borderId="1" xfId="0" quotePrefix="1" applyFill="1" applyBorder="1"/>
    <xf numFmtId="10" fontId="0" fillId="8" borderId="1" xfId="2" applyNumberFormat="1" applyFont="1" applyFill="1" applyBorder="1"/>
    <xf numFmtId="43" fontId="0" fillId="8" borderId="1" xfId="1" applyNumberFormat="1" applyFont="1" applyFill="1" applyBorder="1"/>
    <xf numFmtId="0" fontId="0" fillId="0" borderId="1" xfId="0" applyBorder="1" applyAlignment="1">
      <alignment horizontal="left" vertical="top"/>
    </xf>
    <xf numFmtId="0" fontId="12" fillId="0" borderId="1" xfId="6" quotePrefix="1" applyBorder="1"/>
    <xf numFmtId="0" fontId="0" fillId="15" borderId="1" xfId="0" applyFill="1" applyBorder="1" applyAlignment="1">
      <alignment horizontal="left" vertical="top"/>
    </xf>
    <xf numFmtId="43" fontId="10" fillId="6" borderId="1" xfId="0" applyNumberFormat="1" applyFont="1" applyFill="1" applyBorder="1" applyAlignment="1">
      <alignment vertical="center" wrapText="1"/>
    </xf>
    <xf numFmtId="164" fontId="10" fillId="0" borderId="1" xfId="0" applyNumberFormat="1" applyFont="1" applyBorder="1"/>
    <xf numFmtId="164" fontId="3" fillId="8" borderId="1" xfId="0" applyNumberFormat="1" applyFont="1" applyFill="1" applyBorder="1"/>
    <xf numFmtId="164" fontId="0" fillId="17" borderId="6" xfId="1" applyNumberFormat="1" applyFont="1" applyFill="1" applyBorder="1" applyAlignment="1">
      <alignment horizontal="center" vertical="center"/>
    </xf>
    <xf numFmtId="164" fontId="10" fillId="17" borderId="6" xfId="1" applyNumberFormat="1" applyFont="1" applyFill="1" applyBorder="1" applyAlignment="1">
      <alignment horizontal="center" vertical="center"/>
    </xf>
    <xf numFmtId="9" fontId="10" fillId="17" borderId="6" xfId="2" applyFont="1" applyFill="1" applyBorder="1" applyAlignment="1">
      <alignment horizontal="center" vertical="center"/>
    </xf>
    <xf numFmtId="9" fontId="0" fillId="17" borderId="6" xfId="2" applyFont="1" applyFill="1" applyBorder="1" applyAlignment="1">
      <alignment horizontal="center" vertical="center"/>
    </xf>
    <xf numFmtId="164" fontId="10" fillId="9" borderId="10" xfId="1" applyNumberFormat="1" applyFont="1" applyFill="1" applyBorder="1" applyAlignment="1">
      <alignment horizontal="left"/>
    </xf>
    <xf numFmtId="4" fontId="0" fillId="15" borderId="1" xfId="0" applyNumberFormat="1" applyFill="1" applyBorder="1"/>
    <xf numFmtId="10" fontId="3" fillId="15" borderId="1" xfId="2" applyNumberFormat="1" applyFont="1" applyFill="1" applyBorder="1" applyAlignment="1">
      <alignment horizontal="center"/>
    </xf>
    <xf numFmtId="164" fontId="15" fillId="15" borderId="1" xfId="1" applyNumberFormat="1" applyFont="1" applyFill="1" applyBorder="1" applyAlignment="1">
      <alignment horizontal="left"/>
    </xf>
    <xf numFmtId="3" fontId="0" fillId="15" borderId="1" xfId="0" applyNumberFormat="1" applyFill="1" applyBorder="1"/>
    <xf numFmtId="43" fontId="3" fillId="15" borderId="0" xfId="0" applyNumberFormat="1" applyFont="1" applyFill="1"/>
    <xf numFmtId="0" fontId="3" fillId="15" borderId="0" xfId="0" applyFont="1" applyFill="1"/>
    <xf numFmtId="164" fontId="0" fillId="15" borderId="5" xfId="1" applyNumberFormat="1" applyFont="1" applyFill="1" applyBorder="1" applyAlignment="1">
      <alignment vertical="center"/>
    </xf>
    <xf numFmtId="43" fontId="10" fillId="15" borderId="5" xfId="1" applyNumberFormat="1" applyFont="1" applyFill="1" applyBorder="1" applyAlignment="1">
      <alignment vertical="center"/>
    </xf>
    <xf numFmtId="9" fontId="0" fillId="15" borderId="5" xfId="2" applyFont="1" applyFill="1" applyBorder="1" applyAlignment="1">
      <alignment vertical="center"/>
    </xf>
    <xf numFmtId="9" fontId="0" fillId="13" borderId="5" xfId="2" applyFont="1" applyFill="1" applyBorder="1" applyAlignment="1">
      <alignment vertical="center"/>
    </xf>
    <xf numFmtId="0" fontId="0" fillId="17" borderId="6" xfId="0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2" borderId="5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left"/>
    </xf>
    <xf numFmtId="0" fontId="3" fillId="8" borderId="0" xfId="0" applyFont="1" applyFill="1" applyBorder="1"/>
    <xf numFmtId="0" fontId="13" fillId="8" borderId="0" xfId="0" applyFont="1" applyFill="1" applyBorder="1" applyAlignment="1">
      <alignment horizontal="center" vertical="center" wrapText="1"/>
    </xf>
    <xf numFmtId="10" fontId="10" fillId="0" borderId="0" xfId="2" applyNumberFormat="1" applyFont="1" applyFill="1" applyBorder="1" applyAlignment="1">
      <alignment horizontal="left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vertical="center" wrapText="1"/>
    </xf>
    <xf numFmtId="0" fontId="6" fillId="19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5" fillId="0" borderId="1" xfId="0" applyFont="1" applyFill="1" applyBorder="1"/>
    <xf numFmtId="0" fontId="5" fillId="3" borderId="1" xfId="0" applyFont="1" applyFill="1" applyBorder="1" applyAlignment="1">
      <alignment vertical="center" wrapText="1"/>
    </xf>
    <xf numFmtId="0" fontId="10" fillId="0" borderId="1" xfId="0" applyFont="1" applyFill="1" applyBorder="1" applyAlignment="1">
      <alignment horizontal="left" vertical="center"/>
    </xf>
    <xf numFmtId="164" fontId="5" fillId="3" borderId="1" xfId="1" applyNumberFormat="1" applyFont="1" applyFill="1" applyBorder="1" applyAlignment="1">
      <alignment horizontal="right" vertical="center"/>
    </xf>
    <xf numFmtId="164" fontId="10" fillId="0" borderId="1" xfId="1" applyNumberFormat="1" applyFont="1" applyFill="1" applyBorder="1" applyAlignment="1">
      <alignment horizontal="left" vertical="center"/>
    </xf>
    <xf numFmtId="0" fontId="5" fillId="0" borderId="5" xfId="0" applyFont="1" applyFill="1" applyBorder="1" applyAlignment="1">
      <alignment vertical="center" wrapText="1"/>
    </xf>
    <xf numFmtId="0" fontId="5" fillId="0" borderId="0" xfId="0" applyFont="1" applyAlignment="1">
      <alignment vertical="center"/>
    </xf>
    <xf numFmtId="0" fontId="5" fillId="0" borderId="1" xfId="0" applyFont="1" applyFill="1" applyBorder="1" applyAlignment="1">
      <alignment horizontal="left"/>
    </xf>
    <xf numFmtId="0" fontId="5" fillId="0" borderId="8" xfId="0" applyFont="1" applyFill="1" applyBorder="1" applyAlignment="1">
      <alignment vertical="center" wrapText="1"/>
    </xf>
    <xf numFmtId="0" fontId="5" fillId="0" borderId="6" xfId="0" applyFont="1" applyFill="1" applyBorder="1" applyAlignment="1">
      <alignment vertical="center" wrapText="1"/>
    </xf>
    <xf numFmtId="0" fontId="15" fillId="3" borderId="1" xfId="0" applyFont="1" applyFill="1" applyBorder="1" applyAlignment="1">
      <alignment vertical="center" wrapText="1"/>
    </xf>
    <xf numFmtId="164" fontId="15" fillId="3" borderId="1" xfId="1" applyNumberFormat="1" applyFont="1" applyFill="1" applyBorder="1" applyAlignment="1">
      <alignment horizontal="right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vertical="center" wrapText="1"/>
    </xf>
    <xf numFmtId="0" fontId="5" fillId="20" borderId="1" xfId="0" applyFont="1" applyFill="1" applyBorder="1" applyAlignment="1">
      <alignment vertical="center"/>
    </xf>
    <xf numFmtId="164" fontId="5" fillId="20" borderId="1" xfId="1" applyNumberFormat="1" applyFont="1" applyFill="1" applyBorder="1" applyAlignment="1">
      <alignment horizontal="center" vertical="center"/>
    </xf>
    <xf numFmtId="0" fontId="15" fillId="0" borderId="1" xfId="0" applyFont="1" applyBorder="1"/>
    <xf numFmtId="0" fontId="10" fillId="20" borderId="1" xfId="0" applyFont="1" applyFill="1" applyBorder="1" applyAlignment="1">
      <alignment vertical="center"/>
    </xf>
    <xf numFmtId="0" fontId="11" fillId="0" borderId="1" xfId="0" applyFont="1" applyBorder="1" applyAlignment="1">
      <alignment horizontal="left" vertical="center"/>
    </xf>
    <xf numFmtId="164" fontId="15" fillId="0" borderId="0" xfId="1" applyNumberFormat="1" applyFont="1"/>
    <xf numFmtId="164" fontId="15" fillId="20" borderId="1" xfId="1" applyNumberFormat="1" applyFont="1" applyFill="1" applyBorder="1" applyAlignment="1">
      <alignment horizontal="center" vertical="center"/>
    </xf>
    <xf numFmtId="164" fontId="15" fillId="3" borderId="1" xfId="1" applyNumberFormat="1" applyFont="1" applyFill="1" applyBorder="1" applyAlignment="1">
      <alignment horizontal="center" vertical="center"/>
    </xf>
    <xf numFmtId="0" fontId="15" fillId="20" borderId="1" xfId="0" applyFont="1" applyFill="1" applyBorder="1" applyAlignment="1">
      <alignment vertical="center"/>
    </xf>
    <xf numFmtId="164" fontId="5" fillId="0" borderId="0" xfId="0" applyNumberFormat="1" applyFont="1"/>
    <xf numFmtId="0" fontId="15" fillId="3" borderId="1" xfId="0" applyFont="1" applyFill="1" applyBorder="1" applyAlignment="1">
      <alignment horizontal="left" vertical="center" wrapText="1"/>
    </xf>
    <xf numFmtId="0" fontId="11" fillId="0" borderId="1" xfId="0" applyFont="1" applyFill="1" applyBorder="1" applyAlignment="1">
      <alignment horizontal="left" vertical="center"/>
    </xf>
    <xf numFmtId="0" fontId="10" fillId="3" borderId="1" xfId="0" applyFont="1" applyFill="1" applyBorder="1" applyAlignment="1">
      <alignment vertical="center"/>
    </xf>
    <xf numFmtId="164" fontId="10" fillId="3" borderId="1" xfId="1" applyNumberFormat="1" applyFont="1" applyFill="1" applyBorder="1" applyAlignment="1">
      <alignment horizontal="right" vertical="center"/>
    </xf>
    <xf numFmtId="164" fontId="10" fillId="3" borderId="1" xfId="1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vertical="center" wrapText="1"/>
    </xf>
    <xf numFmtId="0" fontId="5" fillId="0" borderId="1" xfId="0" applyFont="1" applyBorder="1"/>
    <xf numFmtId="0" fontId="5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164" fontId="5" fillId="0" borderId="1" xfId="1" applyNumberFormat="1" applyFont="1" applyBorder="1" applyAlignment="1">
      <alignment horizontal="right" vertical="center"/>
    </xf>
    <xf numFmtId="0" fontId="15" fillId="3" borderId="5" xfId="0" applyFont="1" applyFill="1" applyBorder="1" applyAlignment="1">
      <alignment vertical="center" wrapText="1"/>
    </xf>
    <xf numFmtId="0" fontId="15" fillId="3" borderId="8" xfId="0" applyFont="1" applyFill="1" applyBorder="1" applyAlignment="1">
      <alignment vertical="center" wrapText="1"/>
    </xf>
    <xf numFmtId="0" fontId="15" fillId="3" borderId="6" xfId="0" applyFont="1" applyFill="1" applyBorder="1" applyAlignment="1">
      <alignment vertical="center" wrapText="1"/>
    </xf>
    <xf numFmtId="164" fontId="5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left"/>
    </xf>
    <xf numFmtId="10" fontId="5" fillId="0" borderId="0" xfId="0" applyNumberFormat="1" applyFont="1" applyAlignment="1">
      <alignment horizontal="center"/>
    </xf>
    <xf numFmtId="10" fontId="10" fillId="15" borderId="1" xfId="2" applyNumberFormat="1" applyFont="1" applyFill="1" applyBorder="1" applyAlignment="1">
      <alignment horizontal="left"/>
    </xf>
    <xf numFmtId="10" fontId="10" fillId="15" borderId="0" xfId="2" applyNumberFormat="1" applyFont="1" applyFill="1" applyBorder="1" applyAlignment="1">
      <alignment horizontal="left"/>
    </xf>
    <xf numFmtId="4" fontId="2" fillId="15" borderId="1" xfId="0" applyNumberFormat="1" applyFont="1" applyFill="1" applyBorder="1"/>
    <xf numFmtId="0" fontId="15" fillId="15" borderId="1" xfId="0" applyFont="1" applyFill="1" applyBorder="1" applyAlignment="1">
      <alignment horizontal="left"/>
    </xf>
    <xf numFmtId="4" fontId="0" fillId="15" borderId="1" xfId="0" applyNumberFormat="1" applyFont="1" applyFill="1" applyBorder="1"/>
    <xf numFmtId="43" fontId="1" fillId="15" borderId="1" xfId="1" applyNumberFormat="1" applyFont="1" applyFill="1" applyBorder="1"/>
    <xf numFmtId="164" fontId="10" fillId="15" borderId="5" xfId="1" applyNumberFormat="1" applyFont="1" applyFill="1" applyBorder="1" applyAlignment="1">
      <alignment horizontal="left"/>
    </xf>
    <xf numFmtId="0" fontId="15" fillId="15" borderId="1" xfId="0" applyFont="1" applyFill="1" applyBorder="1"/>
    <xf numFmtId="3" fontId="0" fillId="17" borderId="1" xfId="0" applyNumberFormat="1" applyFill="1" applyBorder="1"/>
    <xf numFmtId="10" fontId="10" fillId="17" borderId="0" xfId="2" applyNumberFormat="1" applyFont="1" applyFill="1" applyBorder="1" applyAlignment="1">
      <alignment horizontal="left"/>
    </xf>
    <xf numFmtId="43" fontId="3" fillId="17" borderId="0" xfId="0" applyNumberFormat="1" applyFont="1" applyFill="1"/>
    <xf numFmtId="10" fontId="10" fillId="8" borderId="1" xfId="2" applyNumberFormat="1" applyFont="1" applyFill="1" applyBorder="1" applyAlignment="1">
      <alignment horizontal="left"/>
    </xf>
    <xf numFmtId="10" fontId="10" fillId="8" borderId="0" xfId="2" applyNumberFormat="1" applyFont="1" applyFill="1" applyBorder="1" applyAlignment="1">
      <alignment horizontal="left"/>
    </xf>
    <xf numFmtId="43" fontId="3" fillId="8" borderId="0" xfId="0" applyNumberFormat="1" applyFont="1" applyFill="1"/>
    <xf numFmtId="0" fontId="10" fillId="5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left"/>
    </xf>
    <xf numFmtId="0" fontId="10" fillId="5" borderId="1" xfId="0" applyFont="1" applyFill="1" applyBorder="1"/>
    <xf numFmtId="164" fontId="10" fillId="5" borderId="1" xfId="1" applyNumberFormat="1" applyFont="1" applyFill="1" applyBorder="1" applyAlignment="1">
      <alignment horizontal="left"/>
    </xf>
    <xf numFmtId="4" fontId="0" fillId="5" borderId="1" xfId="0" applyNumberFormat="1" applyFill="1" applyBorder="1"/>
    <xf numFmtId="10" fontId="3" fillId="5" borderId="1" xfId="2" applyNumberFormat="1" applyFont="1" applyFill="1" applyBorder="1" applyAlignment="1">
      <alignment horizontal="center"/>
    </xf>
    <xf numFmtId="43" fontId="0" fillId="5" borderId="1" xfId="1" applyNumberFormat="1" applyFont="1" applyFill="1" applyBorder="1"/>
    <xf numFmtId="3" fontId="0" fillId="5" borderId="1" xfId="0" applyNumberFormat="1" applyFill="1" applyBorder="1"/>
    <xf numFmtId="164" fontId="15" fillId="5" borderId="1" xfId="1" applyNumberFormat="1" applyFont="1" applyFill="1" applyBorder="1" applyAlignment="1">
      <alignment horizontal="left"/>
    </xf>
    <xf numFmtId="10" fontId="10" fillId="5" borderId="1" xfId="2" applyNumberFormat="1" applyFont="1" applyFill="1" applyBorder="1" applyAlignment="1">
      <alignment horizontal="left"/>
    </xf>
    <xf numFmtId="10" fontId="10" fillId="5" borderId="0" xfId="2" applyNumberFormat="1" applyFont="1" applyFill="1" applyBorder="1" applyAlignment="1">
      <alignment horizontal="left"/>
    </xf>
    <xf numFmtId="43" fontId="3" fillId="5" borderId="0" xfId="0" applyNumberFormat="1" applyFont="1" applyFill="1"/>
    <xf numFmtId="0" fontId="3" fillId="5" borderId="0" xfId="0" applyFont="1" applyFill="1"/>
    <xf numFmtId="3" fontId="0" fillId="2" borderId="1" xfId="0" applyNumberFormat="1" applyFill="1" applyBorder="1"/>
    <xf numFmtId="10" fontId="10" fillId="2" borderId="1" xfId="2" applyNumberFormat="1" applyFont="1" applyFill="1" applyBorder="1" applyAlignment="1">
      <alignment horizontal="left"/>
    </xf>
    <xf numFmtId="10" fontId="10" fillId="2" borderId="0" xfId="2" applyNumberFormat="1" applyFont="1" applyFill="1" applyBorder="1" applyAlignment="1">
      <alignment horizontal="left"/>
    </xf>
    <xf numFmtId="0" fontId="0" fillId="4" borderId="1" xfId="0" applyFill="1" applyBorder="1" applyAlignment="1">
      <alignment horizontal="center"/>
    </xf>
    <xf numFmtId="0" fontId="23" fillId="0" borderId="1" xfId="0" applyFont="1" applyBorder="1"/>
    <xf numFmtId="0" fontId="0" fillId="4" borderId="1" xfId="0" applyFill="1" applyBorder="1" applyAlignment="1"/>
    <xf numFmtId="0" fontId="23" fillId="0" borderId="1" xfId="0" applyFont="1" applyBorder="1" applyAlignment="1">
      <alignment vertical="center"/>
    </xf>
    <xf numFmtId="0" fontId="13" fillId="5" borderId="8" xfId="0" applyFont="1" applyFill="1" applyBorder="1" applyAlignment="1">
      <alignment vertical="center" wrapText="1"/>
    </xf>
    <xf numFmtId="0" fontId="23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vertical="center" wrapText="1"/>
    </xf>
    <xf numFmtId="0" fontId="23" fillId="0" borderId="1" xfId="0" quotePrefix="1" applyFont="1" applyBorder="1" applyAlignment="1">
      <alignment vertical="center"/>
    </xf>
    <xf numFmtId="0" fontId="24" fillId="0" borderId="1" xfId="0" quotePrefix="1" applyFont="1" applyBorder="1" applyAlignment="1">
      <alignment vertical="center"/>
    </xf>
    <xf numFmtId="22" fontId="0" fillId="0" borderId="0" xfId="0" applyNumberFormat="1"/>
    <xf numFmtId="0" fontId="13" fillId="5" borderId="1" xfId="0" applyFont="1" applyFill="1" applyBorder="1" applyAlignment="1">
      <alignment horizontal="left" vertical="center" wrapText="1"/>
    </xf>
    <xf numFmtId="0" fontId="13" fillId="2" borderId="1" xfId="0" applyFont="1" applyFill="1" applyBorder="1" applyAlignment="1">
      <alignment horizontal="left" vertical="center" wrapText="1"/>
    </xf>
    <xf numFmtId="0" fontId="13" fillId="6" borderId="1" xfId="0" applyFont="1" applyFill="1" applyBorder="1" applyAlignment="1">
      <alignment horizontal="left" vertical="center" wrapText="1"/>
    </xf>
    <xf numFmtId="0" fontId="13" fillId="8" borderId="1" xfId="0" applyFont="1" applyFill="1" applyBorder="1" applyAlignment="1">
      <alignment horizontal="left" vertical="center" wrapText="1"/>
    </xf>
    <xf numFmtId="0" fontId="13" fillId="17" borderId="1" xfId="0" applyFont="1" applyFill="1" applyBorder="1" applyAlignment="1">
      <alignment horizontal="left" vertical="center" wrapText="1"/>
    </xf>
    <xf numFmtId="3" fontId="19" fillId="16" borderId="1" xfId="0" applyNumberFormat="1" applyFont="1" applyFill="1" applyBorder="1" applyAlignment="1">
      <alignment horizontal="left" vertical="center"/>
    </xf>
    <xf numFmtId="0" fontId="13" fillId="8" borderId="0" xfId="0" applyFont="1" applyFill="1" applyBorder="1" applyAlignment="1">
      <alignment horizontal="left" vertical="center" wrapText="1"/>
    </xf>
    <xf numFmtId="0" fontId="10" fillId="10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164" fontId="10" fillId="2" borderId="1" xfId="1" applyNumberFormat="1" applyFont="1" applyFill="1" applyBorder="1" applyAlignment="1">
      <alignment horizontal="left" vertical="center"/>
    </xf>
    <xf numFmtId="9" fontId="10" fillId="2" borderId="1" xfId="2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left" vertical="center"/>
    </xf>
    <xf numFmtId="0" fontId="3" fillId="17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8" borderId="0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4" fontId="0" fillId="0" borderId="1" xfId="0" applyNumberFormat="1" applyFill="1" applyBorder="1" applyAlignment="1">
      <alignment horizontal="left" vertical="center"/>
    </xf>
    <xf numFmtId="10" fontId="3" fillId="0" borderId="1" xfId="2" applyNumberFormat="1" applyFont="1" applyFill="1" applyBorder="1" applyAlignment="1">
      <alignment horizontal="left" vertical="center"/>
    </xf>
    <xf numFmtId="43" fontId="0" fillId="2" borderId="1" xfId="1" applyNumberFormat="1" applyFont="1" applyFill="1" applyBorder="1" applyAlignment="1">
      <alignment horizontal="left" vertical="center"/>
    </xf>
    <xf numFmtId="3" fontId="0" fillId="8" borderId="1" xfId="0" applyNumberFormat="1" applyFill="1" applyBorder="1" applyAlignment="1">
      <alignment horizontal="left" vertical="center"/>
    </xf>
    <xf numFmtId="10" fontId="10" fillId="0" borderId="1" xfId="2" applyNumberFormat="1" applyFont="1" applyFill="1" applyBorder="1" applyAlignment="1">
      <alignment horizontal="left" vertical="center"/>
    </xf>
    <xf numFmtId="10" fontId="10" fillId="0" borderId="0" xfId="2" applyNumberFormat="1" applyFont="1" applyFill="1" applyBorder="1" applyAlignment="1">
      <alignment horizontal="left" vertical="center"/>
    </xf>
    <xf numFmtId="43" fontId="3" fillId="0" borderId="0" xfId="0" applyNumberFormat="1" applyFont="1" applyFill="1" applyAlignment="1">
      <alignment horizontal="left" vertical="center"/>
    </xf>
    <xf numFmtId="0" fontId="15" fillId="13" borderId="1" xfId="0" applyFont="1" applyFill="1" applyBorder="1" applyAlignment="1">
      <alignment horizontal="left" vertical="center"/>
    </xf>
    <xf numFmtId="164" fontId="10" fillId="9" borderId="1" xfId="1" applyNumberFormat="1" applyFont="1" applyFill="1" applyBorder="1" applyAlignment="1">
      <alignment horizontal="left" vertical="center"/>
    </xf>
    <xf numFmtId="10" fontId="10" fillId="17" borderId="1" xfId="2" applyNumberFormat="1" applyFont="1" applyFill="1" applyBorder="1" applyAlignment="1">
      <alignment horizontal="left" vertical="center"/>
    </xf>
    <xf numFmtId="43" fontId="3" fillId="0" borderId="0" xfId="0" applyNumberFormat="1" applyFont="1" applyAlignment="1">
      <alignment horizontal="left" vertical="center"/>
    </xf>
    <xf numFmtId="10" fontId="3" fillId="2" borderId="1" xfId="2" applyNumberFormat="1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left" vertical="center"/>
    </xf>
    <xf numFmtId="4" fontId="0" fillId="2" borderId="1" xfId="0" applyNumberFormat="1" applyFill="1" applyBorder="1" applyAlignment="1">
      <alignment horizontal="left" vertical="center"/>
    </xf>
    <xf numFmtId="4" fontId="0" fillId="8" borderId="1" xfId="0" applyNumberFormat="1" applyFill="1" applyBorder="1" applyAlignment="1">
      <alignment horizontal="left" vertical="center"/>
    </xf>
    <xf numFmtId="10" fontId="3" fillId="8" borderId="1" xfId="2" applyNumberFormat="1" applyFont="1" applyFill="1" applyBorder="1" applyAlignment="1">
      <alignment horizontal="left" vertical="center"/>
    </xf>
    <xf numFmtId="164" fontId="10" fillId="8" borderId="1" xfId="1" applyNumberFormat="1" applyFont="1" applyFill="1" applyBorder="1" applyAlignment="1">
      <alignment horizontal="left" vertical="center"/>
    </xf>
    <xf numFmtId="0" fontId="10" fillId="8" borderId="1" xfId="0" applyFont="1" applyFill="1" applyBorder="1" applyAlignment="1">
      <alignment horizontal="left" vertical="center"/>
    </xf>
    <xf numFmtId="164" fontId="15" fillId="8" borderId="1" xfId="1" applyNumberFormat="1" applyFont="1" applyFill="1" applyBorder="1" applyAlignment="1">
      <alignment horizontal="left" vertical="center"/>
    </xf>
    <xf numFmtId="0" fontId="10" fillId="15" borderId="1" xfId="0" applyFont="1" applyFill="1" applyBorder="1" applyAlignment="1">
      <alignment horizontal="left" vertical="center"/>
    </xf>
    <xf numFmtId="164" fontId="10" fillId="15" borderId="1" xfId="1" applyNumberFormat="1" applyFont="1" applyFill="1" applyBorder="1" applyAlignment="1">
      <alignment horizontal="left" vertical="center"/>
    </xf>
    <xf numFmtId="3" fontId="0" fillId="15" borderId="1" xfId="0" applyNumberFormat="1" applyFill="1" applyBorder="1" applyAlignment="1">
      <alignment horizontal="left" vertical="center"/>
    </xf>
    <xf numFmtId="43" fontId="3" fillId="15" borderId="0" xfId="0" applyNumberFormat="1" applyFont="1" applyFill="1" applyAlignment="1">
      <alignment horizontal="left" vertical="center"/>
    </xf>
    <xf numFmtId="164" fontId="15" fillId="0" borderId="1" xfId="1" applyNumberFormat="1" applyFont="1" applyFill="1" applyBorder="1" applyAlignment="1">
      <alignment horizontal="left" vertical="center"/>
    </xf>
    <xf numFmtId="0" fontId="10" fillId="17" borderId="1" xfId="0" applyFont="1" applyFill="1" applyBorder="1" applyAlignment="1">
      <alignment horizontal="left" vertical="center"/>
    </xf>
    <xf numFmtId="164" fontId="10" fillId="17" borderId="1" xfId="1" applyNumberFormat="1" applyFont="1" applyFill="1" applyBorder="1" applyAlignment="1">
      <alignment horizontal="left" vertical="center"/>
    </xf>
    <xf numFmtId="4" fontId="0" fillId="17" borderId="1" xfId="0" applyNumberFormat="1" applyFill="1" applyBorder="1" applyAlignment="1">
      <alignment horizontal="left" vertical="center"/>
    </xf>
    <xf numFmtId="10" fontId="3" fillId="17" borderId="1" xfId="2" applyNumberFormat="1" applyFont="1" applyFill="1" applyBorder="1" applyAlignment="1">
      <alignment horizontal="left" vertical="center"/>
    </xf>
    <xf numFmtId="164" fontId="0" fillId="17" borderId="1" xfId="1" applyNumberFormat="1" applyFont="1" applyFill="1" applyBorder="1" applyAlignment="1">
      <alignment horizontal="left" vertical="center"/>
    </xf>
    <xf numFmtId="0" fontId="3" fillId="17" borderId="0" xfId="0" applyFont="1" applyFill="1" applyAlignment="1">
      <alignment horizontal="left" vertical="center"/>
    </xf>
    <xf numFmtId="164" fontId="13" fillId="10" borderId="1" xfId="1" applyNumberFormat="1" applyFont="1" applyFill="1" applyBorder="1" applyAlignment="1">
      <alignment horizontal="left" vertical="center"/>
    </xf>
    <xf numFmtId="10" fontId="3" fillId="10" borderId="1" xfId="2" applyNumberFormat="1" applyFont="1" applyFill="1" applyBorder="1" applyAlignment="1">
      <alignment horizontal="left" vertical="center"/>
    </xf>
    <xf numFmtId="164" fontId="13" fillId="2" borderId="1" xfId="1" applyNumberFormat="1" applyFont="1" applyFill="1" applyBorder="1" applyAlignment="1">
      <alignment horizontal="left" vertical="center"/>
    </xf>
    <xf numFmtId="0" fontId="13" fillId="10" borderId="1" xfId="0" applyFont="1" applyFill="1" applyBorder="1" applyAlignment="1">
      <alignment horizontal="left" vertical="center"/>
    </xf>
    <xf numFmtId="164" fontId="3" fillId="8" borderId="1" xfId="0" applyNumberFormat="1" applyFont="1" applyFill="1" applyBorder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18" fillId="0" borderId="0" xfId="6" quotePrefix="1" applyFont="1" applyAlignment="1">
      <alignment horizontal="left" vertical="center"/>
    </xf>
    <xf numFmtId="0" fontId="3" fillId="16" borderId="1" xfId="0" applyFont="1" applyFill="1" applyBorder="1" applyAlignment="1">
      <alignment horizontal="left" vertical="center"/>
    </xf>
    <xf numFmtId="0" fontId="0" fillId="2" borderId="8" xfId="0" applyFill="1" applyBorder="1" applyAlignment="1">
      <alignment horizontal="left" vertical="center"/>
    </xf>
    <xf numFmtId="4" fontId="0" fillId="16" borderId="1" xfId="0" applyNumberFormat="1" applyFill="1" applyBorder="1" applyAlignment="1">
      <alignment horizontal="left" vertical="center"/>
    </xf>
    <xf numFmtId="164" fontId="0" fillId="16" borderId="1" xfId="1" applyNumberFormat="1" applyFont="1" applyFill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164" fontId="0" fillId="0" borderId="1" xfId="1" applyNumberFormat="1" applyFont="1" applyBorder="1" applyAlignment="1">
      <alignment horizontal="left" vertical="center"/>
    </xf>
    <xf numFmtId="164" fontId="0" fillId="0" borderId="0" xfId="1" applyNumberFormat="1" applyFont="1" applyBorder="1" applyAlignment="1">
      <alignment horizontal="left" vertical="center"/>
    </xf>
    <xf numFmtId="9" fontId="11" fillId="0" borderId="0" xfId="0" applyNumberFormat="1" applyFont="1" applyAlignment="1">
      <alignment horizontal="left" vertical="center"/>
    </xf>
    <xf numFmtId="164" fontId="3" fillId="17" borderId="0" xfId="0" applyNumberFormat="1" applyFont="1" applyFill="1" applyAlignment="1">
      <alignment horizontal="left" vertical="center"/>
    </xf>
    <xf numFmtId="164" fontId="10" fillId="9" borderId="0" xfId="1" quotePrefix="1" applyNumberFormat="1" applyFont="1" applyFill="1" applyBorder="1" applyAlignment="1">
      <alignment horizontal="left"/>
    </xf>
    <xf numFmtId="0" fontId="8" fillId="5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164" fontId="13" fillId="2" borderId="1" xfId="1" applyNumberFormat="1" applyFont="1" applyFill="1" applyBorder="1" applyAlignment="1">
      <alignment horizontal="left" vertical="center" wrapText="1"/>
    </xf>
    <xf numFmtId="0" fontId="10" fillId="9" borderId="1" xfId="0" applyFont="1" applyFill="1" applyBorder="1" applyAlignment="1">
      <alignment horizontal="left" vertical="center" wrapText="1"/>
    </xf>
    <xf numFmtId="0" fontId="10" fillId="10" borderId="1" xfId="0" applyFont="1" applyFill="1" applyBorder="1" applyAlignment="1">
      <alignment horizontal="left" vertical="center" wrapText="1"/>
    </xf>
    <xf numFmtId="0" fontId="10" fillId="11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17" fontId="3" fillId="0" borderId="1" xfId="0" quotePrefix="1" applyNumberFormat="1" applyFont="1" applyBorder="1" applyAlignment="1">
      <alignment horizontal="left" vertical="center" wrapText="1"/>
    </xf>
    <xf numFmtId="14" fontId="3" fillId="0" borderId="1" xfId="0" quotePrefix="1" applyNumberFormat="1" applyFont="1" applyBorder="1" applyAlignment="1">
      <alignment horizontal="left" vertical="center" wrapText="1"/>
    </xf>
    <xf numFmtId="0" fontId="3" fillId="0" borderId="1" xfId="0" applyFont="1" applyBorder="1"/>
    <xf numFmtId="0" fontId="26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vertical="center"/>
    </xf>
    <xf numFmtId="0" fontId="25" fillId="0" borderId="1" xfId="0" applyFont="1" applyBorder="1" applyAlignment="1">
      <alignment vertical="center"/>
    </xf>
    <xf numFmtId="0" fontId="25" fillId="0" borderId="1" xfId="0" applyFont="1" applyBorder="1" applyAlignment="1">
      <alignment horizontal="center" vertical="center"/>
    </xf>
    <xf numFmtId="17" fontId="3" fillId="2" borderId="1" xfId="0" quotePrefix="1" applyNumberFormat="1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5" borderId="1" xfId="0" quotePrefix="1" applyFont="1" applyFill="1" applyBorder="1" applyAlignment="1">
      <alignment horizontal="left" vertical="center" wrapText="1"/>
    </xf>
    <xf numFmtId="17" fontId="3" fillId="5" borderId="1" xfId="0" quotePrefix="1" applyNumberFormat="1" applyFont="1" applyFill="1" applyBorder="1" applyAlignment="1">
      <alignment horizontal="left" vertical="center" wrapText="1"/>
    </xf>
    <xf numFmtId="0" fontId="3" fillId="0" borderId="1" xfId="0" quotePrefix="1" applyFont="1" applyBorder="1" applyAlignment="1">
      <alignment horizontal="left" vertical="center" wrapText="1"/>
    </xf>
    <xf numFmtId="0" fontId="10" fillId="14" borderId="1" xfId="0" applyFont="1" applyFill="1" applyBorder="1" applyAlignment="1">
      <alignment horizontal="left" vertical="center"/>
    </xf>
    <xf numFmtId="164" fontId="10" fillId="14" borderId="1" xfId="1" applyNumberFormat="1" applyFont="1" applyFill="1" applyBorder="1" applyAlignment="1">
      <alignment horizontal="left" vertical="center"/>
    </xf>
    <xf numFmtId="4" fontId="0" fillId="14" borderId="1" xfId="0" applyNumberFormat="1" applyFill="1" applyBorder="1" applyAlignment="1">
      <alignment horizontal="left" vertical="center"/>
    </xf>
    <xf numFmtId="10" fontId="3" fillId="14" borderId="1" xfId="2" applyNumberFormat="1" applyFont="1" applyFill="1" applyBorder="1" applyAlignment="1">
      <alignment horizontal="left" vertical="center"/>
    </xf>
    <xf numFmtId="164" fontId="0" fillId="14" borderId="1" xfId="1" applyNumberFormat="1" applyFont="1" applyFill="1" applyBorder="1" applyAlignment="1">
      <alignment horizontal="left" vertical="center"/>
    </xf>
    <xf numFmtId="43" fontId="0" fillId="14" borderId="1" xfId="1" applyNumberFormat="1" applyFont="1" applyFill="1" applyBorder="1" applyAlignment="1">
      <alignment horizontal="left" vertical="center"/>
    </xf>
    <xf numFmtId="0" fontId="10" fillId="21" borderId="1" xfId="0" applyFont="1" applyFill="1" applyBorder="1" applyAlignment="1">
      <alignment horizontal="left" vertical="center"/>
    </xf>
    <xf numFmtId="164" fontId="10" fillId="21" borderId="1" xfId="1" applyNumberFormat="1" applyFont="1" applyFill="1" applyBorder="1" applyAlignment="1">
      <alignment horizontal="left" vertical="center"/>
    </xf>
    <xf numFmtId="4" fontId="0" fillId="21" borderId="1" xfId="0" applyNumberFormat="1" applyFill="1" applyBorder="1" applyAlignment="1">
      <alignment horizontal="left" vertical="center"/>
    </xf>
    <xf numFmtId="10" fontId="3" fillId="21" borderId="1" xfId="2" applyNumberFormat="1" applyFont="1" applyFill="1" applyBorder="1" applyAlignment="1">
      <alignment horizontal="left" vertical="center"/>
    </xf>
    <xf numFmtId="4" fontId="0" fillId="21" borderId="1" xfId="0" applyNumberFormat="1" applyFont="1" applyFill="1" applyBorder="1" applyAlignment="1">
      <alignment horizontal="left" vertical="center"/>
    </xf>
    <xf numFmtId="164" fontId="15" fillId="21" borderId="1" xfId="1" applyNumberFormat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14" fontId="3" fillId="0" borderId="1" xfId="0" quotePrefix="1" applyNumberFormat="1" applyFont="1" applyBorder="1"/>
    <xf numFmtId="0" fontId="3" fillId="0" borderId="1" xfId="0" quotePrefix="1" applyFont="1" applyBorder="1"/>
    <xf numFmtId="0" fontId="27" fillId="0" borderId="1" xfId="0" quotePrefix="1" applyFont="1" applyBorder="1"/>
    <xf numFmtId="0" fontId="27" fillId="0" borderId="1" xfId="0" applyFont="1" applyBorder="1"/>
    <xf numFmtId="0" fontId="3" fillId="0" borderId="1" xfId="0" applyFont="1" applyBorder="1" applyAlignment="1">
      <alignment wrapText="1"/>
    </xf>
    <xf numFmtId="0" fontId="3" fillId="2" borderId="1" xfId="0" applyFont="1" applyFill="1" applyBorder="1" applyAlignment="1">
      <alignment wrapText="1"/>
    </xf>
    <xf numFmtId="164" fontId="10" fillId="2" borderId="10" xfId="1" quotePrefix="1" applyNumberFormat="1" applyFont="1" applyFill="1" applyBorder="1" applyAlignment="1">
      <alignment horizontal="left"/>
    </xf>
    <xf numFmtId="164" fontId="10" fillId="2" borderId="0" xfId="1" quotePrefix="1" applyNumberFormat="1" applyFont="1" applyFill="1" applyBorder="1" applyAlignment="1">
      <alignment horizontal="left"/>
    </xf>
    <xf numFmtId="0" fontId="29" fillId="0" borderId="0" xfId="14" applyFont="1" applyFill="1" applyAlignment="1">
      <alignment horizontal="left"/>
    </xf>
    <xf numFmtId="0" fontId="5" fillId="0" borderId="0" xfId="14" applyFont="1" applyFill="1"/>
    <xf numFmtId="0" fontId="5" fillId="0" borderId="0" xfId="14" applyFont="1" applyFill="1" applyAlignment="1"/>
    <xf numFmtId="0" fontId="5" fillId="0" borderId="0" xfId="14" applyFont="1" applyFill="1" applyAlignment="1">
      <alignment horizontal="center"/>
    </xf>
    <xf numFmtId="164" fontId="5" fillId="0" borderId="0" xfId="15" applyNumberFormat="1" applyFont="1" applyFill="1"/>
    <xf numFmtId="0" fontId="4" fillId="0" borderId="0" xfId="14" applyFont="1" applyFill="1" applyAlignment="1">
      <alignment horizontal="center"/>
    </xf>
    <xf numFmtId="0" fontId="13" fillId="5" borderId="1" xfId="14" applyFont="1" applyFill="1" applyBorder="1" applyAlignment="1">
      <alignment horizontal="center" vertical="center" wrapText="1"/>
    </xf>
    <xf numFmtId="0" fontId="13" fillId="5" borderId="1" xfId="14" applyFont="1" applyFill="1" applyBorder="1" applyAlignment="1">
      <alignment horizontal="left" vertical="center" wrapText="1"/>
    </xf>
    <xf numFmtId="37" fontId="13" fillId="5" borderId="1" xfId="15" applyNumberFormat="1" applyFont="1" applyFill="1" applyBorder="1" applyAlignment="1">
      <alignment horizontal="center" vertical="center" wrapText="1"/>
    </xf>
    <xf numFmtId="37" fontId="4" fillId="5" borderId="1" xfId="15" applyNumberFormat="1" applyFont="1" applyFill="1" applyBorder="1" applyAlignment="1">
      <alignment horizontal="center" vertical="center" wrapText="1"/>
    </xf>
    <xf numFmtId="0" fontId="4" fillId="5" borderId="1" xfId="14" applyFont="1" applyFill="1" applyBorder="1" applyAlignment="1">
      <alignment horizontal="center" vertical="center" wrapText="1"/>
    </xf>
    <xf numFmtId="0" fontId="4" fillId="0" borderId="0" xfId="14" applyFont="1" applyFill="1"/>
    <xf numFmtId="0" fontId="10" fillId="0" borderId="1" xfId="14" applyFont="1" applyFill="1" applyBorder="1" applyAlignment="1">
      <alignment horizontal="center" vertical="center"/>
    </xf>
    <xf numFmtId="0" fontId="10" fillId="0" borderId="1" xfId="14" applyFont="1" applyFill="1" applyBorder="1" applyAlignment="1">
      <alignment horizontal="left" vertical="center"/>
    </xf>
    <xf numFmtId="37" fontId="10" fillId="0" borderId="1" xfId="15" applyNumberFormat="1" applyFont="1" applyFill="1" applyBorder="1" applyAlignment="1">
      <alignment horizontal="center" vertical="center"/>
    </xf>
    <xf numFmtId="37" fontId="5" fillId="0" borderId="1" xfId="15" applyNumberFormat="1" applyFont="1" applyFill="1" applyBorder="1" applyAlignment="1">
      <alignment horizontal="center" vertical="center"/>
    </xf>
    <xf numFmtId="10" fontId="5" fillId="0" borderId="1" xfId="16" applyNumberFormat="1" applyFont="1" applyFill="1" applyBorder="1" applyAlignment="1">
      <alignment horizontal="center" vertical="center"/>
    </xf>
    <xf numFmtId="43" fontId="5" fillId="0" borderId="1" xfId="14" applyNumberFormat="1" applyFont="1" applyFill="1" applyBorder="1" applyAlignment="1">
      <alignment horizontal="center" vertical="center"/>
    </xf>
    <xf numFmtId="37" fontId="15" fillId="0" borderId="1" xfId="15" applyNumberFormat="1" applyFont="1" applyFill="1" applyBorder="1" applyAlignment="1">
      <alignment horizontal="center" vertical="center"/>
    </xf>
    <xf numFmtId="0" fontId="13" fillId="0" borderId="1" xfId="14" applyFont="1" applyFill="1" applyBorder="1" applyAlignment="1">
      <alignment horizontal="left" vertical="center"/>
    </xf>
    <xf numFmtId="37" fontId="4" fillId="0" borderId="1" xfId="15" applyNumberFormat="1" applyFont="1" applyFill="1" applyBorder="1" applyAlignment="1">
      <alignment horizontal="center" vertical="center"/>
    </xf>
    <xf numFmtId="10" fontId="4" fillId="0" borderId="1" xfId="16" applyNumberFormat="1" applyFont="1" applyFill="1" applyBorder="1" applyAlignment="1">
      <alignment horizontal="center" vertical="center"/>
    </xf>
    <xf numFmtId="37" fontId="14" fillId="0" borderId="1" xfId="15" applyNumberFormat="1" applyFont="1" applyFill="1" applyBorder="1" applyAlignment="1">
      <alignment horizontal="center" vertical="center"/>
    </xf>
    <xf numFmtId="43" fontId="4" fillId="0" borderId="1" xfId="14" applyNumberFormat="1" applyFont="1" applyFill="1" applyBorder="1" applyAlignment="1">
      <alignment horizontal="center" vertical="center"/>
    </xf>
    <xf numFmtId="9" fontId="28" fillId="0" borderId="0" xfId="14" applyNumberFormat="1" applyFill="1"/>
    <xf numFmtId="0" fontId="4" fillId="0" borderId="0" xfId="14" applyFont="1" applyFill="1" applyAlignment="1">
      <alignment horizontal="left"/>
    </xf>
    <xf numFmtId="0" fontId="5" fillId="0" borderId="0" xfId="14" applyFont="1" applyFill="1" applyAlignment="1">
      <alignment vertical="center"/>
    </xf>
    <xf numFmtId="0" fontId="10" fillId="0" borderId="1" xfId="14" applyFont="1" applyFill="1" applyBorder="1" applyAlignment="1">
      <alignment horizontal="left"/>
    </xf>
    <xf numFmtId="170" fontId="5" fillId="0" borderId="1" xfId="15" applyNumberFormat="1" applyFont="1" applyBorder="1" applyAlignment="1">
      <alignment vertical="center"/>
    </xf>
    <xf numFmtId="10" fontId="10" fillId="0" borderId="1" xfId="16" applyNumberFormat="1" applyFont="1" applyBorder="1" applyAlignment="1">
      <alignment horizontal="center"/>
    </xf>
    <xf numFmtId="170" fontId="5" fillId="0" borderId="1" xfId="15" applyNumberFormat="1" applyFont="1" applyBorder="1" applyAlignment="1">
      <alignment horizontal="center" vertical="center"/>
    </xf>
    <xf numFmtId="170" fontId="10" fillId="0" borderId="1" xfId="15" applyNumberFormat="1" applyFont="1" applyBorder="1" applyAlignment="1">
      <alignment horizontal="right"/>
    </xf>
    <xf numFmtId="10" fontId="5" fillId="0" borderId="1" xfId="16" applyNumberFormat="1" applyFont="1" applyFill="1" applyBorder="1" applyAlignment="1">
      <alignment horizontal="center"/>
    </xf>
    <xf numFmtId="3" fontId="30" fillId="0" borderId="0" xfId="14" applyNumberFormat="1" applyFont="1" applyAlignment="1">
      <alignment vertical="center"/>
    </xf>
    <xf numFmtId="171" fontId="31" fillId="0" borderId="0" xfId="15" applyNumberFormat="1" applyFont="1"/>
    <xf numFmtId="0" fontId="32" fillId="0" borderId="0" xfId="14" quotePrefix="1" applyFont="1" applyAlignment="1">
      <alignment horizontal="left" vertical="top"/>
    </xf>
    <xf numFmtId="3" fontId="5" fillId="0" borderId="0" xfId="14" applyNumberFormat="1" applyFont="1" applyFill="1"/>
    <xf numFmtId="3" fontId="32" fillId="0" borderId="0" xfId="14" quotePrefix="1" applyNumberFormat="1" applyFont="1" applyAlignment="1">
      <alignment horizontal="left" vertical="top"/>
    </xf>
    <xf numFmtId="0" fontId="13" fillId="0" borderId="1" xfId="14" applyFont="1" applyFill="1" applyBorder="1"/>
    <xf numFmtId="37" fontId="4" fillId="0" borderId="1" xfId="15" applyNumberFormat="1" applyFont="1" applyFill="1" applyBorder="1" applyAlignment="1">
      <alignment horizontal="right" vertical="center"/>
    </xf>
    <xf numFmtId="37" fontId="4" fillId="0" borderId="2" xfId="15" applyNumberFormat="1" applyFont="1" applyFill="1" applyBorder="1" applyAlignment="1">
      <alignment vertical="center"/>
    </xf>
    <xf numFmtId="10" fontId="13" fillId="0" borderId="1" xfId="16" applyNumberFormat="1" applyFont="1" applyBorder="1" applyAlignment="1">
      <alignment horizontal="center"/>
    </xf>
    <xf numFmtId="37" fontId="6" fillId="0" borderId="1" xfId="15" applyNumberFormat="1" applyFont="1" applyFill="1" applyBorder="1" applyAlignment="1">
      <alignment horizontal="right" vertical="center"/>
    </xf>
    <xf numFmtId="10" fontId="4" fillId="0" borderId="1" xfId="16" applyNumberFormat="1" applyFont="1" applyFill="1" applyBorder="1" applyAlignment="1">
      <alignment horizontal="center"/>
    </xf>
    <xf numFmtId="37" fontId="4" fillId="0" borderId="3" xfId="15" applyNumberFormat="1" applyFont="1" applyFill="1" applyBorder="1" applyAlignment="1">
      <alignment vertical="center"/>
    </xf>
    <xf numFmtId="0" fontId="13" fillId="0" borderId="1" xfId="14" applyFont="1" applyFill="1" applyBorder="1" applyAlignment="1">
      <alignment wrapText="1"/>
    </xf>
    <xf numFmtId="164" fontId="13" fillId="0" borderId="11" xfId="15" applyNumberFormat="1" applyFont="1" applyBorder="1" applyAlignment="1">
      <alignment horizontal="right"/>
    </xf>
    <xf numFmtId="164" fontId="13" fillId="0" borderId="12" xfId="15" applyNumberFormat="1" applyFont="1" applyBorder="1" applyAlignment="1"/>
    <xf numFmtId="10" fontId="13" fillId="0" borderId="13" xfId="16" applyNumberFormat="1" applyFont="1" applyBorder="1" applyAlignment="1">
      <alignment horizontal="center"/>
    </xf>
    <xf numFmtId="10" fontId="4" fillId="0" borderId="13" xfId="16" applyNumberFormat="1" applyFont="1" applyFill="1" applyBorder="1" applyAlignment="1">
      <alignment horizontal="center"/>
    </xf>
    <xf numFmtId="164" fontId="13" fillId="0" borderId="14" xfId="15" applyNumberFormat="1" applyFont="1" applyBorder="1" applyAlignment="1"/>
    <xf numFmtId="0" fontId="10" fillId="0" borderId="0" xfId="14" applyFont="1" applyFill="1" applyBorder="1" applyAlignment="1">
      <alignment horizontal="center" vertical="center"/>
    </xf>
    <xf numFmtId="0" fontId="33" fillId="0" borderId="0" xfId="14" applyFont="1" applyFill="1" applyAlignment="1">
      <alignment horizontal="center"/>
    </xf>
    <xf numFmtId="0" fontId="13" fillId="0" borderId="0" xfId="14" applyFont="1" applyFill="1" applyBorder="1" applyAlignment="1">
      <alignment horizontal="center" vertical="center" wrapText="1"/>
    </xf>
    <xf numFmtId="0" fontId="13" fillId="5" borderId="13" xfId="14" applyFont="1" applyFill="1" applyBorder="1" applyAlignment="1">
      <alignment horizontal="center" vertical="center" wrapText="1"/>
    </xf>
    <xf numFmtId="0" fontId="13" fillId="0" borderId="0" xfId="14" applyFont="1" applyFill="1" applyBorder="1" applyAlignment="1">
      <alignment vertical="center" wrapText="1"/>
    </xf>
    <xf numFmtId="164" fontId="5" fillId="0" borderId="0" xfId="15" applyNumberFormat="1" applyFont="1" applyFill="1" applyBorder="1" applyAlignment="1">
      <alignment horizontal="right" vertical="center"/>
    </xf>
    <xf numFmtId="10" fontId="10" fillId="0" borderId="0" xfId="16" applyNumberFormat="1" applyFont="1" applyFill="1" applyBorder="1" applyAlignment="1">
      <alignment horizontal="center" vertical="center"/>
    </xf>
    <xf numFmtId="164" fontId="10" fillId="0" borderId="0" xfId="15" applyNumberFormat="1" applyFont="1" applyFill="1" applyBorder="1" applyAlignment="1">
      <alignment horizontal="right"/>
    </xf>
    <xf numFmtId="10" fontId="10" fillId="0" borderId="0" xfId="16" applyNumberFormat="1" applyFont="1" applyFill="1" applyBorder="1" applyAlignment="1">
      <alignment vertical="center"/>
    </xf>
    <xf numFmtId="0" fontId="10" fillId="0" borderId="13" xfId="14" applyFont="1" applyFill="1" applyBorder="1" applyAlignment="1">
      <alignment horizontal="center" vertical="center"/>
    </xf>
    <xf numFmtId="0" fontId="10" fillId="0" borderId="11" xfId="14" applyFont="1" applyBorder="1" applyAlignment="1">
      <alignment horizontal="left"/>
    </xf>
    <xf numFmtId="170" fontId="10" fillId="0" borderId="11" xfId="15" applyNumberFormat="1" applyFont="1" applyFill="1" applyBorder="1" applyAlignment="1">
      <alignment horizontal="right"/>
    </xf>
    <xf numFmtId="164" fontId="10" fillId="0" borderId="11" xfId="15" applyNumberFormat="1" applyFont="1" applyFill="1" applyBorder="1" applyAlignment="1">
      <alignment horizontal="right"/>
    </xf>
    <xf numFmtId="10" fontId="10" fillId="0" borderId="13" xfId="16" applyNumberFormat="1" applyFont="1" applyFill="1" applyBorder="1" applyAlignment="1">
      <alignment vertical="center"/>
    </xf>
    <xf numFmtId="164" fontId="10" fillId="0" borderId="11" xfId="15" applyNumberFormat="1" applyFont="1" applyBorder="1" applyAlignment="1"/>
    <xf numFmtId="10" fontId="10" fillId="0" borderId="1" xfId="16" applyNumberFormat="1" applyFont="1" applyFill="1" applyBorder="1" applyAlignment="1">
      <alignment horizontal="center" vertical="center"/>
    </xf>
    <xf numFmtId="164" fontId="10" fillId="0" borderId="0" xfId="15" applyNumberFormat="1" applyFont="1" applyFill="1" applyBorder="1" applyAlignment="1">
      <alignment horizontal="right" vertical="center"/>
    </xf>
    <xf numFmtId="0" fontId="10" fillId="0" borderId="0" xfId="14" applyFont="1" applyBorder="1" applyAlignment="1">
      <alignment horizontal="right"/>
    </xf>
    <xf numFmtId="0" fontId="10" fillId="0" borderId="0" xfId="14" applyFont="1" applyFill="1" applyBorder="1" applyAlignment="1">
      <alignment horizontal="left"/>
    </xf>
    <xf numFmtId="0" fontId="10" fillId="0" borderId="0" xfId="14" applyFont="1" applyFill="1" applyBorder="1" applyAlignment="1">
      <alignment vertical="center"/>
    </xf>
    <xf numFmtId="0" fontId="10" fillId="22" borderId="11" xfId="14" applyFont="1" applyFill="1" applyBorder="1" applyAlignment="1">
      <alignment horizontal="left"/>
    </xf>
    <xf numFmtId="164" fontId="10" fillId="0" borderId="11" xfId="15" applyNumberFormat="1" applyFont="1" applyFill="1" applyBorder="1" applyAlignment="1"/>
    <xf numFmtId="164" fontId="5" fillId="0" borderId="0" xfId="14" applyNumberFormat="1" applyFont="1" applyFill="1" applyBorder="1"/>
    <xf numFmtId="0" fontId="10" fillId="21" borderId="11" xfId="14" applyFont="1" applyFill="1" applyBorder="1" applyAlignment="1">
      <alignment horizontal="left"/>
    </xf>
    <xf numFmtId="164" fontId="10" fillId="0" borderId="0" xfId="15" applyNumberFormat="1" applyFont="1" applyFill="1" applyBorder="1" applyAlignment="1">
      <alignment horizontal="left" vertical="center" wrapText="1"/>
    </xf>
    <xf numFmtId="164" fontId="10" fillId="0" borderId="0" xfId="15" applyNumberFormat="1" applyFont="1" applyFill="1" applyBorder="1" applyAlignment="1">
      <alignment horizontal="left" vertical="center"/>
    </xf>
    <xf numFmtId="3" fontId="4" fillId="0" borderId="0" xfId="14" applyNumberFormat="1" applyFont="1" applyFill="1" applyBorder="1" applyAlignment="1">
      <alignment horizontal="center" vertical="center"/>
    </xf>
    <xf numFmtId="10" fontId="13" fillId="0" borderId="0" xfId="16" applyNumberFormat="1" applyFont="1" applyFill="1" applyBorder="1" applyAlignment="1">
      <alignment horizontal="center" vertical="center"/>
    </xf>
    <xf numFmtId="3" fontId="4" fillId="0" borderId="0" xfId="14" applyNumberFormat="1" applyFont="1" applyFill="1" applyBorder="1" applyAlignment="1">
      <alignment vertical="center"/>
    </xf>
    <xf numFmtId="10" fontId="13" fillId="0" borderId="0" xfId="16" applyNumberFormat="1" applyFont="1" applyFill="1" applyBorder="1" applyAlignment="1">
      <alignment vertical="center"/>
    </xf>
    <xf numFmtId="0" fontId="4" fillId="0" borderId="1" xfId="14" applyFont="1" applyFill="1" applyBorder="1" applyAlignment="1">
      <alignment horizontal="center" vertical="center"/>
    </xf>
    <xf numFmtId="3" fontId="4" fillId="0" borderId="1" xfId="14" applyNumberFormat="1" applyFont="1" applyFill="1" applyBorder="1" applyAlignment="1">
      <alignment horizontal="center" vertical="center"/>
    </xf>
    <xf numFmtId="10" fontId="13" fillId="0" borderId="1" xfId="16" applyNumberFormat="1" applyFont="1" applyFill="1" applyBorder="1" applyAlignment="1">
      <alignment vertical="center"/>
    </xf>
    <xf numFmtId="10" fontId="13" fillId="0" borderId="1" xfId="16" applyNumberFormat="1" applyFont="1" applyFill="1" applyBorder="1" applyAlignment="1">
      <alignment horizontal="center" vertical="center"/>
    </xf>
    <xf numFmtId="172" fontId="5" fillId="0" borderId="0" xfId="14" applyNumberFormat="1" applyFont="1" applyFill="1" applyBorder="1"/>
    <xf numFmtId="0" fontId="13" fillId="0" borderId="0" xfId="14" applyFont="1" applyBorder="1" applyAlignment="1">
      <alignment horizontal="right"/>
    </xf>
    <xf numFmtId="0" fontId="13" fillId="0" borderId="0" xfId="14" applyFont="1" applyFill="1" applyBorder="1" applyAlignment="1">
      <alignment horizontal="left" vertical="center"/>
    </xf>
    <xf numFmtId="0" fontId="4" fillId="0" borderId="0" xfId="14" applyFont="1" applyFill="1" applyBorder="1" applyAlignment="1">
      <alignment horizontal="center" vertical="center"/>
    </xf>
    <xf numFmtId="0" fontId="4" fillId="0" borderId="0" xfId="14" applyFont="1" applyFill="1" applyBorder="1" applyAlignment="1">
      <alignment vertical="center"/>
    </xf>
    <xf numFmtId="0" fontId="15" fillId="0" borderId="0" xfId="14" applyFont="1" applyFill="1" applyBorder="1" applyAlignment="1">
      <alignment horizontal="right"/>
    </xf>
    <xf numFmtId="0" fontId="5" fillId="0" borderId="0" xfId="14" applyFont="1" applyFill="1" applyBorder="1"/>
    <xf numFmtId="0" fontId="13" fillId="23" borderId="1" xfId="14" applyFont="1" applyFill="1" applyBorder="1" applyAlignment="1">
      <alignment horizontal="center" vertical="center" wrapText="1"/>
    </xf>
    <xf numFmtId="0" fontId="10" fillId="0" borderId="1" xfId="14" quotePrefix="1" applyFont="1" applyBorder="1" applyAlignment="1">
      <alignment horizontal="left" vertical="top"/>
    </xf>
    <xf numFmtId="3" fontId="10" fillId="0" borderId="1" xfId="14" applyNumberFormat="1" applyFont="1" applyBorder="1" applyAlignment="1">
      <alignment vertical="center"/>
    </xf>
    <xf numFmtId="39" fontId="10" fillId="0" borderId="1" xfId="14" applyNumberFormat="1" applyFont="1" applyBorder="1" applyAlignment="1">
      <alignment vertical="center"/>
    </xf>
    <xf numFmtId="164" fontId="5" fillId="0" borderId="1" xfId="15" applyNumberFormat="1" applyFont="1" applyFill="1" applyBorder="1" applyAlignment="1">
      <alignment horizontal="center"/>
    </xf>
    <xf numFmtId="170" fontId="5" fillId="0" borderId="1" xfId="15" applyNumberFormat="1" applyFont="1" applyFill="1" applyBorder="1" applyAlignment="1">
      <alignment horizontal="center"/>
    </xf>
    <xf numFmtId="2" fontId="5" fillId="0" borderId="1" xfId="14" applyNumberFormat="1" applyFont="1" applyFill="1" applyBorder="1"/>
    <xf numFmtId="164" fontId="7" fillId="0" borderId="1" xfId="15" applyNumberFormat="1" applyFont="1" applyFill="1" applyBorder="1" applyAlignment="1">
      <alignment horizontal="center"/>
    </xf>
    <xf numFmtId="170" fontId="7" fillId="0" borderId="1" xfId="15" applyNumberFormat="1" applyFont="1" applyFill="1" applyBorder="1" applyAlignment="1">
      <alignment horizontal="center"/>
    </xf>
    <xf numFmtId="2" fontId="7" fillId="0" borderId="1" xfId="14" applyNumberFormat="1" applyFont="1" applyFill="1" applyBorder="1"/>
    <xf numFmtId="0" fontId="34" fillId="0" borderId="0" xfId="14" applyFont="1" applyFill="1" applyBorder="1" applyAlignment="1">
      <alignment horizontal="center" vertical="center"/>
    </xf>
    <xf numFmtId="0" fontId="28" fillId="0" borderId="0" xfId="14" applyFill="1" applyBorder="1" applyAlignment="1">
      <alignment horizontal="left"/>
    </xf>
    <xf numFmtId="0" fontId="34" fillId="0" borderId="0" xfId="14" applyFont="1" applyFill="1" applyBorder="1" applyAlignment="1"/>
    <xf numFmtId="169" fontId="0" fillId="0" borderId="0" xfId="15" applyNumberFormat="1" applyFont="1" applyFill="1" applyBorder="1"/>
    <xf numFmtId="0" fontId="28" fillId="0" borderId="0" xfId="14" applyFill="1" applyBorder="1"/>
    <xf numFmtId="0" fontId="10" fillId="0" borderId="0" xfId="14" applyFont="1" applyFill="1" applyBorder="1" applyAlignment="1">
      <alignment horizontal="right"/>
    </xf>
    <xf numFmtId="170" fontId="7" fillId="0" borderId="1" xfId="15" applyNumberFormat="1" applyFont="1" applyFill="1" applyBorder="1"/>
    <xf numFmtId="164" fontId="7" fillId="0" borderId="1" xfId="15" applyNumberFormat="1" applyFont="1" applyFill="1" applyBorder="1"/>
    <xf numFmtId="0" fontId="35" fillId="0" borderId="0" xfId="14" applyFont="1" applyFill="1" applyAlignment="1">
      <alignment horizontal="left"/>
    </xf>
    <xf numFmtId="37" fontId="5" fillId="0" borderId="1" xfId="15" applyNumberFormat="1" applyFont="1" applyFill="1" applyBorder="1" applyAlignment="1">
      <alignment horizontal="right" vertical="center"/>
    </xf>
    <xf numFmtId="2" fontId="5" fillId="0" borderId="1" xfId="16" applyNumberFormat="1" applyFont="1" applyFill="1" applyBorder="1" applyAlignment="1">
      <alignment horizontal="center" vertical="center"/>
    </xf>
    <xf numFmtId="37" fontId="13" fillId="0" borderId="1" xfId="15" applyNumberFormat="1" applyFont="1" applyFill="1" applyBorder="1" applyAlignment="1">
      <alignment horizontal="center" vertical="center"/>
    </xf>
    <xf numFmtId="2" fontId="4" fillId="0" borderId="1" xfId="16" applyNumberFormat="1" applyFont="1" applyFill="1" applyBorder="1" applyAlignment="1">
      <alignment horizontal="center" vertical="center"/>
    </xf>
    <xf numFmtId="37" fontId="4" fillId="7" borderId="1" xfId="15" applyNumberFormat="1" applyFont="1" applyFill="1" applyBorder="1" applyAlignment="1">
      <alignment horizontal="center" vertical="center"/>
    </xf>
    <xf numFmtId="37" fontId="4" fillId="7" borderId="1" xfId="15" applyNumberFormat="1" applyFont="1" applyFill="1" applyBorder="1" applyAlignment="1">
      <alignment horizontal="right" vertical="center"/>
    </xf>
    <xf numFmtId="2" fontId="4" fillId="7" borderId="1" xfId="16" applyNumberFormat="1" applyFont="1" applyFill="1" applyBorder="1" applyAlignment="1">
      <alignment horizontal="center" vertical="center"/>
    </xf>
    <xf numFmtId="37" fontId="5" fillId="0" borderId="0" xfId="15" applyNumberFormat="1" applyFont="1" applyFill="1" applyBorder="1" applyAlignment="1">
      <alignment horizontal="center" vertical="center"/>
    </xf>
    <xf numFmtId="2" fontId="5" fillId="0" borderId="0" xfId="16" applyNumberFormat="1" applyFont="1" applyFill="1" applyBorder="1" applyAlignment="1">
      <alignment horizontal="center" vertical="center"/>
    </xf>
    <xf numFmtId="0" fontId="13" fillId="0" borderId="0" xfId="14" applyFont="1" applyFill="1" applyBorder="1" applyAlignment="1">
      <alignment horizontal="center" wrapText="1"/>
    </xf>
    <xf numFmtId="0" fontId="8" fillId="0" borderId="0" xfId="14" applyFont="1" applyFill="1"/>
    <xf numFmtId="0" fontId="3" fillId="0" borderId="0" xfId="14" applyFont="1" applyFill="1"/>
    <xf numFmtId="10" fontId="3" fillId="0" borderId="0" xfId="16" applyNumberFormat="1" applyFont="1" applyFill="1" applyAlignment="1"/>
    <xf numFmtId="37" fontId="3" fillId="0" borderId="0" xfId="14" applyNumberFormat="1" applyFont="1" applyFill="1" applyAlignment="1"/>
    <xf numFmtId="0" fontId="13" fillId="0" borderId="0" xfId="14" applyFont="1" applyFill="1" applyBorder="1" applyAlignment="1"/>
    <xf numFmtId="169" fontId="10" fillId="0" borderId="0" xfId="15" applyFont="1" applyFill="1" applyBorder="1" applyAlignment="1">
      <alignment horizontal="left"/>
    </xf>
    <xf numFmtId="0" fontId="13" fillId="5" borderId="1" xfId="14" applyFont="1" applyFill="1" applyBorder="1" applyAlignment="1">
      <alignment vertical="center" wrapText="1"/>
    </xf>
    <xf numFmtId="164" fontId="13" fillId="5" borderId="1" xfId="15" applyNumberFormat="1" applyFont="1" applyFill="1" applyBorder="1" applyAlignment="1">
      <alignment horizontal="center" vertical="center" wrapText="1"/>
    </xf>
    <xf numFmtId="0" fontId="10" fillId="13" borderId="11" xfId="14" applyFont="1" applyFill="1" applyBorder="1" applyAlignment="1">
      <alignment horizontal="left"/>
    </xf>
    <xf numFmtId="0" fontId="10" fillId="13" borderId="1" xfId="14" applyFont="1" applyFill="1" applyBorder="1" applyAlignment="1">
      <alignment horizontal="left"/>
    </xf>
    <xf numFmtId="0" fontId="10" fillId="0" borderId="1" xfId="14" applyFont="1" applyFill="1" applyBorder="1" applyAlignment="1"/>
    <xf numFmtId="164" fontId="10" fillId="0" borderId="1" xfId="15" applyNumberFormat="1" applyFont="1" applyFill="1" applyBorder="1" applyAlignment="1">
      <alignment horizontal="left"/>
    </xf>
    <xf numFmtId="10" fontId="10" fillId="0" borderId="1" xfId="16" applyNumberFormat="1" applyFont="1" applyFill="1" applyBorder="1" applyAlignment="1">
      <alignment horizontal="center"/>
    </xf>
    <xf numFmtId="164" fontId="10" fillId="0" borderId="1" xfId="15" applyNumberFormat="1" applyFont="1" applyFill="1" applyBorder="1" applyAlignment="1">
      <alignment horizontal="right"/>
    </xf>
    <xf numFmtId="9" fontId="7" fillId="24" borderId="1" xfId="16" applyFont="1" applyFill="1" applyBorder="1" applyAlignment="1">
      <alignment horizontal="center"/>
    </xf>
    <xf numFmtId="0" fontId="10" fillId="0" borderId="11" xfId="14" applyFont="1" applyFill="1" applyBorder="1" applyAlignment="1">
      <alignment horizontal="left"/>
    </xf>
    <xf numFmtId="9" fontId="5" fillId="0" borderId="1" xfId="16" applyFont="1" applyFill="1" applyBorder="1" applyAlignment="1">
      <alignment horizontal="center"/>
    </xf>
    <xf numFmtId="0" fontId="5" fillId="0" borderId="0" xfId="14" applyFont="1" applyFill="1" applyAlignment="1">
      <alignment horizontal="center" vertical="center" wrapText="1"/>
    </xf>
    <xf numFmtId="0" fontId="5" fillId="0" borderId="0" xfId="14" applyFont="1" applyFill="1" applyAlignment="1">
      <alignment vertical="center" wrapText="1"/>
    </xf>
    <xf numFmtId="0" fontId="10" fillId="14" borderId="11" xfId="14" applyFont="1" applyFill="1" applyBorder="1" applyAlignment="1">
      <alignment horizontal="left"/>
    </xf>
    <xf numFmtId="0" fontId="10" fillId="14" borderId="1" xfId="14" applyFont="1" applyFill="1" applyBorder="1" applyAlignment="1">
      <alignment horizontal="left"/>
    </xf>
    <xf numFmtId="9" fontId="5" fillId="14" borderId="1" xfId="16" applyFont="1" applyFill="1" applyBorder="1" applyAlignment="1">
      <alignment horizontal="center"/>
    </xf>
    <xf numFmtId="0" fontId="10" fillId="7" borderId="11" xfId="14" applyFont="1" applyFill="1" applyBorder="1" applyAlignment="1">
      <alignment horizontal="left"/>
    </xf>
    <xf numFmtId="9" fontId="5" fillId="25" borderId="1" xfId="16" applyFont="1" applyFill="1" applyBorder="1" applyAlignment="1">
      <alignment horizontal="center"/>
    </xf>
    <xf numFmtId="0" fontId="10" fillId="7" borderId="21" xfId="14" applyFont="1" applyFill="1" applyBorder="1" applyAlignment="1">
      <alignment horizontal="left"/>
    </xf>
    <xf numFmtId="0" fontId="5" fillId="7" borderId="1" xfId="14" applyFont="1" applyFill="1" applyBorder="1"/>
    <xf numFmtId="0" fontId="5" fillId="0" borderId="1" xfId="14" applyFont="1" applyFill="1" applyBorder="1"/>
    <xf numFmtId="9" fontId="5" fillId="0" borderId="0" xfId="16" applyFont="1" applyFill="1" applyBorder="1" applyAlignment="1">
      <alignment horizontal="center"/>
    </xf>
    <xf numFmtId="0" fontId="3" fillId="0" borderId="1" xfId="14" applyFont="1" applyFill="1" applyBorder="1"/>
    <xf numFmtId="0" fontId="13" fillId="0" borderId="22" xfId="14" applyFont="1" applyFill="1" applyBorder="1" applyAlignment="1">
      <alignment horizontal="left"/>
    </xf>
    <xf numFmtId="0" fontId="13" fillId="0" borderId="1" xfId="14" applyFont="1" applyFill="1" applyBorder="1" applyAlignment="1">
      <alignment horizontal="left"/>
    </xf>
    <xf numFmtId="0" fontId="13" fillId="0" borderId="1" xfId="14" applyFont="1" applyFill="1" applyBorder="1" applyAlignment="1"/>
    <xf numFmtId="164" fontId="13" fillId="7" borderId="1" xfId="15" applyNumberFormat="1" applyFont="1" applyFill="1" applyBorder="1" applyAlignment="1">
      <alignment horizontal="right"/>
    </xf>
    <xf numFmtId="10" fontId="13" fillId="0" borderId="1" xfId="16" applyNumberFormat="1" applyFont="1" applyFill="1" applyBorder="1" applyAlignment="1">
      <alignment horizontal="center"/>
    </xf>
    <xf numFmtId="0" fontId="13" fillId="0" borderId="14" xfId="14" applyFont="1" applyFill="1" applyBorder="1" applyAlignment="1">
      <alignment horizontal="left"/>
    </xf>
    <xf numFmtId="0" fontId="3" fillId="0" borderId="0" xfId="14" applyFont="1" applyFill="1" applyAlignment="1"/>
    <xf numFmtId="164" fontId="3" fillId="0" borderId="0" xfId="15" applyNumberFormat="1" applyFont="1" applyFill="1"/>
    <xf numFmtId="0" fontId="8" fillId="0" borderId="6" xfId="14" applyFont="1" applyFill="1" applyBorder="1"/>
    <xf numFmtId="0" fontId="5" fillId="5" borderId="0" xfId="14" applyFont="1" applyFill="1" applyAlignment="1">
      <alignment horizontal="center"/>
    </xf>
    <xf numFmtId="0" fontId="8" fillId="5" borderId="1" xfId="14" applyFont="1" applyFill="1" applyBorder="1"/>
    <xf numFmtId="10" fontId="10" fillId="0" borderId="1" xfId="16" applyNumberFormat="1" applyFont="1" applyFill="1" applyBorder="1" applyAlignment="1">
      <alignment horizontal="right"/>
    </xf>
    <xf numFmtId="9" fontId="5" fillId="13" borderId="1" xfId="16" applyFont="1" applyFill="1" applyBorder="1" applyAlignment="1">
      <alignment horizontal="center"/>
    </xf>
    <xf numFmtId="0" fontId="10" fillId="21" borderId="1" xfId="14" applyFont="1" applyFill="1" applyBorder="1" applyAlignment="1">
      <alignment horizontal="left"/>
    </xf>
    <xf numFmtId="9" fontId="5" fillId="10" borderId="1" xfId="16" applyFont="1" applyFill="1" applyBorder="1" applyAlignment="1">
      <alignment horizontal="center"/>
    </xf>
    <xf numFmtId="9" fontId="5" fillId="13" borderId="0" xfId="16" applyFont="1" applyFill="1" applyBorder="1" applyAlignment="1">
      <alignment horizontal="center"/>
    </xf>
    <xf numFmtId="43" fontId="10" fillId="0" borderId="1" xfId="15" applyNumberFormat="1" applyFont="1" applyFill="1" applyBorder="1" applyAlignment="1">
      <alignment horizontal="left"/>
    </xf>
    <xf numFmtId="164" fontId="10" fillId="2" borderId="1" xfId="15" applyNumberFormat="1" applyFont="1" applyFill="1" applyBorder="1" applyAlignment="1">
      <alignment horizontal="left"/>
    </xf>
    <xf numFmtId="10" fontId="13" fillId="7" borderId="1" xfId="16" applyNumberFormat="1" applyFont="1" applyFill="1" applyBorder="1" applyAlignment="1">
      <alignment horizontal="right"/>
    </xf>
    <xf numFmtId="0" fontId="10" fillId="0" borderId="0" xfId="14" applyFont="1" applyFill="1" applyBorder="1" applyAlignment="1"/>
    <xf numFmtId="164" fontId="10" fillId="0" borderId="0" xfId="15" applyNumberFormat="1" applyFont="1" applyFill="1" applyBorder="1" applyAlignment="1">
      <alignment horizontal="left"/>
    </xf>
    <xf numFmtId="10" fontId="10" fillId="0" borderId="0" xfId="16" applyNumberFormat="1" applyFont="1" applyFill="1" applyBorder="1" applyAlignment="1">
      <alignment horizontal="right"/>
    </xf>
    <xf numFmtId="164" fontId="13" fillId="0" borderId="0" xfId="15" applyNumberFormat="1" applyFont="1" applyFill="1" applyBorder="1" applyAlignment="1">
      <alignment horizontal="right"/>
    </xf>
    <xf numFmtId="10" fontId="13" fillId="0" borderId="0" xfId="16" applyNumberFormat="1" applyFont="1" applyFill="1" applyBorder="1" applyAlignment="1">
      <alignment horizontal="right"/>
    </xf>
    <xf numFmtId="0" fontId="13" fillId="23" borderId="24" xfId="14" applyFont="1" applyFill="1" applyBorder="1" applyAlignment="1">
      <alignment horizontal="center" vertical="center" wrapText="1"/>
    </xf>
    <xf numFmtId="0" fontId="10" fillId="0" borderId="24" xfId="14" applyFont="1" applyFill="1" applyBorder="1" applyAlignment="1">
      <alignment horizontal="left"/>
    </xf>
    <xf numFmtId="164" fontId="10" fillId="0" borderId="24" xfId="15" applyNumberFormat="1" applyFont="1" applyFill="1" applyBorder="1" applyAlignment="1">
      <alignment horizontal="right"/>
    </xf>
    <xf numFmtId="170" fontId="10" fillId="0" borderId="24" xfId="15" applyNumberFormat="1" applyFont="1" applyFill="1" applyBorder="1" applyAlignment="1">
      <alignment horizontal="right"/>
    </xf>
    <xf numFmtId="164" fontId="10" fillId="0" borderId="24" xfId="15" applyNumberFormat="1" applyFont="1" applyFill="1" applyBorder="1" applyAlignment="1">
      <alignment horizontal="center"/>
    </xf>
    <xf numFmtId="170" fontId="10" fillId="0" borderId="24" xfId="14" applyNumberFormat="1" applyFont="1" applyFill="1" applyBorder="1" applyAlignment="1">
      <alignment horizontal="right"/>
    </xf>
    <xf numFmtId="10" fontId="10" fillId="0" borderId="24" xfId="16" applyNumberFormat="1" applyFont="1" applyFill="1" applyBorder="1" applyAlignment="1">
      <alignment horizontal="right"/>
    </xf>
    <xf numFmtId="164" fontId="5" fillId="0" borderId="0" xfId="15" applyNumberFormat="1" applyFont="1" applyFill="1" applyBorder="1"/>
    <xf numFmtId="0" fontId="13" fillId="0" borderId="24" xfId="14" applyFont="1" applyFill="1" applyBorder="1" applyAlignment="1">
      <alignment horizontal="left"/>
    </xf>
    <xf numFmtId="164" fontId="13" fillId="7" borderId="11" xfId="14" applyNumberFormat="1" applyFont="1" applyFill="1" applyBorder="1" applyAlignment="1">
      <alignment horizontal="right"/>
    </xf>
    <xf numFmtId="9" fontId="6" fillId="7" borderId="1" xfId="16" applyNumberFormat="1" applyFont="1" applyFill="1" applyBorder="1" applyAlignment="1">
      <alignment horizontal="center" vertical="center"/>
    </xf>
    <xf numFmtId="0" fontId="36" fillId="0" borderId="0" xfId="14" applyFont="1"/>
    <xf numFmtId="0" fontId="34" fillId="0" borderId="0" xfId="14" applyFont="1"/>
    <xf numFmtId="0" fontId="6" fillId="5" borderId="1" xfId="14" applyFont="1" applyFill="1" applyBorder="1" applyAlignment="1">
      <alignment horizontal="center" vertical="center"/>
    </xf>
    <xf numFmtId="0" fontId="6" fillId="5" borderId="1" xfId="14" applyFont="1" applyFill="1" applyBorder="1" applyAlignment="1">
      <alignment horizontal="center" vertical="center" wrapText="1"/>
    </xf>
    <xf numFmtId="0" fontId="7" fillId="0" borderId="1" xfId="14" applyFont="1" applyBorder="1" applyAlignment="1">
      <alignment horizontal="center" vertical="center"/>
    </xf>
    <xf numFmtId="0" fontId="7" fillId="0" borderId="1" xfId="14" applyFont="1" applyBorder="1" applyAlignment="1">
      <alignment vertical="center"/>
    </xf>
    <xf numFmtId="170" fontId="7" fillId="0" borderId="1" xfId="15" applyNumberFormat="1" applyFont="1" applyBorder="1" applyAlignment="1">
      <alignment horizontal="right" vertical="center"/>
    </xf>
    <xf numFmtId="2" fontId="5" fillId="0" borderId="1" xfId="14" applyNumberFormat="1" applyFont="1" applyBorder="1" applyAlignment="1">
      <alignment horizontal="center" vertical="center"/>
    </xf>
    <xf numFmtId="10" fontId="7" fillId="0" borderId="1" xfId="16" applyNumberFormat="1" applyFont="1" applyBorder="1" applyAlignment="1">
      <alignment horizontal="center" vertical="center"/>
    </xf>
    <xf numFmtId="3" fontId="5" fillId="0" borderId="0" xfId="14" applyNumberFormat="1" applyFont="1" applyAlignment="1">
      <alignment horizontal="center"/>
    </xf>
    <xf numFmtId="164" fontId="5" fillId="0" borderId="1" xfId="15" applyNumberFormat="1" applyFont="1" applyBorder="1" applyAlignment="1">
      <alignment horizontal="center" vertical="center"/>
    </xf>
    <xf numFmtId="3" fontId="7" fillId="0" borderId="0" xfId="14" applyNumberFormat="1" applyFont="1" applyAlignment="1">
      <alignment horizontal="center"/>
    </xf>
    <xf numFmtId="0" fontId="6" fillId="0" borderId="1" xfId="14" applyFont="1" applyBorder="1" applyAlignment="1">
      <alignment vertical="center"/>
    </xf>
    <xf numFmtId="170" fontId="6" fillId="0" borderId="1" xfId="15" applyNumberFormat="1" applyFont="1" applyBorder="1" applyAlignment="1">
      <alignment horizontal="right" vertical="center"/>
    </xf>
    <xf numFmtId="2" fontId="6" fillId="7" borderId="1" xfId="14" applyNumberFormat="1" applyFont="1" applyFill="1" applyBorder="1" applyAlignment="1">
      <alignment horizontal="center" vertical="center"/>
    </xf>
    <xf numFmtId="10" fontId="6" fillId="7" borderId="1" xfId="16" applyNumberFormat="1" applyFont="1" applyFill="1" applyBorder="1" applyAlignment="1">
      <alignment horizontal="center" vertical="center"/>
    </xf>
    <xf numFmtId="170" fontId="6" fillId="7" borderId="1" xfId="15" applyNumberFormat="1" applyFont="1" applyFill="1" applyBorder="1" applyAlignment="1">
      <alignment horizontal="center" vertical="center"/>
    </xf>
    <xf numFmtId="0" fontId="15" fillId="0" borderId="1" xfId="14" applyFont="1" applyBorder="1" applyAlignment="1">
      <alignment horizontal="right" vertical="center"/>
    </xf>
    <xf numFmtId="1" fontId="7" fillId="0" borderId="1" xfId="14" applyNumberFormat="1" applyFont="1" applyBorder="1" applyAlignment="1">
      <alignment vertical="center"/>
    </xf>
    <xf numFmtId="10" fontId="7" fillId="0" borderId="1" xfId="16" applyNumberFormat="1" applyFont="1" applyBorder="1" applyAlignment="1">
      <alignment horizontal="right" vertical="center"/>
    </xf>
    <xf numFmtId="0" fontId="14" fillId="0" borderId="1" xfId="14" applyFont="1" applyBorder="1" applyAlignment="1">
      <alignment horizontal="right" vertical="center"/>
    </xf>
    <xf numFmtId="1" fontId="6" fillId="0" borderId="1" xfId="14" applyNumberFormat="1" applyFont="1" applyBorder="1" applyAlignment="1">
      <alignment vertical="center"/>
    </xf>
    <xf numFmtId="10" fontId="6" fillId="0" borderId="1" xfId="16" applyNumberFormat="1" applyFont="1" applyBorder="1" applyAlignment="1">
      <alignment horizontal="right" vertical="center"/>
    </xf>
    <xf numFmtId="0" fontId="4" fillId="5" borderId="1" xfId="14" applyFont="1" applyFill="1" applyBorder="1" applyAlignment="1">
      <alignment horizontal="center" vertical="center"/>
    </xf>
    <xf numFmtId="3" fontId="5" fillId="0" borderId="1" xfId="14" applyNumberFormat="1" applyFont="1" applyFill="1" applyBorder="1"/>
    <xf numFmtId="170" fontId="5" fillId="0" borderId="1" xfId="15" applyNumberFormat="1" applyFont="1" applyFill="1" applyBorder="1" applyAlignment="1"/>
    <xf numFmtId="0" fontId="5" fillId="0" borderId="1" xfId="14" applyFont="1" applyFill="1" applyBorder="1" applyAlignment="1">
      <alignment horizontal="center"/>
    </xf>
    <xf numFmtId="0" fontId="13" fillId="0" borderId="1" xfId="14" applyFont="1" applyBorder="1" applyAlignment="1">
      <alignment horizontal="left"/>
    </xf>
    <xf numFmtId="164" fontId="4" fillId="0" borderId="1" xfId="15" applyNumberFormat="1" applyFont="1" applyBorder="1" applyAlignment="1">
      <alignment vertical="center"/>
    </xf>
    <xf numFmtId="170" fontId="4" fillId="0" borderId="1" xfId="15" applyNumberFormat="1" applyFont="1" applyBorder="1" applyAlignment="1">
      <alignment horizontal="right" vertical="center"/>
    </xf>
    <xf numFmtId="164" fontId="13" fillId="0" borderId="1" xfId="15" applyNumberFormat="1" applyFont="1" applyBorder="1" applyAlignment="1">
      <alignment vertical="center"/>
    </xf>
    <xf numFmtId="0" fontId="0" fillId="2" borderId="1" xfId="0" quotePrefix="1" applyFill="1" applyBorder="1"/>
    <xf numFmtId="14" fontId="0" fillId="0" borderId="0" xfId="0" applyNumberFormat="1"/>
    <xf numFmtId="14" fontId="0" fillId="15" borderId="0" xfId="0" applyNumberFormat="1" applyFill="1"/>
    <xf numFmtId="3" fontId="0" fillId="15" borderId="0" xfId="0" applyNumberFormat="1" applyFill="1"/>
    <xf numFmtId="3" fontId="11" fillId="15" borderId="0" xfId="0" applyNumberFormat="1" applyFont="1" applyFill="1"/>
    <xf numFmtId="43" fontId="10" fillId="0" borderId="1" xfId="0" applyNumberFormat="1" applyFont="1" applyBorder="1"/>
    <xf numFmtId="164" fontId="0" fillId="0" borderId="0" xfId="1" applyNumberFormat="1" applyFont="1"/>
    <xf numFmtId="14" fontId="3" fillId="0" borderId="1" xfId="0" applyNumberFormat="1" applyFont="1" applyBorder="1" applyAlignment="1">
      <alignment horizontal="left" vertical="center" wrapText="1"/>
    </xf>
    <xf numFmtId="0" fontId="27" fillId="2" borderId="1" xfId="0" applyFont="1" applyFill="1" applyBorder="1" applyAlignment="1">
      <alignment horizontal="left" vertical="center" wrapText="1"/>
    </xf>
    <xf numFmtId="164" fontId="0" fillId="0" borderId="1" xfId="1" applyNumberFormat="1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8" fillId="5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164" fontId="0" fillId="2" borderId="1" xfId="1" applyNumberFormat="1" applyFont="1" applyFill="1" applyBorder="1" applyAlignment="1">
      <alignment horizontal="left" vertical="center"/>
    </xf>
    <xf numFmtId="164" fontId="0" fillId="2" borderId="1" xfId="1" applyNumberFormat="1" applyFont="1" applyFill="1" applyBorder="1" applyAlignment="1">
      <alignment horizontal="left" vertical="center"/>
    </xf>
    <xf numFmtId="49" fontId="37" fillId="5" borderId="1" xfId="11" applyNumberFormat="1" applyFont="1" applyFill="1" applyBorder="1" applyAlignment="1">
      <alignment horizontal="center" vertical="center" wrapText="1"/>
    </xf>
    <xf numFmtId="0" fontId="37" fillId="5" borderId="1" xfId="11" applyNumberFormat="1" applyFont="1" applyFill="1" applyBorder="1" applyAlignment="1">
      <alignment horizontal="center" vertical="center" wrapText="1"/>
    </xf>
    <xf numFmtId="0" fontId="38" fillId="0" borderId="1" xfId="11" applyFont="1" applyFill="1" applyBorder="1" applyAlignment="1">
      <alignment horizontal="center"/>
    </xf>
    <xf numFmtId="0" fontId="38" fillId="0" borderId="1" xfId="11" applyFont="1" applyBorder="1"/>
    <xf numFmtId="0" fontId="39" fillId="3" borderId="1" xfId="0" applyFont="1" applyFill="1" applyBorder="1" applyAlignment="1">
      <alignment horizontal="center" vertical="center"/>
    </xf>
    <xf numFmtId="3" fontId="38" fillId="21" borderId="1" xfId="4" applyNumberFormat="1" applyFont="1" applyFill="1" applyBorder="1" applyAlignment="1">
      <alignment horizontal="right"/>
    </xf>
    <xf numFmtId="3" fontId="39" fillId="2" borderId="1" xfId="4" applyNumberFormat="1" applyFont="1" applyFill="1" applyBorder="1" applyAlignment="1">
      <alignment horizontal="right" vertical="center"/>
    </xf>
    <xf numFmtId="3" fontId="38" fillId="13" borderId="1" xfId="16" applyNumberFormat="1" applyFont="1" applyFill="1" applyBorder="1" applyAlignment="1">
      <alignment horizontal="center"/>
    </xf>
    <xf numFmtId="9" fontId="38" fillId="13" borderId="1" xfId="4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left"/>
    </xf>
    <xf numFmtId="3" fontId="0" fillId="21" borderId="1" xfId="4" applyNumberFormat="1" applyFont="1" applyFill="1" applyBorder="1" applyAlignment="1">
      <alignment horizontal="right"/>
    </xf>
    <xf numFmtId="0" fontId="40" fillId="0" borderId="1" xfId="0" applyFont="1" applyFill="1" applyBorder="1" applyAlignment="1">
      <alignment horizontal="left"/>
    </xf>
    <xf numFmtId="0" fontId="40" fillId="0" borderId="1" xfId="11" applyFont="1" applyFill="1" applyBorder="1" applyAlignment="1">
      <alignment horizontal="left"/>
    </xf>
    <xf numFmtId="0" fontId="39" fillId="0" borderId="1" xfId="0" applyFont="1" applyFill="1" applyBorder="1" applyAlignment="1">
      <alignment horizontal="center" vertical="center"/>
    </xf>
    <xf numFmtId="3" fontId="41" fillId="21" borderId="1" xfId="4" applyNumberFormat="1" applyFont="1" applyFill="1" applyBorder="1" applyAlignment="1">
      <alignment horizontal="right"/>
    </xf>
    <xf numFmtId="0" fontId="38" fillId="0" borderId="1" xfId="11" applyFont="1" applyFill="1" applyBorder="1"/>
    <xf numFmtId="3" fontId="42" fillId="21" borderId="1" xfId="4" applyNumberFormat="1" applyFont="1" applyFill="1" applyBorder="1" applyAlignment="1">
      <alignment horizontal="right"/>
    </xf>
    <xf numFmtId="10" fontId="43" fillId="2" borderId="1" xfId="2" applyNumberFormat="1" applyFont="1" applyFill="1" applyBorder="1" applyAlignment="1">
      <alignment horizontal="left" vertical="center"/>
    </xf>
    <xf numFmtId="3" fontId="0" fillId="2" borderId="1" xfId="0" applyNumberFormat="1" applyFill="1" applyBorder="1" applyAlignment="1">
      <alignment horizontal="left" vertical="center"/>
    </xf>
    <xf numFmtId="10" fontId="10" fillId="2" borderId="1" xfId="2" applyNumberFormat="1" applyFont="1" applyFill="1" applyBorder="1" applyAlignment="1">
      <alignment horizontal="left" vertical="center"/>
    </xf>
    <xf numFmtId="10" fontId="10" fillId="2" borderId="0" xfId="2" applyNumberFormat="1" applyFont="1" applyFill="1" applyBorder="1" applyAlignment="1">
      <alignment horizontal="left" vertical="center"/>
    </xf>
    <xf numFmtId="43" fontId="3" fillId="2" borderId="0" xfId="0" applyNumberFormat="1" applyFont="1" applyFill="1" applyAlignment="1">
      <alignment horizontal="left" vertical="center"/>
    </xf>
    <xf numFmtId="164" fontId="0" fillId="2" borderId="1" xfId="1" applyNumberFormat="1" applyFont="1" applyFill="1" applyBorder="1" applyAlignment="1">
      <alignment horizontal="center" vertical="center"/>
    </xf>
    <xf numFmtId="164" fontId="0" fillId="8" borderId="1" xfId="1" applyNumberFormat="1" applyFont="1" applyFill="1" applyBorder="1" applyAlignment="1">
      <alignment horizontal="center" vertical="center"/>
    </xf>
    <xf numFmtId="164" fontId="0" fillId="0" borderId="1" xfId="1" applyNumberFormat="1" applyFont="1" applyFill="1" applyBorder="1" applyAlignment="1">
      <alignment horizontal="center" vertical="center"/>
    </xf>
    <xf numFmtId="164" fontId="0" fillId="5" borderId="1" xfId="1" applyNumberFormat="1" applyFont="1" applyFill="1" applyBorder="1" applyAlignment="1">
      <alignment horizontal="center" vertical="center"/>
    </xf>
    <xf numFmtId="0" fontId="11" fillId="0" borderId="1" xfId="0" applyFont="1" applyBorder="1"/>
    <xf numFmtId="0" fontId="11" fillId="17" borderId="1" xfId="0" applyFont="1" applyFill="1" applyBorder="1"/>
    <xf numFmtId="0" fontId="2" fillId="21" borderId="25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wrapText="1"/>
    </xf>
    <xf numFmtId="0" fontId="2" fillId="20" borderId="1" xfId="0" applyFont="1" applyFill="1" applyBorder="1" applyAlignment="1">
      <alignment horizontal="center" wrapText="1"/>
    </xf>
    <xf numFmtId="0" fontId="2" fillId="21" borderId="1" xfId="0" applyFont="1" applyFill="1" applyBorder="1" applyAlignment="1">
      <alignment wrapText="1"/>
    </xf>
    <xf numFmtId="0" fontId="2" fillId="21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43" fontId="0" fillId="0" borderId="0" xfId="1" applyFont="1"/>
    <xf numFmtId="0" fontId="1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0" borderId="1" xfId="0" applyFont="1" applyFill="1" applyBorder="1" applyAlignment="1">
      <alignment horizontal="center" vertical="center"/>
    </xf>
    <xf numFmtId="0" fontId="2" fillId="21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20" borderId="1" xfId="0" applyFont="1" applyFill="1" applyBorder="1" applyAlignment="1">
      <alignment horizontal="center"/>
    </xf>
    <xf numFmtId="0" fontId="2" fillId="21" borderId="1" xfId="0" applyFont="1" applyFill="1" applyBorder="1"/>
    <xf numFmtId="0" fontId="2" fillId="21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8" borderId="1" xfId="0" applyFont="1" applyFill="1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/>
    </xf>
    <xf numFmtId="173" fontId="0" fillId="0" borderId="1" xfId="1" applyNumberFormat="1" applyFont="1" applyBorder="1" applyAlignment="1">
      <alignment horizontal="center" vertical="center"/>
    </xf>
    <xf numFmtId="164" fontId="0" fillId="3" borderId="1" xfId="1" applyNumberFormat="1" applyFont="1" applyFill="1" applyBorder="1" applyAlignment="1">
      <alignment horizontal="center" vertical="center"/>
    </xf>
    <xf numFmtId="164" fontId="0" fillId="20" borderId="1" xfId="1" applyNumberFormat="1" applyFont="1" applyFill="1" applyBorder="1" applyAlignment="1">
      <alignment horizontal="center" vertical="center"/>
    </xf>
    <xf numFmtId="0" fontId="0" fillId="21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20" borderId="1" xfId="0" applyFill="1" applyBorder="1" applyAlignment="1">
      <alignment horizontal="center"/>
    </xf>
    <xf numFmtId="0" fontId="0" fillId="21" borderId="1" xfId="0" applyFill="1" applyBorder="1"/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9" fontId="0" fillId="0" borderId="1" xfId="2" applyFont="1" applyBorder="1" applyAlignment="1">
      <alignment horizontal="center"/>
    </xf>
    <xf numFmtId="0" fontId="0" fillId="8" borderId="1" xfId="0" applyFill="1" applyBorder="1" applyAlignment="1">
      <alignment horizontal="center" vertical="center"/>
    </xf>
    <xf numFmtId="9" fontId="0" fillId="8" borderId="1" xfId="2" applyFont="1" applyFill="1" applyBorder="1" applyAlignment="1">
      <alignment horizontal="center"/>
    </xf>
    <xf numFmtId="0" fontId="0" fillId="8" borderId="1" xfId="0" applyFill="1" applyBorder="1"/>
    <xf numFmtId="164" fontId="0" fillId="22" borderId="1" xfId="1" applyNumberFormat="1" applyFont="1" applyFill="1" applyBorder="1" applyAlignment="1">
      <alignment horizontal="center" vertical="center"/>
    </xf>
    <xf numFmtId="173" fontId="0" fillId="22" borderId="1" xfId="1" applyNumberFormat="1" applyFont="1" applyFill="1" applyBorder="1" applyAlignment="1">
      <alignment horizontal="center" vertical="center"/>
    </xf>
    <xf numFmtId="164" fontId="0" fillId="21" borderId="1" xfId="0" applyNumberFormat="1" applyFill="1" applyBorder="1" applyAlignment="1">
      <alignment horizontal="center"/>
    </xf>
    <xf numFmtId="164" fontId="0" fillId="21" borderId="1" xfId="0" applyNumberFormat="1" applyFill="1" applyBorder="1"/>
    <xf numFmtId="174" fontId="0" fillId="21" borderId="1" xfId="0" applyNumberFormat="1" applyFill="1" applyBorder="1" applyAlignment="1">
      <alignment horizontal="center"/>
    </xf>
    <xf numFmtId="0" fontId="0" fillId="22" borderId="1" xfId="0" applyFill="1" applyBorder="1" applyAlignment="1">
      <alignment horizontal="center"/>
    </xf>
    <xf numFmtId="0" fontId="0" fillId="22" borderId="1" xfId="0" applyFill="1" applyBorder="1" applyAlignment="1">
      <alignment horizontal="center" wrapText="1"/>
    </xf>
    <xf numFmtId="0" fontId="0" fillId="26" borderId="1" xfId="0" applyFill="1" applyBorder="1" applyAlignment="1">
      <alignment horizontal="center" vertical="center"/>
    </xf>
    <xf numFmtId="173" fontId="0" fillId="5" borderId="1" xfId="1" applyNumberFormat="1" applyFon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64" fontId="0" fillId="5" borderId="1" xfId="0" applyNumberFormat="1" applyFill="1" applyBorder="1"/>
    <xf numFmtId="174" fontId="0" fillId="5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 wrapText="1"/>
    </xf>
    <xf numFmtId="43" fontId="0" fillId="5" borderId="0" xfId="1" applyFont="1" applyFill="1"/>
    <xf numFmtId="173" fontId="0" fillId="20" borderId="1" xfId="1" applyNumberFormat="1" applyFont="1" applyFill="1" applyBorder="1" applyAlignment="1">
      <alignment horizontal="center" vertical="center"/>
    </xf>
    <xf numFmtId="0" fontId="0" fillId="27" borderId="1" xfId="0" applyFill="1" applyBorder="1" applyAlignment="1">
      <alignment horizontal="center" vertical="center"/>
    </xf>
    <xf numFmtId="9" fontId="11" fillId="8" borderId="1" xfId="2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164" fontId="2" fillId="0" borderId="1" xfId="0" applyNumberFormat="1" applyFont="1" applyBorder="1" applyAlignment="1">
      <alignment horizontal="center"/>
    </xf>
    <xf numFmtId="9" fontId="2" fillId="0" borderId="1" xfId="2" applyFont="1" applyBorder="1" applyAlignment="1">
      <alignment horizontal="center"/>
    </xf>
    <xf numFmtId="164" fontId="0" fillId="15" borderId="1" xfId="1" applyNumberFormat="1" applyFont="1" applyFill="1" applyBorder="1" applyAlignment="1">
      <alignment horizontal="center" vertical="center"/>
    </xf>
    <xf numFmtId="164" fontId="2" fillId="0" borderId="0" xfId="1" applyNumberFormat="1" applyFont="1"/>
    <xf numFmtId="164" fontId="2" fillId="0" borderId="0" xfId="0" applyNumberFormat="1" applyFont="1"/>
    <xf numFmtId="0" fontId="0" fillId="0" borderId="0" xfId="0" applyAlignment="1">
      <alignment horizontal="center"/>
    </xf>
    <xf numFmtId="0" fontId="11" fillId="0" borderId="1" xfId="0" applyFont="1" applyBorder="1" applyAlignment="1">
      <alignment horizontal="center" vertical="center"/>
    </xf>
    <xf numFmtId="164" fontId="2" fillId="8" borderId="1" xfId="1" applyNumberFormat="1" applyFont="1" applyFill="1" applyBorder="1" applyAlignment="1">
      <alignment horizontal="center" vertical="center"/>
    </xf>
    <xf numFmtId="164" fontId="0" fillId="8" borderId="1" xfId="0" applyNumberForma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164" fontId="0" fillId="8" borderId="1" xfId="0" applyNumberFormat="1" applyFill="1" applyBorder="1"/>
    <xf numFmtId="174" fontId="0" fillId="8" borderId="1" xfId="0" applyNumberFormat="1" applyFill="1" applyBorder="1" applyAlignment="1">
      <alignment horizontal="center"/>
    </xf>
    <xf numFmtId="0" fontId="0" fillId="8" borderId="1" xfId="0" applyFill="1" applyBorder="1" applyAlignment="1">
      <alignment horizontal="center" wrapText="1"/>
    </xf>
    <xf numFmtId="43" fontId="0" fillId="8" borderId="0" xfId="1" applyFont="1" applyFill="1"/>
    <xf numFmtId="0" fontId="0" fillId="14" borderId="1" xfId="0" applyFill="1" applyBorder="1" applyAlignment="1">
      <alignment horizontal="center"/>
    </xf>
    <xf numFmtId="173" fontId="0" fillId="0" borderId="1" xfId="1" applyNumberFormat="1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4" fontId="0" fillId="0" borderId="1" xfId="0" applyNumberFormat="1" applyBorder="1"/>
    <xf numFmtId="174" fontId="0" fillId="0" borderId="1" xfId="0" applyNumberFormat="1" applyBorder="1" applyAlignment="1">
      <alignment horizontal="center"/>
    </xf>
    <xf numFmtId="43" fontId="0" fillId="0" borderId="0" xfId="1" applyFont="1" applyFill="1"/>
    <xf numFmtId="43" fontId="11" fillId="0" borderId="0" xfId="1" applyFont="1"/>
    <xf numFmtId="0" fontId="0" fillId="5" borderId="1" xfId="0" applyFill="1" applyBorder="1"/>
    <xf numFmtId="173" fontId="2" fillId="8" borderId="1" xfId="1" applyNumberFormat="1" applyFont="1" applyFill="1" applyBorder="1" applyAlignment="1">
      <alignment horizontal="center" vertical="center"/>
    </xf>
    <xf numFmtId="164" fontId="2" fillId="8" borderId="1" xfId="0" applyNumberFormat="1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wrapText="1"/>
    </xf>
    <xf numFmtId="43" fontId="0" fillId="2" borderId="0" xfId="1" applyFont="1" applyFill="1"/>
    <xf numFmtId="164" fontId="2" fillId="2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wrapText="1"/>
    </xf>
    <xf numFmtId="43" fontId="0" fillId="8" borderId="1" xfId="1" applyFont="1" applyFill="1" applyBorder="1"/>
    <xf numFmtId="43" fontId="0" fillId="0" borderId="1" xfId="1" applyFont="1" applyBorder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 wrapText="1"/>
    </xf>
    <xf numFmtId="43" fontId="2" fillId="2" borderId="1" xfId="1" applyFont="1" applyFill="1" applyBorder="1"/>
    <xf numFmtId="0" fontId="44" fillId="0" borderId="0" xfId="0" applyFont="1"/>
    <xf numFmtId="0" fontId="2" fillId="8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/>
    </xf>
    <xf numFmtId="0" fontId="2" fillId="8" borderId="1" xfId="0" applyFont="1" applyFill="1" applyBorder="1"/>
    <xf numFmtId="0" fontId="2" fillId="8" borderId="1" xfId="0" applyFont="1" applyFill="1" applyBorder="1" applyAlignment="1">
      <alignment horizontal="center" wrapText="1"/>
    </xf>
    <xf numFmtId="43" fontId="2" fillId="8" borderId="1" xfId="1" applyFont="1" applyFill="1" applyBorder="1"/>
    <xf numFmtId="164" fontId="2" fillId="8" borderId="1" xfId="0" applyNumberFormat="1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2" fillId="8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0" fillId="28" borderId="1" xfId="0" applyFill="1" applyBorder="1"/>
    <xf numFmtId="0" fontId="2" fillId="25" borderId="1" xfId="0" applyFont="1" applyFill="1" applyBorder="1"/>
    <xf numFmtId="164" fontId="2" fillId="25" borderId="1" xfId="1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10" fontId="0" fillId="0" borderId="0" xfId="2" applyNumberFormat="1" applyFont="1"/>
    <xf numFmtId="164" fontId="11" fillId="0" borderId="1" xfId="1" applyNumberFormat="1" applyFont="1" applyFill="1" applyBorder="1" applyAlignment="1">
      <alignment horizontal="center" vertical="center"/>
    </xf>
    <xf numFmtId="10" fontId="0" fillId="0" borderId="0" xfId="0" applyNumberFormat="1"/>
    <xf numFmtId="164" fontId="11" fillId="5" borderId="1" xfId="1" applyNumberFormat="1" applyFont="1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11" fillId="15" borderId="1" xfId="1" applyNumberFormat="1" applyFont="1" applyFill="1" applyBorder="1" applyAlignment="1">
      <alignment horizontal="center" vertical="center"/>
    </xf>
    <xf numFmtId="0" fontId="2" fillId="29" borderId="1" xfId="0" applyFont="1" applyFill="1" applyBorder="1"/>
    <xf numFmtId="164" fontId="2" fillId="29" borderId="1" xfId="1" applyNumberFormat="1" applyFont="1" applyFill="1" applyBorder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164" fontId="2" fillId="8" borderId="0" xfId="1" applyNumberFormat="1" applyFont="1" applyFill="1" applyBorder="1" applyAlignment="1">
      <alignment horizontal="center" vertical="center"/>
    </xf>
    <xf numFmtId="0" fontId="2" fillId="8" borderId="1" xfId="0" applyFont="1" applyFill="1" applyBorder="1" applyAlignment="1">
      <alignment vertical="center"/>
    </xf>
    <xf numFmtId="164" fontId="2" fillId="8" borderId="1" xfId="0" applyNumberFormat="1" applyFont="1" applyFill="1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0" borderId="0" xfId="0" applyNumberFormat="1" applyAlignment="1">
      <alignment vertical="center"/>
    </xf>
    <xf numFmtId="0" fontId="2" fillId="2" borderId="1" xfId="0" applyFont="1" applyFill="1" applyBorder="1" applyAlignment="1">
      <alignment vertical="center"/>
    </xf>
    <xf numFmtId="164" fontId="13" fillId="10" borderId="1" xfId="0" applyNumberFormat="1" applyFont="1" applyFill="1" applyBorder="1" applyAlignment="1">
      <alignment horizontal="left" vertical="center"/>
    </xf>
    <xf numFmtId="164" fontId="14" fillId="30" borderId="1" xfId="1" applyNumberFormat="1" applyFont="1" applyFill="1" applyBorder="1" applyAlignment="1">
      <alignment horizontal="center" vertical="center" wrapText="1"/>
    </xf>
    <xf numFmtId="164" fontId="10" fillId="30" borderId="1" xfId="1" applyNumberFormat="1" applyFont="1" applyFill="1" applyBorder="1" applyAlignment="1">
      <alignment horizontal="left"/>
    </xf>
    <xf numFmtId="164" fontId="10" fillId="30" borderId="1" xfId="1" applyNumberFormat="1" applyFont="1" applyFill="1" applyBorder="1" applyAlignment="1">
      <alignment vertical="center" wrapText="1"/>
    </xf>
    <xf numFmtId="164" fontId="10" fillId="30" borderId="1" xfId="1" applyNumberFormat="1" applyFont="1" applyFill="1" applyBorder="1" applyAlignment="1">
      <alignment horizontal="left" vertical="center"/>
    </xf>
    <xf numFmtId="164" fontId="13" fillId="30" borderId="1" xfId="1" applyNumberFormat="1" applyFont="1" applyFill="1" applyBorder="1" applyAlignment="1">
      <alignment horizontal="right"/>
    </xf>
    <xf numFmtId="0" fontId="0" fillId="30" borderId="0" xfId="0" applyFill="1"/>
    <xf numFmtId="0" fontId="0" fillId="30" borderId="0" xfId="0" applyFill="1" applyAlignment="1">
      <alignment horizontal="left" vertical="top"/>
    </xf>
    <xf numFmtId="0" fontId="3" fillId="16" borderId="0" xfId="0" applyFont="1" applyFill="1" applyBorder="1" applyAlignment="1">
      <alignment horizontal="left" vertical="center" wrapText="1"/>
    </xf>
    <xf numFmtId="0" fontId="3" fillId="16" borderId="0" xfId="0" applyFont="1" applyFill="1" applyBorder="1" applyAlignment="1">
      <alignment horizontal="left" vertical="center"/>
    </xf>
    <xf numFmtId="4" fontId="0" fillId="16" borderId="0" xfId="0" applyNumberFormat="1" applyFill="1" applyBorder="1" applyAlignment="1">
      <alignment horizontal="left" vertical="center"/>
    </xf>
    <xf numFmtId="164" fontId="0" fillId="16" borderId="0" xfId="1" applyNumberFormat="1" applyFont="1" applyFill="1" applyBorder="1" applyAlignment="1">
      <alignment horizontal="left" vertical="center"/>
    </xf>
    <xf numFmtId="164" fontId="3" fillId="2" borderId="0" xfId="1" applyNumberFormat="1" applyFont="1" applyFill="1" applyAlignment="1">
      <alignment horizontal="center"/>
    </xf>
    <xf numFmtId="164" fontId="15" fillId="2" borderId="1" xfId="1" applyNumberFormat="1" applyFont="1" applyFill="1" applyBorder="1" applyAlignment="1">
      <alignment horizontal="left" vertical="center"/>
    </xf>
    <xf numFmtId="14" fontId="0" fillId="2" borderId="0" xfId="0" applyNumberFormat="1" applyFill="1"/>
    <xf numFmtId="3" fontId="0" fillId="2" borderId="0" xfId="0" applyNumberFormat="1" applyFill="1"/>
    <xf numFmtId="0" fontId="0" fillId="16" borderId="0" xfId="0" applyFill="1"/>
    <xf numFmtId="0" fontId="0" fillId="4" borderId="1" xfId="0" applyFill="1" applyBorder="1" applyAlignment="1">
      <alignment horizontal="center"/>
    </xf>
    <xf numFmtId="0" fontId="8" fillId="5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43" fontId="10" fillId="2" borderId="5" xfId="1" applyNumberFormat="1" applyFont="1" applyFill="1" applyBorder="1" applyAlignment="1">
      <alignment horizontal="left" vertical="center"/>
    </xf>
    <xf numFmtId="164" fontId="10" fillId="17" borderId="6" xfId="1" applyNumberFormat="1" applyFont="1" applyFill="1" applyBorder="1" applyAlignment="1">
      <alignment horizontal="left" vertical="center"/>
    </xf>
    <xf numFmtId="9" fontId="10" fillId="17" borderId="6" xfId="2" applyFont="1" applyFill="1" applyBorder="1" applyAlignment="1">
      <alignment horizontal="left" vertical="center"/>
    </xf>
    <xf numFmtId="164" fontId="10" fillId="2" borderId="8" xfId="1" applyNumberFormat="1" applyFont="1" applyFill="1" applyBorder="1" applyAlignment="1">
      <alignment horizontal="left" vertical="center"/>
    </xf>
    <xf numFmtId="0" fontId="10" fillId="0" borderId="1" xfId="1" applyNumberFormat="1" applyFont="1" applyFill="1" applyBorder="1" applyAlignment="1">
      <alignment horizontal="left" vertical="center"/>
    </xf>
    <xf numFmtId="0" fontId="0" fillId="0" borderId="0" xfId="0" applyFill="1"/>
    <xf numFmtId="173" fontId="13" fillId="6" borderId="1" xfId="1" applyNumberFormat="1" applyFont="1" applyFill="1" applyBorder="1" applyAlignment="1">
      <alignment horizontal="left" vertical="center" wrapText="1"/>
    </xf>
    <xf numFmtId="173" fontId="3" fillId="14" borderId="1" xfId="1" applyNumberFormat="1" applyFont="1" applyFill="1" applyBorder="1" applyAlignment="1">
      <alignment horizontal="left" vertical="center"/>
    </xf>
    <xf numFmtId="173" fontId="3" fillId="0" borderId="1" xfId="1" applyNumberFormat="1" applyFont="1" applyFill="1" applyBorder="1" applyAlignment="1">
      <alignment horizontal="left" vertical="center"/>
    </xf>
    <xf numFmtId="164" fontId="10" fillId="0" borderId="1" xfId="1" applyNumberFormat="1" applyFont="1" applyFill="1" applyBorder="1" applyAlignment="1">
      <alignment horizontal="right" vertical="center"/>
    </xf>
    <xf numFmtId="0" fontId="10" fillId="13" borderId="1" xfId="0" applyFont="1" applyFill="1" applyBorder="1" applyAlignment="1">
      <alignment horizontal="left" vertical="center"/>
    </xf>
    <xf numFmtId="0" fontId="15" fillId="14" borderId="1" xfId="0" applyFont="1" applyFill="1" applyBorder="1" applyAlignment="1">
      <alignment horizontal="left" vertical="center"/>
    </xf>
    <xf numFmtId="4" fontId="3" fillId="14" borderId="1" xfId="0" applyNumberFormat="1" applyFont="1" applyFill="1" applyBorder="1" applyAlignment="1">
      <alignment horizontal="left" vertical="center"/>
    </xf>
    <xf numFmtId="4" fontId="3" fillId="21" borderId="1" xfId="0" applyNumberFormat="1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left" vertical="center"/>
    </xf>
    <xf numFmtId="4" fontId="3" fillId="0" borderId="1" xfId="0" applyNumberFormat="1" applyFont="1" applyFill="1" applyBorder="1" applyAlignment="1">
      <alignment horizontal="left" vertical="center"/>
    </xf>
    <xf numFmtId="4" fontId="3" fillId="14" borderId="1" xfId="0" applyNumberFormat="1" applyFont="1" applyFill="1" applyBorder="1" applyAlignment="1">
      <alignment horizontal="center" vertical="center"/>
    </xf>
    <xf numFmtId="3" fontId="34" fillId="16" borderId="1" xfId="0" applyNumberFormat="1" applyFont="1" applyFill="1" applyBorder="1" applyAlignment="1">
      <alignment horizontal="left" vertical="center"/>
    </xf>
    <xf numFmtId="164" fontId="3" fillId="14" borderId="1" xfId="1" applyNumberFormat="1" applyFont="1" applyFill="1" applyBorder="1" applyAlignment="1">
      <alignment horizontal="left" vertical="center"/>
    </xf>
    <xf numFmtId="43" fontId="3" fillId="14" borderId="1" xfId="1" applyNumberFormat="1" applyFont="1" applyFill="1" applyBorder="1" applyAlignment="1">
      <alignment horizontal="left" vertical="center"/>
    </xf>
    <xf numFmtId="3" fontId="3" fillId="8" borderId="1" xfId="0" applyNumberFormat="1" applyFont="1" applyFill="1" applyBorder="1" applyAlignment="1">
      <alignment horizontal="left" vertical="center"/>
    </xf>
    <xf numFmtId="3" fontId="3" fillId="2" borderId="1" xfId="0" applyNumberFormat="1" applyFont="1" applyFill="1" applyBorder="1" applyAlignment="1">
      <alignment horizontal="left" vertical="center"/>
    </xf>
    <xf numFmtId="164" fontId="3" fillId="2" borderId="1" xfId="1" applyNumberFormat="1" applyFont="1" applyFill="1" applyBorder="1" applyAlignment="1">
      <alignment horizontal="left" vertical="center"/>
    </xf>
    <xf numFmtId="43" fontId="3" fillId="2" borderId="1" xfId="1" applyNumberFormat="1" applyFont="1" applyFill="1" applyBorder="1" applyAlignment="1">
      <alignment horizontal="left" vertical="center"/>
    </xf>
    <xf numFmtId="164" fontId="3" fillId="2" borderId="5" xfId="1" applyNumberFormat="1" applyFont="1" applyFill="1" applyBorder="1" applyAlignment="1">
      <alignment horizontal="left" vertical="center"/>
    </xf>
    <xf numFmtId="43" fontId="3" fillId="2" borderId="5" xfId="1" applyNumberFormat="1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 wrapText="1"/>
    </xf>
    <xf numFmtId="9" fontId="3" fillId="2" borderId="5" xfId="2" applyFont="1" applyFill="1" applyBorder="1" applyAlignment="1">
      <alignment horizontal="left" vertical="center"/>
    </xf>
    <xf numFmtId="164" fontId="3" fillId="2" borderId="8" xfId="1" applyNumberFormat="1" applyFont="1" applyFill="1" applyBorder="1" applyAlignment="1">
      <alignment horizontal="left" vertical="center"/>
    </xf>
    <xf numFmtId="43" fontId="3" fillId="2" borderId="8" xfId="1" applyNumberFormat="1" applyFont="1" applyFill="1" applyBorder="1" applyAlignment="1">
      <alignment horizontal="left" vertical="center"/>
    </xf>
    <xf numFmtId="164" fontId="3" fillId="2" borderId="6" xfId="1" applyNumberFormat="1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9" fontId="3" fillId="2" borderId="6" xfId="2" applyFont="1" applyFill="1" applyBorder="1" applyAlignment="1">
      <alignment horizontal="left" vertical="center"/>
    </xf>
    <xf numFmtId="43" fontId="3" fillId="0" borderId="1" xfId="1" applyNumberFormat="1" applyFont="1" applyFill="1" applyBorder="1" applyAlignment="1">
      <alignment horizontal="left" vertical="center"/>
    </xf>
    <xf numFmtId="4" fontId="3" fillId="17" borderId="1" xfId="0" applyNumberFormat="1" applyFont="1" applyFill="1" applyBorder="1" applyAlignment="1">
      <alignment horizontal="left" vertical="center"/>
    </xf>
    <xf numFmtId="164" fontId="3" fillId="17" borderId="1" xfId="1" applyNumberFormat="1" applyFont="1" applyFill="1" applyBorder="1" applyAlignment="1">
      <alignment horizontal="left" vertical="center"/>
    </xf>
    <xf numFmtId="164" fontId="3" fillId="17" borderId="6" xfId="1" applyNumberFormat="1" applyFont="1" applyFill="1" applyBorder="1" applyAlignment="1">
      <alignment horizontal="left" vertical="center"/>
    </xf>
    <xf numFmtId="43" fontId="3" fillId="15" borderId="5" xfId="1" applyNumberFormat="1" applyFont="1" applyFill="1" applyBorder="1" applyAlignment="1">
      <alignment horizontal="left" vertical="center"/>
    </xf>
    <xf numFmtId="0" fontId="27" fillId="17" borderId="6" xfId="0" applyFont="1" applyFill="1" applyBorder="1" applyAlignment="1">
      <alignment horizontal="left" vertical="center" wrapText="1"/>
    </xf>
    <xf numFmtId="9" fontId="3" fillId="17" borderId="6" xfId="2" applyFont="1" applyFill="1" applyBorder="1" applyAlignment="1">
      <alignment horizontal="left" vertical="center"/>
    </xf>
    <xf numFmtId="43" fontId="3" fillId="15" borderId="25" xfId="1" applyNumberFormat="1" applyFont="1" applyFill="1" applyBorder="1" applyAlignment="1">
      <alignment horizontal="left" vertical="center"/>
    </xf>
    <xf numFmtId="164" fontId="8" fillId="0" borderId="1" xfId="0" applyNumberFormat="1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164" fontId="8" fillId="2" borderId="1" xfId="0" applyNumberFormat="1" applyFont="1" applyFill="1" applyBorder="1" applyAlignment="1">
      <alignment horizontal="left" vertical="center"/>
    </xf>
    <xf numFmtId="9" fontId="8" fillId="0" borderId="1" xfId="2" applyFont="1" applyBorder="1" applyAlignment="1">
      <alignment horizontal="left" vertical="center"/>
    </xf>
    <xf numFmtId="9" fontId="8" fillId="2" borderId="1" xfId="2" applyFont="1" applyFill="1" applyBorder="1" applyAlignment="1">
      <alignment horizontal="left" vertical="center"/>
    </xf>
    <xf numFmtId="164" fontId="10" fillId="0" borderId="1" xfId="1" applyNumberFormat="1" applyFont="1" applyFill="1" applyBorder="1" applyAlignment="1">
      <alignment horizontal="right" vertical="center"/>
    </xf>
    <xf numFmtId="0" fontId="10" fillId="0" borderId="1" xfId="1" applyNumberFormat="1" applyFont="1" applyFill="1" applyBorder="1" applyAlignment="1">
      <alignment vertical="center"/>
    </xf>
    <xf numFmtId="164" fontId="10" fillId="0" borderId="1" xfId="1" applyNumberFormat="1" applyFont="1" applyFill="1" applyBorder="1" applyAlignment="1">
      <alignment vertical="center"/>
    </xf>
    <xf numFmtId="0" fontId="10" fillId="0" borderId="1" xfId="1" applyNumberFormat="1" applyFont="1" applyFill="1" applyBorder="1" applyAlignment="1">
      <alignment horizontal="right" vertical="center"/>
    </xf>
    <xf numFmtId="164" fontId="5" fillId="0" borderId="1" xfId="1" applyNumberFormat="1" applyFont="1" applyFill="1" applyBorder="1" applyAlignment="1">
      <alignment horizontal="right" vertical="center"/>
    </xf>
    <xf numFmtId="0" fontId="10" fillId="2" borderId="1" xfId="1" applyNumberFormat="1" applyFont="1" applyFill="1" applyBorder="1" applyAlignment="1">
      <alignment vertical="center"/>
    </xf>
    <xf numFmtId="0" fontId="15" fillId="2" borderId="1" xfId="1" applyNumberFormat="1" applyFont="1" applyFill="1" applyBorder="1" applyAlignment="1">
      <alignment horizontal="right" vertical="center"/>
    </xf>
    <xf numFmtId="164" fontId="15" fillId="2" borderId="1" xfId="1" applyNumberFormat="1" applyFont="1" applyFill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9" fontId="0" fillId="0" borderId="25" xfId="2" applyFont="1" applyBorder="1" applyAlignment="1">
      <alignment horizontal="right" vertical="center"/>
    </xf>
    <xf numFmtId="9" fontId="0" fillId="0" borderId="6" xfId="2" applyFont="1" applyBorder="1" applyAlignment="1">
      <alignment horizontal="right" vertical="center"/>
    </xf>
    <xf numFmtId="164" fontId="0" fillId="0" borderId="25" xfId="1" applyNumberFormat="1" applyFont="1" applyBorder="1" applyAlignment="1">
      <alignment horizontal="center" vertical="center"/>
    </xf>
    <xf numFmtId="164" fontId="0" fillId="0" borderId="6" xfId="1" applyNumberFormat="1" applyFont="1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/>
    </xf>
    <xf numFmtId="9" fontId="0" fillId="0" borderId="1" xfId="2" applyFont="1" applyBorder="1" applyAlignment="1">
      <alignment horizontal="right" vertical="center"/>
    </xf>
    <xf numFmtId="0" fontId="0" fillId="0" borderId="0" xfId="0" applyAlignment="1">
      <alignment horizontal="center"/>
    </xf>
    <xf numFmtId="164" fontId="0" fillId="0" borderId="1" xfId="1" applyNumberFormat="1" applyFont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8" borderId="25" xfId="0" applyFont="1" applyFill="1" applyBorder="1" applyAlignment="1">
      <alignment horizontal="center" vertical="center"/>
    </xf>
    <xf numFmtId="0" fontId="2" fillId="8" borderId="6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1" borderId="2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0" borderId="1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8" fillId="5" borderId="2" xfId="0" applyFont="1" applyFill="1" applyBorder="1" applyAlignment="1">
      <alignment horizontal="center"/>
    </xf>
    <xf numFmtId="0" fontId="8" fillId="5" borderId="7" xfId="0" applyFont="1" applyFill="1" applyBorder="1" applyAlignment="1">
      <alignment horizontal="center"/>
    </xf>
    <xf numFmtId="0" fontId="23" fillId="0" borderId="5" xfId="0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0" fillId="2" borderId="5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17" borderId="5" xfId="0" applyFill="1" applyBorder="1" applyAlignment="1">
      <alignment horizontal="center" vertical="center"/>
    </xf>
    <xf numFmtId="0" fontId="0" fillId="17" borderId="8" xfId="0" applyFill="1" applyBorder="1" applyAlignment="1">
      <alignment horizontal="center" vertical="center"/>
    </xf>
    <xf numFmtId="0" fontId="0" fillId="17" borderId="6" xfId="0" applyFill="1" applyBorder="1" applyAlignment="1">
      <alignment horizontal="center" vertical="center"/>
    </xf>
    <xf numFmtId="164" fontId="0" fillId="2" borderId="1" xfId="1" applyNumberFormat="1" applyFont="1" applyFill="1" applyBorder="1" applyAlignment="1">
      <alignment horizontal="center" vertical="center"/>
    </xf>
    <xf numFmtId="164" fontId="0" fillId="15" borderId="5" xfId="1" applyNumberFormat="1" applyFont="1" applyFill="1" applyBorder="1" applyAlignment="1">
      <alignment horizontal="center" vertical="center"/>
    </xf>
    <xf numFmtId="164" fontId="0" fillId="15" borderId="8" xfId="1" applyNumberFormat="1" applyFont="1" applyFill="1" applyBorder="1" applyAlignment="1">
      <alignment horizontal="center" vertical="center"/>
    </xf>
    <xf numFmtId="164" fontId="0" fillId="15" borderId="6" xfId="1" applyNumberFormat="1" applyFont="1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 wrapText="1"/>
    </xf>
    <xf numFmtId="0" fontId="0" fillId="8" borderId="8" xfId="0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 wrapText="1"/>
    </xf>
    <xf numFmtId="0" fontId="0" fillId="5" borderId="6" xfId="0" applyFill="1" applyBorder="1" applyAlignment="1">
      <alignment horizontal="center" vertical="center" wrapText="1"/>
    </xf>
    <xf numFmtId="0" fontId="0" fillId="8" borderId="5" xfId="0" applyFill="1" applyBorder="1" applyAlignment="1">
      <alignment horizontal="center" vertical="center"/>
    </xf>
    <xf numFmtId="9" fontId="0" fillId="0" borderId="1" xfId="2" applyFont="1" applyFill="1" applyBorder="1" applyAlignment="1">
      <alignment horizontal="center" vertical="center"/>
    </xf>
    <xf numFmtId="164" fontId="0" fillId="8" borderId="5" xfId="1" applyNumberFormat="1" applyFont="1" applyFill="1" applyBorder="1" applyAlignment="1">
      <alignment horizontal="center" vertical="center"/>
    </xf>
    <xf numFmtId="164" fontId="0" fillId="8" borderId="8" xfId="1" applyNumberFormat="1" applyFont="1" applyFill="1" applyBorder="1" applyAlignment="1">
      <alignment horizontal="center" vertical="center"/>
    </xf>
    <xf numFmtId="164" fontId="0" fillId="8" borderId="6" xfId="1" applyNumberFormat="1" applyFont="1" applyFill="1" applyBorder="1" applyAlignment="1">
      <alignment horizontal="center" vertical="center"/>
    </xf>
    <xf numFmtId="43" fontId="10" fillId="8" borderId="5" xfId="1" applyNumberFormat="1" applyFont="1" applyFill="1" applyBorder="1" applyAlignment="1">
      <alignment horizontal="center" vertical="center"/>
    </xf>
    <xf numFmtId="164" fontId="10" fillId="8" borderId="8" xfId="1" applyNumberFormat="1" applyFont="1" applyFill="1" applyBorder="1" applyAlignment="1">
      <alignment horizontal="center" vertical="center"/>
    </xf>
    <xf numFmtId="164" fontId="10" fillId="8" borderId="6" xfId="1" applyNumberFormat="1" applyFont="1" applyFill="1" applyBorder="1" applyAlignment="1">
      <alignment horizontal="center" vertical="center"/>
    </xf>
    <xf numFmtId="9" fontId="0" fillId="8" borderId="5" xfId="2" applyFont="1" applyFill="1" applyBorder="1" applyAlignment="1">
      <alignment horizontal="center" vertical="center"/>
    </xf>
    <xf numFmtId="9" fontId="0" fillId="8" borderId="8" xfId="2" applyFont="1" applyFill="1" applyBorder="1" applyAlignment="1">
      <alignment horizontal="center" vertical="center"/>
    </xf>
    <xf numFmtId="9" fontId="0" fillId="8" borderId="6" xfId="2" applyFont="1" applyFill="1" applyBorder="1" applyAlignment="1">
      <alignment horizontal="center" vertical="center"/>
    </xf>
    <xf numFmtId="164" fontId="0" fillId="8" borderId="1" xfId="1" applyNumberFormat="1" applyFont="1" applyFill="1" applyBorder="1" applyAlignment="1">
      <alignment horizontal="center" vertical="center"/>
    </xf>
    <xf numFmtId="43" fontId="0" fillId="8" borderId="5" xfId="1" applyNumberFormat="1" applyFont="1" applyFill="1" applyBorder="1" applyAlignment="1">
      <alignment horizontal="center" vertical="center"/>
    </xf>
    <xf numFmtId="164" fontId="10" fillId="8" borderId="5" xfId="1" applyNumberFormat="1" applyFont="1" applyFill="1" applyBorder="1" applyAlignment="1">
      <alignment horizontal="center" vertical="center"/>
    </xf>
    <xf numFmtId="9" fontId="0" fillId="17" borderId="1" xfId="2" applyFont="1" applyFill="1" applyBorder="1" applyAlignment="1">
      <alignment horizontal="center" vertical="center"/>
    </xf>
    <xf numFmtId="9" fontId="0" fillId="8" borderId="1" xfId="2" applyFont="1" applyFill="1" applyBorder="1" applyAlignment="1">
      <alignment horizontal="center" vertical="center"/>
    </xf>
    <xf numFmtId="164" fontId="0" fillId="17" borderId="5" xfId="1" applyNumberFormat="1" applyFont="1" applyFill="1" applyBorder="1" applyAlignment="1">
      <alignment horizontal="center" vertical="center"/>
    </xf>
    <xf numFmtId="164" fontId="0" fillId="17" borderId="6" xfId="1" applyNumberFormat="1" applyFont="1" applyFill="1" applyBorder="1" applyAlignment="1">
      <alignment horizontal="center" vertical="center"/>
    </xf>
    <xf numFmtId="164" fontId="0" fillId="2" borderId="5" xfId="1" applyNumberFormat="1" applyFont="1" applyFill="1" applyBorder="1" applyAlignment="1">
      <alignment horizontal="center" vertical="center"/>
    </xf>
    <xf numFmtId="164" fontId="0" fillId="2" borderId="8" xfId="1" applyNumberFormat="1" applyFont="1" applyFill="1" applyBorder="1" applyAlignment="1">
      <alignment horizontal="center" vertical="center"/>
    </xf>
    <xf numFmtId="164" fontId="0" fillId="2" borderId="6" xfId="1" applyNumberFormat="1" applyFont="1" applyFill="1" applyBorder="1" applyAlignment="1">
      <alignment horizontal="center" vertical="center"/>
    </xf>
    <xf numFmtId="43" fontId="10" fillId="15" borderId="5" xfId="1" applyNumberFormat="1" applyFont="1" applyFill="1" applyBorder="1" applyAlignment="1">
      <alignment horizontal="center" vertical="center"/>
    </xf>
    <xf numFmtId="164" fontId="10" fillId="15" borderId="8" xfId="1" applyNumberFormat="1" applyFont="1" applyFill="1" applyBorder="1" applyAlignment="1">
      <alignment horizontal="center" vertical="center"/>
    </xf>
    <xf numFmtId="164" fontId="10" fillId="15" borderId="6" xfId="1" applyNumberFormat="1" applyFont="1" applyFill="1" applyBorder="1" applyAlignment="1">
      <alignment horizontal="center" vertical="center"/>
    </xf>
    <xf numFmtId="9" fontId="0" fillId="15" borderId="5" xfId="2" applyFont="1" applyFill="1" applyBorder="1" applyAlignment="1">
      <alignment horizontal="center" vertical="center"/>
    </xf>
    <xf numFmtId="9" fontId="0" fillId="15" borderId="8" xfId="2" applyFont="1" applyFill="1" applyBorder="1" applyAlignment="1">
      <alignment horizontal="center" vertical="center"/>
    </xf>
    <xf numFmtId="9" fontId="0" fillId="15" borderId="6" xfId="2" applyFont="1" applyFill="1" applyBorder="1" applyAlignment="1">
      <alignment horizontal="center" vertical="center"/>
    </xf>
    <xf numFmtId="9" fontId="0" fillId="2" borderId="5" xfId="2" applyFont="1" applyFill="1" applyBorder="1" applyAlignment="1">
      <alignment horizontal="center" vertical="center"/>
    </xf>
    <xf numFmtId="9" fontId="0" fillId="2" borderId="8" xfId="2" applyFont="1" applyFill="1" applyBorder="1" applyAlignment="1">
      <alignment horizontal="center" vertical="center"/>
    </xf>
    <xf numFmtId="9" fontId="0" fillId="2" borderId="6" xfId="2" applyFont="1" applyFill="1" applyBorder="1" applyAlignment="1">
      <alignment horizontal="center" vertical="center"/>
    </xf>
    <xf numFmtId="164" fontId="10" fillId="17" borderId="5" xfId="1" applyNumberFormat="1" applyFont="1" applyFill="1" applyBorder="1" applyAlignment="1">
      <alignment horizontal="center" vertical="center"/>
    </xf>
    <xf numFmtId="164" fontId="10" fillId="17" borderId="8" xfId="1" applyNumberFormat="1" applyFont="1" applyFill="1" applyBorder="1" applyAlignment="1">
      <alignment horizontal="center" vertical="center"/>
    </xf>
    <xf numFmtId="164" fontId="10" fillId="17" borderId="6" xfId="1" applyNumberFormat="1" applyFont="1" applyFill="1" applyBorder="1" applyAlignment="1">
      <alignment horizontal="center" vertical="center"/>
    </xf>
    <xf numFmtId="43" fontId="10" fillId="17" borderId="5" xfId="1" applyNumberFormat="1" applyFont="1" applyFill="1" applyBorder="1" applyAlignment="1">
      <alignment horizontal="center" vertical="center"/>
    </xf>
    <xf numFmtId="0" fontId="0" fillId="17" borderId="5" xfId="0" applyFill="1" applyBorder="1" applyAlignment="1">
      <alignment horizontal="center" vertical="center" wrapText="1"/>
    </xf>
    <xf numFmtId="0" fontId="0" fillId="17" borderId="8" xfId="0" applyFill="1" applyBorder="1" applyAlignment="1">
      <alignment horizontal="center" vertical="center" wrapText="1"/>
    </xf>
    <xf numFmtId="0" fontId="0" fillId="17" borderId="6" xfId="0" applyFill="1" applyBorder="1" applyAlignment="1">
      <alignment horizontal="center" vertical="center" wrapText="1"/>
    </xf>
    <xf numFmtId="164" fontId="0" fillId="17" borderId="8" xfId="1" applyNumberFormat="1" applyFont="1" applyFill="1" applyBorder="1" applyAlignment="1">
      <alignment horizontal="center" vertical="center"/>
    </xf>
    <xf numFmtId="9" fontId="10" fillId="17" borderId="5" xfId="2" applyFont="1" applyFill="1" applyBorder="1" applyAlignment="1">
      <alignment horizontal="center" vertical="center"/>
    </xf>
    <xf numFmtId="9" fontId="10" fillId="17" borderId="8" xfId="2" applyFont="1" applyFill="1" applyBorder="1" applyAlignment="1">
      <alignment horizontal="center" vertical="center"/>
    </xf>
    <xf numFmtId="9" fontId="10" fillId="17" borderId="6" xfId="2" applyFont="1" applyFill="1" applyBorder="1" applyAlignment="1">
      <alignment horizontal="center" vertical="center"/>
    </xf>
    <xf numFmtId="9" fontId="0" fillId="17" borderId="5" xfId="2" applyFont="1" applyFill="1" applyBorder="1" applyAlignment="1">
      <alignment horizontal="center" vertical="center"/>
    </xf>
    <xf numFmtId="9" fontId="0" fillId="17" borderId="8" xfId="2" applyFont="1" applyFill="1" applyBorder="1" applyAlignment="1">
      <alignment horizontal="center" vertical="center"/>
    </xf>
    <xf numFmtId="9" fontId="0" fillId="17" borderId="6" xfId="2" applyFont="1" applyFill="1" applyBorder="1" applyAlignment="1">
      <alignment horizontal="center" vertical="center"/>
    </xf>
    <xf numFmtId="43" fontId="10" fillId="0" borderId="5" xfId="1" applyNumberFormat="1" applyFont="1" applyFill="1" applyBorder="1" applyAlignment="1">
      <alignment horizontal="center" vertical="center"/>
    </xf>
    <xf numFmtId="164" fontId="10" fillId="0" borderId="6" xfId="1" applyNumberFormat="1" applyFont="1" applyFill="1" applyBorder="1" applyAlignment="1">
      <alignment horizontal="center" vertical="center"/>
    </xf>
    <xf numFmtId="164" fontId="10" fillId="0" borderId="5" xfId="1" applyNumberFormat="1" applyFont="1" applyFill="1" applyBorder="1" applyAlignment="1">
      <alignment horizontal="center" vertical="center"/>
    </xf>
    <xf numFmtId="164" fontId="0" fillId="0" borderId="1" xfId="1" applyNumberFormat="1" applyFont="1" applyFill="1" applyBorder="1" applyAlignment="1">
      <alignment horizontal="center" vertical="center"/>
    </xf>
    <xf numFmtId="164" fontId="0" fillId="0" borderId="5" xfId="1" applyNumberFormat="1" applyFont="1" applyFill="1" applyBorder="1" applyAlignment="1">
      <alignment horizontal="center" vertical="center"/>
    </xf>
    <xf numFmtId="164" fontId="0" fillId="0" borderId="6" xfId="1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164" fontId="10" fillId="5" borderId="5" xfId="1" applyNumberFormat="1" applyFont="1" applyFill="1" applyBorder="1" applyAlignment="1">
      <alignment horizontal="center" vertical="center"/>
    </xf>
    <xf numFmtId="164" fontId="10" fillId="5" borderId="6" xfId="1" applyNumberFormat="1" applyFont="1" applyFill="1" applyBorder="1" applyAlignment="1">
      <alignment horizontal="center" vertical="center"/>
    </xf>
    <xf numFmtId="9" fontId="0" fillId="5" borderId="1" xfId="2" applyFont="1" applyFill="1" applyBorder="1" applyAlignment="1">
      <alignment horizontal="center" vertical="center"/>
    </xf>
    <xf numFmtId="0" fontId="0" fillId="8" borderId="8" xfId="0" applyFill="1" applyBorder="1" applyAlignment="1">
      <alignment horizontal="center" vertical="center" wrapText="1"/>
    </xf>
    <xf numFmtId="0" fontId="0" fillId="8" borderId="6" xfId="0" applyFill="1" applyBorder="1" applyAlignment="1">
      <alignment horizontal="center" vertical="center" wrapText="1"/>
    </xf>
    <xf numFmtId="43" fontId="0" fillId="5" borderId="5" xfId="1" applyNumberFormat="1" applyFont="1" applyFill="1" applyBorder="1" applyAlignment="1">
      <alignment horizontal="center" vertical="center"/>
    </xf>
    <xf numFmtId="164" fontId="0" fillId="5" borderId="6" xfId="1" applyNumberFormat="1" applyFont="1" applyFill="1" applyBorder="1" applyAlignment="1">
      <alignment horizontal="center" vertical="center"/>
    </xf>
    <xf numFmtId="43" fontId="0" fillId="15" borderId="5" xfId="1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wrapText="1"/>
    </xf>
    <xf numFmtId="14" fontId="8" fillId="2" borderId="1" xfId="0" quotePrefix="1" applyNumberFormat="1" applyFont="1" applyFill="1" applyBorder="1" applyAlignment="1">
      <alignment horizontal="center"/>
    </xf>
    <xf numFmtId="0" fontId="0" fillId="2" borderId="8" xfId="0" applyFill="1" applyBorder="1" applyAlignment="1">
      <alignment horizontal="center" vertical="center" wrapText="1"/>
    </xf>
    <xf numFmtId="43" fontId="10" fillId="2" borderId="5" xfId="1" applyNumberFormat="1" applyFont="1" applyFill="1" applyBorder="1" applyAlignment="1">
      <alignment horizontal="center" vertical="center"/>
    </xf>
    <xf numFmtId="164" fontId="10" fillId="2" borderId="8" xfId="1" applyNumberFormat="1" applyFont="1" applyFill="1" applyBorder="1" applyAlignment="1">
      <alignment horizontal="center" vertical="center"/>
    </xf>
    <xf numFmtId="164" fontId="10" fillId="2" borderId="6" xfId="1" applyNumberFormat="1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43" fontId="0" fillId="0" borderId="1" xfId="1" applyNumberFormat="1" applyFont="1" applyFill="1" applyBorder="1" applyAlignment="1">
      <alignment horizontal="center" vertical="center"/>
    </xf>
    <xf numFmtId="164" fontId="0" fillId="17" borderId="1" xfId="1" applyNumberFormat="1" applyFont="1" applyFill="1" applyBorder="1" applyAlignment="1">
      <alignment horizontal="center" vertical="center"/>
    </xf>
    <xf numFmtId="164" fontId="0" fillId="5" borderId="5" xfId="1" applyNumberFormat="1" applyFont="1" applyFill="1" applyBorder="1" applyAlignment="1">
      <alignment horizontal="center" vertical="center"/>
    </xf>
    <xf numFmtId="164" fontId="0" fillId="5" borderId="1" xfId="1" applyNumberFormat="1" applyFont="1" applyFill="1" applyBorder="1" applyAlignment="1">
      <alignment horizontal="center" vertical="center"/>
    </xf>
    <xf numFmtId="0" fontId="0" fillId="15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3" fillId="5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16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/>
    </xf>
    <xf numFmtId="168" fontId="8" fillId="2" borderId="2" xfId="0" quotePrefix="1" applyNumberFormat="1" applyFont="1" applyFill="1" applyBorder="1" applyAlignment="1">
      <alignment horizontal="left" vertical="center"/>
    </xf>
    <xf numFmtId="168" fontId="8" fillId="2" borderId="3" xfId="0" quotePrefix="1" applyNumberFormat="1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8" fillId="5" borderId="2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27" fillId="2" borderId="5" xfId="0" applyFont="1" applyFill="1" applyBorder="1" applyAlignment="1">
      <alignment horizontal="left" vertical="center" wrapText="1"/>
    </xf>
    <xf numFmtId="0" fontId="27" fillId="2" borderId="8" xfId="0" applyFont="1" applyFill="1" applyBorder="1" applyAlignment="1">
      <alignment horizontal="left" vertical="center"/>
    </xf>
    <xf numFmtId="0" fontId="27" fillId="2" borderId="6" xfId="0" applyFont="1" applyFill="1" applyBorder="1" applyAlignment="1">
      <alignment horizontal="left" vertical="center"/>
    </xf>
    <xf numFmtId="164" fontId="3" fillId="15" borderId="5" xfId="1" applyNumberFormat="1" applyFont="1" applyFill="1" applyBorder="1" applyAlignment="1">
      <alignment horizontal="left" vertical="center"/>
    </xf>
    <xf numFmtId="164" fontId="3" fillId="15" borderId="8" xfId="1" applyNumberFormat="1" applyFont="1" applyFill="1" applyBorder="1" applyAlignment="1">
      <alignment horizontal="left" vertical="center"/>
    </xf>
    <xf numFmtId="164" fontId="3" fillId="15" borderId="6" xfId="1" applyNumberFormat="1" applyFont="1" applyFill="1" applyBorder="1" applyAlignment="1">
      <alignment horizontal="left" vertical="center"/>
    </xf>
    <xf numFmtId="43" fontId="3" fillId="15" borderId="5" xfId="1" applyNumberFormat="1" applyFont="1" applyFill="1" applyBorder="1" applyAlignment="1">
      <alignment horizontal="left" vertical="center"/>
    </xf>
    <xf numFmtId="43" fontId="3" fillId="15" borderId="8" xfId="1" applyNumberFormat="1" applyFont="1" applyFill="1" applyBorder="1" applyAlignment="1">
      <alignment horizontal="left" vertical="center"/>
    </xf>
    <xf numFmtId="43" fontId="3" fillId="15" borderId="6" xfId="1" applyNumberFormat="1" applyFont="1" applyFill="1" applyBorder="1" applyAlignment="1">
      <alignment horizontal="left" vertical="center"/>
    </xf>
    <xf numFmtId="43" fontId="10" fillId="15" borderId="5" xfId="1" applyNumberFormat="1" applyFont="1" applyFill="1" applyBorder="1" applyAlignment="1">
      <alignment horizontal="left" vertical="center"/>
    </xf>
    <xf numFmtId="164" fontId="10" fillId="15" borderId="8" xfId="1" applyNumberFormat="1" applyFont="1" applyFill="1" applyBorder="1" applyAlignment="1">
      <alignment horizontal="left" vertical="center"/>
    </xf>
    <xf numFmtId="164" fontId="10" fillId="15" borderId="6" xfId="1" applyNumberFormat="1" applyFont="1" applyFill="1" applyBorder="1" applyAlignment="1">
      <alignment horizontal="left" vertical="center"/>
    </xf>
    <xf numFmtId="9" fontId="3" fillId="15" borderId="5" xfId="2" applyFont="1" applyFill="1" applyBorder="1" applyAlignment="1">
      <alignment horizontal="left" vertical="center"/>
    </xf>
    <xf numFmtId="9" fontId="3" fillId="15" borderId="8" xfId="2" applyFont="1" applyFill="1" applyBorder="1" applyAlignment="1">
      <alignment horizontal="left" vertical="center"/>
    </xf>
    <xf numFmtId="9" fontId="3" fillId="15" borderId="6" xfId="2" applyFont="1" applyFill="1" applyBorder="1" applyAlignment="1">
      <alignment horizontal="left" vertical="center"/>
    </xf>
    <xf numFmtId="9" fontId="3" fillId="2" borderId="5" xfId="2" applyFont="1" applyFill="1" applyBorder="1" applyAlignment="1">
      <alignment horizontal="left" vertical="center"/>
    </xf>
    <xf numFmtId="9" fontId="3" fillId="2" borderId="8" xfId="2" applyFont="1" applyFill="1" applyBorder="1" applyAlignment="1">
      <alignment horizontal="left" vertical="center"/>
    </xf>
    <xf numFmtId="9" fontId="3" fillId="2" borderId="6" xfId="2" applyFont="1" applyFill="1" applyBorder="1" applyAlignment="1">
      <alignment horizontal="left" vertical="center"/>
    </xf>
    <xf numFmtId="168" fontId="8" fillId="2" borderId="7" xfId="0" quotePrefix="1" applyNumberFormat="1" applyFont="1" applyFill="1" applyBorder="1" applyAlignment="1">
      <alignment horizontal="left" vertical="center"/>
    </xf>
    <xf numFmtId="43" fontId="3" fillId="0" borderId="1" xfId="1" applyNumberFormat="1" applyFont="1" applyFill="1" applyBorder="1" applyAlignment="1">
      <alignment horizontal="left" vertical="center"/>
    </xf>
    <xf numFmtId="164" fontId="3" fillId="0" borderId="1" xfId="1" applyNumberFormat="1" applyFont="1" applyFill="1" applyBorder="1" applyAlignment="1">
      <alignment horizontal="left" vertical="center"/>
    </xf>
    <xf numFmtId="9" fontId="3" fillId="0" borderId="1" xfId="2" applyFont="1" applyFill="1" applyBorder="1" applyAlignment="1">
      <alignment horizontal="left" vertical="center"/>
    </xf>
    <xf numFmtId="164" fontId="3" fillId="2" borderId="1" xfId="1" applyNumberFormat="1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43" fontId="3" fillId="2" borderId="5" xfId="1" applyNumberFormat="1" applyFont="1" applyFill="1" applyBorder="1" applyAlignment="1">
      <alignment horizontal="left" vertical="center"/>
    </xf>
    <xf numFmtId="164" fontId="3" fillId="2" borderId="6" xfId="1" applyNumberFormat="1" applyFont="1" applyFill="1" applyBorder="1" applyAlignment="1">
      <alignment horizontal="left" vertical="center"/>
    </xf>
    <xf numFmtId="164" fontId="10" fillId="2" borderId="5" xfId="1" applyNumberFormat="1" applyFont="1" applyFill="1" applyBorder="1" applyAlignment="1">
      <alignment horizontal="left" vertical="center"/>
    </xf>
    <xf numFmtId="164" fontId="10" fillId="2" borderId="6" xfId="1" applyNumberFormat="1" applyFont="1" applyFill="1" applyBorder="1" applyAlignment="1">
      <alignment horizontal="left" vertical="center"/>
    </xf>
    <xf numFmtId="9" fontId="3" fillId="2" borderId="1" xfId="2" applyFont="1" applyFill="1" applyBorder="1" applyAlignment="1">
      <alignment horizontal="left" vertical="center"/>
    </xf>
    <xf numFmtId="0" fontId="3" fillId="2" borderId="8" xfId="0" applyFont="1" applyFill="1" applyBorder="1" applyAlignment="1">
      <alignment horizontal="left" vertical="center"/>
    </xf>
    <xf numFmtId="164" fontId="3" fillId="0" borderId="5" xfId="1" applyNumberFormat="1" applyFont="1" applyFill="1" applyBorder="1" applyAlignment="1">
      <alignment horizontal="center" vertical="center"/>
    </xf>
    <xf numFmtId="164" fontId="3" fillId="0" borderId="8" xfId="1" applyNumberFormat="1" applyFont="1" applyFill="1" applyBorder="1" applyAlignment="1">
      <alignment horizontal="center" vertical="center"/>
    </xf>
    <xf numFmtId="164" fontId="3" fillId="0" borderId="6" xfId="1" applyNumberFormat="1" applyFont="1" applyFill="1" applyBorder="1" applyAlignment="1">
      <alignment horizontal="center" vertical="center"/>
    </xf>
    <xf numFmtId="43" fontId="3" fillId="0" borderId="5" xfId="1" applyNumberFormat="1" applyFont="1" applyFill="1" applyBorder="1" applyAlignment="1">
      <alignment horizontal="center" vertical="center"/>
    </xf>
    <xf numFmtId="43" fontId="3" fillId="0" borderId="8" xfId="1" applyNumberFormat="1" applyFont="1" applyFill="1" applyBorder="1" applyAlignment="1">
      <alignment horizontal="center" vertical="center"/>
    </xf>
    <xf numFmtId="43" fontId="3" fillId="0" borderId="6" xfId="1" applyNumberFormat="1" applyFont="1" applyFill="1" applyBorder="1" applyAlignment="1">
      <alignment horizontal="center" vertical="center"/>
    </xf>
    <xf numFmtId="164" fontId="3" fillId="2" borderId="5" xfId="1" applyNumberFormat="1" applyFont="1" applyFill="1" applyBorder="1" applyAlignment="1">
      <alignment horizontal="center" vertical="center"/>
    </xf>
    <xf numFmtId="164" fontId="3" fillId="2" borderId="8" xfId="1" applyNumberFormat="1" applyFont="1" applyFill="1" applyBorder="1" applyAlignment="1">
      <alignment horizontal="center" vertical="center"/>
    </xf>
    <xf numFmtId="164" fontId="3" fillId="2" borderId="6" xfId="1" applyNumberFormat="1" applyFont="1" applyFill="1" applyBorder="1" applyAlignment="1">
      <alignment horizontal="center" vertical="center"/>
    </xf>
    <xf numFmtId="9" fontId="3" fillId="0" borderId="5" xfId="2" applyFont="1" applyFill="1" applyBorder="1" applyAlignment="1">
      <alignment horizontal="center" vertical="center"/>
    </xf>
    <xf numFmtId="9" fontId="3" fillId="0" borderId="8" xfId="2" applyFont="1" applyFill="1" applyBorder="1" applyAlignment="1">
      <alignment horizontal="center" vertical="center"/>
    </xf>
    <xf numFmtId="9" fontId="3" fillId="0" borderId="6" xfId="2" applyFont="1" applyFill="1" applyBorder="1" applyAlignment="1">
      <alignment horizontal="center" vertical="center"/>
    </xf>
    <xf numFmtId="164" fontId="3" fillId="2" borderId="5" xfId="1" applyNumberFormat="1" applyFont="1" applyFill="1" applyBorder="1" applyAlignment="1">
      <alignment horizontal="left" vertical="center"/>
    </xf>
    <xf numFmtId="43" fontId="3" fillId="0" borderId="5" xfId="1" applyNumberFormat="1" applyFont="1" applyFill="1" applyBorder="1" applyAlignment="1">
      <alignment horizontal="left" vertical="center"/>
    </xf>
    <xf numFmtId="164" fontId="3" fillId="0" borderId="6" xfId="1" applyNumberFormat="1" applyFont="1" applyFill="1" applyBorder="1" applyAlignment="1">
      <alignment horizontal="left" vertical="center"/>
    </xf>
    <xf numFmtId="43" fontId="10" fillId="2" borderId="5" xfId="1" applyNumberFormat="1" applyFont="1" applyFill="1" applyBorder="1" applyAlignment="1">
      <alignment horizontal="left" vertical="center"/>
    </xf>
    <xf numFmtId="9" fontId="3" fillId="17" borderId="5" xfId="2" applyFont="1" applyFill="1" applyBorder="1" applyAlignment="1">
      <alignment horizontal="left" vertical="center"/>
    </xf>
    <xf numFmtId="9" fontId="3" fillId="17" borderId="8" xfId="2" applyFont="1" applyFill="1" applyBorder="1" applyAlignment="1">
      <alignment horizontal="left" vertical="center"/>
    </xf>
    <xf numFmtId="9" fontId="3" fillId="17" borderId="6" xfId="2" applyFont="1" applyFill="1" applyBorder="1" applyAlignment="1">
      <alignment horizontal="left" vertical="center"/>
    </xf>
    <xf numFmtId="164" fontId="3" fillId="0" borderId="5" xfId="1" applyNumberFormat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43" fontId="10" fillId="0" borderId="5" xfId="1" applyNumberFormat="1" applyFont="1" applyFill="1" applyBorder="1" applyAlignment="1">
      <alignment horizontal="left" vertical="center"/>
    </xf>
    <xf numFmtId="164" fontId="10" fillId="0" borderId="6" xfId="1" applyNumberFormat="1" applyFont="1" applyFill="1" applyBorder="1" applyAlignment="1">
      <alignment horizontal="left" vertical="center"/>
    </xf>
    <xf numFmtId="164" fontId="10" fillId="0" borderId="5" xfId="1" applyNumberFormat="1" applyFont="1" applyFill="1" applyBorder="1" applyAlignment="1">
      <alignment horizontal="left" vertical="center"/>
    </xf>
    <xf numFmtId="164" fontId="3" fillId="17" borderId="5" xfId="1" applyNumberFormat="1" applyFont="1" applyFill="1" applyBorder="1" applyAlignment="1">
      <alignment horizontal="left" vertical="center"/>
    </xf>
    <xf numFmtId="164" fontId="3" fillId="17" borderId="8" xfId="1" applyNumberFormat="1" applyFont="1" applyFill="1" applyBorder="1" applyAlignment="1">
      <alignment horizontal="left" vertical="center"/>
    </xf>
    <xf numFmtId="164" fontId="3" fillId="17" borderId="6" xfId="1" applyNumberFormat="1" applyFont="1" applyFill="1" applyBorder="1" applyAlignment="1">
      <alignment horizontal="left" vertical="center"/>
    </xf>
    <xf numFmtId="0" fontId="3" fillId="17" borderId="5" xfId="0" applyFont="1" applyFill="1" applyBorder="1" applyAlignment="1">
      <alignment horizontal="left" vertical="center"/>
    </xf>
    <xf numFmtId="0" fontId="3" fillId="17" borderId="8" xfId="0" applyFont="1" applyFill="1" applyBorder="1" applyAlignment="1">
      <alignment horizontal="left" vertical="center"/>
    </xf>
    <xf numFmtId="0" fontId="3" fillId="17" borderId="6" xfId="0" applyFont="1" applyFill="1" applyBorder="1" applyAlignment="1">
      <alignment horizontal="left" vertical="center"/>
    </xf>
    <xf numFmtId="43" fontId="10" fillId="17" borderId="5" xfId="1" applyNumberFormat="1" applyFont="1" applyFill="1" applyBorder="1" applyAlignment="1">
      <alignment horizontal="left" vertical="center"/>
    </xf>
    <xf numFmtId="164" fontId="10" fillId="17" borderId="8" xfId="1" applyNumberFormat="1" applyFont="1" applyFill="1" applyBorder="1" applyAlignment="1">
      <alignment horizontal="left" vertical="center"/>
    </xf>
    <xf numFmtId="164" fontId="10" fillId="17" borderId="6" xfId="1" applyNumberFormat="1" applyFont="1" applyFill="1" applyBorder="1" applyAlignment="1">
      <alignment horizontal="left" vertical="center"/>
    </xf>
    <xf numFmtId="164" fontId="10" fillId="17" borderId="5" xfId="1" applyNumberFormat="1" applyFont="1" applyFill="1" applyBorder="1" applyAlignment="1">
      <alignment horizontal="left" vertical="center"/>
    </xf>
    <xf numFmtId="9" fontId="10" fillId="17" borderId="5" xfId="2" applyFont="1" applyFill="1" applyBorder="1" applyAlignment="1">
      <alignment horizontal="left" vertical="center"/>
    </xf>
    <xf numFmtId="9" fontId="10" fillId="17" borderId="8" xfId="2" applyFont="1" applyFill="1" applyBorder="1" applyAlignment="1">
      <alignment horizontal="left" vertical="center"/>
    </xf>
    <xf numFmtId="9" fontId="10" fillId="17" borderId="6" xfId="2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 wrapText="1"/>
    </xf>
    <xf numFmtId="164" fontId="3" fillId="13" borderId="5" xfId="1" applyNumberFormat="1" applyFont="1" applyFill="1" applyBorder="1" applyAlignment="1">
      <alignment horizontal="left" vertical="center"/>
    </xf>
    <xf numFmtId="164" fontId="3" fillId="13" borderId="8" xfId="1" applyNumberFormat="1" applyFont="1" applyFill="1" applyBorder="1" applyAlignment="1">
      <alignment horizontal="left" vertical="center"/>
    </xf>
    <xf numFmtId="43" fontId="3" fillId="13" borderId="8" xfId="1" applyNumberFormat="1" applyFont="1" applyFill="1" applyBorder="1" applyAlignment="1">
      <alignment horizontal="left" vertical="center"/>
    </xf>
    <xf numFmtId="164" fontId="3" fillId="2" borderId="8" xfId="1" applyNumberFormat="1" applyFont="1" applyFill="1" applyBorder="1" applyAlignment="1">
      <alignment horizontal="left" vertical="center"/>
    </xf>
    <xf numFmtId="43" fontId="3" fillId="13" borderId="5" xfId="1" applyNumberFormat="1" applyFont="1" applyFill="1" applyBorder="1" applyAlignment="1">
      <alignment horizontal="left" vertical="center"/>
    </xf>
    <xf numFmtId="9" fontId="3" fillId="13" borderId="5" xfId="2" applyFont="1" applyFill="1" applyBorder="1" applyAlignment="1">
      <alignment horizontal="left" vertical="center"/>
    </xf>
    <xf numFmtId="9" fontId="3" fillId="13" borderId="8" xfId="2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 wrapText="1"/>
    </xf>
    <xf numFmtId="43" fontId="3" fillId="2" borderId="6" xfId="1" applyNumberFormat="1" applyFont="1" applyFill="1" applyBorder="1" applyAlignment="1">
      <alignment horizontal="left" vertical="center"/>
    </xf>
    <xf numFmtId="164" fontId="10" fillId="2" borderId="8" xfId="1" applyNumberFormat="1" applyFont="1" applyFill="1" applyBorder="1" applyAlignment="1">
      <alignment horizontal="left" vertical="center"/>
    </xf>
    <xf numFmtId="0" fontId="0" fillId="4" borderId="1" xfId="0" applyFill="1" applyBorder="1" applyAlignment="1">
      <alignment horizontal="center"/>
    </xf>
    <xf numFmtId="14" fontId="13" fillId="5" borderId="1" xfId="0" applyNumberFormat="1" applyFont="1" applyFill="1" applyBorder="1" applyAlignment="1">
      <alignment horizontal="center" vertical="center" wrapText="1"/>
    </xf>
    <xf numFmtId="0" fontId="5" fillId="0" borderId="0" xfId="14" applyFont="1" applyFill="1" applyAlignment="1">
      <alignment horizontal="center" vertical="center" wrapText="1"/>
    </xf>
    <xf numFmtId="0" fontId="13" fillId="0" borderId="0" xfId="14" applyFont="1" applyFill="1" applyBorder="1" applyAlignment="1">
      <alignment horizontal="center" vertical="center"/>
    </xf>
    <xf numFmtId="0" fontId="5" fillId="0" borderId="10" xfId="14" applyFont="1" applyFill="1" applyBorder="1" applyAlignment="1">
      <alignment horizontal="center" vertical="center" wrapText="1"/>
    </xf>
    <xf numFmtId="0" fontId="8" fillId="5" borderId="18" xfId="14" applyFont="1" applyFill="1" applyBorder="1" applyAlignment="1">
      <alignment horizontal="center"/>
    </xf>
    <xf numFmtId="0" fontId="8" fillId="5" borderId="19" xfId="14" applyFont="1" applyFill="1" applyBorder="1" applyAlignment="1">
      <alignment horizontal="center"/>
    </xf>
    <xf numFmtId="0" fontId="8" fillId="5" borderId="20" xfId="14" applyFont="1" applyFill="1" applyBorder="1" applyAlignment="1">
      <alignment horizontal="center"/>
    </xf>
    <xf numFmtId="164" fontId="8" fillId="5" borderId="23" xfId="15" applyNumberFormat="1" applyFont="1" applyFill="1" applyBorder="1" applyAlignment="1">
      <alignment horizontal="center"/>
    </xf>
    <xf numFmtId="164" fontId="8" fillId="5" borderId="4" xfId="15" applyNumberFormat="1" applyFont="1" applyFill="1" applyBorder="1" applyAlignment="1">
      <alignment horizontal="center"/>
    </xf>
    <xf numFmtId="164" fontId="10" fillId="0" borderId="10" xfId="15" applyNumberFormat="1" applyFont="1" applyFill="1" applyBorder="1" applyAlignment="1">
      <alignment horizontal="center" vertical="center"/>
    </xf>
    <xf numFmtId="0" fontId="13" fillId="0" borderId="15" xfId="14" applyFont="1" applyFill="1" applyBorder="1" applyAlignment="1">
      <alignment horizontal="center" wrapText="1"/>
    </xf>
    <xf numFmtId="0" fontId="13" fillId="0" borderId="16" xfId="14" applyFont="1" applyFill="1" applyBorder="1" applyAlignment="1">
      <alignment horizontal="center" wrapText="1"/>
    </xf>
    <xf numFmtId="0" fontId="13" fillId="0" borderId="17" xfId="14" applyFont="1" applyFill="1" applyBorder="1" applyAlignment="1">
      <alignment horizontal="center" wrapText="1"/>
    </xf>
    <xf numFmtId="0" fontId="13" fillId="0" borderId="18" xfId="14" applyFont="1" applyFill="1" applyBorder="1" applyAlignment="1">
      <alignment horizontal="center" wrapText="1"/>
    </xf>
    <xf numFmtId="0" fontId="13" fillId="0" borderId="19" xfId="14" applyFont="1" applyFill="1" applyBorder="1" applyAlignment="1">
      <alignment horizontal="center" wrapText="1"/>
    </xf>
    <xf numFmtId="0" fontId="13" fillId="0" borderId="20" xfId="14" applyFont="1" applyFill="1" applyBorder="1" applyAlignment="1">
      <alignment horizontal="center" wrapText="1"/>
    </xf>
    <xf numFmtId="0" fontId="25" fillId="0" borderId="1" xfId="0" applyFont="1" applyBorder="1" applyAlignment="1">
      <alignment horizontal="center" vertical="center"/>
    </xf>
    <xf numFmtId="164" fontId="7" fillId="0" borderId="5" xfId="1" applyNumberFormat="1" applyFont="1" applyFill="1" applyBorder="1" applyAlignment="1">
      <alignment horizontal="center" vertical="center" wrapText="1"/>
    </xf>
    <xf numFmtId="164" fontId="7" fillId="0" borderId="6" xfId="1" applyNumberFormat="1" applyFont="1" applyFill="1" applyBorder="1" applyAlignment="1">
      <alignment horizontal="center" vertical="center" wrapText="1"/>
    </xf>
    <xf numFmtId="43" fontId="5" fillId="0" borderId="5" xfId="1" applyFont="1" applyFill="1" applyBorder="1" applyAlignment="1">
      <alignment horizontal="center" vertical="center"/>
    </xf>
    <xf numFmtId="43" fontId="5" fillId="0" borderId="6" xfId="1" applyFont="1" applyFill="1" applyBorder="1" applyAlignment="1">
      <alignment horizontal="center" vertical="center"/>
    </xf>
    <xf numFmtId="0" fontId="5" fillId="0" borderId="4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left" vertical="center"/>
    </xf>
    <xf numFmtId="0" fontId="5" fillId="0" borderId="8" xfId="0" applyFont="1" applyFill="1" applyBorder="1" applyAlignment="1">
      <alignment horizontal="left" vertical="center"/>
    </xf>
    <xf numFmtId="0" fontId="5" fillId="0" borderId="5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/>
    </xf>
    <xf numFmtId="164" fontId="5" fillId="0" borderId="5" xfId="1" applyNumberFormat="1" applyFont="1" applyFill="1" applyBorder="1" applyAlignment="1">
      <alignment horizontal="center" vertical="center"/>
    </xf>
    <xf numFmtId="164" fontId="5" fillId="0" borderId="6" xfId="1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 wrapText="1"/>
    </xf>
    <xf numFmtId="164" fontId="5" fillId="3" borderId="5" xfId="1" applyNumberFormat="1" applyFont="1" applyFill="1" applyBorder="1" applyAlignment="1">
      <alignment horizontal="center" vertical="center" wrapText="1"/>
    </xf>
    <xf numFmtId="164" fontId="5" fillId="3" borderId="8" xfId="1" applyNumberFormat="1" applyFont="1" applyFill="1" applyBorder="1" applyAlignment="1">
      <alignment horizontal="center" vertical="center" wrapText="1"/>
    </xf>
    <xf numFmtId="164" fontId="5" fillId="3" borderId="6" xfId="1" applyNumberFormat="1" applyFont="1" applyFill="1" applyBorder="1" applyAlignment="1">
      <alignment horizontal="center" vertical="center" wrapText="1"/>
    </xf>
    <xf numFmtId="164" fontId="10" fillId="3" borderId="5" xfId="1" applyNumberFormat="1" applyFont="1" applyFill="1" applyBorder="1" applyAlignment="1">
      <alignment horizontal="center" vertical="center" wrapText="1"/>
    </xf>
    <xf numFmtId="164" fontId="10" fillId="3" borderId="8" xfId="1" applyNumberFormat="1" applyFont="1" applyFill="1" applyBorder="1" applyAlignment="1">
      <alignment horizontal="center" vertical="center" wrapText="1"/>
    </xf>
    <xf numFmtId="164" fontId="10" fillId="3" borderId="6" xfId="1" applyNumberFormat="1" applyFont="1" applyFill="1" applyBorder="1" applyAlignment="1">
      <alignment horizontal="center" vertical="center" wrapText="1"/>
    </xf>
    <xf numFmtId="164" fontId="10" fillId="3" borderId="1" xfId="1" applyNumberFormat="1" applyFont="1" applyFill="1" applyBorder="1" applyAlignment="1">
      <alignment horizontal="center" vertical="center" wrapText="1"/>
    </xf>
    <xf numFmtId="164" fontId="7" fillId="0" borderId="8" xfId="1" applyNumberFormat="1" applyFont="1" applyFill="1" applyBorder="1" applyAlignment="1">
      <alignment horizontal="center" vertical="center" wrapText="1"/>
    </xf>
    <xf numFmtId="164" fontId="10" fillId="0" borderId="8" xfId="1" applyNumberFormat="1" applyFont="1" applyFill="1" applyBorder="1" applyAlignment="1">
      <alignment horizontal="center" vertical="center"/>
    </xf>
    <xf numFmtId="164" fontId="10" fillId="0" borderId="5" xfId="1" applyNumberFormat="1" applyFont="1" applyFill="1" applyBorder="1" applyAlignment="1">
      <alignment horizontal="center" vertical="center" wrapText="1"/>
    </xf>
    <xf numFmtId="164" fontId="10" fillId="0" borderId="8" xfId="1" applyNumberFormat="1" applyFont="1" applyFill="1" applyBorder="1" applyAlignment="1">
      <alignment horizontal="center" vertical="center" wrapText="1"/>
    </xf>
    <xf numFmtId="164" fontId="10" fillId="0" borderId="6" xfId="1" applyNumberFormat="1" applyFont="1" applyFill="1" applyBorder="1" applyAlignment="1">
      <alignment horizontal="center" vertical="center" wrapText="1"/>
    </xf>
    <xf numFmtId="164" fontId="15" fillId="3" borderId="5" xfId="1" applyNumberFormat="1" applyFont="1" applyFill="1" applyBorder="1" applyAlignment="1">
      <alignment horizontal="center" vertical="center" wrapText="1"/>
    </xf>
    <xf numFmtId="164" fontId="15" fillId="3" borderId="8" xfId="1" applyNumberFormat="1" applyFont="1" applyFill="1" applyBorder="1" applyAlignment="1">
      <alignment horizontal="center" vertical="center" wrapText="1"/>
    </xf>
    <xf numFmtId="164" fontId="15" fillId="3" borderId="6" xfId="1" applyNumberFormat="1" applyFont="1" applyFill="1" applyBorder="1" applyAlignment="1">
      <alignment horizontal="center" vertical="center" wrapText="1"/>
    </xf>
    <xf numFmtId="164" fontId="15" fillId="3" borderId="1" xfId="1" applyNumberFormat="1" applyFont="1" applyFill="1" applyBorder="1" applyAlignment="1">
      <alignment horizontal="center" vertical="center" wrapText="1"/>
    </xf>
    <xf numFmtId="164" fontId="7" fillId="3" borderId="5" xfId="1" applyNumberFormat="1" applyFont="1" applyFill="1" applyBorder="1" applyAlignment="1">
      <alignment horizontal="center" vertical="center" wrapText="1"/>
    </xf>
    <xf numFmtId="164" fontId="7" fillId="3" borderId="8" xfId="1" applyNumberFormat="1" applyFont="1" applyFill="1" applyBorder="1" applyAlignment="1">
      <alignment horizontal="center" vertical="center" wrapText="1"/>
    </xf>
    <xf numFmtId="164" fontId="7" fillId="3" borderId="6" xfId="1" applyNumberFormat="1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/>
    </xf>
    <xf numFmtId="164" fontId="7" fillId="0" borderId="5" xfId="1" applyNumberFormat="1" applyFont="1" applyFill="1" applyBorder="1" applyAlignment="1">
      <alignment horizontal="center" vertical="center"/>
    </xf>
    <xf numFmtId="164" fontId="7" fillId="0" borderId="8" xfId="1" applyNumberFormat="1" applyFont="1" applyFill="1" applyBorder="1" applyAlignment="1">
      <alignment horizontal="center" vertical="center"/>
    </xf>
    <xf numFmtId="164" fontId="7" fillId="0" borderId="6" xfId="1" applyNumberFormat="1" applyFont="1" applyFill="1" applyBorder="1" applyAlignment="1">
      <alignment horizontal="center" vertical="center"/>
    </xf>
    <xf numFmtId="164" fontId="5" fillId="0" borderId="8" xfId="1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left" vertical="center" wrapText="1"/>
    </xf>
    <xf numFmtId="0" fontId="5" fillId="3" borderId="6" xfId="0" applyFont="1" applyFill="1" applyBorder="1" applyAlignment="1">
      <alignment horizontal="left" vertical="center" wrapText="1"/>
    </xf>
    <xf numFmtId="0" fontId="5" fillId="20" borderId="5" xfId="0" applyFont="1" applyFill="1" applyBorder="1" applyAlignment="1">
      <alignment horizontal="center" vertical="center"/>
    </xf>
    <xf numFmtId="0" fontId="5" fillId="20" borderId="8" xfId="0" applyFont="1" applyFill="1" applyBorder="1" applyAlignment="1">
      <alignment horizontal="center" vertical="center"/>
    </xf>
    <xf numFmtId="0" fontId="5" fillId="20" borderId="6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15" fillId="3" borderId="5" xfId="0" applyFont="1" applyFill="1" applyBorder="1" applyAlignment="1">
      <alignment horizontal="center" vertical="center" wrapText="1"/>
    </xf>
    <xf numFmtId="0" fontId="15" fillId="3" borderId="6" xfId="0" applyFont="1" applyFill="1" applyBorder="1" applyAlignment="1">
      <alignment horizontal="center" vertical="center" wrapText="1"/>
    </xf>
    <xf numFmtId="0" fontId="15" fillId="3" borderId="5" xfId="0" applyFont="1" applyFill="1" applyBorder="1" applyAlignment="1">
      <alignment horizontal="left" vertical="center" wrapText="1"/>
    </xf>
    <xf numFmtId="0" fontId="15" fillId="3" borderId="8" xfId="0" applyFont="1" applyFill="1" applyBorder="1" applyAlignment="1">
      <alignment horizontal="left" vertical="center" wrapText="1"/>
    </xf>
    <xf numFmtId="0" fontId="15" fillId="3" borderId="6" xfId="0" applyFont="1" applyFill="1" applyBorder="1" applyAlignment="1">
      <alignment horizontal="left" vertical="center" wrapText="1"/>
    </xf>
    <xf numFmtId="0" fontId="15" fillId="3" borderId="5" xfId="0" applyFont="1" applyFill="1" applyBorder="1" applyAlignment="1">
      <alignment horizontal="center" vertical="center"/>
    </xf>
    <xf numFmtId="0" fontId="15" fillId="3" borderId="8" xfId="0" applyFont="1" applyFill="1" applyBorder="1" applyAlignment="1">
      <alignment horizontal="center" vertical="center"/>
    </xf>
    <xf numFmtId="0" fontId="15" fillId="3" borderId="6" xfId="0" applyFont="1" applyFill="1" applyBorder="1" applyAlignment="1">
      <alignment horizontal="center" vertical="center"/>
    </xf>
    <xf numFmtId="164" fontId="10" fillId="0" borderId="5" xfId="1" applyNumberFormat="1" applyFont="1" applyFill="1" applyBorder="1" applyAlignment="1">
      <alignment horizontal="right" vertical="center"/>
    </xf>
    <xf numFmtId="164" fontId="10" fillId="0" borderId="6" xfId="1" applyNumberFormat="1" applyFont="1" applyFill="1" applyBorder="1" applyAlignment="1">
      <alignment horizontal="right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left" vertical="center" wrapText="1"/>
    </xf>
    <xf numFmtId="164" fontId="10" fillId="0" borderId="8" xfId="1" applyNumberFormat="1" applyFont="1" applyFill="1" applyBorder="1" applyAlignment="1">
      <alignment horizontal="right" vertical="center"/>
    </xf>
    <xf numFmtId="0" fontId="7" fillId="3" borderId="1" xfId="0" applyFont="1" applyFill="1" applyBorder="1" applyAlignment="1">
      <alignment horizontal="left" vertical="center" wrapText="1"/>
    </xf>
    <xf numFmtId="0" fontId="15" fillId="3" borderId="1" xfId="0" applyFont="1" applyFill="1" applyBorder="1" applyAlignment="1">
      <alignment horizontal="center" vertical="center"/>
    </xf>
    <xf numFmtId="164" fontId="15" fillId="0" borderId="5" xfId="1" applyNumberFormat="1" applyFont="1" applyFill="1" applyBorder="1" applyAlignment="1">
      <alignment horizontal="right" vertical="center"/>
    </xf>
    <xf numFmtId="164" fontId="15" fillId="0" borderId="8" xfId="1" applyNumberFormat="1" applyFont="1" applyFill="1" applyBorder="1" applyAlignment="1">
      <alignment horizontal="right" vertical="center"/>
    </xf>
    <xf numFmtId="164" fontId="5" fillId="0" borderId="1" xfId="1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164" fontId="10" fillId="0" borderId="1" xfId="1" applyNumberFormat="1" applyFont="1" applyFill="1" applyBorder="1" applyAlignment="1">
      <alignment horizontal="right" vertical="center"/>
    </xf>
    <xf numFmtId="164" fontId="10" fillId="0" borderId="1" xfId="1" applyNumberFormat="1" applyFont="1" applyFill="1" applyBorder="1" applyAlignment="1">
      <alignment horizontal="center" vertical="center" wrapText="1"/>
    </xf>
    <xf numFmtId="164" fontId="15" fillId="0" borderId="1" xfId="1" applyNumberFormat="1" applyFont="1" applyFill="1" applyBorder="1" applyAlignment="1">
      <alignment horizontal="center" vertical="center" wrapText="1"/>
    </xf>
    <xf numFmtId="164" fontId="7" fillId="3" borderId="1" xfId="1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164" fontId="5" fillId="0" borderId="1" xfId="1" applyNumberFormat="1" applyFont="1" applyFill="1" applyBorder="1" applyAlignment="1">
      <alignment horizontal="center" vertical="center"/>
    </xf>
    <xf numFmtId="164" fontId="10" fillId="0" borderId="1" xfId="1" applyNumberFormat="1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left" vertical="center" wrapText="1"/>
    </xf>
    <xf numFmtId="0" fontId="7" fillId="2" borderId="6" xfId="0" applyFont="1" applyFill="1" applyBorder="1" applyAlignment="1">
      <alignment horizontal="left" vertical="center" wrapText="1"/>
    </xf>
    <xf numFmtId="0" fontId="15" fillId="3" borderId="8" xfId="0" applyFont="1" applyFill="1" applyBorder="1" applyAlignment="1">
      <alignment horizontal="center" vertical="center" wrapText="1"/>
    </xf>
    <xf numFmtId="9" fontId="0" fillId="2" borderId="5" xfId="2" applyFont="1" applyFill="1" applyBorder="1" applyAlignment="1">
      <alignment horizontal="right" vertical="center"/>
    </xf>
    <xf numFmtId="9" fontId="0" fillId="2" borderId="8" xfId="2" applyFont="1" applyFill="1" applyBorder="1" applyAlignment="1">
      <alignment horizontal="right" vertical="center"/>
    </xf>
    <xf numFmtId="9" fontId="0" fillId="2" borderId="6" xfId="2" applyFont="1" applyFill="1" applyBorder="1" applyAlignment="1">
      <alignment horizontal="right" vertical="center"/>
    </xf>
    <xf numFmtId="9" fontId="10" fillId="2" borderId="5" xfId="2" applyFont="1" applyFill="1" applyBorder="1" applyAlignment="1">
      <alignment horizontal="right" vertical="center"/>
    </xf>
    <xf numFmtId="9" fontId="10" fillId="2" borderId="8" xfId="2" applyFont="1" applyFill="1" applyBorder="1" applyAlignment="1">
      <alignment horizontal="right" vertical="center"/>
    </xf>
    <xf numFmtId="9" fontId="10" fillId="2" borderId="6" xfId="2" applyFont="1" applyFill="1" applyBorder="1" applyAlignment="1">
      <alignment horizontal="right" vertical="center"/>
    </xf>
    <xf numFmtId="9" fontId="10" fillId="15" borderId="5" xfId="2" applyFont="1" applyFill="1" applyBorder="1" applyAlignment="1">
      <alignment horizontal="right" vertical="center"/>
    </xf>
    <xf numFmtId="9" fontId="10" fillId="15" borderId="8" xfId="2" applyFont="1" applyFill="1" applyBorder="1" applyAlignment="1">
      <alignment horizontal="right" vertical="center"/>
    </xf>
    <xf numFmtId="9" fontId="10" fillId="15" borderId="6" xfId="2" applyFont="1" applyFill="1" applyBorder="1" applyAlignment="1">
      <alignment horizontal="right" vertical="center"/>
    </xf>
    <xf numFmtId="9" fontId="10" fillId="13" borderId="5" xfId="2" applyFont="1" applyFill="1" applyBorder="1" applyAlignment="1">
      <alignment horizontal="right" vertical="center"/>
    </xf>
    <xf numFmtId="9" fontId="10" fillId="13" borderId="6" xfId="2" applyFont="1" applyFill="1" applyBorder="1" applyAlignment="1">
      <alignment horizontal="right" vertical="center"/>
    </xf>
    <xf numFmtId="9" fontId="0" fillId="15" borderId="5" xfId="2" applyFont="1" applyFill="1" applyBorder="1" applyAlignment="1">
      <alignment horizontal="right" vertical="center"/>
    </xf>
    <xf numFmtId="9" fontId="0" fillId="15" borderId="8" xfId="2" applyFont="1" applyFill="1" applyBorder="1" applyAlignment="1">
      <alignment horizontal="right" vertical="center"/>
    </xf>
    <xf numFmtId="9" fontId="0" fillId="15" borderId="6" xfId="2" applyFont="1" applyFill="1" applyBorder="1" applyAlignment="1">
      <alignment horizontal="right" vertical="center"/>
    </xf>
    <xf numFmtId="9" fontId="10" fillId="13" borderId="1" xfId="2" applyFont="1" applyFill="1" applyBorder="1" applyAlignment="1">
      <alignment horizontal="right" vertical="center"/>
    </xf>
    <xf numFmtId="0" fontId="2" fillId="0" borderId="0" xfId="0" applyFont="1" applyAlignment="1">
      <alignment horizontal="center"/>
    </xf>
    <xf numFmtId="0" fontId="13" fillId="5" borderId="10" xfId="0" applyFont="1" applyFill="1" applyBorder="1" applyAlignment="1">
      <alignment horizontal="center" vertical="center" wrapText="1"/>
    </xf>
    <xf numFmtId="0" fontId="13" fillId="5" borderId="0" xfId="0" applyFont="1" applyFill="1" applyBorder="1" applyAlignment="1">
      <alignment horizontal="center" vertical="center" wrapText="1"/>
    </xf>
    <xf numFmtId="164" fontId="0" fillId="13" borderId="1" xfId="1" applyNumberFormat="1" applyFont="1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164" fontId="10" fillId="13" borderId="5" xfId="1" applyNumberFormat="1" applyFont="1" applyFill="1" applyBorder="1" applyAlignment="1">
      <alignment horizontal="right" vertical="center"/>
    </xf>
    <xf numFmtId="164" fontId="10" fillId="13" borderId="6" xfId="1" applyNumberFormat="1" applyFont="1" applyFill="1" applyBorder="1" applyAlignment="1">
      <alignment horizontal="right" vertical="center"/>
    </xf>
    <xf numFmtId="9" fontId="10" fillId="0" borderId="5" xfId="2" applyFont="1" applyFill="1" applyBorder="1" applyAlignment="1">
      <alignment horizontal="right" vertical="center"/>
    </xf>
    <xf numFmtId="9" fontId="10" fillId="0" borderId="6" xfId="2" applyFont="1" applyFill="1" applyBorder="1" applyAlignment="1">
      <alignment horizontal="right" vertical="center"/>
    </xf>
    <xf numFmtId="164" fontId="10" fillId="2" borderId="5" xfId="1" applyNumberFormat="1" applyFont="1" applyFill="1" applyBorder="1" applyAlignment="1">
      <alignment horizontal="right" vertical="center"/>
    </xf>
    <xf numFmtId="164" fontId="10" fillId="2" borderId="6" xfId="1" applyNumberFormat="1" applyFont="1" applyFill="1" applyBorder="1" applyAlignment="1">
      <alignment horizontal="right" vertical="center"/>
    </xf>
    <xf numFmtId="164" fontId="0" fillId="13" borderId="5" xfId="1" applyNumberFormat="1" applyFont="1" applyFill="1" applyBorder="1" applyAlignment="1">
      <alignment horizontal="center" vertical="center"/>
    </xf>
    <xf numFmtId="164" fontId="0" fillId="13" borderId="8" xfId="1" applyNumberFormat="1" applyFont="1" applyFill="1" applyBorder="1" applyAlignment="1">
      <alignment horizontal="center" vertical="center"/>
    </xf>
    <xf numFmtId="164" fontId="0" fillId="13" borderId="6" xfId="1" applyNumberFormat="1" applyFont="1" applyFill="1" applyBorder="1" applyAlignment="1">
      <alignment horizontal="center" vertical="center"/>
    </xf>
    <xf numFmtId="0" fontId="0" fillId="13" borderId="5" xfId="0" applyFill="1" applyBorder="1" applyAlignment="1">
      <alignment horizontal="center" vertical="center"/>
    </xf>
    <xf numFmtId="0" fontId="0" fillId="13" borderId="8" xfId="0" applyFill="1" applyBorder="1" applyAlignment="1">
      <alignment horizontal="center" vertical="center"/>
    </xf>
    <xf numFmtId="0" fontId="0" fillId="13" borderId="6" xfId="0" applyFill="1" applyBorder="1" applyAlignment="1">
      <alignment horizontal="center" vertical="center"/>
    </xf>
    <xf numFmtId="164" fontId="11" fillId="13" borderId="5" xfId="1" applyNumberFormat="1" applyFont="1" applyFill="1" applyBorder="1" applyAlignment="1">
      <alignment horizontal="center" vertical="center"/>
    </xf>
    <xf numFmtId="164" fontId="11" fillId="13" borderId="8" xfId="1" applyNumberFormat="1" applyFont="1" applyFill="1" applyBorder="1" applyAlignment="1">
      <alignment horizontal="center" vertical="center"/>
    </xf>
    <xf numFmtId="164" fontId="11" fillId="13" borderId="6" xfId="1" applyNumberFormat="1" applyFont="1" applyFill="1" applyBorder="1" applyAlignment="1">
      <alignment horizontal="center" vertical="center"/>
    </xf>
    <xf numFmtId="9" fontId="0" fillId="13" borderId="5" xfId="2" applyFont="1" applyFill="1" applyBorder="1" applyAlignment="1">
      <alignment horizontal="right" vertical="center"/>
    </xf>
    <xf numFmtId="9" fontId="0" fillId="13" borderId="8" xfId="2" applyFont="1" applyFill="1" applyBorder="1" applyAlignment="1">
      <alignment horizontal="right" vertical="center"/>
    </xf>
    <xf numFmtId="9" fontId="0" fillId="13" borderId="6" xfId="2" applyFont="1" applyFill="1" applyBorder="1" applyAlignment="1">
      <alignment horizontal="right" vertical="center"/>
    </xf>
    <xf numFmtId="9" fontId="11" fillId="0" borderId="5" xfId="2" applyFont="1" applyBorder="1" applyAlignment="1">
      <alignment horizontal="center" vertical="center"/>
    </xf>
    <xf numFmtId="9" fontId="11" fillId="0" borderId="8" xfId="2" applyFont="1" applyBorder="1" applyAlignment="1">
      <alignment horizontal="center" vertical="center"/>
    </xf>
    <xf numFmtId="9" fontId="11" fillId="0" borderId="6" xfId="2" applyFont="1" applyBorder="1" applyAlignment="1">
      <alignment horizontal="center" vertical="center"/>
    </xf>
    <xf numFmtId="0" fontId="0" fillId="15" borderId="5" xfId="0" applyFill="1" applyBorder="1" applyAlignment="1">
      <alignment horizontal="center" vertical="center"/>
    </xf>
    <xf numFmtId="0" fontId="0" fillId="15" borderId="8" xfId="0" applyFill="1" applyBorder="1" applyAlignment="1">
      <alignment horizontal="center" vertical="center"/>
    </xf>
    <xf numFmtId="0" fontId="0" fillId="15" borderId="6" xfId="0" applyFill="1" applyBorder="1" applyAlignment="1">
      <alignment horizontal="center" vertical="center"/>
    </xf>
    <xf numFmtId="164" fontId="10" fillId="15" borderId="5" xfId="1" applyNumberFormat="1" applyFont="1" applyFill="1" applyBorder="1" applyAlignment="1">
      <alignment horizontal="right" vertical="center"/>
    </xf>
    <xf numFmtId="164" fontId="10" fillId="15" borderId="8" xfId="1" applyNumberFormat="1" applyFont="1" applyFill="1" applyBorder="1" applyAlignment="1">
      <alignment horizontal="right" vertical="center"/>
    </xf>
    <xf numFmtId="164" fontId="10" fillId="15" borderId="6" xfId="1" applyNumberFormat="1" applyFont="1" applyFill="1" applyBorder="1" applyAlignment="1">
      <alignment horizontal="right" vertical="center"/>
    </xf>
    <xf numFmtId="164" fontId="0" fillId="15" borderId="5" xfId="1" applyNumberFormat="1" applyFont="1" applyFill="1" applyBorder="1" applyAlignment="1">
      <alignment horizontal="right" vertical="center"/>
    </xf>
    <xf numFmtId="164" fontId="0" fillId="15" borderId="8" xfId="1" applyNumberFormat="1" applyFont="1" applyFill="1" applyBorder="1" applyAlignment="1">
      <alignment horizontal="right" vertical="center"/>
    </xf>
    <xf numFmtId="164" fontId="0" fillId="15" borderId="6" xfId="1" applyNumberFormat="1" applyFont="1" applyFill="1" applyBorder="1" applyAlignment="1">
      <alignment horizontal="right" vertical="center"/>
    </xf>
    <xf numFmtId="164" fontId="0" fillId="2" borderId="5" xfId="1" applyNumberFormat="1" applyFont="1" applyFill="1" applyBorder="1" applyAlignment="1">
      <alignment horizontal="right" vertical="center"/>
    </xf>
    <xf numFmtId="164" fontId="0" fillId="2" borderId="8" xfId="1" applyNumberFormat="1" applyFont="1" applyFill="1" applyBorder="1" applyAlignment="1">
      <alignment horizontal="right" vertical="center"/>
    </xf>
    <xf numFmtId="164" fontId="0" fillId="2" borderId="6" xfId="1" applyNumberFormat="1" applyFont="1" applyFill="1" applyBorder="1" applyAlignment="1">
      <alignment horizontal="right" vertical="center"/>
    </xf>
    <xf numFmtId="164" fontId="10" fillId="10" borderId="5" xfId="1" applyNumberFormat="1" applyFont="1" applyFill="1" applyBorder="1" applyAlignment="1">
      <alignment horizontal="right" vertical="center"/>
    </xf>
    <xf numFmtId="164" fontId="10" fillId="10" borderId="6" xfId="1" applyNumberFormat="1" applyFont="1" applyFill="1" applyBorder="1" applyAlignment="1">
      <alignment horizontal="right" vertical="center"/>
    </xf>
    <xf numFmtId="9" fontId="10" fillId="10" borderId="5" xfId="2" applyFont="1" applyFill="1" applyBorder="1" applyAlignment="1">
      <alignment horizontal="right" vertical="center"/>
    </xf>
    <xf numFmtId="9" fontId="10" fillId="10" borderId="6" xfId="2" applyFont="1" applyFill="1" applyBorder="1" applyAlignment="1">
      <alignment horizontal="right" vertical="center"/>
    </xf>
    <xf numFmtId="164" fontId="0" fillId="10" borderId="5" xfId="1" applyNumberFormat="1" applyFont="1" applyFill="1" applyBorder="1" applyAlignment="1">
      <alignment horizontal="center" vertical="center"/>
    </xf>
    <xf numFmtId="164" fontId="0" fillId="10" borderId="6" xfId="1" applyNumberFormat="1" applyFont="1" applyFill="1" applyBorder="1" applyAlignment="1">
      <alignment horizontal="center" vertical="center"/>
    </xf>
    <xf numFmtId="0" fontId="0" fillId="10" borderId="5" xfId="0" applyFill="1" applyBorder="1" applyAlignment="1">
      <alignment horizontal="center" vertical="center"/>
    </xf>
    <xf numFmtId="0" fontId="0" fillId="10" borderId="6" xfId="0" applyFill="1" applyBorder="1" applyAlignment="1">
      <alignment horizontal="center" vertical="center"/>
    </xf>
    <xf numFmtId="164" fontId="11" fillId="10" borderId="5" xfId="1" applyNumberFormat="1" applyFont="1" applyFill="1" applyBorder="1" applyAlignment="1">
      <alignment horizontal="center" vertical="center"/>
    </xf>
    <xf numFmtId="164" fontId="11" fillId="10" borderId="6" xfId="1" applyNumberFormat="1" applyFont="1" applyFill="1" applyBorder="1" applyAlignment="1">
      <alignment horizontal="center" vertical="center"/>
    </xf>
    <xf numFmtId="9" fontId="15" fillId="0" borderId="5" xfId="2" applyFont="1" applyFill="1" applyBorder="1" applyAlignment="1">
      <alignment horizontal="right" vertical="center"/>
    </xf>
    <xf numFmtId="9" fontId="15" fillId="0" borderId="6" xfId="2" applyFont="1" applyFill="1" applyBorder="1" applyAlignment="1">
      <alignment horizontal="right" vertical="center"/>
    </xf>
    <xf numFmtId="164" fontId="0" fillId="14" borderId="5" xfId="1" applyNumberFormat="1" applyFont="1" applyFill="1" applyBorder="1" applyAlignment="1">
      <alignment horizontal="center" vertical="center"/>
    </xf>
    <xf numFmtId="164" fontId="0" fillId="14" borderId="6" xfId="1" applyNumberFormat="1" applyFont="1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164" fontId="10" fillId="14" borderId="5" xfId="1" applyNumberFormat="1" applyFont="1" applyFill="1" applyBorder="1" applyAlignment="1">
      <alignment horizontal="right" vertical="center"/>
    </xf>
    <xf numFmtId="164" fontId="10" fillId="14" borderId="6" xfId="1" applyNumberFormat="1" applyFont="1" applyFill="1" applyBorder="1" applyAlignment="1">
      <alignment horizontal="right" vertical="center"/>
    </xf>
    <xf numFmtId="9" fontId="10" fillId="14" borderId="5" xfId="2" applyFont="1" applyFill="1" applyBorder="1" applyAlignment="1">
      <alignment horizontal="right" vertical="center"/>
    </xf>
    <xf numFmtId="9" fontId="10" fillId="14" borderId="6" xfId="2" applyFont="1" applyFill="1" applyBorder="1" applyAlignment="1">
      <alignment horizontal="right" vertical="center"/>
    </xf>
    <xf numFmtId="164" fontId="0" fillId="14" borderId="8" xfId="1" applyNumberFormat="1" applyFont="1" applyFill="1" applyBorder="1" applyAlignment="1">
      <alignment horizontal="center" vertical="center"/>
    </xf>
    <xf numFmtId="0" fontId="0" fillId="14" borderId="5" xfId="0" applyFill="1" applyBorder="1" applyAlignment="1">
      <alignment horizontal="center" vertical="center"/>
    </xf>
    <xf numFmtId="0" fontId="0" fillId="14" borderId="8" xfId="0" applyFill="1" applyBorder="1" applyAlignment="1">
      <alignment horizontal="center" vertical="center"/>
    </xf>
    <xf numFmtId="0" fontId="0" fillId="14" borderId="6" xfId="0" applyFill="1" applyBorder="1" applyAlignment="1">
      <alignment horizontal="center" vertical="center"/>
    </xf>
    <xf numFmtId="9" fontId="0" fillId="14" borderId="5" xfId="2" applyFont="1" applyFill="1" applyBorder="1" applyAlignment="1">
      <alignment horizontal="right" vertical="center"/>
    </xf>
    <xf numFmtId="9" fontId="0" fillId="14" borderId="8" xfId="2" applyFont="1" applyFill="1" applyBorder="1" applyAlignment="1">
      <alignment horizontal="right" vertical="center"/>
    </xf>
    <xf numFmtId="9" fontId="0" fillId="14" borderId="6" xfId="2" applyFont="1" applyFill="1" applyBorder="1" applyAlignment="1">
      <alignment horizontal="right" vertical="center"/>
    </xf>
    <xf numFmtId="9" fontId="0" fillId="0" borderId="5" xfId="2" applyFont="1" applyBorder="1" applyAlignment="1">
      <alignment horizontal="right" vertical="center"/>
    </xf>
    <xf numFmtId="9" fontId="0" fillId="0" borderId="8" xfId="2" applyFont="1" applyBorder="1" applyAlignment="1">
      <alignment horizontal="right" vertical="center"/>
    </xf>
    <xf numFmtId="164" fontId="10" fillId="2" borderId="5" xfId="1" applyNumberFormat="1" applyFont="1" applyFill="1" applyBorder="1" applyAlignment="1">
      <alignment horizontal="center" vertical="center"/>
    </xf>
    <xf numFmtId="9" fontId="0" fillId="3" borderId="5" xfId="2" applyFont="1" applyFill="1" applyBorder="1" applyAlignment="1">
      <alignment horizontal="right" vertical="center"/>
    </xf>
    <xf numFmtId="9" fontId="0" fillId="3" borderId="6" xfId="2" applyFont="1" applyFill="1" applyBorder="1" applyAlignment="1">
      <alignment horizontal="right" vertical="center"/>
    </xf>
    <xf numFmtId="164" fontId="10" fillId="15" borderId="5" xfId="1" applyNumberFormat="1" applyFont="1" applyFill="1" applyBorder="1" applyAlignment="1">
      <alignment horizontal="center" vertical="center"/>
    </xf>
    <xf numFmtId="9" fontId="10" fillId="15" borderId="5" xfId="2" applyFont="1" applyFill="1" applyBorder="1" applyAlignment="1">
      <alignment horizontal="center" vertical="center"/>
    </xf>
    <xf numFmtId="9" fontId="10" fillId="15" borderId="8" xfId="2" applyFont="1" applyFill="1" applyBorder="1" applyAlignment="1">
      <alignment horizontal="center" vertical="center"/>
    </xf>
    <xf numFmtId="9" fontId="10" fillId="15" borderId="6" xfId="2" applyFont="1" applyFill="1" applyBorder="1" applyAlignment="1">
      <alignment horizontal="center" vertical="center"/>
    </xf>
  </cellXfs>
  <cellStyles count="17">
    <cellStyle name="60% - Accent3 2" xfId="13"/>
    <cellStyle name="Comma" xfId="1" builtinId="3"/>
    <cellStyle name="Comma 10 4" xfId="5"/>
    <cellStyle name="Comma 2" xfId="4"/>
    <cellStyle name="Comma 3" xfId="15"/>
    <cellStyle name="Hyperlink 2" xfId="6"/>
    <cellStyle name="Normal" xfId="0" builtinId="0"/>
    <cellStyle name="Normal 107" xfId="7"/>
    <cellStyle name="Normal 107 2" xfId="9"/>
    <cellStyle name="Normal 107 2 2 2" xfId="10"/>
    <cellStyle name="Normal 2" xfId="11"/>
    <cellStyle name="Normal 2 2" xfId="12"/>
    <cellStyle name="Normal 3" xfId="14"/>
    <cellStyle name="Normal 4 2" xfId="3"/>
    <cellStyle name="Normal 6 4 2" xfId="8"/>
    <cellStyle name="Percent" xfId="2" builtinId="5"/>
    <cellStyle name="Percent 2" xfId="16"/>
  </cellStyles>
  <dxfs count="36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FF0000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9" tint="0.59996337778862885"/>
        </patternFill>
      </fill>
    </dxf>
    <dxf>
      <font>
        <color rgb="FF0070C0"/>
      </font>
      <fill>
        <patternFill patternType="solid">
          <bgColor theme="4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0000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</font>
      <fill>
        <patternFill>
          <bgColor theme="5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</font>
      <fill>
        <patternFill>
          <bgColor theme="5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</font>
      <fill>
        <patternFill>
          <bgColor theme="5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</font>
      <fill>
        <patternFill>
          <bgColor theme="5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</font>
      <fill>
        <patternFill>
          <bgColor theme="5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</font>
      <fill>
        <patternFill>
          <bgColor theme="5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</font>
      <fill>
        <patternFill>
          <bgColor theme="5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</font>
      <fill>
        <patternFill>
          <bgColor theme="5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</font>
      <fill>
        <patternFill>
          <bgColor theme="5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</font>
      <fill>
        <patternFill>
          <bgColor theme="5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</font>
      <fill>
        <patternFill>
          <bgColor theme="5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</font>
      <fill>
        <patternFill>
          <bgColor theme="5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</font>
      <fill>
        <patternFill>
          <bgColor theme="5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</font>
      <fill>
        <patternFill>
          <bgColor theme="5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</font>
      <fill>
        <patternFill>
          <bgColor theme="5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</font>
      <fill>
        <patternFill>
          <bgColor theme="5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</font>
      <fill>
        <patternFill>
          <bgColor theme="5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</font>
      <fill>
        <patternFill>
          <bgColor theme="5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</font>
      <fill>
        <patternFill>
          <bgColor theme="5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</font>
      <fill>
        <patternFill>
          <bgColor theme="5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</font>
      <fill>
        <patternFill>
          <bgColor theme="5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</font>
      <fill>
        <patternFill>
          <bgColor theme="5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</font>
      <fill>
        <patternFill>
          <bgColor theme="5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</font>
      <fill>
        <patternFill>
          <bgColor theme="5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</font>
      <fill>
        <patternFill>
          <bgColor theme="5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</font>
      <fill>
        <patternFill>
          <bgColor theme="5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</font>
      <fill>
        <patternFill>
          <bgColor theme="5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</font>
      <fill>
        <patternFill>
          <bgColor theme="5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</font>
      <fill>
        <patternFill>
          <bgColor theme="5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</font>
      <fill>
        <patternFill>
          <bgColor theme="5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</font>
      <fill>
        <patternFill>
          <bgColor theme="5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</font>
      <fill>
        <patternFill>
          <bgColor theme="5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</font>
      <fill>
        <patternFill>
          <bgColor theme="5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strike/>
      </font>
      <fill>
        <patternFill>
          <bgColor theme="5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strike/>
      </font>
      <fill>
        <patternFill>
          <bgColor theme="5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</font>
      <fill>
        <patternFill>
          <bgColor theme="5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</font>
      <fill>
        <patternFill>
          <bgColor theme="5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</font>
      <fill>
        <patternFill>
          <bgColor theme="5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</font>
      <fill>
        <patternFill>
          <bgColor theme="5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</font>
      <fill>
        <patternFill>
          <bgColor theme="5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</font>
      <fill>
        <patternFill>
          <bgColor theme="5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strike/>
      </font>
      <fill>
        <patternFill>
          <bgColor theme="5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</font>
      <fill>
        <patternFill>
          <bgColor theme="5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</font>
      <fill>
        <patternFill>
          <bgColor theme="5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</font>
      <fill>
        <patternFill>
          <bgColor theme="5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</font>
      <fill>
        <patternFill>
          <bgColor theme="5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</font>
      <fill>
        <patternFill>
          <bgColor theme="5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</font>
      <fill>
        <patternFill>
          <bgColor theme="5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00FF"/>
      </font>
      <fill>
        <patternFill>
          <bgColor rgb="FF00FFFF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00FF"/>
      </font>
      <fill>
        <patternFill>
          <bgColor rgb="FF00FFFF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00FF"/>
      </font>
      <fill>
        <patternFill>
          <bgColor rgb="FF00FFFF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00FF"/>
      </font>
      <fill>
        <patternFill>
          <bgColor rgb="FF00FFFF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00FF"/>
      </font>
      <fill>
        <patternFill>
          <bgColor rgb="FF00FFFF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00FF"/>
      </font>
      <fill>
        <patternFill>
          <bgColor rgb="FF00FF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00FF"/>
      </font>
      <fill>
        <patternFill>
          <bgColor rgb="FF00FFFF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00FF"/>
      </font>
      <fill>
        <patternFill>
          <bgColor rgb="FF00FFFF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00FF"/>
      </font>
      <fill>
        <patternFill>
          <bgColor rgb="FF00FFFF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00FF"/>
      </font>
      <fill>
        <patternFill>
          <bgColor rgb="FF00FFFF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00FF"/>
      </font>
      <fill>
        <patternFill>
          <bgColor rgb="FF00FF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</font>
      <fill>
        <patternFill>
          <bgColor theme="5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</font>
      <fill>
        <patternFill>
          <bgColor theme="5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</font>
      <fill>
        <patternFill>
          <bgColor theme="5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</font>
      <fill>
        <patternFill>
          <bgColor theme="5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</font>
      <fill>
        <patternFill>
          <bgColor theme="5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</font>
      <fill>
        <patternFill>
          <bgColor theme="5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</font>
      <fill>
        <patternFill>
          <bgColor theme="5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</font>
      <fill>
        <patternFill>
          <bgColor theme="5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</font>
      <fill>
        <patternFill>
          <bgColor theme="5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</font>
      <fill>
        <patternFill>
          <bgColor theme="5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</font>
      <fill>
        <patternFill>
          <bgColor theme="5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</font>
      <fill>
        <patternFill>
          <bgColor theme="5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</font>
      <fill>
        <patternFill>
          <bgColor theme="5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</font>
      <fill>
        <patternFill>
          <bgColor theme="5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</font>
      <fill>
        <patternFill>
          <bgColor theme="5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1B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1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6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4.xml"/><Relationship Id="rId37" Type="http://schemas.openxmlformats.org/officeDocument/2006/relationships/externalLink" Target="externalLinks/externalLink9.xml"/><Relationship Id="rId40" Type="http://schemas.openxmlformats.org/officeDocument/2006/relationships/externalLink" Target="externalLinks/externalLink12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3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2.xml"/><Relationship Id="rId35" Type="http://schemas.openxmlformats.org/officeDocument/2006/relationships/externalLink" Target="externalLinks/externalLink7.xml"/><Relationship Id="rId43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5.xml"/><Relationship Id="rId38" Type="http://schemas.openxmlformats.org/officeDocument/2006/relationships/externalLink" Target="externalLinks/externalLink10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3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638175</xdr:colOff>
          <xdr:row>1</xdr:row>
          <xdr:rowOff>476250</xdr:rowOff>
        </xdr:to>
        <xdr:sp macro="" textlink="">
          <xdr:nvSpPr>
            <xdr:cNvPr id="47105" name="Object 1" hidden="1">
              <a:extLst>
                <a:ext uri="{63B3BB69-23CF-44E3-9099-C40C66FF867C}">
                  <a14:compatExt spid="_x0000_s4710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</xdr:row>
          <xdr:rowOff>0</xdr:rowOff>
        </xdr:from>
        <xdr:to>
          <xdr:col>2</xdr:col>
          <xdr:colOff>914400</xdr:colOff>
          <xdr:row>3</xdr:row>
          <xdr:rowOff>685800</xdr:rowOff>
        </xdr:to>
        <xdr:sp macro="" textlink="">
          <xdr:nvSpPr>
            <xdr:cNvPr id="47107" name="Object 3" hidden="1">
              <a:extLst>
                <a:ext uri="{63B3BB69-23CF-44E3-9099-C40C66FF867C}">
                  <a14:compatExt spid="_x0000_s4710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</xdr:row>
          <xdr:rowOff>0</xdr:rowOff>
        </xdr:from>
        <xdr:to>
          <xdr:col>2</xdr:col>
          <xdr:colOff>914400</xdr:colOff>
          <xdr:row>3</xdr:row>
          <xdr:rowOff>95250</xdr:rowOff>
        </xdr:to>
        <xdr:sp macro="" textlink="">
          <xdr:nvSpPr>
            <xdr:cNvPr id="47108" name="Object 4" hidden="1">
              <a:extLst>
                <a:ext uri="{63B3BB69-23CF-44E3-9099-C40C66FF867C}">
                  <a14:compatExt spid="_x0000_s4710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582703</xdr:colOff>
      <xdr:row>11</xdr:row>
      <xdr:rowOff>26893</xdr:rowOff>
    </xdr:from>
    <xdr:to>
      <xdr:col>6</xdr:col>
      <xdr:colOff>112059</xdr:colOff>
      <xdr:row>19</xdr:row>
      <xdr:rowOff>143448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2703" y="1827118"/>
          <a:ext cx="6301631" cy="1411955"/>
        </a:xfrm>
        <a:prstGeom prst="rect">
          <a:avLst/>
        </a:prstGeom>
      </xdr:spPr>
    </xdr:pic>
    <xdr:clientData/>
  </xdr:twoCellAnchor>
  <xdr:twoCellAnchor editAs="oneCell">
    <xdr:from>
      <xdr:col>1</xdr:col>
      <xdr:colOff>22412</xdr:colOff>
      <xdr:row>1</xdr:row>
      <xdr:rowOff>60064</xdr:rowOff>
    </xdr:from>
    <xdr:to>
      <xdr:col>5</xdr:col>
      <xdr:colOff>132946</xdr:colOff>
      <xdr:row>8</xdr:row>
      <xdr:rowOff>45720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2962" y="221989"/>
          <a:ext cx="5568359" cy="111913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31.248.81.7\www\Inetpub\www\cisco\user\j-phone\011203\osaka\JPW1108-pu-Redundan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31.248.81.7\www\docs\config\shi-dir\J-phone\config\shiryo\2001-10-16\amsktrouter\JPW1016-ko-amsktrouter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ericsson.sharepoint.com\Sunil-Ericsson\Projects\2017\CWP\LLD\CEE+HDS\Deliver\references\UNICA\ME_HDS_CEE_LLD_PA3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ericsson.sharepoint.com\Users\egirsan\Desktop\017%20NFVi%20R5\LLD\NFVI%20R5%20LLD_21052018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ericsson.sharepoint.com\Users\egavkja\Desktop\Projects\Telstra_Media_Cloud\Clayton_Production\Media-Data%20Centre-MASTER%20Rack%20Elevations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ericoll.internal.ericsson.com\sites\BUSS_DU_Cloude_Management\Documents\Cumulus%20-%20Documentation\ECM%20CPI%20CRAM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jpsynt006\group\Documents%20and%20Settings\nrjnoir\Local%20Settings\Temporary%20Internet%20Files\OLK28\Traffic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ericsson.sharepoint.com\Anand\Ericsson\Projects\CWC_Panama\LLD\references\Telstra\Clayton%20DC-Sandpit-Cabling%20Matrix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omura\tmp\&#36196;&#12385;&#12419;&#12435;&#26412;&#33303;\&#20181;&#27096;&#26360;\&#65290;&#65298;&#65298;&#65296;&#26356;&#26032;&#23550;&#35937;&#32773;&#20986;&#21147;\&#65296;&#65296;&#20181;&#27096;&#26360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Xc13_1\a\&#20303;&#21830;&#12486;&#12461;&#12473;&#12479;&#12452;&#12523;\&#30011;&#38754;&#12524;&#12452;&#12450;&#12454;&#12488;\&#65305;&#65298;&#65301;&#33655;&#20027;&#37096;&#35506;&#12467;&#12540;&#12489;&#23550;&#24540;&#12510;&#12473;&#12479;&#12522;&#12473;&#12488;&#20316;&#25104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inhlq1/AppData/Local/Microsoft/Windows/INetCache/Content.Outlook/UX1MX03B/Quy%20hoach%20vEPC_Update%202024_v3_2025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inhlq1/AppData/Local/Microsoft/Windows/INetCache/Content.Outlook/UX1MX03B/Chi%20tiet%20tai%20nguyen%20VNM_W51.2024%20(002)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inhlq1/Downloads/IP_pool__IMS_Peak_day_crosstab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表紙"/>
      <sheetName val="概要"/>
      <sheetName val="事前作業"/>
      <sheetName val="作業体制図"/>
      <sheetName val="ﾋﾟｺＢＳ"/>
      <sheetName val="??"/>
      <sheetName val="APN"/>
      <sheetName val="Interface"/>
      <sheetName val="Reference Values"/>
      <sheetName val="IMS_Sol_Interface"/>
      <sheetName val="iuu over ip"/>
      <sheetName val="入力"/>
      <sheetName val="iuc over ip"/>
      <sheetName val="o&amp;m"/>
      <sheetName val="Packet Filtering - GG01PQE"/>
      <sheetName val="IP Plan"/>
      <sheetName val="Overview"/>
      <sheetName val="rnc master"/>
      <sheetName val="Reference_Values"/>
      <sheetName val="iuu_over_ip"/>
    </sheetNames>
    <sheetDataSet>
      <sheetData sheetId="0">
        <row r="18">
          <cell r="B18" t="str">
            <v>pu-ko-wanrt-a</v>
          </cell>
        </row>
      </sheetData>
      <sheetData sheetId="1" refreshError="1">
        <row r="18">
          <cell r="B18" t="str">
            <v>pu-ko-wanrt-a</v>
          </cell>
          <cell r="D18" t="str">
            <v>pu-qfh-wanrt-a</v>
          </cell>
        </row>
        <row r="19">
          <cell r="B19" t="str">
            <v>pu-ko-lanrt-a</v>
          </cell>
          <cell r="D19" t="str">
            <v>pu-qfh-lanrt-a</v>
          </cell>
        </row>
      </sheetData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表紙"/>
      <sheetName val="概要"/>
      <sheetName val="schedule"/>
      <sheetName val="作業体制図"/>
      <sheetName val="amsktrouter01"/>
      <sheetName val="amsktrouter02"/>
      <sheetName val="??"/>
      <sheetName val="APN"/>
      <sheetName val="Menus"/>
      <sheetName val="M3UA Associations"/>
      <sheetName val="subrack0 power on"/>
      <sheetName val="手配管理'96"/>
      <sheetName val="packet filtering - gg01pqe"/>
      <sheetName val="Dev Team capacity"/>
      <sheetName val="画面レイアウト"/>
      <sheetName val="table of contents"/>
      <sheetName val="iuc over ip"/>
      <sheetName val="o&amp;m"/>
      <sheetName val="M3UA_Associations"/>
      <sheetName val="subrack0_power_on"/>
    </sheetNames>
    <sheetDataSet>
      <sheetData sheetId="0">
        <row r="20">
          <cell r="B20" t="str">
            <v>amsktrouter01</v>
          </cell>
        </row>
      </sheetData>
      <sheetData sheetId="1" refreshError="1">
        <row r="20">
          <cell r="B20" t="str">
            <v>amsktrouter01</v>
          </cell>
        </row>
        <row r="21">
          <cell r="B21" t="str">
            <v>amsktrouter02</v>
          </cell>
        </row>
      </sheetData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EPC"/>
      <sheetName val="BDS"/>
      <sheetName val="CEE"/>
      <sheetName val="BNS"/>
      <sheetName val="ECM"/>
      <sheetName val="HDS"/>
      <sheetName val="Cover"/>
      <sheetName val="Table_of_Contents"/>
      <sheetName val="Applications"/>
      <sheetName val="Device_Name_Convention"/>
      <sheetName val="Swisscom_Networking_Assignments"/>
      <sheetName val="EAS_Switch_VLANS"/>
      <sheetName val="CCM"/>
      <sheetName val="HDS_Rack_Layout_BEI_LAB"/>
      <sheetName val="BEI_LAB_Environment_Info"/>
      <sheetName val="BEI_LAB_HDS_Rack_1_Layout"/>
      <sheetName val="BEI_LAB_HDS_Rack_2_Layout"/>
      <sheetName val="BEI_LAB_(MC)-LAG_Assignments"/>
      <sheetName val="Ports_BEI_LAB"/>
      <sheetName val="Install_Guide"/>
      <sheetName val="BEI_LAB_VLAN_Map"/>
      <sheetName val="BEI_LAB_VLAN_Detail"/>
      <sheetName val="BEI_Hostnames"/>
      <sheetName val="BEI_LAB_IP_External"/>
      <sheetName val="BEI_LAB_IP_Internal"/>
      <sheetName val="CCM_BEI_LAB_vPODs"/>
      <sheetName val="BEI_LAB_EAS_Config"/>
      <sheetName val="BEI_LAB_NRU_Config"/>
      <sheetName val="BEI_LAB_CEE_YAML"/>
      <sheetName val="HDS_Rack_Layout_ZHB_LAB"/>
      <sheetName val="ZHB_LAB_Environment_Info"/>
      <sheetName val="ZHB_LAB_HDS_Rack_1_Layout"/>
      <sheetName val="ZHB_LAB_HDS_Rack_2_Layout"/>
      <sheetName val="ZHB_LAB_(MC)-LAG_Assignments"/>
      <sheetName val="Ports_ZHB_LAB"/>
      <sheetName val="ZHB_LAB_VLAN_Map"/>
      <sheetName val="ZHB_LAB_VLAN_Detail"/>
      <sheetName val="ZHB_LAB_IP_External"/>
      <sheetName val="ZHB_LAB_IP_Internal"/>
      <sheetName val="CCM_ZHB_LAB_vPODs"/>
      <sheetName val="ZHB_LAB_CEE_YAML"/>
      <sheetName val="ZHB_LAB_NRU_Config"/>
      <sheetName val="ZHB_LAB_EAS_Config"/>
      <sheetName val="HDS_Rack_Layout_ZHB_Prod"/>
      <sheetName val="ZHB_PROD_VLAN_Map"/>
      <sheetName val="CCM_ZHB_PROD_vPODs"/>
      <sheetName val="HDS_Rack_Layout_LSS_Prod"/>
      <sheetName val="HDS_Rack_Layout_LSS_Prod_old"/>
      <sheetName val="LSS_PROD_VLAN_Map"/>
      <sheetName val="CCM_LSS_PROD_vPODs"/>
      <sheetName val="Cable_Types"/>
      <sheetName val="BoM"/>
      <sheetName val="Ports"/>
      <sheetName val="Equipment_Overview"/>
      <sheetName val="Sheet8"/>
      <sheetName val="CSU_Types"/>
      <sheetName val="Document_Sign-Off"/>
      <sheetName val="Q&amp;A_Open"/>
      <sheetName val="Inputs_&amp;_Outputs"/>
      <sheetName val="TLS_Certificates"/>
      <sheetName val="Work_In_Progress"/>
      <sheetName val="Table of Contents"/>
      <sheetName val="Device Name Convention"/>
      <sheetName val="Swisscom Networking Assignments"/>
      <sheetName val="EAS Switch VLANS"/>
      <sheetName val="HDS Rack Layout BEI LAB"/>
      <sheetName val="BEI_LAB Environment Info"/>
      <sheetName val="BEI_LAB HDS Rack 1 Layout"/>
      <sheetName val="BEI_LAB HDS Rack 2 Layout"/>
      <sheetName val="BEI_LAB (MC)-LAG Assignments"/>
      <sheetName val="Ports BEI_LAB"/>
      <sheetName val="Install Guide"/>
      <sheetName val="BEI LAB VLAN Map"/>
      <sheetName val="BEI LAB VLAN Detail"/>
      <sheetName val="BEI_LAB IP External"/>
      <sheetName val="BEI_LAB IP Internal"/>
      <sheetName val="CCM BEI_LAB vPODs"/>
      <sheetName val="HDS Rack Layout ZHB LAB"/>
      <sheetName val="ZHB_LAB Environment Info"/>
      <sheetName val="ZHB_LAB HDS Rack 1 Layout"/>
      <sheetName val="ZHB_LAB HDS Rack 2 Layout"/>
      <sheetName val="ZHB_LAB (MC)-LAG Assignments"/>
      <sheetName val="Ports ZHB_LAB"/>
      <sheetName val="ZHB LAB VLAN Map"/>
      <sheetName val="ZHB LAB VLAN Detail"/>
      <sheetName val="ZHB_LAB IP External"/>
      <sheetName val="ZHB_LAB IP Internal"/>
      <sheetName val="CCM ZHB_LAB vPODs"/>
      <sheetName val="HDS Rack Layout ZHB Prod"/>
      <sheetName val="ZHB PROD VLAN Map"/>
      <sheetName val="CCM ZHB_PROD vPODs"/>
      <sheetName val="HDS Rack Layout LSS Prod"/>
      <sheetName val="HDS Rack Layout LSS Prod_old"/>
      <sheetName val="LSS PROD VLAN Map"/>
      <sheetName val="CCM LSS_PROD vPODs"/>
      <sheetName val="Equipment Overview"/>
      <sheetName val="Document Sign-Off"/>
      <sheetName val="Q&amp;A Open"/>
      <sheetName val="Inputs &amp; Outputs"/>
      <sheetName val="TLS Certificates"/>
      <sheetName val="Work In Progress"/>
      <sheetName val="Info"/>
      <sheetName val="Table_of_Contents1"/>
      <sheetName val="Device_Name_Convention1"/>
      <sheetName val="Swisscom_Networking_Assignment1"/>
      <sheetName val="EAS_Switch_VLANS1"/>
      <sheetName val="HDS_Rack_Layout_BEI_LAB1"/>
      <sheetName val="BEI_LAB_Environment_Info1"/>
      <sheetName val="BEI_LAB_HDS_Rack_1_Layout1"/>
      <sheetName val="BEI_LAB_HDS_Rack_2_Layout1"/>
      <sheetName val="BEI_LAB_(MC)-LAG_Assignments1"/>
      <sheetName val="Ports_BEI_LAB1"/>
      <sheetName val="Install_Guide1"/>
      <sheetName val="BEI_LAB_VLAN_Map1"/>
      <sheetName val="BEI_LAB_VLAN_Detail1"/>
      <sheetName val="BEI_LAB_IP_External1"/>
      <sheetName val="BEI_LAB_IP_Internal1"/>
      <sheetName val="CCM_BEI_LAB_vPODs1"/>
      <sheetName val="HDS_Rack_Layout_ZHB_LAB1"/>
      <sheetName val="ZHB_LAB_Environment_Info1"/>
      <sheetName val="ZHB_LAB_HDS_Rack_1_Layout1"/>
      <sheetName val="ZHB_LAB_HDS_Rack_2_Layout1"/>
      <sheetName val="ZHB_LAB_(MC)-LAG_Assignments1"/>
      <sheetName val="Ports_ZHB_LAB1"/>
      <sheetName val="ZHB_LAB_VLAN_Map1"/>
      <sheetName val="ZHB_LAB_VLAN_Detail1"/>
      <sheetName val="ZHB_LAB_IP_External1"/>
      <sheetName val="ZHB_LAB_IP_Internal1"/>
      <sheetName val="CCM_ZHB_LAB_vPODs1"/>
      <sheetName val="HDS_Rack_Layout_ZHB_Prod1"/>
      <sheetName val="ZHB_PROD_VLAN_Map1"/>
      <sheetName val="CCM_ZHB_PROD_vPODs1"/>
      <sheetName val="HDS_Rack_Layout_LSS_Prod1"/>
      <sheetName val="HDS_Rack_Layout_LSS_Prod_old1"/>
      <sheetName val="LSS_PROD_VLAN_Map1"/>
      <sheetName val="CCM_LSS_PROD_vPODs1"/>
      <sheetName val="Equipment_Overview1"/>
      <sheetName val="Document_Sign-Off1"/>
      <sheetName val="Q&amp;A_Open1"/>
      <sheetName val="Inputs_&amp;_Outputs1"/>
      <sheetName val="TLS_Certificates1"/>
      <sheetName val="Work_In_Progress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/>
      <sheetData sheetId="24"/>
      <sheetData sheetId="25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/>
      <sheetData sheetId="54" refreshError="1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Table of Contents"/>
      <sheetName val="Prerequisites "/>
      <sheetName val="Hardware"/>
      <sheetName val="Software Versions"/>
      <sheetName val="Network Diagram"/>
      <sheetName val="Port Allocation"/>
      <sheetName val="IP Plan (L2)"/>
      <sheetName val="IP Plan (L3)"/>
      <sheetName val="VLAN_VXLAN Plan"/>
      <sheetName val="Login Details"/>
      <sheetName val="CEE CIQ"/>
      <sheetName val="vPOD 1- CEE"/>
      <sheetName val="vPOD1 - CEE Initial Config"/>
      <sheetName val="vPOD 1- CEE - Config.yaml"/>
      <sheetName val="vPOD 2- ECM"/>
      <sheetName val="vPOD 3- Storage"/>
      <sheetName val="NRU"/>
      <sheetName val="EAS"/>
      <sheetName val="DC-GW"/>
      <sheetName val="Table_of_Contents"/>
      <sheetName val="Prerequisites_"/>
      <sheetName val="Software_Versions"/>
      <sheetName val="Network_Diagram"/>
      <sheetName val="Port_Allocation"/>
      <sheetName val="IP_Plan_(L2)"/>
      <sheetName val="IP_Plan_(L3)"/>
      <sheetName val="VLAN_VXLAN_Plan"/>
      <sheetName val="Login_Details"/>
      <sheetName val="CEE_CIQ"/>
      <sheetName val="vPOD_1-_CEE"/>
      <sheetName val="vPOD1_-_CEE_Initial_Config"/>
      <sheetName val="vPOD_1-_CEE_-_Config_yaml"/>
      <sheetName val="vPOD_2-_ECM"/>
      <sheetName val="vPOD_3-_Storag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ck Summary"/>
      <sheetName val="DC Cabling Overview"/>
      <sheetName val="Version"/>
      <sheetName val="STL - All racks "/>
      <sheetName val="STL - Floor Plan"/>
      <sheetName val="CLYT-All Racks"/>
      <sheetName val="CLYT-Floor PLan"/>
      <sheetName val="DVN2-STL-Prod-Racks"/>
      <sheetName val="HE2.5-STL-Prod-Racks"/>
      <sheetName val="MC-CLYT-Sandpit Racks"/>
      <sheetName val="DVN2-CLYT-Prod-Racks"/>
      <sheetName val="HE2.5-CLYT-Model-Racks"/>
      <sheetName val="HE2.5-Encoder Cabling"/>
      <sheetName val="HE2.5-Growth Numbers"/>
      <sheetName val="Device Details"/>
      <sheetName val="Power Summary"/>
      <sheetName val="Lookup-Naming"/>
      <sheetName val="Infra Naming Standard"/>
      <sheetName val="Equipment Specs"/>
      <sheetName val="Ericsson data sheet"/>
      <sheetName val="Rack_Summary"/>
      <sheetName val="DC_Cabling_Overview"/>
      <sheetName val="STL_-_All_racks_"/>
      <sheetName val="STL_-_Floor_Plan"/>
      <sheetName val="CLYT-All_Racks"/>
      <sheetName val="CLYT-Floor_PLan"/>
      <sheetName val="HE2_5-STL-Prod-Racks"/>
      <sheetName val="MC-CLYT-Sandpit_Racks"/>
      <sheetName val="HE2_5-CLYT-Model-Racks"/>
      <sheetName val="HE2_5-Encoder_Cabling"/>
      <sheetName val="HE2_5-Growth_Numbers"/>
      <sheetName val="Device_Details"/>
      <sheetName val="Power_Summary"/>
      <sheetName val="Infra_Naming_Standard"/>
      <sheetName val="Equipment_Specs"/>
      <sheetName val="Ericsson_data_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 Sprint Plan"/>
      <sheetName val="Dev Team capacity"/>
      <sheetName val="Sheet1"/>
      <sheetName val="Sheet2"/>
      <sheetName val="R2.1 Plan of Record (Scen.1)"/>
      <sheetName val="R2.1 Scanario 2"/>
      <sheetName val="R2.1 Scanario 3"/>
      <sheetName val="R2.2 Scenario 1"/>
      <sheetName val="R2.2 Scenario 2"/>
      <sheetName val="R2.2 Scenario 3 "/>
      <sheetName val="1996 Actuals"/>
      <sheetName val="1997 BUDGET"/>
      <sheetName val="1997 OVF"/>
      <sheetName val="Master_Sprint_Plan"/>
      <sheetName val="Dev_Team_capacity"/>
      <sheetName val="R2_1_Plan_of_Record_(Scen_1)"/>
      <sheetName val="R2_1_Scanario_2"/>
      <sheetName val="R2_1_Scanario_3"/>
      <sheetName val="R2_2_Scenario_1"/>
      <sheetName val="R2_2_Scenario_2"/>
      <sheetName val="R2_2_Scenario_3_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ision"/>
      <sheetName val="Deliveries"/>
      <sheetName val="TrafModel"/>
      <sheetName val="Voice"/>
      <sheetName val="VMS"/>
      <sheetName val="SMS"/>
      <sheetName val="SMS Roam"/>
      <sheetName val="NWC ISUP Sign"/>
      <sheetName val="NWC ISUP User"/>
      <sheetName val="NWC ISUP Red"/>
      <sheetName val="Cir per SL"/>
      <sheetName val="FNR con"/>
      <sheetName val="FNR"/>
      <sheetName val="NWC Voice"/>
      <sheetName val="HLR con"/>
      <sheetName val="HLR"/>
      <sheetName val="AUC"/>
      <sheetName val="GMSC"/>
      <sheetName val="TRA"/>
      <sheetName val="APT"/>
      <sheetName val="DTI"/>
      <sheetName val="MSC_SMS"/>
      <sheetName val="EIR"/>
      <sheetName val="SCP"/>
      <sheetName val="ATM"/>
      <sheetName val="RAN Router"/>
      <sheetName val="Router"/>
      <sheetName val="CCC"/>
      <sheetName val="HUBs"/>
      <sheetName val="DNS-FW"/>
      <sheetName val="GSN"/>
      <sheetName val="PDC"/>
      <sheetName val="PDC_FNR"/>
      <sheetName val="Node Config"/>
      <sheetName val="LIF"/>
      <sheetName val="R1-R2"/>
      <sheetName val="Parameters"/>
      <sheetName val="SMS_Roam"/>
      <sheetName val="NWC_ISUP_Sign"/>
      <sheetName val="NWC_ISUP_User"/>
      <sheetName val="NWC_ISUP_Red"/>
      <sheetName val="Cir_per_SL"/>
      <sheetName val="FNR_con"/>
      <sheetName val="NWC_Voice"/>
      <sheetName val="HLR_con"/>
      <sheetName val="RAN_Router"/>
      <sheetName val="Node_Config"/>
      <sheetName val="Engine"/>
      <sheetName val="概要"/>
      <sheetName val="SMS_Roam1"/>
      <sheetName val="NWC_ISUP_Sign1"/>
      <sheetName val="NWC_ISUP_User1"/>
      <sheetName val="NWC_ISUP_Red1"/>
      <sheetName val="Cir_per_SL1"/>
      <sheetName val="FNR_con1"/>
      <sheetName val="NWC_Voice1"/>
      <sheetName val="HLR_con1"/>
      <sheetName val="RAN_Router1"/>
      <sheetName val="Node_Config1"/>
      <sheetName val="SMS_Roam2"/>
      <sheetName val="NWC_ISUP_Sign2"/>
      <sheetName val="NWC_ISUP_User2"/>
      <sheetName val="NWC_ISUP_Red2"/>
      <sheetName val="Cir_per_SL2"/>
      <sheetName val="FNR_con2"/>
      <sheetName val="NWC_Voice2"/>
      <sheetName val="HLR_con2"/>
      <sheetName val="RAN_Router2"/>
      <sheetName val="Node_Config2"/>
      <sheetName val="content"/>
      <sheetName val="Traffic"/>
      <sheetName val="各種変数設定"/>
      <sheetName val="m3ua configuration"/>
      <sheetName val="NodeNames &amp; Equipment"/>
      <sheetName val="SMS_Roam3"/>
      <sheetName val="NWC_ISUP_Sign3"/>
      <sheetName val="NWC_ISUP_User3"/>
      <sheetName val="NWC_ISUP_Red3"/>
      <sheetName val="Cir_per_SL3"/>
      <sheetName val="FNR_con3"/>
      <sheetName val="NWC_Voice3"/>
      <sheetName val="HLR_con3"/>
      <sheetName val="RAN_Router3"/>
      <sheetName val="Node_Config3"/>
      <sheetName val="SMS_Roam4"/>
      <sheetName val="NWC_ISUP_Sign4"/>
      <sheetName val="NWC_ISUP_User4"/>
      <sheetName val="NWC_ISUP_Red4"/>
      <sheetName val="Cir_per_SL4"/>
      <sheetName val="FNR_con4"/>
      <sheetName val="NWC_Voice4"/>
      <sheetName val="HLR_con4"/>
      <sheetName val="RAN_Router4"/>
      <sheetName val="Node_Config4"/>
      <sheetName val="SMS_Roam5"/>
      <sheetName val="NWC_ISUP_Sign5"/>
      <sheetName val="NWC_ISUP_User5"/>
      <sheetName val="NWC_ISUP_Red5"/>
      <sheetName val="Cir_per_SL5"/>
      <sheetName val="FNR_con5"/>
      <sheetName val="NWC_Voice5"/>
      <sheetName val="HLR_con5"/>
      <sheetName val="RAN_Router5"/>
      <sheetName val="Node_Config5"/>
      <sheetName val="SMS_Roam6"/>
      <sheetName val="NWC_ISUP_Sign6"/>
      <sheetName val="NWC_ISUP_User6"/>
      <sheetName val="NWC_ISUP_Red6"/>
      <sheetName val="Cir_per_SL6"/>
      <sheetName val="FNR_con6"/>
      <sheetName val="NWC_Voice6"/>
      <sheetName val="HLR_con6"/>
      <sheetName val="RAN_Router6"/>
      <sheetName val="Node_Config6"/>
      <sheetName val="MLTs"/>
      <sheetName val="SMS_Roam7"/>
      <sheetName val="NWC_ISUP_Sign7"/>
      <sheetName val="NWC_ISUP_User7"/>
      <sheetName val="NWC_ISUP_Red7"/>
      <sheetName val="Cir_per_SL7"/>
      <sheetName val="FNR_con7"/>
      <sheetName val="NWC_Voice7"/>
      <sheetName val="HLR_con7"/>
      <sheetName val="RAN_Router7"/>
      <sheetName val="Node_Config7"/>
      <sheetName val="SMS_Roam8"/>
      <sheetName val="NWC_ISUP_Sign8"/>
      <sheetName val="NWC_ISUP_User8"/>
      <sheetName val="NWC_ISUP_Red8"/>
      <sheetName val="Cir_per_SL8"/>
      <sheetName val="FNR_con8"/>
      <sheetName val="NWC_Voice8"/>
      <sheetName val="HLR_con8"/>
      <sheetName val="RAN_Router8"/>
      <sheetName val="Node_Config8"/>
      <sheetName val="table of contents"/>
      <sheetName val="status"/>
      <sheetName val=".着工届"/>
      <sheetName val="naming convention"/>
      <sheetName val="Lookup-Naming"/>
      <sheetName val="Device Name &amp; Location"/>
      <sheetName val="iuu over ip"/>
      <sheetName val="Interface"/>
      <sheetName val="Reference Values"/>
      <sheetName val="IMS_Sol_Interface"/>
      <sheetName val="SMS_Roam9"/>
      <sheetName val="NWC_ISUP_Sign9"/>
      <sheetName val="NWC_ISUP_User9"/>
      <sheetName val="NWC_ISUP_Red9"/>
      <sheetName val="Cir_per_SL9"/>
      <sheetName val="FNR_con9"/>
      <sheetName val="NWC_Voice9"/>
      <sheetName val="HLR_con9"/>
      <sheetName val="RAN_Router9"/>
      <sheetName val="Node_Config9"/>
      <sheetName val="SMS_Roam10"/>
      <sheetName val="NWC_ISUP_Sign10"/>
      <sheetName val="NWC_ISUP_User10"/>
      <sheetName val="NWC_ISUP_Red10"/>
      <sheetName val="Cir_per_SL10"/>
      <sheetName val="FNR_con10"/>
      <sheetName val="NWC_Voice10"/>
      <sheetName val="HLR_con10"/>
      <sheetName val="RAN_Router10"/>
      <sheetName val="Node_Config10"/>
      <sheetName val="iuc over ip"/>
      <sheetName val="o&amp;m"/>
      <sheetName val="Packet Filtering - GG01PQE"/>
      <sheetName val="m3ua_configuration"/>
      <sheetName val="NodeNames_&amp;_Equipmen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>
        <row r="12">
          <cell r="C12">
            <v>261000</v>
          </cell>
        </row>
        <row r="15">
          <cell r="C15">
            <v>321000</v>
          </cell>
        </row>
        <row r="18">
          <cell r="C18">
            <v>555000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>
        <row r="12">
          <cell r="C12">
            <v>261000</v>
          </cell>
        </row>
      </sheetData>
      <sheetData sheetId="44"/>
      <sheetData sheetId="45"/>
      <sheetData sheetId="46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>
        <row r="12">
          <cell r="C12">
            <v>261000</v>
          </cell>
        </row>
      </sheetData>
      <sheetData sheetId="55">
        <row r="12">
          <cell r="C12">
            <v>261000</v>
          </cell>
        </row>
      </sheetData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>
        <row r="12">
          <cell r="C12">
            <v>261000</v>
          </cell>
        </row>
      </sheetData>
      <sheetData sheetId="65">
        <row r="12">
          <cell r="C12">
            <v>261000</v>
          </cell>
        </row>
      </sheetData>
      <sheetData sheetId="66"/>
      <sheetData sheetId="67"/>
      <sheetData sheetId="68"/>
      <sheetData sheetId="69" refreshError="1"/>
      <sheetData sheetId="70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>
        <row r="12">
          <cell r="C12">
            <v>261000</v>
          </cell>
        </row>
      </sheetData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 refreshError="1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>
        <row r="12">
          <cell r="C12">
            <v>261000</v>
          </cell>
        </row>
      </sheetData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 refreshError="1"/>
      <sheetData sheetId="166" refreshError="1"/>
      <sheetData sheetId="167" refreshError="1"/>
      <sheetData sheetId="168"/>
      <sheetData sheetId="169"/>
      <sheetData sheetId="17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view"/>
      <sheetName val="Cabling Matrix"/>
      <sheetName val="Device Name &amp; Location"/>
      <sheetName val="Console OOB"/>
      <sheetName val="Cabling_Matrix"/>
      <sheetName val="Device_Name_&amp;_Location"/>
      <sheetName val="Console_OOB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画面レイアウト"/>
      <sheetName val="laroux"/>
      <sheetName val="仕様書"/>
      <sheetName val="白紙"/>
      <sheetName val="プリントレイアウト"/>
      <sheetName val="入力項目検査仕様"/>
      <sheetName val="項目編集仕様 "/>
      <sheetName val="入力_x0000__x0000__x0000_最仕様"/>
      <sheetName val="項目編集仕様_"/>
      <sheetName val="入力???最仕様"/>
      <sheetName val="入力"/>
      <sheetName val="リスト"/>
      <sheetName val="項目編集仕様_1"/>
      <sheetName val="使い方"/>
      <sheetName val="施工図目次"/>
      <sheetName val="NS材料調書6-1"/>
      <sheetName val="emg"/>
      <sheetName val="完成"/>
      <sheetName val="空心線ロス測定"/>
      <sheetName val="ｼｽﾃﾑ"/>
      <sheetName val="ＤＶ"/>
      <sheetName val="集計"/>
      <sheetName val="設計"/>
      <sheetName val="値リスト"/>
      <sheetName val="Packet Filtering - GG01PQE"/>
      <sheetName val="APN"/>
      <sheetName val="項目編集仕様_2"/>
      <sheetName val="項目編集仕様_3"/>
      <sheetName val="Supporting"/>
      <sheetName val="ip addressing master"/>
      <sheetName val="概要"/>
      <sheetName val="Hardware Interface Ass."/>
      <sheetName val="Rack to RR"/>
      <sheetName val="Hostnames"/>
      <sheetName val="mgw"/>
      <sheetName val="Inputs"/>
      <sheetName val="Overheads"/>
      <sheetName val="m3ua configuration"/>
      <sheetName val="App1 - HW for UNICA I Platf "/>
      <sheetName val="App. 2 - HW for Tenant "/>
      <sheetName val="App. 3 - SW"/>
      <sheetName val="App.4 - Components for Tenants"/>
      <sheetName val="項目編集仕様_4"/>
      <sheetName val="項目編集仕様_5"/>
      <sheetName val="項目編集仕様_6"/>
      <sheetName val="項目編集仕様_7"/>
      <sheetName val="ﾘｽﾄ"/>
      <sheetName val="様式1別紙-1申込み様式"/>
      <sheetName val="設定"/>
      <sheetName val="Interface"/>
      <sheetName val="項目編集仕様_8"/>
      <sheetName val="項目編集仕様_9"/>
      <sheetName val="lista de precios"/>
      <sheetName val="NWC Voice"/>
      <sheetName val="Applications"/>
      <sheetName val="cover "/>
      <sheetName val="項目編集仕様_10"/>
      <sheetName val="項目編集仕様_11"/>
      <sheetName val="table of contents"/>
      <sheetName val="Hardware Development"/>
      <sheetName val="Ficha de Proyecto"/>
      <sheetName val="Packet_Filtering_-_GG01PQE"/>
      <sheetName val="ip_addressing_master"/>
      <sheetName val="Hardware_Interface_Ass_"/>
      <sheetName val="Rack_to_RR"/>
      <sheetName val="m3ua_configuration"/>
      <sheetName val="App1_-_HW_for_UNICA_I_Platf_"/>
      <sheetName val="App__2_-_HW_for_Tenant_"/>
      <sheetName val="App__3_-_SW"/>
      <sheetName val="App_4_-_Components_for_Tenants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画面レイアウト"/>
      <sheetName val="D"/>
      <sheetName val="1"/>
      <sheetName val="2"/>
      <sheetName val="得意先"/>
      <sheetName val="仕入先"/>
      <sheetName val="住所"/>
      <sheetName val="ｾｰﾙｽ"/>
      <sheetName val="商品"/>
      <sheetName val="お届先"/>
      <sheetName val="ﾒｰｶｰ"/>
      <sheetName val="倉庫"/>
      <sheetName val="部門別ｾｰﾙｽ目標"/>
      <sheetName val="ﾋﾞｼﾞﾈｽ別ｾｰﾙｽ目標"/>
      <sheetName val="製品分類"/>
      <sheetName val="扱い単位"/>
      <sheetName val="品番別売価識別ﾗﾝｸ"/>
      <sheetName val="分類別売価識別ﾗﾝｸ"/>
      <sheetName val="売上価格"/>
      <sheetName val="新旧振替品番"/>
      <sheetName val="得意先別掛率"/>
      <sheetName val="品番別ﾃﾞｨｰﾗｰ特値"/>
      <sheetName val="分類別ﾃﾞｨｰﾗｰ特値"/>
      <sheetName val="分類別仕入価格補正"/>
      <sheetName val="出荷取込"/>
      <sheetName val="仕入元取込"/>
      <sheetName val="入荷取込"/>
      <sheetName val="入出荷履歴取込"/>
      <sheetName val="入出荷在庫取込"/>
      <sheetName val="他ﾒｰｶｰ在庫取込"/>
      <sheetName val="得意先DEL"/>
      <sheetName val="仕入先DEL"/>
      <sheetName val="商品DEL"/>
      <sheetName val="お届先DEL"/>
      <sheetName val="扱い単位DEL"/>
      <sheetName val="分類別売価識別ﾗﾝｸDEL"/>
      <sheetName val="売上価格DEL"/>
      <sheetName val="得意先別掛率DEL"/>
      <sheetName val="KROS営業所変換DEL"/>
      <sheetName val="KROS用得意先DEL"/>
      <sheetName val="取引先ﾏｽﾀ"/>
      <sheetName val="取引先追加ﾏｽﾀ"/>
      <sheetName val="回収情報ﾏｽﾀ"/>
      <sheetName val="回収情報追加ﾏｽﾀ"/>
      <sheetName val="支払情報ﾏｽﾀ"/>
      <sheetName val="リスト"/>
      <sheetName val="NS材料調書6-1"/>
      <sheetName val="９２５荷主部課コード対応マスタリスト作成"/>
      <sheetName val="表紙"/>
      <sheetName val="ペンディング事項及び仕様変更履歴"/>
      <sheetName val="目次"/>
      <sheetName val="（画面）機能概要"/>
      <sheetName val="（画面）処理説明"/>
      <sheetName val="（STP）機能概要"/>
      <sheetName val="(STP) 処理説明"/>
      <sheetName val="(STP) DB更新仕様"/>
      <sheetName val="(STP) DB更新仕様 (web)"/>
      <sheetName val="出荷完了データ入力仕様"/>
      <sheetName val="参照"/>
      <sheetName val="沖電気埋め殺しリスト"/>
      <sheetName val="lista de precios"/>
      <sheetName val="Packet Filtering - GG01PQE"/>
      <sheetName val="APN"/>
      <sheetName val="List"/>
      <sheetName val="NWC Voice"/>
      <sheetName val="概要"/>
      <sheetName val="ip site sw"/>
      <sheetName val="Ficha de Proyecto"/>
      <sheetName val="Device Name &amp; Location"/>
      <sheetName val="iuu over ip"/>
      <sheetName val="m3ua"/>
      <sheetName val="rnc master"/>
      <sheetName val="if calculation"/>
      <sheetName val="apps count"/>
      <sheetName val="(STP)_処理説明"/>
      <sheetName val="(STP)_DB更新仕様"/>
      <sheetName val="(STP)_DB更新仕様_(web)"/>
      <sheetName val="lista_de_precios"/>
      <sheetName val="Packet_Filtering_-_GG01PQE"/>
      <sheetName val="NWC_Voice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uy hoach"/>
      <sheetName val="SGSN-MME"/>
      <sheetName val="GGSN-PGW"/>
    </sheetNames>
    <sheetDataSet>
      <sheetData sheetId="0"/>
      <sheetData sheetId="1">
        <row r="7">
          <cell r="K7">
            <v>3300</v>
          </cell>
        </row>
        <row r="8">
          <cell r="K8">
            <v>3300</v>
          </cell>
        </row>
        <row r="9">
          <cell r="K9">
            <v>3300</v>
          </cell>
        </row>
        <row r="22">
          <cell r="K22">
            <v>33800</v>
          </cell>
        </row>
        <row r="50">
          <cell r="K50">
            <v>73500</v>
          </cell>
        </row>
      </sheetData>
      <sheetData sheetId="2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i tiết"/>
      <sheetName val="Tổng hợp"/>
      <sheetName val="Node MSC max tuan"/>
      <sheetName val="Sub MSC 7 ngay"/>
    </sheetNames>
    <sheetDataSet>
      <sheetData sheetId="0"/>
      <sheetData sheetId="1"/>
      <sheetData sheetId="2">
        <row r="2">
          <cell r="D2" t="str">
            <v>Vendor</v>
          </cell>
          <cell r="H2" t="str">
            <v>ATT 2G</v>
          </cell>
          <cell r="I2" t="str">
            <v>ATT 3G</v>
          </cell>
          <cell r="J2" t="str">
            <v>ATT 4G</v>
          </cell>
          <cell r="K2" t="str">
            <v>ATT 2G+3G+4G</v>
          </cell>
          <cell r="L2" t="str">
            <v>REG 2G</v>
          </cell>
          <cell r="M2" t="str">
            <v>REG 3G</v>
          </cell>
          <cell r="N2" t="str">
            <v>REG 4G</v>
          </cell>
          <cell r="O2" t="str">
            <v>REG 2G+3G+4G</v>
          </cell>
        </row>
        <row r="3">
          <cell r="D3" t="str">
            <v>Ericsson</v>
          </cell>
          <cell r="H3">
            <v>244421</v>
          </cell>
          <cell r="I3">
            <v>32432</v>
          </cell>
          <cell r="J3">
            <v>2751506</v>
          </cell>
          <cell r="K3">
            <v>3028359</v>
          </cell>
          <cell r="L3">
            <v>340325</v>
          </cell>
          <cell r="M3">
            <v>34906</v>
          </cell>
          <cell r="N3">
            <v>2751506</v>
          </cell>
          <cell r="O3">
            <v>3126737</v>
          </cell>
        </row>
        <row r="4">
          <cell r="D4" t="str">
            <v>Ericsson</v>
          </cell>
          <cell r="H4">
            <v>383843</v>
          </cell>
          <cell r="I4">
            <v>48451</v>
          </cell>
          <cell r="J4">
            <v>3570179</v>
          </cell>
          <cell r="K4">
            <v>4002473</v>
          </cell>
          <cell r="L4">
            <v>510004</v>
          </cell>
          <cell r="M4">
            <v>51763</v>
          </cell>
          <cell r="N4">
            <v>3570179</v>
          </cell>
          <cell r="O4">
            <v>4131946</v>
          </cell>
        </row>
        <row r="5">
          <cell r="D5" t="str">
            <v>Ericsson</v>
          </cell>
          <cell r="H5">
            <v>399649</v>
          </cell>
          <cell r="I5">
            <v>49766</v>
          </cell>
          <cell r="J5">
            <v>7856</v>
          </cell>
          <cell r="K5">
            <v>457271</v>
          </cell>
          <cell r="L5">
            <v>533783</v>
          </cell>
          <cell r="M5">
            <v>53088</v>
          </cell>
          <cell r="N5">
            <v>7856</v>
          </cell>
          <cell r="O5">
            <v>594727</v>
          </cell>
        </row>
        <row r="6">
          <cell r="D6" t="str">
            <v>Ericsson</v>
          </cell>
          <cell r="H6">
            <v>395659</v>
          </cell>
          <cell r="I6">
            <v>48244</v>
          </cell>
          <cell r="J6">
            <v>3626071</v>
          </cell>
          <cell r="K6">
            <v>4069974</v>
          </cell>
          <cell r="L6">
            <v>529768</v>
          </cell>
          <cell r="M6">
            <v>51633</v>
          </cell>
          <cell r="N6">
            <v>3626071</v>
          </cell>
          <cell r="O6">
            <v>4207472</v>
          </cell>
        </row>
        <row r="7">
          <cell r="D7" t="str">
            <v>Ericsson</v>
          </cell>
          <cell r="H7">
            <v>240638</v>
          </cell>
          <cell r="I7">
            <v>31760</v>
          </cell>
          <cell r="J7">
            <v>2628176</v>
          </cell>
          <cell r="K7">
            <v>2900574</v>
          </cell>
          <cell r="L7">
            <v>333449</v>
          </cell>
          <cell r="M7">
            <v>34101</v>
          </cell>
          <cell r="N7">
            <v>2628176</v>
          </cell>
          <cell r="O7">
            <v>2995726</v>
          </cell>
        </row>
        <row r="8">
          <cell r="D8" t="str">
            <v>Ericsson</v>
          </cell>
          <cell r="H8">
            <v>227543</v>
          </cell>
          <cell r="I8">
            <v>30888</v>
          </cell>
          <cell r="J8">
            <v>2564968</v>
          </cell>
          <cell r="K8">
            <v>2823399</v>
          </cell>
          <cell r="L8">
            <v>316282</v>
          </cell>
          <cell r="M8">
            <v>33293</v>
          </cell>
          <cell r="N8">
            <v>2564968</v>
          </cell>
          <cell r="O8">
            <v>2914543</v>
          </cell>
        </row>
        <row r="9">
          <cell r="D9" t="str">
            <v>Ericsson</v>
          </cell>
          <cell r="H9">
            <v>383754</v>
          </cell>
          <cell r="I9">
            <v>47898</v>
          </cell>
          <cell r="J9">
            <v>3474785</v>
          </cell>
          <cell r="K9">
            <v>3906437</v>
          </cell>
          <cell r="L9">
            <v>510758</v>
          </cell>
          <cell r="M9">
            <v>51143</v>
          </cell>
          <cell r="N9">
            <v>3474785</v>
          </cell>
          <cell r="O9">
            <v>4036686</v>
          </cell>
        </row>
        <row r="10">
          <cell r="D10" t="str">
            <v>Ericsson</v>
          </cell>
          <cell r="H10">
            <v>381945</v>
          </cell>
          <cell r="I10">
            <v>47399</v>
          </cell>
          <cell r="J10">
            <v>3582191</v>
          </cell>
          <cell r="K10">
            <v>4011535</v>
          </cell>
          <cell r="L10">
            <v>507182</v>
          </cell>
          <cell r="M10">
            <v>50610</v>
          </cell>
          <cell r="N10">
            <v>3582191</v>
          </cell>
          <cell r="O10">
            <v>4139983</v>
          </cell>
        </row>
        <row r="11">
          <cell r="D11" t="str">
            <v>Ericsson</v>
          </cell>
          <cell r="H11">
            <v>385855</v>
          </cell>
          <cell r="I11">
            <v>48389</v>
          </cell>
          <cell r="J11">
            <v>3622021</v>
          </cell>
          <cell r="K11">
            <v>4056265</v>
          </cell>
          <cell r="L11">
            <v>514680</v>
          </cell>
          <cell r="M11">
            <v>51726</v>
          </cell>
          <cell r="N11">
            <v>3622021</v>
          </cell>
          <cell r="O11">
            <v>4188427</v>
          </cell>
        </row>
        <row r="12">
          <cell r="D12" t="str">
            <v>Nokia</v>
          </cell>
          <cell r="H12">
            <v>82743</v>
          </cell>
          <cell r="I12">
            <v>0</v>
          </cell>
          <cell r="J12">
            <v>285688</v>
          </cell>
          <cell r="K12">
            <v>368431</v>
          </cell>
          <cell r="L12">
            <v>84697</v>
          </cell>
          <cell r="M12">
            <v>0</v>
          </cell>
          <cell r="N12">
            <v>292057</v>
          </cell>
          <cell r="O12">
            <v>376754</v>
          </cell>
        </row>
        <row r="13">
          <cell r="D13" t="str">
            <v>Nokia</v>
          </cell>
          <cell r="H13">
            <v>212971</v>
          </cell>
          <cell r="I13">
            <v>0</v>
          </cell>
          <cell r="J13">
            <v>923745</v>
          </cell>
          <cell r="K13">
            <v>1136716</v>
          </cell>
          <cell r="L13">
            <v>219203</v>
          </cell>
          <cell r="M13">
            <v>0</v>
          </cell>
          <cell r="N13">
            <v>946329</v>
          </cell>
          <cell r="O13">
            <v>1165532</v>
          </cell>
        </row>
        <row r="14">
          <cell r="D14" t="str">
            <v>Nokia</v>
          </cell>
          <cell r="H14">
            <v>217500</v>
          </cell>
          <cell r="I14">
            <v>0</v>
          </cell>
          <cell r="J14">
            <v>993934</v>
          </cell>
          <cell r="K14">
            <v>1211434</v>
          </cell>
          <cell r="L14">
            <v>224110</v>
          </cell>
          <cell r="M14">
            <v>0</v>
          </cell>
          <cell r="N14">
            <v>1019949</v>
          </cell>
          <cell r="O14">
            <v>1244059</v>
          </cell>
        </row>
        <row r="15">
          <cell r="D15" t="str">
            <v>Nokia</v>
          </cell>
          <cell r="H15">
            <v>217433</v>
          </cell>
          <cell r="I15">
            <v>0</v>
          </cell>
          <cell r="J15">
            <v>995864</v>
          </cell>
          <cell r="K15">
            <v>1213297</v>
          </cell>
          <cell r="L15">
            <v>223945</v>
          </cell>
          <cell r="M15">
            <v>0</v>
          </cell>
          <cell r="N15">
            <v>1021753</v>
          </cell>
          <cell r="O15">
            <v>1245698</v>
          </cell>
        </row>
        <row r="16">
          <cell r="D16" t="str">
            <v>Nokia</v>
          </cell>
          <cell r="H16">
            <v>75735</v>
          </cell>
          <cell r="I16">
            <v>758561</v>
          </cell>
          <cell r="J16">
            <v>765990</v>
          </cell>
          <cell r="K16">
            <v>1600286</v>
          </cell>
          <cell r="L16">
            <v>80518</v>
          </cell>
          <cell r="M16">
            <v>758561</v>
          </cell>
          <cell r="N16">
            <v>765990</v>
          </cell>
          <cell r="O16">
            <v>1605069</v>
          </cell>
        </row>
        <row r="17">
          <cell r="D17" t="str">
            <v>Nokia</v>
          </cell>
          <cell r="H17">
            <v>66641</v>
          </cell>
          <cell r="I17">
            <v>759680</v>
          </cell>
          <cell r="J17">
            <v>767713</v>
          </cell>
          <cell r="K17">
            <v>1594034</v>
          </cell>
          <cell r="L17">
            <v>71138</v>
          </cell>
          <cell r="M17">
            <v>759680</v>
          </cell>
          <cell r="N17">
            <v>767713</v>
          </cell>
          <cell r="O17">
            <v>1598531</v>
          </cell>
        </row>
        <row r="18">
          <cell r="D18" t="str">
            <v>Nokia</v>
          </cell>
          <cell r="H18">
            <v>103596</v>
          </cell>
          <cell r="I18">
            <v>802330</v>
          </cell>
          <cell r="J18">
            <v>807552</v>
          </cell>
          <cell r="K18">
            <v>1713478</v>
          </cell>
          <cell r="L18">
            <v>108849</v>
          </cell>
          <cell r="M18">
            <v>802330</v>
          </cell>
          <cell r="N18">
            <v>807552</v>
          </cell>
          <cell r="O18">
            <v>1718731</v>
          </cell>
        </row>
        <row r="19">
          <cell r="D19" t="str">
            <v>Nokia</v>
          </cell>
          <cell r="H19">
            <v>65210</v>
          </cell>
          <cell r="I19">
            <v>774623</v>
          </cell>
          <cell r="J19">
            <v>783096</v>
          </cell>
          <cell r="K19">
            <v>1622929</v>
          </cell>
          <cell r="L19">
            <v>69619</v>
          </cell>
          <cell r="M19">
            <v>774623</v>
          </cell>
          <cell r="N19">
            <v>783096</v>
          </cell>
          <cell r="O19">
            <v>1627338</v>
          </cell>
        </row>
        <row r="20">
          <cell r="D20" t="str">
            <v>Ericsson</v>
          </cell>
          <cell r="H20">
            <v>171352</v>
          </cell>
          <cell r="I20">
            <v>3055</v>
          </cell>
          <cell r="J20">
            <v>2000642</v>
          </cell>
          <cell r="K20">
            <v>2175049</v>
          </cell>
          <cell r="L20">
            <v>230827</v>
          </cell>
          <cell r="M20">
            <v>3564</v>
          </cell>
          <cell r="N20">
            <v>2000642</v>
          </cell>
          <cell r="O20">
            <v>2235033</v>
          </cell>
        </row>
        <row r="21">
          <cell r="D21" t="str">
            <v>Ericsson</v>
          </cell>
          <cell r="H21">
            <v>167052</v>
          </cell>
          <cell r="I21">
            <v>2840</v>
          </cell>
          <cell r="J21">
            <v>1963702</v>
          </cell>
          <cell r="K21">
            <v>2133594</v>
          </cell>
          <cell r="L21">
            <v>229113</v>
          </cell>
          <cell r="M21">
            <v>3309</v>
          </cell>
          <cell r="N21">
            <v>1963702</v>
          </cell>
          <cell r="O21">
            <v>2196124</v>
          </cell>
        </row>
        <row r="22">
          <cell r="D22" t="str">
            <v>Ericsson</v>
          </cell>
          <cell r="H22">
            <v>171582</v>
          </cell>
          <cell r="I22">
            <v>2954</v>
          </cell>
          <cell r="J22">
            <v>1961039</v>
          </cell>
          <cell r="K22">
            <v>2135575</v>
          </cell>
          <cell r="L22">
            <v>233473</v>
          </cell>
          <cell r="M22">
            <v>3435</v>
          </cell>
          <cell r="N22">
            <v>1961039</v>
          </cell>
          <cell r="O22">
            <v>2197947</v>
          </cell>
        </row>
        <row r="23">
          <cell r="D23" t="str">
            <v>Huawei</v>
          </cell>
          <cell r="H23">
            <v>467996</v>
          </cell>
          <cell r="I23">
            <v>4753</v>
          </cell>
          <cell r="J23">
            <v>0</v>
          </cell>
          <cell r="K23">
            <v>472749</v>
          </cell>
          <cell r="L23">
            <v>478899</v>
          </cell>
          <cell r="M23">
            <v>5076</v>
          </cell>
          <cell r="N23">
            <v>0</v>
          </cell>
          <cell r="O23">
            <v>483975</v>
          </cell>
        </row>
        <row r="24">
          <cell r="D24" t="str">
            <v>Huawei</v>
          </cell>
          <cell r="H24">
            <v>462829</v>
          </cell>
          <cell r="I24">
            <v>4671</v>
          </cell>
          <cell r="J24">
            <v>0</v>
          </cell>
          <cell r="K24">
            <v>467500</v>
          </cell>
          <cell r="L24">
            <v>473808</v>
          </cell>
          <cell r="M24">
            <v>4979</v>
          </cell>
          <cell r="N24">
            <v>0</v>
          </cell>
          <cell r="O24">
            <v>478787</v>
          </cell>
        </row>
        <row r="25">
          <cell r="D25" t="str">
            <v>Huawei</v>
          </cell>
          <cell r="H25">
            <v>469177</v>
          </cell>
          <cell r="I25">
            <v>4636</v>
          </cell>
          <cell r="J25">
            <v>0</v>
          </cell>
          <cell r="K25">
            <v>473813</v>
          </cell>
          <cell r="L25">
            <v>480725</v>
          </cell>
          <cell r="M25">
            <v>4939</v>
          </cell>
          <cell r="N25">
            <v>0</v>
          </cell>
          <cell r="O25">
            <v>485664</v>
          </cell>
        </row>
        <row r="26">
          <cell r="D26" t="str">
            <v>Huawei</v>
          </cell>
          <cell r="H26">
            <v>449247</v>
          </cell>
          <cell r="I26">
            <v>4516</v>
          </cell>
          <cell r="J26">
            <v>0</v>
          </cell>
          <cell r="K26">
            <v>453763</v>
          </cell>
          <cell r="L26">
            <v>459891</v>
          </cell>
          <cell r="M26">
            <v>4823</v>
          </cell>
          <cell r="N26">
            <v>0</v>
          </cell>
          <cell r="O26">
            <v>464714</v>
          </cell>
        </row>
        <row r="27">
          <cell r="D27" t="str">
            <v>VIETTEL</v>
          </cell>
          <cell r="H27">
            <v>511647</v>
          </cell>
          <cell r="I27">
            <v>4209</v>
          </cell>
          <cell r="J27">
            <v>25469</v>
          </cell>
          <cell r="K27">
            <v>541325</v>
          </cell>
          <cell r="L27">
            <v>523407</v>
          </cell>
          <cell r="M27">
            <v>4473</v>
          </cell>
          <cell r="N27">
            <v>25931</v>
          </cell>
          <cell r="O27">
            <v>553811</v>
          </cell>
        </row>
        <row r="28">
          <cell r="D28" t="str">
            <v>VIETTEL</v>
          </cell>
          <cell r="H28">
            <v>180920</v>
          </cell>
          <cell r="I28">
            <v>7245</v>
          </cell>
          <cell r="J28">
            <v>6236</v>
          </cell>
          <cell r="K28">
            <v>194401</v>
          </cell>
          <cell r="L28">
            <v>185517</v>
          </cell>
          <cell r="M28">
            <v>7561</v>
          </cell>
          <cell r="N28">
            <v>6355</v>
          </cell>
          <cell r="O28">
            <v>199433</v>
          </cell>
        </row>
        <row r="29">
          <cell r="D29" t="str">
            <v>VIETTEL</v>
          </cell>
          <cell r="H29">
            <v>487184</v>
          </cell>
          <cell r="I29">
            <v>4317</v>
          </cell>
          <cell r="J29">
            <v>24417</v>
          </cell>
          <cell r="K29">
            <v>515918</v>
          </cell>
          <cell r="L29">
            <v>497719</v>
          </cell>
          <cell r="M29">
            <v>4574</v>
          </cell>
          <cell r="N29">
            <v>24824</v>
          </cell>
          <cell r="O29">
            <v>527117</v>
          </cell>
        </row>
        <row r="30">
          <cell r="D30" t="str">
            <v>VIETTEL</v>
          </cell>
          <cell r="H30">
            <v>496034</v>
          </cell>
          <cell r="I30">
            <v>4193</v>
          </cell>
          <cell r="J30">
            <v>23915</v>
          </cell>
          <cell r="K30">
            <v>524142</v>
          </cell>
          <cell r="L30">
            <v>506564</v>
          </cell>
          <cell r="M30">
            <v>4456</v>
          </cell>
          <cell r="N30">
            <v>24312</v>
          </cell>
          <cell r="O30">
            <v>535332</v>
          </cell>
        </row>
        <row r="31">
          <cell r="D31" t="str">
            <v>VIETTEL</v>
          </cell>
          <cell r="H31">
            <v>510191</v>
          </cell>
          <cell r="I31">
            <v>4129</v>
          </cell>
          <cell r="J31">
            <v>22164</v>
          </cell>
          <cell r="K31">
            <v>536484</v>
          </cell>
          <cell r="L31">
            <v>522006</v>
          </cell>
          <cell r="M31">
            <v>4401</v>
          </cell>
          <cell r="N31">
            <v>22526</v>
          </cell>
          <cell r="O31">
            <v>548933</v>
          </cell>
        </row>
        <row r="32">
          <cell r="D32" t="str">
            <v>VIETTEL</v>
          </cell>
          <cell r="H32">
            <v>484251</v>
          </cell>
          <cell r="I32">
            <v>4197</v>
          </cell>
          <cell r="J32">
            <v>25142</v>
          </cell>
          <cell r="K32">
            <v>513590</v>
          </cell>
          <cell r="L32">
            <v>495198</v>
          </cell>
          <cell r="M32">
            <v>4450</v>
          </cell>
          <cell r="N32">
            <v>25596</v>
          </cell>
          <cell r="O32">
            <v>525244</v>
          </cell>
        </row>
        <row r="33">
          <cell r="D33" t="str">
            <v>VIETTEL</v>
          </cell>
          <cell r="H33">
            <v>501297</v>
          </cell>
          <cell r="I33">
            <v>4191</v>
          </cell>
          <cell r="J33">
            <v>25257</v>
          </cell>
          <cell r="K33">
            <v>530745</v>
          </cell>
          <cell r="L33">
            <v>512740</v>
          </cell>
          <cell r="M33">
            <v>4439</v>
          </cell>
          <cell r="N33">
            <v>25717</v>
          </cell>
          <cell r="O33">
            <v>542896</v>
          </cell>
        </row>
        <row r="34">
          <cell r="D34" t="str">
            <v>VIETTEL</v>
          </cell>
          <cell r="H34">
            <v>499097</v>
          </cell>
          <cell r="I34">
            <v>2482</v>
          </cell>
          <cell r="J34">
            <v>23614</v>
          </cell>
          <cell r="K34">
            <v>525193</v>
          </cell>
          <cell r="L34">
            <v>510457</v>
          </cell>
          <cell r="M34">
            <v>2591</v>
          </cell>
          <cell r="N34">
            <v>24041</v>
          </cell>
          <cell r="O34">
            <v>537089</v>
          </cell>
        </row>
        <row r="35">
          <cell r="D35" t="str">
            <v>VIETTEL</v>
          </cell>
          <cell r="H35">
            <v>511739</v>
          </cell>
          <cell r="I35">
            <v>4175</v>
          </cell>
          <cell r="J35">
            <v>24291</v>
          </cell>
          <cell r="K35">
            <v>540205</v>
          </cell>
          <cell r="L35">
            <v>523556</v>
          </cell>
          <cell r="M35">
            <v>4430</v>
          </cell>
          <cell r="N35">
            <v>24741</v>
          </cell>
          <cell r="O35">
            <v>552727</v>
          </cell>
        </row>
        <row r="36">
          <cell r="D36" t="str">
            <v>VIETTEL</v>
          </cell>
          <cell r="H36">
            <v>504340</v>
          </cell>
          <cell r="I36">
            <v>4146</v>
          </cell>
          <cell r="J36">
            <v>25392</v>
          </cell>
          <cell r="K36">
            <v>533878</v>
          </cell>
          <cell r="L36">
            <v>516464</v>
          </cell>
          <cell r="M36">
            <v>4408</v>
          </cell>
          <cell r="N36">
            <v>25845</v>
          </cell>
          <cell r="O36">
            <v>546717</v>
          </cell>
        </row>
        <row r="37">
          <cell r="D37" t="str">
            <v>Nokia</v>
          </cell>
          <cell r="H37">
            <v>54512</v>
          </cell>
          <cell r="I37">
            <v>1224</v>
          </cell>
          <cell r="J37">
            <v>804719</v>
          </cell>
          <cell r="K37">
            <v>860455</v>
          </cell>
          <cell r="L37">
            <v>59386</v>
          </cell>
          <cell r="M37">
            <v>1418</v>
          </cell>
          <cell r="N37">
            <v>804721</v>
          </cell>
          <cell r="O37">
            <v>865525</v>
          </cell>
        </row>
        <row r="38">
          <cell r="D38" t="str">
            <v>Nokia</v>
          </cell>
          <cell r="H38">
            <v>143958</v>
          </cell>
          <cell r="I38">
            <v>1658</v>
          </cell>
          <cell r="J38">
            <v>876474</v>
          </cell>
          <cell r="K38">
            <v>1022090</v>
          </cell>
          <cell r="L38">
            <v>151456</v>
          </cell>
          <cell r="M38">
            <v>1914</v>
          </cell>
          <cell r="N38">
            <v>903899</v>
          </cell>
          <cell r="O38">
            <v>1057269</v>
          </cell>
        </row>
        <row r="39">
          <cell r="D39" t="str">
            <v>Nokia</v>
          </cell>
          <cell r="H39">
            <v>155518</v>
          </cell>
          <cell r="I39">
            <v>1637</v>
          </cell>
          <cell r="J39">
            <v>909110</v>
          </cell>
          <cell r="K39">
            <v>1066265</v>
          </cell>
          <cell r="L39">
            <v>163753</v>
          </cell>
          <cell r="M39">
            <v>1913</v>
          </cell>
          <cell r="N39">
            <v>937078</v>
          </cell>
          <cell r="O39">
            <v>1102744</v>
          </cell>
        </row>
        <row r="40">
          <cell r="D40" t="str">
            <v>Nokia</v>
          </cell>
          <cell r="H40">
            <v>166216</v>
          </cell>
          <cell r="I40">
            <v>1668</v>
          </cell>
          <cell r="J40">
            <v>996086</v>
          </cell>
          <cell r="K40">
            <v>1163970</v>
          </cell>
          <cell r="L40">
            <v>174845</v>
          </cell>
          <cell r="M40">
            <v>1986</v>
          </cell>
          <cell r="N40">
            <v>1025631</v>
          </cell>
          <cell r="O40">
            <v>1202462</v>
          </cell>
        </row>
        <row r="41">
          <cell r="D41" t="str">
            <v>Nokia</v>
          </cell>
          <cell r="H41">
            <v>143471</v>
          </cell>
          <cell r="I41">
            <v>1680</v>
          </cell>
          <cell r="J41">
            <v>899403</v>
          </cell>
          <cell r="K41">
            <v>1044554</v>
          </cell>
          <cell r="L41">
            <v>151561</v>
          </cell>
          <cell r="M41">
            <v>1986</v>
          </cell>
          <cell r="N41">
            <v>927201</v>
          </cell>
          <cell r="O41">
            <v>1080748</v>
          </cell>
        </row>
        <row r="42">
          <cell r="D42" t="str">
            <v>Nokia</v>
          </cell>
          <cell r="H42">
            <v>229536</v>
          </cell>
          <cell r="I42">
            <v>2113</v>
          </cell>
          <cell r="J42">
            <v>1327349</v>
          </cell>
          <cell r="K42">
            <v>1558998</v>
          </cell>
          <cell r="L42">
            <v>240086</v>
          </cell>
          <cell r="M42">
            <v>2506</v>
          </cell>
          <cell r="N42">
            <v>1367851</v>
          </cell>
          <cell r="O42">
            <v>1610443</v>
          </cell>
        </row>
        <row r="43">
          <cell r="D43" t="str">
            <v>Nokia</v>
          </cell>
          <cell r="H43">
            <v>53030</v>
          </cell>
          <cell r="I43">
            <v>1249</v>
          </cell>
          <cell r="J43">
            <v>802180</v>
          </cell>
          <cell r="K43">
            <v>856459</v>
          </cell>
          <cell r="L43">
            <v>57906</v>
          </cell>
          <cell r="M43">
            <v>1465</v>
          </cell>
          <cell r="N43">
            <v>802180</v>
          </cell>
          <cell r="O43">
            <v>861551</v>
          </cell>
        </row>
        <row r="44">
          <cell r="D44" t="str">
            <v>Huawei</v>
          </cell>
          <cell r="H44">
            <v>40</v>
          </cell>
          <cell r="I44">
            <v>17</v>
          </cell>
          <cell r="J44">
            <v>0</v>
          </cell>
          <cell r="K44">
            <v>57</v>
          </cell>
          <cell r="L44">
            <v>40</v>
          </cell>
          <cell r="M44">
            <v>17</v>
          </cell>
          <cell r="N44">
            <v>0</v>
          </cell>
          <cell r="O44">
            <v>57</v>
          </cell>
        </row>
        <row r="45">
          <cell r="D45" t="str">
            <v>Huawei</v>
          </cell>
          <cell r="H45">
            <v>0</v>
          </cell>
          <cell r="I45">
            <v>2815</v>
          </cell>
          <cell r="J45">
            <v>0</v>
          </cell>
          <cell r="K45">
            <v>2815</v>
          </cell>
          <cell r="L45">
            <v>0</v>
          </cell>
          <cell r="M45">
            <v>2815</v>
          </cell>
          <cell r="N45">
            <v>0</v>
          </cell>
          <cell r="O45">
            <v>2815</v>
          </cell>
        </row>
        <row r="46">
          <cell r="D46" t="str">
            <v>Huawei</v>
          </cell>
          <cell r="H46">
            <v>0</v>
          </cell>
          <cell r="I46">
            <v>2721</v>
          </cell>
          <cell r="J46">
            <v>0</v>
          </cell>
          <cell r="K46">
            <v>2721</v>
          </cell>
          <cell r="L46">
            <v>0</v>
          </cell>
          <cell r="M46">
            <v>2721</v>
          </cell>
          <cell r="N46">
            <v>0</v>
          </cell>
          <cell r="O46">
            <v>2721</v>
          </cell>
        </row>
        <row r="47">
          <cell r="D47" t="str">
            <v>Huawei</v>
          </cell>
          <cell r="H47">
            <v>0</v>
          </cell>
          <cell r="I47">
            <v>126</v>
          </cell>
          <cell r="J47">
            <v>0</v>
          </cell>
          <cell r="K47">
            <v>126</v>
          </cell>
          <cell r="L47">
            <v>0</v>
          </cell>
          <cell r="M47">
            <v>126</v>
          </cell>
          <cell r="N47">
            <v>0</v>
          </cell>
          <cell r="O47">
            <v>126</v>
          </cell>
        </row>
        <row r="48">
          <cell r="D48" t="str">
            <v>Huawei</v>
          </cell>
          <cell r="H48">
            <v>0</v>
          </cell>
          <cell r="I48">
            <v>153</v>
          </cell>
          <cell r="J48">
            <v>0</v>
          </cell>
          <cell r="K48">
            <v>153</v>
          </cell>
          <cell r="L48">
            <v>0</v>
          </cell>
          <cell r="M48">
            <v>153</v>
          </cell>
          <cell r="N48">
            <v>0</v>
          </cell>
          <cell r="O48">
            <v>153</v>
          </cell>
        </row>
        <row r="49">
          <cell r="D49" t="str">
            <v>Huawei</v>
          </cell>
          <cell r="H49">
            <v>772716</v>
          </cell>
          <cell r="I49">
            <v>4464</v>
          </cell>
          <cell r="J49">
            <v>0</v>
          </cell>
          <cell r="K49">
            <v>777180</v>
          </cell>
          <cell r="L49">
            <v>790284</v>
          </cell>
          <cell r="M49">
            <v>4758</v>
          </cell>
          <cell r="N49">
            <v>0</v>
          </cell>
          <cell r="O49">
            <v>795042</v>
          </cell>
        </row>
        <row r="50">
          <cell r="D50" t="str">
            <v>Huawei</v>
          </cell>
          <cell r="H50">
            <v>0</v>
          </cell>
          <cell r="I50">
            <v>140</v>
          </cell>
          <cell r="J50">
            <v>0</v>
          </cell>
          <cell r="K50">
            <v>140</v>
          </cell>
          <cell r="L50">
            <v>0</v>
          </cell>
          <cell r="M50">
            <v>140</v>
          </cell>
          <cell r="N50">
            <v>0</v>
          </cell>
          <cell r="O50">
            <v>140</v>
          </cell>
        </row>
        <row r="51">
          <cell r="D51" t="str">
            <v>Huawei</v>
          </cell>
          <cell r="H51">
            <v>0</v>
          </cell>
          <cell r="I51">
            <v>57</v>
          </cell>
          <cell r="J51">
            <v>0</v>
          </cell>
          <cell r="K51">
            <v>57</v>
          </cell>
          <cell r="L51">
            <v>0</v>
          </cell>
          <cell r="M51">
            <v>57</v>
          </cell>
          <cell r="N51">
            <v>0</v>
          </cell>
          <cell r="O51">
            <v>57</v>
          </cell>
        </row>
        <row r="52">
          <cell r="D52" t="str">
            <v>Huawei</v>
          </cell>
          <cell r="H52">
            <v>0</v>
          </cell>
          <cell r="I52">
            <v>127</v>
          </cell>
          <cell r="J52">
            <v>0</v>
          </cell>
          <cell r="K52">
            <v>127</v>
          </cell>
          <cell r="L52">
            <v>0</v>
          </cell>
          <cell r="M52">
            <v>127</v>
          </cell>
          <cell r="N52">
            <v>0</v>
          </cell>
          <cell r="O52">
            <v>127</v>
          </cell>
        </row>
        <row r="53">
          <cell r="D53" t="str">
            <v>Huawei</v>
          </cell>
          <cell r="H53">
            <v>123</v>
          </cell>
          <cell r="I53">
            <v>113</v>
          </cell>
          <cell r="J53">
            <v>0</v>
          </cell>
          <cell r="K53">
            <v>236</v>
          </cell>
          <cell r="L53">
            <v>123</v>
          </cell>
          <cell r="M53">
            <v>113</v>
          </cell>
          <cell r="N53">
            <v>0</v>
          </cell>
          <cell r="O53">
            <v>236</v>
          </cell>
        </row>
        <row r="54">
          <cell r="D54" t="str">
            <v>Huawei</v>
          </cell>
          <cell r="H54">
            <v>0</v>
          </cell>
          <cell r="I54">
            <v>190</v>
          </cell>
          <cell r="J54">
            <v>0</v>
          </cell>
          <cell r="K54">
            <v>190</v>
          </cell>
          <cell r="L54">
            <v>0</v>
          </cell>
          <cell r="M54">
            <v>190</v>
          </cell>
          <cell r="N54">
            <v>0</v>
          </cell>
          <cell r="O54">
            <v>190</v>
          </cell>
        </row>
        <row r="55">
          <cell r="D55" t="str">
            <v>Huawei</v>
          </cell>
          <cell r="H55">
            <v>35</v>
          </cell>
          <cell r="I55">
            <v>49</v>
          </cell>
          <cell r="J55">
            <v>0</v>
          </cell>
          <cell r="K55">
            <v>84</v>
          </cell>
          <cell r="L55">
            <v>35</v>
          </cell>
          <cell r="M55">
            <v>49</v>
          </cell>
          <cell r="N55">
            <v>0</v>
          </cell>
          <cell r="O55">
            <v>84</v>
          </cell>
        </row>
        <row r="56">
          <cell r="D56" t="str">
            <v>Huawei</v>
          </cell>
          <cell r="H56">
            <v>1063107</v>
          </cell>
          <cell r="I56">
            <v>73</v>
          </cell>
          <cell r="J56">
            <v>0</v>
          </cell>
          <cell r="K56">
            <v>1063180</v>
          </cell>
          <cell r="L56">
            <v>1092816</v>
          </cell>
          <cell r="M56">
            <v>73</v>
          </cell>
          <cell r="N56">
            <v>0</v>
          </cell>
          <cell r="O56">
            <v>1092889</v>
          </cell>
        </row>
        <row r="57">
          <cell r="D57" t="str">
            <v>Huawei</v>
          </cell>
          <cell r="H57">
            <v>0</v>
          </cell>
          <cell r="I57">
            <v>323</v>
          </cell>
          <cell r="J57">
            <v>0</v>
          </cell>
          <cell r="K57">
            <v>323</v>
          </cell>
          <cell r="L57">
            <v>0</v>
          </cell>
          <cell r="M57">
            <v>323</v>
          </cell>
          <cell r="N57">
            <v>0</v>
          </cell>
          <cell r="O57">
            <v>323</v>
          </cell>
        </row>
        <row r="58">
          <cell r="D58"/>
          <cell r="H58">
            <v>4085136</v>
          </cell>
          <cell r="I58">
            <v>3480421</v>
          </cell>
          <cell r="J58">
            <v>32151335</v>
          </cell>
          <cell r="K58">
            <v>39716892</v>
          </cell>
          <cell r="L58">
            <v>5178310</v>
          </cell>
          <cell r="M58">
            <v>3507457</v>
          </cell>
          <cell r="N58">
            <v>32232192</v>
          </cell>
          <cell r="O58">
            <v>40917959</v>
          </cell>
        </row>
        <row r="59">
          <cell r="D59"/>
          <cell r="H59">
            <v>3051802</v>
          </cell>
          <cell r="I59">
            <v>38879</v>
          </cell>
          <cell r="J59">
            <v>5957088</v>
          </cell>
          <cell r="K59">
            <v>9047769</v>
          </cell>
          <cell r="L59">
            <v>3295660</v>
          </cell>
          <cell r="M59">
            <v>42159</v>
          </cell>
          <cell r="N59">
            <v>5957669</v>
          </cell>
          <cell r="O59">
            <v>9295488</v>
          </cell>
        </row>
        <row r="60">
          <cell r="D60"/>
          <cell r="H60">
            <v>6776395</v>
          </cell>
          <cell r="I60">
            <v>54427</v>
          </cell>
          <cell r="J60">
            <v>6809513</v>
          </cell>
          <cell r="K60">
            <v>13640335</v>
          </cell>
          <cell r="L60">
            <v>6966995</v>
          </cell>
          <cell r="M60">
            <v>58599</v>
          </cell>
          <cell r="N60">
            <v>6966163</v>
          </cell>
          <cell r="O60">
            <v>13991757</v>
          </cell>
        </row>
        <row r="61">
          <cell r="D61"/>
          <cell r="H61">
            <v>13913333</v>
          </cell>
          <cell r="I61">
            <v>3573727</v>
          </cell>
          <cell r="J61">
            <v>44917936</v>
          </cell>
          <cell r="K61">
            <v>62404996</v>
          </cell>
          <cell r="L61">
            <v>15440965</v>
          </cell>
          <cell r="M61">
            <v>3608215</v>
          </cell>
          <cell r="N61">
            <v>45156024</v>
          </cell>
          <cell r="O61">
            <v>64205204</v>
          </cell>
        </row>
      </sheetData>
      <sheetData sheetId="3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P_pool__IMS_Peak_day_crosstab"/>
      <sheetName val="Sheet1"/>
      <sheetName val="Sheet2"/>
    </sheetNames>
    <sheetDataSet>
      <sheetData sheetId="0"/>
      <sheetData sheetId="1">
        <row r="1">
          <cell r="A1" t="str">
            <v xml:space="preserve">Node </v>
          </cell>
          <cell r="B1" t="str">
            <v>Số dải</v>
          </cell>
          <cell r="C1" t="str">
            <v>Total IPv4</v>
          </cell>
        </row>
        <row r="2">
          <cell r="A2" t="str">
            <v>GGHK01</v>
          </cell>
          <cell r="B2">
            <v>15</v>
          </cell>
          <cell r="C2">
            <v>975000</v>
          </cell>
        </row>
        <row r="3">
          <cell r="A3" t="str">
            <v>GGHK02</v>
          </cell>
          <cell r="B3">
            <v>15</v>
          </cell>
          <cell r="C3">
            <v>975000</v>
          </cell>
        </row>
        <row r="4">
          <cell r="A4" t="str">
            <v>GGHK03</v>
          </cell>
          <cell r="B4">
            <v>17</v>
          </cell>
          <cell r="C4">
            <v>1105000</v>
          </cell>
        </row>
        <row r="5">
          <cell r="A5" t="str">
            <v>GGHK06</v>
          </cell>
          <cell r="B5">
            <v>19</v>
          </cell>
          <cell r="C5">
            <v>1235000</v>
          </cell>
        </row>
        <row r="6">
          <cell r="A6" t="str">
            <v>GGHK07</v>
          </cell>
          <cell r="B6">
            <v>34</v>
          </cell>
          <cell r="C6">
            <v>2210000</v>
          </cell>
        </row>
        <row r="7">
          <cell r="A7" t="str">
            <v>GGHK08</v>
          </cell>
          <cell r="B7">
            <v>34</v>
          </cell>
          <cell r="C7">
            <v>2210000</v>
          </cell>
        </row>
        <row r="8">
          <cell r="A8" t="str">
            <v>GGHK09</v>
          </cell>
          <cell r="B8">
            <v>34</v>
          </cell>
          <cell r="C8">
            <v>2210000</v>
          </cell>
        </row>
        <row r="9">
          <cell r="A9" t="str">
            <v>GGHL04</v>
          </cell>
          <cell r="B9">
            <v>15</v>
          </cell>
          <cell r="C9">
            <v>975000</v>
          </cell>
        </row>
        <row r="10">
          <cell r="A10" t="str">
            <v>GGHL05</v>
          </cell>
          <cell r="B10">
            <v>15</v>
          </cell>
          <cell r="C10">
            <v>975000</v>
          </cell>
        </row>
        <row r="11">
          <cell r="A11" t="str">
            <v>GGHL06</v>
          </cell>
          <cell r="B11">
            <v>15</v>
          </cell>
          <cell r="C11">
            <v>975000</v>
          </cell>
        </row>
        <row r="12">
          <cell r="A12" t="str">
            <v>GGHL07</v>
          </cell>
          <cell r="B12">
            <v>15</v>
          </cell>
          <cell r="C12">
            <v>975000</v>
          </cell>
        </row>
        <row r="13">
          <cell r="A13" t="str">
            <v>GGHL08</v>
          </cell>
          <cell r="B13">
            <v>29</v>
          </cell>
          <cell r="C13">
            <v>1885000</v>
          </cell>
        </row>
        <row r="14">
          <cell r="A14" t="str">
            <v>GGHL09</v>
          </cell>
          <cell r="B14">
            <v>29</v>
          </cell>
          <cell r="C14">
            <v>1885000</v>
          </cell>
        </row>
        <row r="15">
          <cell r="A15" t="str">
            <v>GGHL10</v>
          </cell>
          <cell r="B15">
            <v>23</v>
          </cell>
          <cell r="C15">
            <v>1495000</v>
          </cell>
        </row>
        <row r="16">
          <cell r="A16" t="str">
            <v>GGHL11</v>
          </cell>
          <cell r="B16">
            <v>26</v>
          </cell>
          <cell r="C16">
            <v>1690000</v>
          </cell>
        </row>
        <row r="17">
          <cell r="A17" t="str">
            <v>GGHL12</v>
          </cell>
          <cell r="B17">
            <v>26</v>
          </cell>
          <cell r="C17">
            <v>1690000</v>
          </cell>
        </row>
        <row r="18">
          <cell r="A18" t="str">
            <v>GGHL13</v>
          </cell>
          <cell r="B18">
            <v>21</v>
          </cell>
          <cell r="C18">
            <v>1365000</v>
          </cell>
        </row>
        <row r="19">
          <cell r="A19" t="str">
            <v>GGHL14</v>
          </cell>
          <cell r="B19">
            <v>34</v>
          </cell>
          <cell r="C19">
            <v>2210000</v>
          </cell>
        </row>
        <row r="20">
          <cell r="A20" t="str">
            <v>GGHL15</v>
          </cell>
          <cell r="B20">
            <v>34</v>
          </cell>
          <cell r="C20">
            <v>2210000</v>
          </cell>
        </row>
        <row r="21">
          <cell r="A21" t="str">
            <v>GGHL16</v>
          </cell>
          <cell r="B21">
            <v>34</v>
          </cell>
          <cell r="C21">
            <v>2210000</v>
          </cell>
        </row>
        <row r="22">
          <cell r="A22" t="str">
            <v>GGHL17</v>
          </cell>
          <cell r="B22">
            <v>34</v>
          </cell>
          <cell r="C22">
            <v>2210000</v>
          </cell>
        </row>
        <row r="23">
          <cell r="A23" t="str">
            <v>GGHL18</v>
          </cell>
          <cell r="B23">
            <v>34</v>
          </cell>
          <cell r="C23">
            <v>2210000</v>
          </cell>
        </row>
        <row r="24">
          <cell r="A24" t="str">
            <v>GGHL25</v>
          </cell>
          <cell r="B24">
            <v>34</v>
          </cell>
          <cell r="C24">
            <v>2210000</v>
          </cell>
        </row>
        <row r="25">
          <cell r="A25" t="str">
            <v>GGHL26</v>
          </cell>
          <cell r="B25">
            <v>34</v>
          </cell>
          <cell r="C25">
            <v>2210000</v>
          </cell>
        </row>
        <row r="26">
          <cell r="A26" t="str">
            <v>GGHT07</v>
          </cell>
          <cell r="B26">
            <v>16</v>
          </cell>
          <cell r="C26">
            <v>1040000</v>
          </cell>
        </row>
        <row r="27">
          <cell r="A27" t="str">
            <v>GGHT08</v>
          </cell>
          <cell r="B27">
            <v>16</v>
          </cell>
          <cell r="C27">
            <v>1040000</v>
          </cell>
        </row>
        <row r="28">
          <cell r="A28" t="str">
            <v>GGHT09</v>
          </cell>
          <cell r="B28">
            <v>16</v>
          </cell>
          <cell r="C28">
            <v>1040000</v>
          </cell>
        </row>
        <row r="29">
          <cell r="A29" t="str">
            <v>GGHT10</v>
          </cell>
          <cell r="B29">
            <v>16</v>
          </cell>
          <cell r="C29">
            <v>1040000</v>
          </cell>
        </row>
        <row r="30">
          <cell r="A30" t="str">
            <v>GGHT11</v>
          </cell>
          <cell r="B30">
            <v>29</v>
          </cell>
          <cell r="C30">
            <v>1885000</v>
          </cell>
        </row>
        <row r="31">
          <cell r="A31" t="str">
            <v>GGHT12</v>
          </cell>
          <cell r="B31">
            <v>29</v>
          </cell>
          <cell r="C31">
            <v>1885000</v>
          </cell>
        </row>
        <row r="32">
          <cell r="A32" t="str">
            <v>GGHT13</v>
          </cell>
          <cell r="B32">
            <v>29</v>
          </cell>
          <cell r="C32">
            <v>1885000</v>
          </cell>
        </row>
        <row r="33">
          <cell r="A33" t="str">
            <v>GGHT17</v>
          </cell>
          <cell r="B33">
            <v>34</v>
          </cell>
          <cell r="C33">
            <v>2210000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ackage" Target="../embeddings/Microsoft_Word_Document2.docx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Relationship Id="rId6" Type="http://schemas.openxmlformats.org/officeDocument/2006/relationships/package" Target="../embeddings/Microsoft_Word_Document1.docx"/><Relationship Id="rId5" Type="http://schemas.openxmlformats.org/officeDocument/2006/relationships/image" Target="../media/image1.emf"/><Relationship Id="rId4" Type="http://schemas.openxmlformats.org/officeDocument/2006/relationships/package" Target="../embeddings/Microsoft_Word_Document.docx"/><Relationship Id="rId9" Type="http://schemas.openxmlformats.org/officeDocument/2006/relationships/image" Target="../media/image3.emf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4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74"/>
  <sheetViews>
    <sheetView zoomScale="85" zoomScaleNormal="85" workbookViewId="0">
      <selection activeCell="I10" sqref="I10"/>
    </sheetView>
  </sheetViews>
  <sheetFormatPr defaultColWidth="8.85546875" defaultRowHeight="15"/>
  <cols>
    <col min="1" max="2" width="19.28515625" customWidth="1"/>
    <col min="3" max="4" width="10.28515625" hidden="1" customWidth="1"/>
    <col min="5" max="5" width="10" hidden="1" customWidth="1"/>
    <col min="6" max="6" width="11.28515625" hidden="1" customWidth="1"/>
    <col min="7" max="7" width="9.42578125" hidden="1" customWidth="1"/>
    <col min="8" max="8" width="8.85546875" hidden="1" customWidth="1"/>
    <col min="9" max="9" width="9.5703125" customWidth="1"/>
    <col min="10" max="10" width="9.28515625" customWidth="1"/>
    <col min="11" max="11" width="8.85546875" customWidth="1"/>
    <col min="12" max="12" width="11.28515625" customWidth="1"/>
    <col min="13" max="13" width="9.28515625" customWidth="1"/>
    <col min="14" max="14" width="8.85546875" customWidth="1"/>
    <col min="15" max="18" width="10" bestFit="1" customWidth="1"/>
    <col min="19" max="19" width="14.5703125" style="755" customWidth="1"/>
    <col min="20" max="20" width="13.5703125" bestFit="1" customWidth="1"/>
    <col min="21" max="21" width="12.28515625" bestFit="1" customWidth="1"/>
    <col min="22" max="22" width="16.85546875" style="755" customWidth="1"/>
    <col min="23" max="23" width="23" customWidth="1"/>
    <col min="24" max="24" width="7.28515625" hidden="1" customWidth="1"/>
    <col min="25" max="26" width="5.28515625" customWidth="1"/>
    <col min="27" max="27" width="14.7109375" bestFit="1" customWidth="1"/>
    <col min="28" max="28" width="16.28515625" customWidth="1"/>
    <col min="29" max="29" width="10.42578125" bestFit="1" customWidth="1"/>
    <col min="30" max="31" width="8" bestFit="1" customWidth="1"/>
    <col min="32" max="32" width="11.28515625" customWidth="1"/>
    <col min="33" max="33" width="8" bestFit="1" customWidth="1"/>
    <col min="34" max="34" width="12.7109375" customWidth="1"/>
    <col min="35" max="35" width="14.7109375" customWidth="1"/>
    <col min="36" max="36" width="13.28515625" customWidth="1"/>
    <col min="37" max="37" width="13.7109375" customWidth="1"/>
  </cols>
  <sheetData>
    <row r="1" spans="1:38">
      <c r="P1" s="57">
        <f>O14/L14*L15</f>
        <v>2424.2424242424245</v>
      </c>
      <c r="Q1" s="57">
        <f>P14/M14*M15</f>
        <v>4000</v>
      </c>
    </row>
    <row r="3" spans="1:38">
      <c r="A3" s="893" t="s">
        <v>7</v>
      </c>
      <c r="B3" s="893" t="s">
        <v>7</v>
      </c>
      <c r="C3" s="893" t="s">
        <v>902</v>
      </c>
      <c r="D3" s="893"/>
      <c r="E3" s="893"/>
      <c r="F3" s="893" t="s">
        <v>1026</v>
      </c>
      <c r="G3" s="893"/>
      <c r="H3" s="893"/>
      <c r="I3" s="893" t="s">
        <v>913</v>
      </c>
      <c r="J3" s="893"/>
      <c r="K3" s="893"/>
      <c r="L3" s="893" t="s">
        <v>914</v>
      </c>
      <c r="M3" s="893"/>
      <c r="N3" s="893"/>
      <c r="O3" s="894" t="s">
        <v>1027</v>
      </c>
      <c r="P3" s="895"/>
      <c r="Q3" s="894" t="s">
        <v>1028</v>
      </c>
      <c r="R3" s="895"/>
      <c r="S3" s="906" t="s">
        <v>1029</v>
      </c>
      <c r="T3" s="893" t="s">
        <v>43</v>
      </c>
      <c r="U3" s="893" t="s">
        <v>1030</v>
      </c>
      <c r="V3" s="893" t="s">
        <v>916</v>
      </c>
      <c r="W3" s="793" t="s">
        <v>524</v>
      </c>
    </row>
    <row r="4" spans="1:38" ht="60">
      <c r="A4" s="893"/>
      <c r="B4" s="893"/>
      <c r="C4" s="715" t="s">
        <v>924</v>
      </c>
      <c r="D4" s="715" t="s">
        <v>925</v>
      </c>
      <c r="E4" s="715" t="s">
        <v>1031</v>
      </c>
      <c r="F4" s="715" t="s">
        <v>924</v>
      </c>
      <c r="G4" s="715" t="s">
        <v>925</v>
      </c>
      <c r="H4" s="715" t="s">
        <v>1031</v>
      </c>
      <c r="I4" s="715" t="s">
        <v>924</v>
      </c>
      <c r="J4" s="715" t="s">
        <v>925</v>
      </c>
      <c r="K4" s="715" t="s">
        <v>1031</v>
      </c>
      <c r="L4" s="715" t="s">
        <v>924</v>
      </c>
      <c r="M4" s="715" t="s">
        <v>925</v>
      </c>
      <c r="N4" s="715" t="s">
        <v>1031</v>
      </c>
      <c r="O4" s="715" t="s">
        <v>924</v>
      </c>
      <c r="P4" s="715" t="s">
        <v>925</v>
      </c>
      <c r="Q4" s="715" t="s">
        <v>924</v>
      </c>
      <c r="R4" s="715" t="s">
        <v>925</v>
      </c>
      <c r="S4" s="906"/>
      <c r="T4" s="893"/>
      <c r="U4" s="893"/>
      <c r="V4" s="893"/>
      <c r="W4" s="793"/>
      <c r="Z4" s="794" t="s">
        <v>103</v>
      </c>
      <c r="AA4" s="794" t="s">
        <v>1029</v>
      </c>
      <c r="AB4" s="794" t="s">
        <v>916</v>
      </c>
      <c r="AC4" s="706" t="s">
        <v>1032</v>
      </c>
      <c r="AD4" s="904" t="s">
        <v>1033</v>
      </c>
      <c r="AE4" s="904"/>
      <c r="AF4" s="904" t="s">
        <v>1034</v>
      </c>
      <c r="AG4" s="904"/>
      <c r="AH4" s="794" t="s">
        <v>1028</v>
      </c>
      <c r="AI4" s="794" t="s">
        <v>1035</v>
      </c>
      <c r="AJ4" s="794" t="s">
        <v>1036</v>
      </c>
      <c r="AK4" s="794" t="s">
        <v>1037</v>
      </c>
      <c r="AL4" s="794" t="s">
        <v>1038</v>
      </c>
    </row>
    <row r="5" spans="1:38">
      <c r="A5" s="124" t="str">
        <f>LEFT(B5,6)</f>
        <v>SGHL04</v>
      </c>
      <c r="B5" s="3" t="s">
        <v>1039</v>
      </c>
      <c r="C5" s="693">
        <v>2500</v>
      </c>
      <c r="D5" s="693">
        <v>2300</v>
      </c>
      <c r="E5" s="693">
        <v>28</v>
      </c>
      <c r="F5" s="693">
        <v>2500</v>
      </c>
      <c r="G5" s="693">
        <v>2300</v>
      </c>
      <c r="H5" s="693">
        <v>28</v>
      </c>
      <c r="I5" s="693">
        <v>2500</v>
      </c>
      <c r="J5" s="693">
        <v>2300</v>
      </c>
      <c r="K5" s="693">
        <v>28</v>
      </c>
      <c r="L5" s="693">
        <v>2500</v>
      </c>
      <c r="M5" s="693">
        <v>2300</v>
      </c>
      <c r="N5" s="693">
        <v>28</v>
      </c>
      <c r="O5" s="693">
        <v>2500</v>
      </c>
      <c r="P5" s="693">
        <v>5000</v>
      </c>
      <c r="Q5" s="693">
        <v>2341.0169999999998</v>
      </c>
      <c r="R5" s="4">
        <v>3037.9229999999998</v>
      </c>
      <c r="S5" s="905" t="s">
        <v>1040</v>
      </c>
      <c r="T5" s="3" t="s">
        <v>930</v>
      </c>
      <c r="U5" s="795" t="s">
        <v>1041</v>
      </c>
      <c r="V5" s="124" t="s">
        <v>932</v>
      </c>
      <c r="X5" s="3" t="str">
        <f t="shared" ref="X5:X48" si="0">LEFT(B5,6)</f>
        <v>SGHL04</v>
      </c>
      <c r="Z5" s="889" t="s">
        <v>15</v>
      </c>
      <c r="AA5" s="889" t="s">
        <v>1042</v>
      </c>
      <c r="AB5" s="124" t="s">
        <v>935</v>
      </c>
      <c r="AC5" s="124" t="s">
        <v>1041</v>
      </c>
      <c r="AD5" s="716">
        <f t="shared" ref="AD5:AD12" ca="1" si="1">SUMIF($U$5:$V$48,AC5,$L$5:$L$48)</f>
        <v>18200</v>
      </c>
      <c r="AE5" s="900">
        <f ca="1">AD5+AD6+AD7</f>
        <v>35400</v>
      </c>
      <c r="AF5" s="716">
        <f t="shared" ref="AF5:AF12" ca="1" si="2">SUMIF($U$5:$V$48,AC5,$O$5:$O$48)</f>
        <v>21000</v>
      </c>
      <c r="AG5" s="900">
        <f ca="1">AF5+AF6+AF7</f>
        <v>41800</v>
      </c>
      <c r="AH5" s="716">
        <f t="shared" ref="AH5:AH12" ca="1" si="3">SUMIF($U$5:$V$48,AC5,$Q$5:$Q$48)</f>
        <v>18129.374</v>
      </c>
      <c r="AI5" s="900">
        <f>24500</f>
        <v>24500</v>
      </c>
      <c r="AJ5" s="901">
        <f ca="1">$AI5/(AE5-AD6)</f>
        <v>0.91417910447761197</v>
      </c>
      <c r="AK5" s="901">
        <f ca="1">$AI5/(AG5-AF6)</f>
        <v>0.78025477707006374</v>
      </c>
      <c r="AL5" s="3"/>
    </row>
    <row r="6" spans="1:38">
      <c r="A6" s="124" t="str">
        <f t="shared" ref="A6:A48" si="4">LEFT(B6,6)</f>
        <v>SGHL05</v>
      </c>
      <c r="B6" s="3" t="s">
        <v>1043</v>
      </c>
      <c r="C6" s="693">
        <v>2500</v>
      </c>
      <c r="D6" s="693">
        <v>2300</v>
      </c>
      <c r="E6" s="693">
        <v>28</v>
      </c>
      <c r="F6" s="693">
        <v>2500</v>
      </c>
      <c r="G6" s="693">
        <v>2300</v>
      </c>
      <c r="H6" s="693">
        <v>28</v>
      </c>
      <c r="I6" s="693">
        <v>2500</v>
      </c>
      <c r="J6" s="693">
        <v>2300</v>
      </c>
      <c r="K6" s="693">
        <v>28</v>
      </c>
      <c r="L6" s="693">
        <v>2500</v>
      </c>
      <c r="M6" s="693">
        <v>2300</v>
      </c>
      <c r="N6" s="693">
        <v>28</v>
      </c>
      <c r="O6" s="693">
        <v>2500</v>
      </c>
      <c r="P6" s="693">
        <v>5000</v>
      </c>
      <c r="Q6" s="693">
        <v>2411.4029999999998</v>
      </c>
      <c r="R6" s="4">
        <v>3155.2539999999999</v>
      </c>
      <c r="S6" s="905"/>
      <c r="T6" s="3" t="s">
        <v>930</v>
      </c>
      <c r="U6" s="795" t="s">
        <v>1041</v>
      </c>
      <c r="V6" s="124" t="s">
        <v>932</v>
      </c>
      <c r="X6" s="3" t="str">
        <f t="shared" si="0"/>
        <v>SGHL05</v>
      </c>
      <c r="Z6" s="889"/>
      <c r="AA6" s="889"/>
      <c r="AB6" s="124" t="s">
        <v>937</v>
      </c>
      <c r="AC6" s="124" t="s">
        <v>403</v>
      </c>
      <c r="AD6" s="716">
        <f t="shared" ca="1" si="1"/>
        <v>8600</v>
      </c>
      <c r="AE6" s="900"/>
      <c r="AF6" s="716">
        <f t="shared" ca="1" si="2"/>
        <v>10400</v>
      </c>
      <c r="AG6" s="900"/>
      <c r="AH6" s="716">
        <f t="shared" ca="1" si="3"/>
        <v>5788.7339999999995</v>
      </c>
      <c r="AI6" s="900"/>
      <c r="AJ6" s="901"/>
      <c r="AK6" s="901"/>
      <c r="AL6" s="3"/>
    </row>
    <row r="7" spans="1:38">
      <c r="A7" s="124" t="str">
        <f t="shared" si="4"/>
        <v>SGHL06</v>
      </c>
      <c r="B7" s="3" t="s">
        <v>1044</v>
      </c>
      <c r="C7" s="693">
        <v>3300</v>
      </c>
      <c r="D7" s="693">
        <v>3200</v>
      </c>
      <c r="E7" s="693">
        <v>31</v>
      </c>
      <c r="F7" s="693">
        <v>3300</v>
      </c>
      <c r="G7" s="693">
        <v>3200</v>
      </c>
      <c r="H7" s="693">
        <v>31</v>
      </c>
      <c r="I7" s="693">
        <v>3300</v>
      </c>
      <c r="J7" s="693">
        <v>3200</v>
      </c>
      <c r="K7" s="693">
        <v>31</v>
      </c>
      <c r="L7" s="693">
        <v>3300</v>
      </c>
      <c r="M7" s="693">
        <v>3200</v>
      </c>
      <c r="N7" s="693">
        <v>31</v>
      </c>
      <c r="O7" s="693">
        <v>4000</v>
      </c>
      <c r="P7" s="693">
        <v>6600</v>
      </c>
      <c r="Q7" s="693">
        <v>2708.0210000000002</v>
      </c>
      <c r="R7" s="4">
        <v>3699.915</v>
      </c>
      <c r="S7" s="905"/>
      <c r="T7" s="3" t="s">
        <v>930</v>
      </c>
      <c r="U7" s="795" t="s">
        <v>1041</v>
      </c>
      <c r="V7" s="124" t="s">
        <v>935</v>
      </c>
      <c r="X7" s="3" t="str">
        <f t="shared" si="0"/>
        <v>SGHL06</v>
      </c>
      <c r="Z7" s="889"/>
      <c r="AA7" s="889"/>
      <c r="AB7" s="124" t="s">
        <v>937</v>
      </c>
      <c r="AC7" s="124" t="s">
        <v>404</v>
      </c>
      <c r="AD7" s="716">
        <f t="shared" ca="1" si="1"/>
        <v>8600</v>
      </c>
      <c r="AE7" s="900"/>
      <c r="AF7" s="716">
        <f t="shared" ca="1" si="2"/>
        <v>10400</v>
      </c>
      <c r="AG7" s="900"/>
      <c r="AH7" s="716">
        <f t="shared" ca="1" si="3"/>
        <v>6029.241</v>
      </c>
      <c r="AI7" s="900"/>
      <c r="AJ7" s="901"/>
      <c r="AK7" s="901"/>
      <c r="AL7" s="703" t="s">
        <v>1045</v>
      </c>
    </row>
    <row r="8" spans="1:38">
      <c r="A8" s="124" t="str">
        <f t="shared" si="4"/>
        <v>SGHL07</v>
      </c>
      <c r="B8" s="3" t="s">
        <v>1046</v>
      </c>
      <c r="C8" s="693">
        <v>3300</v>
      </c>
      <c r="D8" s="693">
        <v>3200</v>
      </c>
      <c r="E8" s="693">
        <v>31</v>
      </c>
      <c r="F8" s="693">
        <v>3300</v>
      </c>
      <c r="G8" s="693">
        <v>3200</v>
      </c>
      <c r="H8" s="693">
        <v>31</v>
      </c>
      <c r="I8" s="693">
        <v>3300</v>
      </c>
      <c r="J8" s="693">
        <v>3200</v>
      </c>
      <c r="K8" s="693">
        <v>31</v>
      </c>
      <c r="L8" s="693">
        <v>3300</v>
      </c>
      <c r="M8" s="693">
        <v>3200</v>
      </c>
      <c r="N8" s="693">
        <v>31</v>
      </c>
      <c r="O8" s="693">
        <v>4000</v>
      </c>
      <c r="P8" s="693">
        <v>6600</v>
      </c>
      <c r="Q8" s="693">
        <v>3410.3049999999998</v>
      </c>
      <c r="R8" s="4">
        <v>4514.2489999999998</v>
      </c>
      <c r="S8" s="905"/>
      <c r="T8" s="3" t="s">
        <v>930</v>
      </c>
      <c r="U8" s="795" t="s">
        <v>1041</v>
      </c>
      <c r="V8" s="124" t="s">
        <v>935</v>
      </c>
      <c r="X8" s="3" t="str">
        <f t="shared" si="0"/>
        <v>SGHL07</v>
      </c>
      <c r="Z8" s="889"/>
      <c r="AA8" s="889" t="s">
        <v>1047</v>
      </c>
      <c r="AB8" s="124" t="s">
        <v>940</v>
      </c>
      <c r="AC8" s="124" t="s">
        <v>577</v>
      </c>
      <c r="AD8" s="716">
        <f t="shared" ca="1" si="1"/>
        <v>6000</v>
      </c>
      <c r="AE8" s="900">
        <f ca="1">AD8+AD9</f>
        <v>12000</v>
      </c>
      <c r="AF8" s="716">
        <f t="shared" ca="1" si="2"/>
        <v>7200</v>
      </c>
      <c r="AG8" s="900">
        <f ca="1">AF8+AF9</f>
        <v>14400</v>
      </c>
      <c r="AH8" s="716">
        <f t="shared" ca="1" si="3"/>
        <v>0</v>
      </c>
      <c r="AI8" s="900">
        <f ca="1">SUM(AH5:AH9)-AI5</f>
        <v>5447.349000000002</v>
      </c>
      <c r="AJ8" s="901">
        <f ca="1">AI8/(AE8-AD8)</f>
        <v>0.9078915000000003</v>
      </c>
      <c r="AK8" s="901">
        <f ca="1">AI8/(AG8-AF9)</f>
        <v>0.75657625000000028</v>
      </c>
      <c r="AL8" s="703"/>
    </row>
    <row r="9" spans="1:38">
      <c r="A9" s="124" t="str">
        <f t="shared" si="4"/>
        <v>SGHL08</v>
      </c>
      <c r="B9" s="3" t="s">
        <v>1048</v>
      </c>
      <c r="C9" s="730">
        <v>3300</v>
      </c>
      <c r="D9" s="730">
        <v>3200</v>
      </c>
      <c r="E9" s="693">
        <v>31</v>
      </c>
      <c r="F9" s="693">
        <v>3300</v>
      </c>
      <c r="G9" s="693">
        <v>3200</v>
      </c>
      <c r="H9" s="693">
        <v>31</v>
      </c>
      <c r="I9" s="693">
        <v>3300</v>
      </c>
      <c r="J9" s="693">
        <v>3200</v>
      </c>
      <c r="K9" s="693">
        <v>31</v>
      </c>
      <c r="L9" s="693">
        <v>3300</v>
      </c>
      <c r="M9" s="693">
        <v>3200</v>
      </c>
      <c r="N9" s="693">
        <v>31</v>
      </c>
      <c r="O9" s="693">
        <v>4000</v>
      </c>
      <c r="P9" s="693">
        <v>6600</v>
      </c>
      <c r="Q9" s="693">
        <v>3933.5889999999999</v>
      </c>
      <c r="R9" s="4">
        <v>5313.1989999999996</v>
      </c>
      <c r="S9" s="905"/>
      <c r="T9" s="3" t="s">
        <v>930</v>
      </c>
      <c r="U9" s="795" t="s">
        <v>1041</v>
      </c>
      <c r="V9" s="124" t="s">
        <v>935</v>
      </c>
      <c r="X9" s="3" t="str">
        <f t="shared" si="0"/>
        <v>SGHL08</v>
      </c>
      <c r="Z9" s="889"/>
      <c r="AA9" s="889"/>
      <c r="AB9" s="124" t="s">
        <v>940</v>
      </c>
      <c r="AC9" s="124" t="s">
        <v>977</v>
      </c>
      <c r="AD9" s="716">
        <f t="shared" ca="1" si="1"/>
        <v>6000</v>
      </c>
      <c r="AE9" s="900"/>
      <c r="AF9" s="716">
        <f t="shared" ca="1" si="2"/>
        <v>7200</v>
      </c>
      <c r="AG9" s="900"/>
      <c r="AH9" s="716">
        <f t="shared" ca="1" si="3"/>
        <v>0</v>
      </c>
      <c r="AI9" s="900"/>
      <c r="AJ9" s="901"/>
      <c r="AK9" s="901"/>
      <c r="AL9" s="703" t="s">
        <v>1045</v>
      </c>
    </row>
    <row r="10" spans="1:38">
      <c r="A10" s="124" t="str">
        <f t="shared" si="4"/>
        <v>SGHL09</v>
      </c>
      <c r="B10" s="3" t="s">
        <v>1049</v>
      </c>
      <c r="C10" s="694">
        <v>3000</v>
      </c>
      <c r="D10" s="694">
        <v>3000</v>
      </c>
      <c r="E10" s="694">
        <v>28</v>
      </c>
      <c r="F10" s="694">
        <v>3300</v>
      </c>
      <c r="G10" s="694">
        <v>3300</v>
      </c>
      <c r="H10" s="694">
        <v>28</v>
      </c>
      <c r="I10" s="694">
        <v>3300</v>
      </c>
      <c r="J10" s="694">
        <v>3300</v>
      </c>
      <c r="K10" s="694">
        <v>28</v>
      </c>
      <c r="L10" s="694">
        <v>3300</v>
      </c>
      <c r="M10" s="694">
        <v>3300</v>
      </c>
      <c r="N10" s="694">
        <v>28</v>
      </c>
      <c r="O10" s="694">
        <v>4000</v>
      </c>
      <c r="P10" s="694">
        <v>6600</v>
      </c>
      <c r="Q10" s="694">
        <v>3325.0390000000002</v>
      </c>
      <c r="R10" s="694">
        <v>4402.585</v>
      </c>
      <c r="S10" s="905"/>
      <c r="T10" s="3" t="s">
        <v>930</v>
      </c>
      <c r="U10" s="795" t="s">
        <v>1041</v>
      </c>
      <c r="V10" s="124" t="s">
        <v>935</v>
      </c>
      <c r="X10" s="3" t="str">
        <f t="shared" si="0"/>
        <v>SGHL09</v>
      </c>
      <c r="Z10" s="889" t="s">
        <v>25</v>
      </c>
      <c r="AA10" s="889" t="s">
        <v>1050</v>
      </c>
      <c r="AB10" s="124" t="s">
        <v>949</v>
      </c>
      <c r="AC10" s="124" t="s">
        <v>1051</v>
      </c>
      <c r="AD10" s="716">
        <f t="shared" ca="1" si="1"/>
        <v>6900</v>
      </c>
      <c r="AE10" s="900">
        <f ca="1">AD10+AD11</f>
        <v>9200</v>
      </c>
      <c r="AF10" s="716">
        <f t="shared" ca="1" si="2"/>
        <v>7800</v>
      </c>
      <c r="AG10" s="900">
        <f ca="1">AF10+AF11</f>
        <v>10400</v>
      </c>
      <c r="AH10" s="716">
        <f t="shared" ca="1" si="3"/>
        <v>5170.04</v>
      </c>
      <c r="AI10" s="900">
        <f ca="1">SUM(AH10:AH11)</f>
        <v>7197.4380000000001</v>
      </c>
      <c r="AJ10" s="901">
        <f ca="1">AI10/(AE10-AD11)</f>
        <v>1.0431069565217392</v>
      </c>
      <c r="AK10" s="901">
        <f ca="1">AI10/(AG10-AF11)</f>
        <v>0.92274846153846157</v>
      </c>
      <c r="AL10" s="703"/>
    </row>
    <row r="11" spans="1:38">
      <c r="A11" s="124" t="str">
        <f t="shared" si="4"/>
        <v>SGHL10</v>
      </c>
      <c r="B11" s="3" t="s">
        <v>22</v>
      </c>
      <c r="C11" s="691">
        <v>2500</v>
      </c>
      <c r="D11" s="691">
        <v>5000</v>
      </c>
      <c r="E11" s="693"/>
      <c r="F11" s="752">
        <v>3300</v>
      </c>
      <c r="G11" s="752">
        <v>6600</v>
      </c>
      <c r="H11" s="693"/>
      <c r="I11" s="693">
        <v>3300</v>
      </c>
      <c r="J11" s="693">
        <v>6600</v>
      </c>
      <c r="K11" s="693"/>
      <c r="L11" s="693">
        <v>3300</v>
      </c>
      <c r="M11" s="693">
        <v>6600</v>
      </c>
      <c r="N11" s="693"/>
      <c r="O11" s="693">
        <v>4000</v>
      </c>
      <c r="P11" s="693">
        <v>6600</v>
      </c>
      <c r="Q11" s="693">
        <v>2469.7069999999999</v>
      </c>
      <c r="R11" s="4">
        <v>3254.81</v>
      </c>
      <c r="S11" s="905"/>
      <c r="T11" s="3" t="s">
        <v>956</v>
      </c>
      <c r="U11" s="3" t="s">
        <v>403</v>
      </c>
      <c r="V11" s="124" t="s">
        <v>937</v>
      </c>
      <c r="W11" s="902"/>
      <c r="X11" s="3" t="str">
        <f t="shared" si="0"/>
        <v>SGHL10</v>
      </c>
      <c r="Z11" s="889"/>
      <c r="AA11" s="889"/>
      <c r="AB11" s="124" t="s">
        <v>953</v>
      </c>
      <c r="AC11" s="124" t="s">
        <v>424</v>
      </c>
      <c r="AD11" s="716">
        <f t="shared" ca="1" si="1"/>
        <v>2300</v>
      </c>
      <c r="AE11" s="900"/>
      <c r="AF11" s="716">
        <f t="shared" ca="1" si="2"/>
        <v>2600</v>
      </c>
      <c r="AG11" s="900"/>
      <c r="AH11" s="716">
        <f t="shared" ca="1" si="3"/>
        <v>2027.3979999999999</v>
      </c>
      <c r="AI11" s="900"/>
      <c r="AJ11" s="901"/>
      <c r="AK11" s="901"/>
      <c r="AL11" s="703" t="s">
        <v>1045</v>
      </c>
    </row>
    <row r="12" spans="1:38">
      <c r="A12" s="124" t="str">
        <f t="shared" si="4"/>
        <v>SGHL11</v>
      </c>
      <c r="B12" s="3" t="s">
        <v>1052</v>
      </c>
      <c r="C12" s="693"/>
      <c r="D12" s="693"/>
      <c r="E12" s="693"/>
      <c r="F12" s="694">
        <v>3300</v>
      </c>
      <c r="G12" s="694">
        <v>6600</v>
      </c>
      <c r="H12" s="693"/>
      <c r="I12" s="694">
        <v>3300</v>
      </c>
      <c r="J12" s="694">
        <v>6600</v>
      </c>
      <c r="K12" s="694"/>
      <c r="L12" s="694">
        <v>3300</v>
      </c>
      <c r="M12" s="694">
        <v>6600</v>
      </c>
      <c r="N12" s="694"/>
      <c r="O12" s="694">
        <v>4000</v>
      </c>
      <c r="P12" s="694">
        <v>6600</v>
      </c>
      <c r="Q12" s="694">
        <v>2659.326</v>
      </c>
      <c r="R12" s="694">
        <v>3501.768</v>
      </c>
      <c r="S12" s="905"/>
      <c r="T12" s="3" t="s">
        <v>956</v>
      </c>
      <c r="U12" s="3" t="s">
        <v>403</v>
      </c>
      <c r="V12" s="124" t="s">
        <v>937</v>
      </c>
      <c r="W12" s="902"/>
      <c r="X12" s="3" t="str">
        <f t="shared" si="0"/>
        <v>SGHL11</v>
      </c>
      <c r="Z12" s="889"/>
      <c r="AA12" s="889" t="s">
        <v>1053</v>
      </c>
      <c r="AB12" s="124" t="s">
        <v>953</v>
      </c>
      <c r="AC12" s="124" t="s">
        <v>357</v>
      </c>
      <c r="AD12" s="716">
        <f t="shared" ca="1" si="1"/>
        <v>4500</v>
      </c>
      <c r="AE12" s="900">
        <f ca="1">AD12+AD13+AD14</f>
        <v>10500</v>
      </c>
      <c r="AF12" s="716">
        <f t="shared" ca="1" si="2"/>
        <v>4500</v>
      </c>
      <c r="AG12" s="900">
        <f ca="1">AF12+AF13+AF14</f>
        <v>10500</v>
      </c>
      <c r="AH12" s="903">
        <f t="shared" ca="1" si="3"/>
        <v>2573.835</v>
      </c>
      <c r="AI12" s="903">
        <f ca="1">AH12</f>
        <v>2573.835</v>
      </c>
      <c r="AJ12" s="901">
        <f ca="1">AH12/(AF12+AF13)</f>
        <v>0.34317799999999998</v>
      </c>
      <c r="AK12" s="901">
        <f ca="1">AJ12</f>
        <v>0.34317799999999998</v>
      </c>
      <c r="AL12" s="703"/>
    </row>
    <row r="13" spans="1:38">
      <c r="A13" s="124" t="str">
        <f t="shared" si="4"/>
        <v>SGHL12</v>
      </c>
      <c r="B13" s="3" t="s">
        <v>107</v>
      </c>
      <c r="C13" s="693"/>
      <c r="D13" s="693"/>
      <c r="E13" s="693"/>
      <c r="F13" s="752">
        <v>3300</v>
      </c>
      <c r="G13" s="752">
        <v>6600</v>
      </c>
      <c r="H13" s="693"/>
      <c r="I13" s="693">
        <v>3300</v>
      </c>
      <c r="J13" s="693">
        <v>6600</v>
      </c>
      <c r="K13" s="693"/>
      <c r="L13" s="693">
        <v>3300</v>
      </c>
      <c r="M13" s="693">
        <v>6600</v>
      </c>
      <c r="N13" s="693"/>
      <c r="O13" s="693">
        <v>4000</v>
      </c>
      <c r="P13" s="693">
        <v>6600</v>
      </c>
      <c r="Q13" s="693">
        <v>2714.895</v>
      </c>
      <c r="R13" s="4">
        <v>3678.7759999999998</v>
      </c>
      <c r="S13" s="905"/>
      <c r="T13" s="3" t="s">
        <v>956</v>
      </c>
      <c r="U13" s="3" t="s">
        <v>404</v>
      </c>
      <c r="V13" s="124" t="s">
        <v>937</v>
      </c>
      <c r="X13" s="3" t="str">
        <f t="shared" si="0"/>
        <v>SGHL12</v>
      </c>
      <c r="Z13" s="889"/>
      <c r="AA13" s="889"/>
      <c r="AB13" s="727" t="s">
        <v>953</v>
      </c>
      <c r="AC13" s="727" t="s">
        <v>888</v>
      </c>
      <c r="AD13" s="692">
        <v>3000</v>
      </c>
      <c r="AE13" s="900"/>
      <c r="AF13" s="716">
        <v>3000</v>
      </c>
      <c r="AG13" s="900"/>
      <c r="AH13" s="903"/>
      <c r="AI13" s="903"/>
      <c r="AJ13" s="901"/>
      <c r="AK13" s="901"/>
      <c r="AL13" s="703"/>
    </row>
    <row r="14" spans="1:38">
      <c r="A14" s="124" t="str">
        <f t="shared" si="4"/>
        <v>SGHL13</v>
      </c>
      <c r="B14" s="3" t="s">
        <v>108</v>
      </c>
      <c r="C14" s="693"/>
      <c r="D14" s="693"/>
      <c r="E14" s="693"/>
      <c r="F14" s="752">
        <v>3300</v>
      </c>
      <c r="G14" s="752">
        <v>6600</v>
      </c>
      <c r="H14" s="693"/>
      <c r="I14" s="693">
        <v>3300</v>
      </c>
      <c r="J14" s="693">
        <v>6600</v>
      </c>
      <c r="K14" s="693"/>
      <c r="L14" s="693">
        <v>3300</v>
      </c>
      <c r="M14" s="693">
        <v>6600</v>
      </c>
      <c r="N14" s="693"/>
      <c r="O14" s="693">
        <v>4000</v>
      </c>
      <c r="P14" s="693">
        <v>6600</v>
      </c>
      <c r="Q14" s="693">
        <v>2699.8620000000001</v>
      </c>
      <c r="R14" s="4">
        <v>3656.538</v>
      </c>
      <c r="S14" s="905"/>
      <c r="T14" s="3" t="s">
        <v>956</v>
      </c>
      <c r="U14" s="3" t="s">
        <v>404</v>
      </c>
      <c r="V14" s="124" t="s">
        <v>937</v>
      </c>
      <c r="X14" s="3" t="str">
        <f t="shared" si="0"/>
        <v>SGHL13</v>
      </c>
      <c r="Z14" s="889"/>
      <c r="AA14" s="889"/>
      <c r="AB14" s="727" t="s">
        <v>953</v>
      </c>
      <c r="AC14" s="727" t="s">
        <v>885</v>
      </c>
      <c r="AD14" s="692">
        <v>3000</v>
      </c>
      <c r="AE14" s="900"/>
      <c r="AF14" s="716">
        <v>3000</v>
      </c>
      <c r="AG14" s="900"/>
      <c r="AH14" s="903"/>
      <c r="AI14" s="903"/>
      <c r="AJ14" s="901"/>
      <c r="AK14" s="901"/>
      <c r="AL14" s="703" t="s">
        <v>1045</v>
      </c>
    </row>
    <row r="15" spans="1:38">
      <c r="A15" s="124" t="str">
        <f t="shared" si="4"/>
        <v>SGHL14</v>
      </c>
      <c r="B15" s="3" t="s">
        <v>345</v>
      </c>
      <c r="C15" s="693"/>
      <c r="D15" s="693"/>
      <c r="E15" s="693"/>
      <c r="F15" s="693"/>
      <c r="G15" s="693"/>
      <c r="H15" s="693"/>
      <c r="I15" s="752">
        <v>2000</v>
      </c>
      <c r="J15" s="752">
        <v>4000</v>
      </c>
      <c r="K15" s="693"/>
      <c r="L15" s="693">
        <v>2000</v>
      </c>
      <c r="M15" s="693">
        <v>4000</v>
      </c>
      <c r="N15" s="693"/>
      <c r="O15" s="693">
        <v>2400</v>
      </c>
      <c r="P15" s="693">
        <v>4000</v>
      </c>
      <c r="Q15" s="693">
        <v>659.70100000000002</v>
      </c>
      <c r="R15" s="4">
        <v>0</v>
      </c>
      <c r="S15" s="905"/>
      <c r="T15" s="3" t="s">
        <v>956</v>
      </c>
      <c r="U15" s="3" t="s">
        <v>403</v>
      </c>
      <c r="V15" s="124" t="s">
        <v>937</v>
      </c>
      <c r="X15" s="3" t="str">
        <f t="shared" si="0"/>
        <v>SGHL14</v>
      </c>
      <c r="Z15" s="890" t="s">
        <v>30</v>
      </c>
      <c r="AA15" s="890" t="s">
        <v>1054</v>
      </c>
      <c r="AB15" s="124" t="s">
        <v>955</v>
      </c>
      <c r="AC15" s="124" t="s">
        <v>1055</v>
      </c>
      <c r="AD15" s="716">
        <f ca="1">SUMIF($U$5:$V$48,AC15,$L$5:$L$48)</f>
        <v>15400</v>
      </c>
      <c r="AE15" s="898">
        <f ca="1">AD15+AD16</f>
        <v>26600</v>
      </c>
      <c r="AF15" s="716">
        <f ca="1">SUMIF($U$5:$V$48,AC15,$O$5:$O$48)</f>
        <v>17000</v>
      </c>
      <c r="AG15" s="898">
        <f ca="1">AF15+AF16</f>
        <v>30000</v>
      </c>
      <c r="AH15" s="716">
        <f ca="1">SUMIF($U$5:$V$48,AC15,$Q$5:$Q$48)</f>
        <v>10600.004999999999</v>
      </c>
      <c r="AI15" s="898">
        <f>15900</f>
        <v>15900</v>
      </c>
      <c r="AJ15" s="896">
        <f ca="1">AI15/(AE15-AD16)</f>
        <v>1.0324675324675325</v>
      </c>
      <c r="AK15" s="896">
        <f ca="1">AI15/(AG15-AF16)</f>
        <v>0.93529411764705883</v>
      </c>
      <c r="AL15" s="703"/>
    </row>
    <row r="16" spans="1:38">
      <c r="A16" s="124" t="str">
        <f t="shared" si="4"/>
        <v>SGHL15</v>
      </c>
      <c r="B16" s="3" t="s">
        <v>1056</v>
      </c>
      <c r="C16" s="693"/>
      <c r="D16" s="693"/>
      <c r="E16" s="693"/>
      <c r="F16" s="693"/>
      <c r="G16" s="693"/>
      <c r="H16" s="693"/>
      <c r="I16" s="694">
        <v>2000</v>
      </c>
      <c r="J16" s="694">
        <v>4000</v>
      </c>
      <c r="K16" s="694"/>
      <c r="L16" s="694">
        <v>2000</v>
      </c>
      <c r="M16" s="694">
        <v>4000</v>
      </c>
      <c r="N16" s="694"/>
      <c r="O16" s="694">
        <v>2400</v>
      </c>
      <c r="P16" s="694">
        <v>4000</v>
      </c>
      <c r="Q16" s="694">
        <v>614.48400000000004</v>
      </c>
      <c r="R16" s="694">
        <v>0</v>
      </c>
      <c r="S16" s="905"/>
      <c r="T16" s="3" t="s">
        <v>956</v>
      </c>
      <c r="U16" s="3" t="s">
        <v>404</v>
      </c>
      <c r="V16" s="124" t="s">
        <v>937</v>
      </c>
      <c r="X16" s="3" t="str">
        <f t="shared" si="0"/>
        <v>SGHL15</v>
      </c>
      <c r="Z16" s="891"/>
      <c r="AA16" s="892"/>
      <c r="AB16" s="124" t="s">
        <v>958</v>
      </c>
      <c r="AC16" s="124" t="s">
        <v>440</v>
      </c>
      <c r="AD16" s="716">
        <f ca="1">SUMIF($U$5:$V$48,AC16,$L$5:$L$48)</f>
        <v>11200</v>
      </c>
      <c r="AE16" s="899"/>
      <c r="AF16" s="716">
        <f ca="1">SUMIF($U$5:$V$48,AC16,$O$5:$O$48)</f>
        <v>13000</v>
      </c>
      <c r="AG16" s="899"/>
      <c r="AH16" s="716">
        <f ca="1">SUMIF($U$5:$V$48,AC16,$Q$5:$Q$48)</f>
        <v>9317.759</v>
      </c>
      <c r="AI16" s="899"/>
      <c r="AJ16" s="897"/>
      <c r="AK16" s="897"/>
      <c r="AL16" s="703" t="s">
        <v>1045</v>
      </c>
    </row>
    <row r="17" spans="1:38">
      <c r="A17" s="124" t="str">
        <f t="shared" si="4"/>
        <v>SGHL16</v>
      </c>
      <c r="B17" s="3" t="s">
        <v>689</v>
      </c>
      <c r="C17" s="693"/>
      <c r="D17" s="693"/>
      <c r="E17" s="693"/>
      <c r="F17" s="693"/>
      <c r="G17" s="693"/>
      <c r="H17" s="693"/>
      <c r="I17" s="693"/>
      <c r="J17" s="693"/>
      <c r="K17" s="693"/>
      <c r="L17" s="752">
        <v>2000</v>
      </c>
      <c r="M17" s="752">
        <v>4000</v>
      </c>
      <c r="N17" s="693"/>
      <c r="O17" s="693">
        <v>2400</v>
      </c>
      <c r="P17" s="693">
        <v>4000</v>
      </c>
      <c r="Q17" s="693">
        <v>0</v>
      </c>
      <c r="R17" s="4">
        <v>0</v>
      </c>
      <c r="S17" s="889" t="s">
        <v>1057</v>
      </c>
      <c r="T17" s="3" t="s">
        <v>956</v>
      </c>
      <c r="U17" s="3" t="s">
        <v>577</v>
      </c>
      <c r="V17" s="124" t="s">
        <v>940</v>
      </c>
      <c r="X17" s="3" t="str">
        <f t="shared" si="0"/>
        <v>SGHL16</v>
      </c>
      <c r="Z17" s="891"/>
      <c r="AA17" s="890" t="s">
        <v>1058</v>
      </c>
      <c r="AB17" s="124" t="s">
        <v>1059</v>
      </c>
      <c r="AC17" s="124" t="s">
        <v>536</v>
      </c>
      <c r="AD17" s="716">
        <f ca="1">SUMIF($U$5:$V$48,AC17,$L$5:$L$48)</f>
        <v>5500</v>
      </c>
      <c r="AE17" s="898">
        <f ca="1">AD17+AD18</f>
        <v>10000</v>
      </c>
      <c r="AF17" s="716">
        <f ca="1">SUMIF($U$5:$V$48,AC17,$O$5:$O$48)</f>
        <v>5500</v>
      </c>
      <c r="AG17" s="898">
        <f ca="1">AF17+AF18</f>
        <v>10000</v>
      </c>
      <c r="AH17" s="716">
        <f ca="1">SUMIF($U$5:$V$48,AC17,$Q$5:$Q$48)</f>
        <v>181.39300000000003</v>
      </c>
      <c r="AI17" s="898">
        <f ca="1">SUM(AH15:AH18)-AI15</f>
        <v>4199.1569999999992</v>
      </c>
      <c r="AJ17" s="896">
        <f ca="1">AI17/(AE17-AD17)</f>
        <v>0.93314599999999981</v>
      </c>
      <c r="AK17" s="896">
        <f ca="1">AI17/(AG17-AF17)</f>
        <v>0.93314599999999981</v>
      </c>
      <c r="AL17" s="703" t="s">
        <v>1045</v>
      </c>
    </row>
    <row r="18" spans="1:38">
      <c r="A18" s="124" t="str">
        <f t="shared" si="4"/>
        <v>SGHL17</v>
      </c>
      <c r="B18" s="3" t="s">
        <v>690</v>
      </c>
      <c r="C18" s="693"/>
      <c r="D18" s="693"/>
      <c r="E18" s="693"/>
      <c r="F18" s="693"/>
      <c r="G18" s="693"/>
      <c r="H18" s="693"/>
      <c r="I18" s="693"/>
      <c r="J18" s="693"/>
      <c r="K18" s="693"/>
      <c r="L18" s="752">
        <v>2000</v>
      </c>
      <c r="M18" s="752">
        <v>4000</v>
      </c>
      <c r="N18" s="693"/>
      <c r="O18" s="693">
        <v>2400</v>
      </c>
      <c r="P18" s="693">
        <v>4000</v>
      </c>
      <c r="Q18" s="693">
        <v>0</v>
      </c>
      <c r="R18" s="4">
        <v>0</v>
      </c>
      <c r="S18" s="889"/>
      <c r="T18" s="3" t="s">
        <v>956</v>
      </c>
      <c r="U18" s="3" t="s">
        <v>577</v>
      </c>
      <c r="V18" s="124" t="s">
        <v>940</v>
      </c>
      <c r="X18" s="3" t="str">
        <f t="shared" si="0"/>
        <v>SGHL17</v>
      </c>
      <c r="Z18" s="892"/>
      <c r="AA18" s="892"/>
      <c r="AB18" s="124" t="s">
        <v>958</v>
      </c>
      <c r="AC18" s="124" t="s">
        <v>890</v>
      </c>
      <c r="AD18" s="716">
        <f ca="1">SUMIF($U$5:$V$48,AC18,$L$5:$L$48)</f>
        <v>4500</v>
      </c>
      <c r="AE18" s="899"/>
      <c r="AF18" s="716">
        <f ca="1">SUMIF($U$5:$V$48,AC18,$O$5:$O$48)</f>
        <v>4500</v>
      </c>
      <c r="AG18" s="899"/>
      <c r="AH18" s="716">
        <f ca="1">SUMIF($U$5:$V$48,AC18,$Q$5:$Q$48)</f>
        <v>0</v>
      </c>
      <c r="AI18" s="899"/>
      <c r="AJ18" s="897"/>
      <c r="AK18" s="897"/>
      <c r="AL18" s="703"/>
    </row>
    <row r="19" spans="1:38">
      <c r="A19" s="124" t="str">
        <f t="shared" si="4"/>
        <v>SGHL18</v>
      </c>
      <c r="B19" s="3" t="s">
        <v>1060</v>
      </c>
      <c r="C19" s="693"/>
      <c r="D19" s="693"/>
      <c r="E19" s="693"/>
      <c r="F19" s="693"/>
      <c r="G19" s="693"/>
      <c r="H19" s="693"/>
      <c r="I19" s="693"/>
      <c r="J19" s="693"/>
      <c r="K19" s="693"/>
      <c r="L19" s="694">
        <v>2000</v>
      </c>
      <c r="M19" s="694">
        <v>4000</v>
      </c>
      <c r="N19" s="694"/>
      <c r="O19" s="694">
        <v>2400</v>
      </c>
      <c r="P19" s="694">
        <v>4000</v>
      </c>
      <c r="Q19" s="694">
        <v>0</v>
      </c>
      <c r="R19" s="694">
        <v>0</v>
      </c>
      <c r="S19" s="889"/>
      <c r="T19" s="3" t="s">
        <v>956</v>
      </c>
      <c r="U19" s="3" t="s">
        <v>577</v>
      </c>
      <c r="V19" s="124" t="s">
        <v>940</v>
      </c>
      <c r="X19" s="3" t="str">
        <f t="shared" si="0"/>
        <v>SGHL18</v>
      </c>
    </row>
    <row r="20" spans="1:38">
      <c r="A20" s="124" t="str">
        <f t="shared" si="4"/>
        <v>SGHL23</v>
      </c>
      <c r="B20" s="3" t="s">
        <v>1061</v>
      </c>
      <c r="C20" s="693"/>
      <c r="D20" s="693"/>
      <c r="E20" s="693"/>
      <c r="F20" s="693"/>
      <c r="G20" s="693"/>
      <c r="H20" s="693"/>
      <c r="I20" s="693"/>
      <c r="J20" s="693"/>
      <c r="K20" s="693"/>
      <c r="L20" s="752">
        <v>3000</v>
      </c>
      <c r="M20" s="752">
        <v>6000</v>
      </c>
      <c r="N20" s="693"/>
      <c r="O20" s="693">
        <v>3600</v>
      </c>
      <c r="P20" s="693">
        <v>6000</v>
      </c>
      <c r="Q20" s="693">
        <v>0</v>
      </c>
      <c r="R20" s="4">
        <v>0</v>
      </c>
      <c r="S20" s="889"/>
      <c r="T20" s="3" t="s">
        <v>956</v>
      </c>
      <c r="U20" s="695" t="s">
        <v>977</v>
      </c>
      <c r="V20" s="124" t="s">
        <v>940</v>
      </c>
      <c r="W20" s="705" t="s">
        <v>978</v>
      </c>
      <c r="X20" s="3" t="str">
        <f t="shared" si="0"/>
        <v>SGHL23</v>
      </c>
    </row>
    <row r="21" spans="1:38">
      <c r="A21" s="124" t="str">
        <f t="shared" si="4"/>
        <v>SGHL24</v>
      </c>
      <c r="B21" s="3" t="s">
        <v>1062</v>
      </c>
      <c r="C21" s="693"/>
      <c r="D21" s="693"/>
      <c r="E21" s="693"/>
      <c r="F21" s="693"/>
      <c r="G21" s="693"/>
      <c r="H21" s="693"/>
      <c r="I21" s="693"/>
      <c r="J21" s="693"/>
      <c r="K21" s="693"/>
      <c r="L21" s="694">
        <v>3000</v>
      </c>
      <c r="M21" s="694">
        <v>6000</v>
      </c>
      <c r="N21" s="694"/>
      <c r="O21" s="694">
        <v>3600</v>
      </c>
      <c r="P21" s="694">
        <v>6000</v>
      </c>
      <c r="Q21" s="694">
        <v>0</v>
      </c>
      <c r="R21" s="694">
        <v>0</v>
      </c>
      <c r="S21" s="889"/>
      <c r="T21" s="3" t="s">
        <v>956</v>
      </c>
      <c r="U21" s="695" t="s">
        <v>977</v>
      </c>
      <c r="V21" s="124" t="s">
        <v>940</v>
      </c>
      <c r="W21" s="705" t="s">
        <v>978</v>
      </c>
      <c r="X21" s="3" t="str">
        <f t="shared" si="0"/>
        <v>SGHL24</v>
      </c>
    </row>
    <row r="22" spans="1:38">
      <c r="A22" s="124" t="str">
        <f t="shared" si="4"/>
        <v xml:space="preserve">Total </v>
      </c>
      <c r="B22" s="796" t="s">
        <v>984</v>
      </c>
      <c r="C22" s="797">
        <f>SUM(C5:C19)-C10</f>
        <v>17400</v>
      </c>
      <c r="D22" s="797">
        <f>SUM(D5:D19)-D10</f>
        <v>19200</v>
      </c>
      <c r="E22" s="797">
        <f>SUM(E5:E19)-E10</f>
        <v>149</v>
      </c>
      <c r="F22" s="797">
        <f>SUM(F5:F19)-F10-F12</f>
        <v>24800</v>
      </c>
      <c r="G22" s="797">
        <f>SUM(G5:G19)-G10-G12</f>
        <v>34000</v>
      </c>
      <c r="H22" s="797">
        <f>SUM(H5:H19)-H10-H12</f>
        <v>149</v>
      </c>
      <c r="I22" s="797">
        <f>SUM(I5:I19)-I10-I12-I16-I19</f>
        <v>26800</v>
      </c>
      <c r="J22" s="797">
        <f>SUM(J5:J19)-J10-J12-J16-J19</f>
        <v>38000</v>
      </c>
      <c r="K22" s="797">
        <f>SUM(K5:K19)-K10-K12-K16-K19</f>
        <v>149</v>
      </c>
      <c r="L22" s="797">
        <f>SUM(L5:L21)-L10-L12-L16-L19-L21</f>
        <v>33800</v>
      </c>
      <c r="M22" s="797">
        <f>SUM(M5:M21)-M10-M12-M16-M19-M21</f>
        <v>52000</v>
      </c>
      <c r="N22" s="797">
        <f>SUM(N5:N21)-N10-N12-N16-N19-N21</f>
        <v>149</v>
      </c>
      <c r="O22" s="693"/>
      <c r="P22" s="693"/>
      <c r="Q22" s="693"/>
      <c r="R22" s="4"/>
      <c r="S22" s="703"/>
      <c r="T22" s="797"/>
      <c r="U22" s="797"/>
      <c r="V22" s="798"/>
      <c r="W22" s="799"/>
      <c r="X22" s="3" t="str">
        <f t="shared" si="0"/>
        <v xml:space="preserve">Total </v>
      </c>
      <c r="Y22" s="799"/>
      <c r="Z22" s="799"/>
    </row>
    <row r="23" spans="1:38">
      <c r="A23" s="124" t="str">
        <f t="shared" si="4"/>
        <v>SGHK01</v>
      </c>
      <c r="B23" s="3" t="s">
        <v>1063</v>
      </c>
      <c r="C23" s="693">
        <v>2300</v>
      </c>
      <c r="D23" s="693">
        <v>2200</v>
      </c>
      <c r="E23" s="693">
        <v>25</v>
      </c>
      <c r="F23" s="693">
        <v>2300</v>
      </c>
      <c r="G23" s="693">
        <v>2200</v>
      </c>
      <c r="H23" s="693">
        <v>25</v>
      </c>
      <c r="I23" s="693">
        <v>2300</v>
      </c>
      <c r="J23" s="693">
        <v>2200</v>
      </c>
      <c r="K23" s="693">
        <v>25</v>
      </c>
      <c r="L23" s="800">
        <v>2300</v>
      </c>
      <c r="M23" s="800">
        <v>2300</v>
      </c>
      <c r="N23" s="693">
        <v>25</v>
      </c>
      <c r="O23" s="693">
        <v>2600</v>
      </c>
      <c r="P23" s="693">
        <v>4600</v>
      </c>
      <c r="Q23" s="693">
        <v>1717.693</v>
      </c>
      <c r="R23" s="4">
        <v>2102.0700000000002</v>
      </c>
      <c r="S23" s="889" t="s">
        <v>1064</v>
      </c>
      <c r="T23" s="3" t="s">
        <v>930</v>
      </c>
      <c r="U23" s="795" t="s">
        <v>1051</v>
      </c>
      <c r="V23" s="124" t="s">
        <v>946</v>
      </c>
      <c r="W23" s="801"/>
      <c r="X23" s="3" t="str">
        <f t="shared" si="0"/>
        <v>SGHK01</v>
      </c>
      <c r="Y23" s="799"/>
      <c r="Z23" s="799"/>
    </row>
    <row r="24" spans="1:38">
      <c r="A24" s="124" t="str">
        <f t="shared" si="4"/>
        <v>SGHK02</v>
      </c>
      <c r="B24" s="3" t="s">
        <v>1065</v>
      </c>
      <c r="C24" s="693">
        <v>2300</v>
      </c>
      <c r="D24" s="693">
        <v>2200</v>
      </c>
      <c r="E24" s="693">
        <v>25</v>
      </c>
      <c r="F24" s="693">
        <v>2300</v>
      </c>
      <c r="G24" s="693">
        <v>2200</v>
      </c>
      <c r="H24" s="693">
        <v>25</v>
      </c>
      <c r="I24" s="693">
        <v>2300</v>
      </c>
      <c r="J24" s="693">
        <v>2200</v>
      </c>
      <c r="K24" s="693">
        <v>25</v>
      </c>
      <c r="L24" s="800">
        <v>2300</v>
      </c>
      <c r="M24" s="800">
        <v>2300</v>
      </c>
      <c r="N24" s="693">
        <v>25</v>
      </c>
      <c r="O24" s="693">
        <v>2600</v>
      </c>
      <c r="P24" s="693">
        <v>4600</v>
      </c>
      <c r="Q24" s="693">
        <v>1732.817</v>
      </c>
      <c r="R24" s="4">
        <v>2098.4839999999999</v>
      </c>
      <c r="S24" s="889"/>
      <c r="T24" s="3" t="s">
        <v>930</v>
      </c>
      <c r="U24" s="795" t="s">
        <v>1051</v>
      </c>
      <c r="V24" s="124" t="s">
        <v>946</v>
      </c>
      <c r="W24" s="801"/>
      <c r="X24" s="3" t="str">
        <f t="shared" si="0"/>
        <v>SGHK02</v>
      </c>
      <c r="Y24" s="799"/>
      <c r="Z24" s="799"/>
    </row>
    <row r="25" spans="1:38">
      <c r="A25" s="124" t="str">
        <f t="shared" si="4"/>
        <v>SGHK03</v>
      </c>
      <c r="B25" s="3" t="s">
        <v>1066</v>
      </c>
      <c r="C25" s="694">
        <v>1750</v>
      </c>
      <c r="D25" s="694">
        <v>1750</v>
      </c>
      <c r="E25" s="694">
        <v>20</v>
      </c>
      <c r="F25" s="694">
        <v>2300</v>
      </c>
      <c r="G25" s="694">
        <v>2300</v>
      </c>
      <c r="H25" s="694">
        <v>28</v>
      </c>
      <c r="I25" s="694">
        <v>2300</v>
      </c>
      <c r="J25" s="694">
        <v>2300</v>
      </c>
      <c r="K25" s="694">
        <v>20</v>
      </c>
      <c r="L25" s="802">
        <v>2300</v>
      </c>
      <c r="M25" s="802">
        <v>2300</v>
      </c>
      <c r="N25" s="694">
        <v>20</v>
      </c>
      <c r="O25" s="694">
        <v>2600</v>
      </c>
      <c r="P25" s="694">
        <v>4600</v>
      </c>
      <c r="Q25" s="694">
        <v>1719.53</v>
      </c>
      <c r="R25" s="694">
        <v>2086.203</v>
      </c>
      <c r="S25" s="889"/>
      <c r="T25" s="3" t="s">
        <v>930</v>
      </c>
      <c r="U25" s="795" t="s">
        <v>1051</v>
      </c>
      <c r="V25" s="124" t="s">
        <v>946</v>
      </c>
      <c r="W25" s="801"/>
      <c r="X25" s="3" t="str">
        <f t="shared" si="0"/>
        <v>SGHK03</v>
      </c>
      <c r="Y25" s="799"/>
      <c r="Z25" s="799"/>
    </row>
    <row r="26" spans="1:38">
      <c r="A26" s="124" t="str">
        <f t="shared" si="4"/>
        <v>SGHK06</v>
      </c>
      <c r="B26" s="3" t="s">
        <v>105</v>
      </c>
      <c r="C26" s="693"/>
      <c r="D26" s="693"/>
      <c r="E26" s="693"/>
      <c r="F26" s="752">
        <v>2300</v>
      </c>
      <c r="G26" s="752">
        <v>4600</v>
      </c>
      <c r="H26" s="693"/>
      <c r="I26" s="693">
        <v>2300</v>
      </c>
      <c r="J26" s="693">
        <v>4600</v>
      </c>
      <c r="K26" s="693"/>
      <c r="L26" s="693">
        <v>2300</v>
      </c>
      <c r="M26" s="693">
        <v>4600</v>
      </c>
      <c r="N26" s="693"/>
      <c r="O26" s="693">
        <v>2600</v>
      </c>
      <c r="P26" s="693">
        <v>4600</v>
      </c>
      <c r="Q26" s="693">
        <v>2027.3979999999999</v>
      </c>
      <c r="R26" s="4">
        <v>2510.4369999999999</v>
      </c>
      <c r="S26" s="889"/>
      <c r="T26" s="3" t="s">
        <v>956</v>
      </c>
      <c r="U26" s="3" t="s">
        <v>424</v>
      </c>
      <c r="V26" s="124" t="s">
        <v>953</v>
      </c>
      <c r="W26" s="801"/>
      <c r="X26" s="3" t="str">
        <f t="shared" si="0"/>
        <v>SGHK06</v>
      </c>
      <c r="Y26" s="799"/>
      <c r="Z26" s="799"/>
    </row>
    <row r="27" spans="1:38">
      <c r="A27" s="124" t="str">
        <f t="shared" si="4"/>
        <v>SGHK14</v>
      </c>
      <c r="B27" s="3" t="s">
        <v>1067</v>
      </c>
      <c r="C27" s="693"/>
      <c r="D27" s="693"/>
      <c r="E27" s="693"/>
      <c r="F27" s="752"/>
      <c r="G27" s="752"/>
      <c r="H27" s="693"/>
      <c r="I27" s="693"/>
      <c r="J27" s="693"/>
      <c r="K27" s="693"/>
      <c r="L27" s="693">
        <v>1500</v>
      </c>
      <c r="M27" s="693">
        <v>3000</v>
      </c>
      <c r="N27" s="693"/>
      <c r="O27" s="693"/>
      <c r="P27" s="693"/>
      <c r="Q27" s="693"/>
      <c r="R27" s="4"/>
      <c r="S27" s="803"/>
      <c r="T27" s="3" t="s">
        <v>956</v>
      </c>
      <c r="U27" s="3" t="s">
        <v>578</v>
      </c>
      <c r="V27" s="124" t="s">
        <v>953</v>
      </c>
      <c r="W27" s="705" t="s">
        <v>978</v>
      </c>
      <c r="X27" s="3"/>
      <c r="Y27" s="799"/>
      <c r="Z27" s="799"/>
    </row>
    <row r="28" spans="1:38">
      <c r="A28" s="124" t="str">
        <f t="shared" si="4"/>
        <v>SGHK15</v>
      </c>
      <c r="B28" s="3" t="s">
        <v>1068</v>
      </c>
      <c r="C28" s="693"/>
      <c r="D28" s="693"/>
      <c r="E28" s="693"/>
      <c r="F28" s="752"/>
      <c r="G28" s="752"/>
      <c r="H28" s="693"/>
      <c r="I28" s="693"/>
      <c r="J28" s="693"/>
      <c r="K28" s="693"/>
      <c r="L28" s="693">
        <v>1500</v>
      </c>
      <c r="M28" s="693">
        <v>3000</v>
      </c>
      <c r="N28" s="693"/>
      <c r="O28" s="693"/>
      <c r="P28" s="693"/>
      <c r="Q28" s="693"/>
      <c r="R28" s="4"/>
      <c r="S28" s="803"/>
      <c r="T28" s="3" t="s">
        <v>956</v>
      </c>
      <c r="U28" s="3" t="s">
        <v>578</v>
      </c>
      <c r="V28" s="124" t="s">
        <v>953</v>
      </c>
      <c r="W28" s="705" t="s">
        <v>978</v>
      </c>
      <c r="X28" s="3"/>
      <c r="Y28" s="799"/>
      <c r="Z28" s="799"/>
    </row>
    <row r="29" spans="1:38">
      <c r="A29" s="124" t="str">
        <f t="shared" si="4"/>
        <v>SGHK07</v>
      </c>
      <c r="B29" s="3" t="s">
        <v>348</v>
      </c>
      <c r="C29" s="693"/>
      <c r="D29" s="693"/>
      <c r="E29" s="693"/>
      <c r="F29" s="693"/>
      <c r="G29" s="693"/>
      <c r="H29" s="693"/>
      <c r="I29" s="752">
        <v>1500</v>
      </c>
      <c r="J29" s="752">
        <v>3000</v>
      </c>
      <c r="K29" s="693"/>
      <c r="L29" s="693">
        <v>1500</v>
      </c>
      <c r="M29" s="693">
        <v>3000</v>
      </c>
      <c r="N29" s="693"/>
      <c r="O29" s="693">
        <v>1500</v>
      </c>
      <c r="P29" s="693">
        <v>3000</v>
      </c>
      <c r="Q29" s="693">
        <v>954.45100000000002</v>
      </c>
      <c r="R29" s="4">
        <v>1194.4949999999999</v>
      </c>
      <c r="S29" s="890" t="s">
        <v>1069</v>
      </c>
      <c r="T29" s="3" t="s">
        <v>972</v>
      </c>
      <c r="U29" s="3" t="s">
        <v>357</v>
      </c>
      <c r="V29" s="124" t="s">
        <v>953</v>
      </c>
      <c r="W29" s="801"/>
      <c r="X29" s="3" t="str">
        <f t="shared" si="0"/>
        <v>SGHK07</v>
      </c>
      <c r="Y29" s="799"/>
      <c r="Z29" s="799"/>
    </row>
    <row r="30" spans="1:38">
      <c r="A30" s="124" t="str">
        <f t="shared" si="4"/>
        <v>SGHK08</v>
      </c>
      <c r="B30" s="3" t="s">
        <v>349</v>
      </c>
      <c r="C30" s="693"/>
      <c r="D30" s="693"/>
      <c r="E30" s="693"/>
      <c r="F30" s="693"/>
      <c r="G30" s="693"/>
      <c r="H30" s="693"/>
      <c r="I30" s="752">
        <v>1500</v>
      </c>
      <c r="J30" s="752">
        <v>3000</v>
      </c>
      <c r="K30" s="693"/>
      <c r="L30" s="693">
        <v>1500</v>
      </c>
      <c r="M30" s="693">
        <v>3000</v>
      </c>
      <c r="N30" s="693"/>
      <c r="O30" s="693">
        <v>1500</v>
      </c>
      <c r="P30" s="693">
        <v>3000</v>
      </c>
      <c r="Q30" s="693">
        <v>681.70799999999997</v>
      </c>
      <c r="R30" s="4">
        <v>853.15800000000002</v>
      </c>
      <c r="S30" s="891"/>
      <c r="T30" s="3" t="s">
        <v>972</v>
      </c>
      <c r="U30" s="3" t="s">
        <v>357</v>
      </c>
      <c r="V30" s="124" t="s">
        <v>953</v>
      </c>
      <c r="W30" s="801"/>
      <c r="X30" s="3" t="str">
        <f t="shared" si="0"/>
        <v>SGHK08</v>
      </c>
      <c r="Y30" s="799"/>
      <c r="Z30" s="799"/>
    </row>
    <row r="31" spans="1:38">
      <c r="A31" s="124" t="str">
        <f t="shared" si="4"/>
        <v>SGHK09</v>
      </c>
      <c r="B31" s="3" t="s">
        <v>1070</v>
      </c>
      <c r="C31" s="693"/>
      <c r="D31" s="693"/>
      <c r="E31" s="693"/>
      <c r="F31" s="693"/>
      <c r="G31" s="693"/>
      <c r="H31" s="693"/>
      <c r="I31" s="694">
        <v>1500</v>
      </c>
      <c r="J31" s="694">
        <v>3000</v>
      </c>
      <c r="K31" s="694"/>
      <c r="L31" s="694">
        <v>1500</v>
      </c>
      <c r="M31" s="694">
        <v>3000</v>
      </c>
      <c r="N31" s="694"/>
      <c r="O31" s="694">
        <v>1500</v>
      </c>
      <c r="P31" s="694">
        <v>3000</v>
      </c>
      <c r="Q31" s="694">
        <v>937.67600000000004</v>
      </c>
      <c r="R31" s="694">
        <v>1173.502</v>
      </c>
      <c r="S31" s="892"/>
      <c r="T31" s="3" t="s">
        <v>972</v>
      </c>
      <c r="U31" s="3" t="s">
        <v>357</v>
      </c>
      <c r="V31" s="124" t="s">
        <v>953</v>
      </c>
      <c r="W31" s="801"/>
      <c r="X31" s="3" t="str">
        <f t="shared" si="0"/>
        <v>SGHK09</v>
      </c>
      <c r="Y31" s="799"/>
      <c r="Z31" s="799"/>
    </row>
    <row r="32" spans="1:38">
      <c r="A32" s="124" t="str">
        <f t="shared" si="4"/>
        <v xml:space="preserve">Total </v>
      </c>
      <c r="B32" s="796" t="s">
        <v>997</v>
      </c>
      <c r="C32" s="797">
        <f t="shared" ref="C32:H32" si="5">SUM(C23:C31)-C25-C31</f>
        <v>4600</v>
      </c>
      <c r="D32" s="797">
        <f t="shared" si="5"/>
        <v>4400</v>
      </c>
      <c r="E32" s="797">
        <f t="shared" si="5"/>
        <v>50</v>
      </c>
      <c r="F32" s="797">
        <f t="shared" si="5"/>
        <v>6900</v>
      </c>
      <c r="G32" s="797">
        <f t="shared" si="5"/>
        <v>9000</v>
      </c>
      <c r="H32" s="797">
        <f t="shared" si="5"/>
        <v>50</v>
      </c>
      <c r="I32" s="797">
        <f t="shared" ref="I32:N32" si="6">SUM(I23:I31)-I25-I31</f>
        <v>9900</v>
      </c>
      <c r="J32" s="797">
        <f t="shared" si="6"/>
        <v>15000</v>
      </c>
      <c r="K32" s="797">
        <f t="shared" si="6"/>
        <v>50</v>
      </c>
      <c r="L32" s="797">
        <f t="shared" si="6"/>
        <v>12900</v>
      </c>
      <c r="M32" s="797">
        <f t="shared" si="6"/>
        <v>21200</v>
      </c>
      <c r="N32" s="797">
        <f t="shared" si="6"/>
        <v>50</v>
      </c>
      <c r="O32" s="693"/>
      <c r="P32" s="693"/>
      <c r="Q32" s="693"/>
      <c r="R32" s="4"/>
      <c r="S32" s="703"/>
      <c r="T32" s="797"/>
      <c r="U32" s="797"/>
      <c r="V32" s="798"/>
      <c r="W32" s="799"/>
      <c r="X32" s="3" t="str">
        <f t="shared" si="0"/>
        <v xml:space="preserve">Total </v>
      </c>
      <c r="Y32" s="799"/>
      <c r="Z32" s="799"/>
    </row>
    <row r="33" spans="1:26">
      <c r="A33" s="124" t="str">
        <f t="shared" si="4"/>
        <v>SGHT07</v>
      </c>
      <c r="B33" s="3" t="s">
        <v>1071</v>
      </c>
      <c r="C33" s="693">
        <v>2500</v>
      </c>
      <c r="D33" s="693">
        <v>2400</v>
      </c>
      <c r="E33" s="693">
        <v>28</v>
      </c>
      <c r="F33" s="693">
        <v>2500</v>
      </c>
      <c r="G33" s="693">
        <v>2400</v>
      </c>
      <c r="H33" s="693">
        <v>28</v>
      </c>
      <c r="I33" s="693">
        <v>2500</v>
      </c>
      <c r="J33" s="693">
        <v>2400</v>
      </c>
      <c r="K33" s="693">
        <v>28</v>
      </c>
      <c r="L33" s="693">
        <v>2500</v>
      </c>
      <c r="M33" s="693">
        <v>2400</v>
      </c>
      <c r="N33" s="693">
        <v>28</v>
      </c>
      <c r="O33" s="693">
        <v>2500</v>
      </c>
      <c r="P33" s="693">
        <v>5000</v>
      </c>
      <c r="Q33" s="693">
        <v>1180.972</v>
      </c>
      <c r="R33" s="4">
        <v>1459.57</v>
      </c>
      <c r="S33" s="890" t="s">
        <v>1072</v>
      </c>
      <c r="T33" s="3" t="s">
        <v>930</v>
      </c>
      <c r="U33" s="795" t="s">
        <v>1055</v>
      </c>
      <c r="V33" s="124" t="s">
        <v>955</v>
      </c>
      <c r="W33" s="801"/>
      <c r="X33" s="3" t="str">
        <f t="shared" si="0"/>
        <v>SGHT07</v>
      </c>
      <c r="Y33" s="799"/>
      <c r="Z33" s="799"/>
    </row>
    <row r="34" spans="1:26">
      <c r="A34" s="124" t="str">
        <f t="shared" si="4"/>
        <v>SGHT08</v>
      </c>
      <c r="B34" s="3" t="s">
        <v>1073</v>
      </c>
      <c r="C34" s="693">
        <v>2500</v>
      </c>
      <c r="D34" s="693">
        <v>2400</v>
      </c>
      <c r="E34" s="693">
        <v>28</v>
      </c>
      <c r="F34" s="693">
        <v>2500</v>
      </c>
      <c r="G34" s="693">
        <v>2400</v>
      </c>
      <c r="H34" s="693">
        <v>28</v>
      </c>
      <c r="I34" s="693">
        <v>2500</v>
      </c>
      <c r="J34" s="693">
        <v>2400</v>
      </c>
      <c r="K34" s="693">
        <v>28</v>
      </c>
      <c r="L34" s="693">
        <v>2500</v>
      </c>
      <c r="M34" s="693">
        <v>2400</v>
      </c>
      <c r="N34" s="693">
        <v>28</v>
      </c>
      <c r="O34" s="693">
        <v>2500</v>
      </c>
      <c r="P34" s="693">
        <v>5000</v>
      </c>
      <c r="Q34" s="693">
        <v>1663.0050000000001</v>
      </c>
      <c r="R34" s="4">
        <v>2153.9290000000001</v>
      </c>
      <c r="S34" s="891"/>
      <c r="T34" s="3" t="s">
        <v>930</v>
      </c>
      <c r="U34" s="795" t="s">
        <v>1055</v>
      </c>
      <c r="V34" s="124" t="s">
        <v>955</v>
      </c>
      <c r="W34" s="801"/>
      <c r="X34" s="3" t="str">
        <f t="shared" si="0"/>
        <v>SGHT08</v>
      </c>
      <c r="Y34" s="799"/>
      <c r="Z34" s="799"/>
    </row>
    <row r="35" spans="1:26">
      <c r="A35" s="124" t="str">
        <f t="shared" si="4"/>
        <v>SGHT09</v>
      </c>
      <c r="B35" s="3" t="s">
        <v>1074</v>
      </c>
      <c r="C35" s="693">
        <v>3500</v>
      </c>
      <c r="D35" s="693">
        <v>3300</v>
      </c>
      <c r="E35" s="693">
        <v>28</v>
      </c>
      <c r="F35" s="693">
        <v>3500</v>
      </c>
      <c r="G35" s="693">
        <v>3300</v>
      </c>
      <c r="H35" s="693">
        <v>28</v>
      </c>
      <c r="I35" s="693">
        <v>3500</v>
      </c>
      <c r="J35" s="693">
        <v>3300</v>
      </c>
      <c r="K35" s="693">
        <v>28</v>
      </c>
      <c r="L35" s="693">
        <v>3500</v>
      </c>
      <c r="M35" s="693">
        <v>3300</v>
      </c>
      <c r="N35" s="693">
        <v>28</v>
      </c>
      <c r="O35" s="693">
        <v>4000</v>
      </c>
      <c r="P35" s="693">
        <v>7000</v>
      </c>
      <c r="Q35" s="693">
        <v>2063.404</v>
      </c>
      <c r="R35" s="4">
        <v>2620.047</v>
      </c>
      <c r="S35" s="891"/>
      <c r="T35" s="3" t="s">
        <v>930</v>
      </c>
      <c r="U35" s="795" t="s">
        <v>1055</v>
      </c>
      <c r="V35" s="124" t="s">
        <v>955</v>
      </c>
      <c r="W35" s="801"/>
      <c r="X35" s="3" t="str">
        <f t="shared" si="0"/>
        <v>SGHT09</v>
      </c>
      <c r="Y35" s="799"/>
      <c r="Z35" s="799"/>
    </row>
    <row r="36" spans="1:26">
      <c r="A36" s="124" t="str">
        <f t="shared" si="4"/>
        <v>SGHT10</v>
      </c>
      <c r="B36" s="3" t="s">
        <v>1075</v>
      </c>
      <c r="C36" s="693">
        <v>3500</v>
      </c>
      <c r="D36" s="693">
        <v>3300</v>
      </c>
      <c r="E36" s="693">
        <v>28</v>
      </c>
      <c r="F36" s="693">
        <v>3500</v>
      </c>
      <c r="G36" s="693">
        <v>3300</v>
      </c>
      <c r="H36" s="693">
        <v>28</v>
      </c>
      <c r="I36" s="693">
        <v>3500</v>
      </c>
      <c r="J36" s="693">
        <v>3300</v>
      </c>
      <c r="K36" s="693">
        <v>28</v>
      </c>
      <c r="L36" s="693">
        <v>3500</v>
      </c>
      <c r="M36" s="693">
        <v>3300</v>
      </c>
      <c r="N36" s="693">
        <v>28</v>
      </c>
      <c r="O36" s="693">
        <v>4000</v>
      </c>
      <c r="P36" s="693">
        <v>7000</v>
      </c>
      <c r="Q36" s="693">
        <v>2873.27</v>
      </c>
      <c r="R36" s="4">
        <v>3663.7689999999998</v>
      </c>
      <c r="S36" s="891"/>
      <c r="T36" s="3" t="s">
        <v>930</v>
      </c>
      <c r="U36" s="795" t="s">
        <v>1055</v>
      </c>
      <c r="V36" s="124" t="s">
        <v>955</v>
      </c>
      <c r="W36" s="801"/>
      <c r="X36" s="3" t="str">
        <f t="shared" si="0"/>
        <v>SGHT10</v>
      </c>
      <c r="Y36" s="799"/>
      <c r="Z36" s="799"/>
    </row>
    <row r="37" spans="1:26">
      <c r="A37" s="124" t="str">
        <f t="shared" si="4"/>
        <v>SGHT11</v>
      </c>
      <c r="B37" s="3" t="s">
        <v>1076</v>
      </c>
      <c r="C37" s="694">
        <v>2500</v>
      </c>
      <c r="D37" s="694">
        <v>2500</v>
      </c>
      <c r="E37" s="694">
        <v>26</v>
      </c>
      <c r="F37" s="694">
        <v>3400</v>
      </c>
      <c r="G37" s="694">
        <v>3400</v>
      </c>
      <c r="H37" s="694">
        <v>26</v>
      </c>
      <c r="I37" s="694">
        <v>3400</v>
      </c>
      <c r="J37" s="694">
        <v>3400</v>
      </c>
      <c r="K37" s="694">
        <v>26</v>
      </c>
      <c r="L37" s="694">
        <v>3400</v>
      </c>
      <c r="M37" s="694">
        <v>3400</v>
      </c>
      <c r="N37" s="694">
        <v>26</v>
      </c>
      <c r="O37" s="694">
        <v>4000</v>
      </c>
      <c r="P37" s="694">
        <v>6800</v>
      </c>
      <c r="Q37" s="694">
        <v>2819.3539999999998</v>
      </c>
      <c r="R37" s="694">
        <v>3615.4760000000001</v>
      </c>
      <c r="S37" s="891"/>
      <c r="T37" s="3" t="s">
        <v>930</v>
      </c>
      <c r="U37" s="795" t="s">
        <v>1055</v>
      </c>
      <c r="V37" s="124" t="s">
        <v>955</v>
      </c>
      <c r="W37" s="801"/>
      <c r="X37" s="3" t="str">
        <f t="shared" si="0"/>
        <v>SGHT11</v>
      </c>
      <c r="Y37" s="799"/>
      <c r="Z37" s="799"/>
    </row>
    <row r="38" spans="1:26">
      <c r="A38" s="124" t="str">
        <f t="shared" si="4"/>
        <v>SGHT12</v>
      </c>
      <c r="B38" s="3" t="s">
        <v>35</v>
      </c>
      <c r="C38" s="691">
        <v>2500</v>
      </c>
      <c r="D38" s="691">
        <v>5000</v>
      </c>
      <c r="E38" s="693"/>
      <c r="F38" s="752">
        <v>3400</v>
      </c>
      <c r="G38" s="752">
        <v>6800</v>
      </c>
      <c r="H38" s="693"/>
      <c r="I38" s="693">
        <v>3400</v>
      </c>
      <c r="J38" s="693">
        <v>6800</v>
      </c>
      <c r="K38" s="693"/>
      <c r="L38" s="693">
        <v>3400</v>
      </c>
      <c r="M38" s="693">
        <v>6800</v>
      </c>
      <c r="N38" s="693"/>
      <c r="O38" s="693">
        <v>4000</v>
      </c>
      <c r="P38" s="693">
        <v>6800</v>
      </c>
      <c r="Q38" s="693">
        <v>2965.3420000000001</v>
      </c>
      <c r="R38" s="4">
        <v>3867.5709999999999</v>
      </c>
      <c r="S38" s="891"/>
      <c r="T38" s="3" t="s">
        <v>956</v>
      </c>
      <c r="U38" s="804" t="s">
        <v>440</v>
      </c>
      <c r="V38" s="124" t="s">
        <v>958</v>
      </c>
      <c r="W38" s="801"/>
      <c r="X38" s="3" t="str">
        <f t="shared" si="0"/>
        <v>SGHT12</v>
      </c>
      <c r="Y38" s="799"/>
      <c r="Z38" s="799"/>
    </row>
    <row r="39" spans="1:26">
      <c r="A39" s="124" t="str">
        <f t="shared" si="4"/>
        <v>SGHT13</v>
      </c>
      <c r="B39" s="3" t="s">
        <v>1077</v>
      </c>
      <c r="C39" s="693"/>
      <c r="D39" s="693"/>
      <c r="E39" s="693"/>
      <c r="F39" s="694">
        <v>3400</v>
      </c>
      <c r="G39" s="694">
        <v>6800</v>
      </c>
      <c r="H39" s="693"/>
      <c r="I39" s="694">
        <v>3400</v>
      </c>
      <c r="J39" s="694">
        <v>6800</v>
      </c>
      <c r="K39" s="694"/>
      <c r="L39" s="694">
        <v>3400</v>
      </c>
      <c r="M39" s="694">
        <v>6800</v>
      </c>
      <c r="N39" s="694"/>
      <c r="O39" s="694">
        <v>4000</v>
      </c>
      <c r="P39" s="694">
        <v>6800</v>
      </c>
      <c r="Q39" s="694">
        <v>3061.511</v>
      </c>
      <c r="R39" s="694">
        <v>3976.8969999999999</v>
      </c>
      <c r="S39" s="891"/>
      <c r="T39" s="3" t="s">
        <v>956</v>
      </c>
      <c r="U39" s="804" t="s">
        <v>440</v>
      </c>
      <c r="V39" s="124" t="s">
        <v>958</v>
      </c>
      <c r="W39" s="801"/>
      <c r="X39" s="3" t="str">
        <f t="shared" si="0"/>
        <v>SGHT13</v>
      </c>
      <c r="Y39" s="799"/>
      <c r="Z39" s="799"/>
    </row>
    <row r="40" spans="1:26">
      <c r="A40" s="124" t="str">
        <f t="shared" si="4"/>
        <v>SGHT14</v>
      </c>
      <c r="B40" s="3" t="s">
        <v>132</v>
      </c>
      <c r="C40" s="693"/>
      <c r="D40" s="693"/>
      <c r="E40" s="693"/>
      <c r="F40" s="752">
        <v>3400</v>
      </c>
      <c r="G40" s="752">
        <v>6800</v>
      </c>
      <c r="H40" s="693"/>
      <c r="I40" s="693">
        <v>3400</v>
      </c>
      <c r="J40" s="693">
        <v>6800</v>
      </c>
      <c r="K40" s="693"/>
      <c r="L40" s="693">
        <v>3400</v>
      </c>
      <c r="M40" s="693">
        <v>6800</v>
      </c>
      <c r="N40" s="693"/>
      <c r="O40" s="693">
        <v>4000</v>
      </c>
      <c r="P40" s="693">
        <v>6800</v>
      </c>
      <c r="Q40" s="693">
        <v>3110.1970000000001</v>
      </c>
      <c r="R40" s="4">
        <v>4037.5279999999998</v>
      </c>
      <c r="S40" s="891"/>
      <c r="T40" s="3" t="s">
        <v>956</v>
      </c>
      <c r="U40" s="804" t="s">
        <v>440</v>
      </c>
      <c r="V40" s="124" t="s">
        <v>958</v>
      </c>
      <c r="W40" s="801"/>
      <c r="X40" s="3" t="str">
        <f t="shared" si="0"/>
        <v>SGHT14</v>
      </c>
      <c r="Y40" s="799"/>
      <c r="Z40" s="799"/>
    </row>
    <row r="41" spans="1:26">
      <c r="A41" s="124" t="str">
        <f t="shared" si="4"/>
        <v>SGHT15</v>
      </c>
      <c r="B41" s="3" t="s">
        <v>336</v>
      </c>
      <c r="C41" s="693"/>
      <c r="D41" s="693"/>
      <c r="E41" s="693"/>
      <c r="F41" s="693"/>
      <c r="G41" s="693"/>
      <c r="H41" s="693"/>
      <c r="I41" s="752">
        <v>1000</v>
      </c>
      <c r="J41" s="752">
        <v>2000</v>
      </c>
      <c r="K41" s="693"/>
      <c r="L41" s="693">
        <v>1000</v>
      </c>
      <c r="M41" s="693">
        <v>2000</v>
      </c>
      <c r="N41" s="693"/>
      <c r="O41" s="693">
        <v>1000</v>
      </c>
      <c r="P41" s="693">
        <v>2000</v>
      </c>
      <c r="Q41" s="693">
        <v>180.709</v>
      </c>
      <c r="R41" s="4">
        <v>237.608</v>
      </c>
      <c r="S41" s="892"/>
      <c r="T41" s="3" t="s">
        <v>956</v>
      </c>
      <c r="U41" s="804" t="s">
        <v>440</v>
      </c>
      <c r="V41" s="124" t="s">
        <v>958</v>
      </c>
      <c r="W41" s="801"/>
      <c r="X41" s="3" t="str">
        <f t="shared" si="0"/>
        <v>SGHT15</v>
      </c>
      <c r="Y41" s="799"/>
      <c r="Z41" s="799"/>
    </row>
    <row r="42" spans="1:26">
      <c r="A42" s="124" t="str">
        <f t="shared" si="4"/>
        <v>SGPL01</v>
      </c>
      <c r="B42" s="3" t="s">
        <v>580</v>
      </c>
      <c r="C42" s="693"/>
      <c r="D42" s="693"/>
      <c r="E42" s="693"/>
      <c r="F42" s="693"/>
      <c r="G42" s="693"/>
      <c r="H42" s="693"/>
      <c r="I42" s="693"/>
      <c r="J42" s="693"/>
      <c r="K42" s="693"/>
      <c r="L42" s="752">
        <v>1500</v>
      </c>
      <c r="M42" s="752">
        <v>3000</v>
      </c>
      <c r="N42" s="693"/>
      <c r="O42" s="693">
        <v>1500</v>
      </c>
      <c r="P42" s="693">
        <v>3000</v>
      </c>
      <c r="Q42" s="693">
        <v>45.456000000000003</v>
      </c>
      <c r="R42" s="4">
        <v>56.887999999999998</v>
      </c>
      <c r="S42" s="890" t="s">
        <v>1078</v>
      </c>
      <c r="T42" s="3" t="s">
        <v>972</v>
      </c>
      <c r="U42" s="3" t="s">
        <v>536</v>
      </c>
      <c r="V42" s="124" t="s">
        <v>960</v>
      </c>
      <c r="W42" s="801"/>
      <c r="X42" s="3" t="str">
        <f t="shared" si="0"/>
        <v>SGPL01</v>
      </c>
      <c r="Y42" s="799"/>
      <c r="Z42" s="799"/>
    </row>
    <row r="43" spans="1:26">
      <c r="A43" s="124" t="str">
        <f t="shared" si="4"/>
        <v>SGPL02</v>
      </c>
      <c r="B43" s="3" t="s">
        <v>581</v>
      </c>
      <c r="C43" s="693"/>
      <c r="D43" s="693"/>
      <c r="E43" s="693"/>
      <c r="F43" s="693"/>
      <c r="G43" s="693"/>
      <c r="H43" s="693"/>
      <c r="I43" s="693"/>
      <c r="J43" s="693"/>
      <c r="K43" s="693"/>
      <c r="L43" s="752">
        <v>1500</v>
      </c>
      <c r="M43" s="752">
        <v>3000</v>
      </c>
      <c r="N43" s="693"/>
      <c r="O43" s="693">
        <v>1500</v>
      </c>
      <c r="P43" s="693">
        <v>3000</v>
      </c>
      <c r="Q43" s="693">
        <v>45.362000000000002</v>
      </c>
      <c r="R43" s="4">
        <v>56.771999999999998</v>
      </c>
      <c r="S43" s="891"/>
      <c r="T43" s="3" t="s">
        <v>972</v>
      </c>
      <c r="U43" s="3" t="s">
        <v>536</v>
      </c>
      <c r="V43" s="124" t="s">
        <v>960</v>
      </c>
      <c r="W43" s="801"/>
      <c r="X43" s="3" t="str">
        <f t="shared" si="0"/>
        <v>SGPL02</v>
      </c>
      <c r="Y43" s="799"/>
      <c r="Z43" s="799"/>
    </row>
    <row r="44" spans="1:26">
      <c r="A44" s="124" t="str">
        <f t="shared" si="4"/>
        <v>SGPL03</v>
      </c>
      <c r="B44" s="3" t="s">
        <v>582</v>
      </c>
      <c r="C44" s="693"/>
      <c r="D44" s="693"/>
      <c r="E44" s="693"/>
      <c r="F44" s="693"/>
      <c r="G44" s="693"/>
      <c r="H44" s="693"/>
      <c r="I44" s="693"/>
      <c r="J44" s="693"/>
      <c r="K44" s="693"/>
      <c r="L44" s="805">
        <v>1000</v>
      </c>
      <c r="M44" s="805">
        <v>2000</v>
      </c>
      <c r="N44" s="693"/>
      <c r="O44" s="693">
        <v>1000</v>
      </c>
      <c r="P44" s="693">
        <v>2000</v>
      </c>
      <c r="Q44" s="693">
        <v>45.33</v>
      </c>
      <c r="R44" s="4">
        <v>56.731000000000002</v>
      </c>
      <c r="S44" s="891"/>
      <c r="T44" s="3" t="s">
        <v>972</v>
      </c>
      <c r="U44" s="3" t="s">
        <v>536</v>
      </c>
      <c r="V44" s="124" t="s">
        <v>960</v>
      </c>
      <c r="W44" s="801"/>
      <c r="X44" s="3" t="str">
        <f t="shared" si="0"/>
        <v>SGPL03</v>
      </c>
      <c r="Y44" s="799"/>
      <c r="Z44" s="799"/>
    </row>
    <row r="45" spans="1:26">
      <c r="A45" s="124" t="str">
        <f t="shared" si="4"/>
        <v>SGPL04</v>
      </c>
      <c r="B45" s="3" t="s">
        <v>1079</v>
      </c>
      <c r="C45" s="693"/>
      <c r="D45" s="693"/>
      <c r="E45" s="693"/>
      <c r="F45" s="693"/>
      <c r="G45" s="693"/>
      <c r="H45" s="693"/>
      <c r="I45" s="693"/>
      <c r="J45" s="693"/>
      <c r="K45" s="693"/>
      <c r="L45" s="694">
        <v>1500</v>
      </c>
      <c r="M45" s="694">
        <v>3000</v>
      </c>
      <c r="N45" s="694"/>
      <c r="O45" s="694">
        <v>1500</v>
      </c>
      <c r="P45" s="694">
        <v>3000</v>
      </c>
      <c r="Q45" s="694">
        <v>45.244999999999997</v>
      </c>
      <c r="R45" s="694">
        <v>56.624000000000002</v>
      </c>
      <c r="S45" s="891"/>
      <c r="T45" s="3" t="s">
        <v>972</v>
      </c>
      <c r="U45" s="3" t="s">
        <v>536</v>
      </c>
      <c r="V45" s="124" t="s">
        <v>960</v>
      </c>
      <c r="W45" s="801"/>
      <c r="X45" s="3" t="str">
        <f t="shared" si="0"/>
        <v>SGPL04</v>
      </c>
      <c r="Y45" s="799"/>
      <c r="Z45" s="799"/>
    </row>
    <row r="46" spans="1:26">
      <c r="A46" s="124" t="str">
        <f t="shared" si="4"/>
        <v>SGHT16</v>
      </c>
      <c r="B46" s="3" t="s">
        <v>1080</v>
      </c>
      <c r="C46" s="693"/>
      <c r="D46" s="693"/>
      <c r="E46" s="693"/>
      <c r="F46" s="693"/>
      <c r="G46" s="693"/>
      <c r="H46" s="693"/>
      <c r="I46" s="693"/>
      <c r="J46" s="693"/>
      <c r="K46" s="693"/>
      <c r="L46" s="752">
        <v>1500</v>
      </c>
      <c r="M46" s="752">
        <v>3000</v>
      </c>
      <c r="N46" s="693"/>
      <c r="O46" s="693">
        <v>1500</v>
      </c>
      <c r="P46" s="693">
        <v>3000</v>
      </c>
      <c r="Q46" s="693">
        <v>0</v>
      </c>
      <c r="R46" s="4">
        <v>0</v>
      </c>
      <c r="S46" s="891"/>
      <c r="T46" s="3" t="s">
        <v>972</v>
      </c>
      <c r="U46" s="3" t="s">
        <v>890</v>
      </c>
      <c r="V46" s="124" t="s">
        <v>958</v>
      </c>
      <c r="W46" s="705" t="s">
        <v>978</v>
      </c>
      <c r="X46" s="3" t="str">
        <f t="shared" si="0"/>
        <v>SGHT16</v>
      </c>
      <c r="Y46" s="799"/>
      <c r="Z46" s="799"/>
    </row>
    <row r="47" spans="1:26">
      <c r="A47" s="124" t="str">
        <f t="shared" si="4"/>
        <v>SGHT17</v>
      </c>
      <c r="B47" s="3" t="s">
        <v>1081</v>
      </c>
      <c r="C47" s="693"/>
      <c r="D47" s="693"/>
      <c r="E47" s="693"/>
      <c r="F47" s="693"/>
      <c r="G47" s="693"/>
      <c r="H47" s="693"/>
      <c r="I47" s="693"/>
      <c r="J47" s="693"/>
      <c r="K47" s="693"/>
      <c r="L47" s="752">
        <v>1500</v>
      </c>
      <c r="M47" s="752">
        <v>3000</v>
      </c>
      <c r="N47" s="693"/>
      <c r="O47" s="693">
        <v>1500</v>
      </c>
      <c r="P47" s="693">
        <v>3000</v>
      </c>
      <c r="Q47" s="693">
        <v>0</v>
      </c>
      <c r="R47" s="4">
        <v>0</v>
      </c>
      <c r="S47" s="891"/>
      <c r="T47" s="3" t="s">
        <v>972</v>
      </c>
      <c r="U47" s="3" t="s">
        <v>890</v>
      </c>
      <c r="V47" s="124" t="s">
        <v>958</v>
      </c>
      <c r="W47" s="705" t="s">
        <v>978</v>
      </c>
      <c r="X47" s="3" t="str">
        <f t="shared" si="0"/>
        <v>SGHT17</v>
      </c>
      <c r="Y47" s="799"/>
      <c r="Z47" s="799"/>
    </row>
    <row r="48" spans="1:26">
      <c r="A48" s="124" t="str">
        <f t="shared" si="4"/>
        <v>SGHT18</v>
      </c>
      <c r="B48" s="3" t="s">
        <v>1082</v>
      </c>
      <c r="C48" s="693"/>
      <c r="D48" s="693"/>
      <c r="E48" s="693"/>
      <c r="F48" s="693"/>
      <c r="G48" s="693"/>
      <c r="H48" s="693"/>
      <c r="I48" s="693"/>
      <c r="J48" s="693"/>
      <c r="K48" s="693"/>
      <c r="L48" s="694">
        <v>1500</v>
      </c>
      <c r="M48" s="694">
        <v>3000</v>
      </c>
      <c r="N48" s="694"/>
      <c r="O48" s="694">
        <v>1500</v>
      </c>
      <c r="P48" s="694">
        <v>3000</v>
      </c>
      <c r="Q48" s="694"/>
      <c r="R48" s="694"/>
      <c r="S48" s="892"/>
      <c r="T48" s="3" t="s">
        <v>972</v>
      </c>
      <c r="U48" s="3" t="s">
        <v>890</v>
      </c>
      <c r="V48" s="124" t="s">
        <v>958</v>
      </c>
      <c r="W48" s="705" t="s">
        <v>978</v>
      </c>
      <c r="X48" s="3" t="str">
        <f t="shared" si="0"/>
        <v>SGHT18</v>
      </c>
      <c r="Y48" s="799"/>
      <c r="Z48" s="799"/>
    </row>
    <row r="49" spans="1:52">
      <c r="A49" s="796" t="s">
        <v>1013</v>
      </c>
      <c r="B49" s="796" t="s">
        <v>1013</v>
      </c>
      <c r="C49" s="797">
        <f>SUM(C33:C41)-C37-C39</f>
        <v>14500</v>
      </c>
      <c r="D49" s="797">
        <f t="shared" ref="D49:H49" si="7">SUM(D33:D41)-D37-D39</f>
        <v>16400</v>
      </c>
      <c r="E49" s="797">
        <f t="shared" si="7"/>
        <v>112</v>
      </c>
      <c r="F49" s="797">
        <f t="shared" si="7"/>
        <v>18800</v>
      </c>
      <c r="G49" s="797">
        <f t="shared" si="7"/>
        <v>25000</v>
      </c>
      <c r="H49" s="797">
        <f t="shared" si="7"/>
        <v>112</v>
      </c>
      <c r="I49" s="797">
        <f>SUM(I33:I45)-I37-I39-I45</f>
        <v>19800</v>
      </c>
      <c r="J49" s="797">
        <f t="shared" ref="J49:K49" si="8">SUM(J33:J45)-J37-J39-J45</f>
        <v>27000</v>
      </c>
      <c r="K49" s="797">
        <f t="shared" si="8"/>
        <v>112</v>
      </c>
      <c r="L49" s="797">
        <f>SUM(L33:L48)-L37-L39-L45-L48</f>
        <v>26800</v>
      </c>
      <c r="M49" s="797">
        <f>SUM(M33:M48)-M37-M39-M45-M48</f>
        <v>41000</v>
      </c>
      <c r="N49" s="797">
        <f>SUM(N33:N48)-N37-N39-N45-N48</f>
        <v>112</v>
      </c>
      <c r="O49" s="797"/>
      <c r="P49" s="797"/>
      <c r="Q49" s="797"/>
      <c r="R49" s="797"/>
      <c r="S49" s="703"/>
      <c r="T49" s="797"/>
      <c r="U49" s="797"/>
      <c r="V49" s="798"/>
      <c r="W49" s="799"/>
      <c r="X49" s="799"/>
      <c r="Y49" s="799"/>
      <c r="Z49" s="799"/>
    </row>
    <row r="50" spans="1:52">
      <c r="A50" s="806" t="s">
        <v>1014</v>
      </c>
      <c r="B50" s="806" t="s">
        <v>1014</v>
      </c>
      <c r="C50" s="807">
        <f t="shared" ref="C50:N50" si="9">C22+C32+C49</f>
        <v>36500</v>
      </c>
      <c r="D50" s="807">
        <f t="shared" si="9"/>
        <v>40000</v>
      </c>
      <c r="E50" s="807">
        <f t="shared" si="9"/>
        <v>311</v>
      </c>
      <c r="F50" s="807">
        <f t="shared" si="9"/>
        <v>50500</v>
      </c>
      <c r="G50" s="807">
        <f t="shared" si="9"/>
        <v>68000</v>
      </c>
      <c r="H50" s="807">
        <f t="shared" si="9"/>
        <v>311</v>
      </c>
      <c r="I50" s="807">
        <f t="shared" si="9"/>
        <v>56500</v>
      </c>
      <c r="J50" s="807">
        <f t="shared" si="9"/>
        <v>80000</v>
      </c>
      <c r="K50" s="807">
        <f t="shared" si="9"/>
        <v>311</v>
      </c>
      <c r="L50" s="807">
        <f t="shared" si="9"/>
        <v>73500</v>
      </c>
      <c r="M50" s="807">
        <f t="shared" si="9"/>
        <v>114200</v>
      </c>
      <c r="N50" s="807">
        <f t="shared" si="9"/>
        <v>311</v>
      </c>
      <c r="O50" s="807"/>
      <c r="P50" s="807"/>
      <c r="Q50" s="807"/>
      <c r="R50" s="807"/>
      <c r="S50" s="703"/>
      <c r="T50" s="3"/>
      <c r="U50" s="3"/>
    </row>
    <row r="51" spans="1:52">
      <c r="A51" s="782" t="s">
        <v>1015</v>
      </c>
      <c r="B51" s="782" t="s">
        <v>1015</v>
      </c>
      <c r="C51" s="782"/>
      <c r="D51" s="782"/>
      <c r="E51" s="782"/>
      <c r="F51" s="126">
        <f>F50-C50</f>
        <v>14000</v>
      </c>
      <c r="G51" s="126">
        <f>G50-D50</f>
        <v>28000</v>
      </c>
      <c r="H51" s="782"/>
      <c r="I51" s="126">
        <f>I50-F50</f>
        <v>6000</v>
      </c>
      <c r="J51" s="126">
        <f>J50-G50</f>
        <v>12000</v>
      </c>
      <c r="K51" s="782"/>
      <c r="L51" s="126">
        <f>L50-I50</f>
        <v>17000</v>
      </c>
      <c r="M51" s="126">
        <f t="shared" ref="M51" si="10">M50-J50</f>
        <v>34200</v>
      </c>
      <c r="N51" s="126"/>
      <c r="O51" s="126"/>
      <c r="P51" s="126"/>
      <c r="Q51" s="126"/>
      <c r="R51" s="126"/>
      <c r="S51" s="703"/>
      <c r="T51" s="3"/>
      <c r="U51" s="3"/>
    </row>
    <row r="53" spans="1:52">
      <c r="A53" s="715" t="s">
        <v>1083</v>
      </c>
      <c r="B53" s="715" t="s">
        <v>1083</v>
      </c>
      <c r="C53" s="757"/>
      <c r="D53" s="757">
        <f>SUM(D19:D24)</f>
        <v>23600</v>
      </c>
      <c r="E53" s="757">
        <f>SUM(E19:E24)</f>
        <v>199</v>
      </c>
      <c r="F53" s="757">
        <f>SUM(F19:F24)</f>
        <v>29400</v>
      </c>
      <c r="G53" s="757">
        <f>SUM(G19:G24)</f>
        <v>38400</v>
      </c>
      <c r="H53" s="757">
        <f>SUM(H19:H24)</f>
        <v>199</v>
      </c>
      <c r="I53" s="757"/>
      <c r="J53" s="757"/>
      <c r="K53" s="757"/>
      <c r="L53" s="715" t="s">
        <v>924</v>
      </c>
      <c r="M53" s="715" t="s">
        <v>925</v>
      </c>
      <c r="N53" s="715" t="s">
        <v>1031</v>
      </c>
      <c r="O53" s="808"/>
      <c r="P53" s="808"/>
      <c r="Q53" s="808"/>
      <c r="R53" s="808"/>
      <c r="AZ53" s="705"/>
    </row>
    <row r="54" spans="1:52">
      <c r="A54" s="124" t="str">
        <f t="shared" ref="A54:A72" si="11">LEFT(B54,6)</f>
        <v>SGHK10</v>
      </c>
      <c r="B54" s="124" t="s">
        <v>1084</v>
      </c>
      <c r="C54" s="703"/>
      <c r="D54" s="703"/>
      <c r="E54" s="703"/>
      <c r="F54" s="703"/>
      <c r="G54" s="703"/>
      <c r="H54" s="703"/>
      <c r="I54" s="703"/>
      <c r="J54" s="703"/>
      <c r="K54" s="703"/>
      <c r="L54" s="694">
        <v>1500</v>
      </c>
      <c r="M54" s="694">
        <v>3000</v>
      </c>
      <c r="N54" s="703"/>
      <c r="O54" s="755"/>
      <c r="P54" s="755"/>
      <c r="Q54" s="755"/>
      <c r="R54" s="755"/>
      <c r="T54" t="s">
        <v>972</v>
      </c>
      <c r="U54" s="705" t="s">
        <v>1085</v>
      </c>
      <c r="V54" s="756" t="s">
        <v>953</v>
      </c>
      <c r="W54" s="705" t="s">
        <v>978</v>
      </c>
      <c r="X54" t="s">
        <v>771</v>
      </c>
    </row>
    <row r="55" spans="1:52">
      <c r="A55" s="124" t="str">
        <f t="shared" si="11"/>
        <v>SGHK11</v>
      </c>
      <c r="B55" s="124" t="s">
        <v>1086</v>
      </c>
      <c r="C55" s="703"/>
      <c r="D55" s="703"/>
      <c r="E55" s="703"/>
      <c r="F55" s="703"/>
      <c r="G55" s="703"/>
      <c r="H55" s="703"/>
      <c r="I55" s="703"/>
      <c r="J55" s="703"/>
      <c r="K55" s="703"/>
      <c r="L55" s="694">
        <v>1500</v>
      </c>
      <c r="M55" s="694">
        <v>3000</v>
      </c>
      <c r="N55" s="703"/>
      <c r="O55" s="755"/>
      <c r="P55" s="755"/>
      <c r="Q55" s="755"/>
      <c r="R55" s="755"/>
      <c r="T55" t="s">
        <v>972</v>
      </c>
      <c r="U55" s="705" t="s">
        <v>1085</v>
      </c>
      <c r="V55" s="756" t="s">
        <v>953</v>
      </c>
      <c r="W55" s="705" t="s">
        <v>978</v>
      </c>
    </row>
    <row r="56" spans="1:52">
      <c r="A56" s="124" t="str">
        <f t="shared" si="11"/>
        <v>SGHK12</v>
      </c>
      <c r="B56" s="124" t="s">
        <v>1087</v>
      </c>
      <c r="C56" s="703"/>
      <c r="D56" s="703"/>
      <c r="E56" s="703"/>
      <c r="F56" s="703"/>
      <c r="G56" s="703"/>
      <c r="H56" s="703"/>
      <c r="I56" s="703"/>
      <c r="J56" s="703"/>
      <c r="K56" s="703"/>
      <c r="L56" s="694">
        <v>1500</v>
      </c>
      <c r="M56" s="694">
        <v>3000</v>
      </c>
      <c r="N56" s="703"/>
      <c r="O56" s="755"/>
      <c r="P56" s="755"/>
      <c r="Q56" s="755"/>
      <c r="R56" s="755"/>
      <c r="T56" t="s">
        <v>972</v>
      </c>
      <c r="U56" s="705" t="s">
        <v>1088</v>
      </c>
      <c r="V56" s="756" t="s">
        <v>953</v>
      </c>
      <c r="W56" s="705" t="s">
        <v>978</v>
      </c>
    </row>
    <row r="57" spans="1:52">
      <c r="A57" s="124" t="str">
        <f t="shared" si="11"/>
        <v>SGHK13</v>
      </c>
      <c r="B57" s="124" t="s">
        <v>1089</v>
      </c>
      <c r="C57" s="703"/>
      <c r="D57" s="703"/>
      <c r="E57" s="703"/>
      <c r="F57" s="703"/>
      <c r="G57" s="703"/>
      <c r="H57" s="703"/>
      <c r="I57" s="703"/>
      <c r="J57" s="703"/>
      <c r="K57" s="703"/>
      <c r="L57" s="694">
        <v>1500</v>
      </c>
      <c r="M57" s="694">
        <v>3000</v>
      </c>
      <c r="N57" s="703"/>
      <c r="O57" s="755"/>
      <c r="P57" s="755"/>
      <c r="Q57" s="755"/>
      <c r="R57" s="755"/>
      <c r="T57" t="s">
        <v>972</v>
      </c>
      <c r="U57" s="705" t="s">
        <v>1088</v>
      </c>
      <c r="V57" s="756" t="s">
        <v>953</v>
      </c>
      <c r="W57" s="705" t="s">
        <v>978</v>
      </c>
    </row>
    <row r="58" spans="1:52">
      <c r="A58" s="715" t="str">
        <f t="shared" si="11"/>
        <v xml:space="preserve">Total </v>
      </c>
      <c r="B58" s="715" t="s">
        <v>1021</v>
      </c>
      <c r="C58" s="757"/>
      <c r="D58" s="757">
        <f>SUM(D23:D30)</f>
        <v>6150</v>
      </c>
      <c r="E58" s="757">
        <f>SUM(E23:E30)</f>
        <v>70</v>
      </c>
      <c r="F58" s="757">
        <f>SUM(F23:F30)</f>
        <v>9200</v>
      </c>
      <c r="G58" s="757">
        <f>SUM(G23:G30)</f>
        <v>11300</v>
      </c>
      <c r="H58" s="757">
        <f>SUM(H23:H30)</f>
        <v>78</v>
      </c>
      <c r="I58" s="757"/>
      <c r="J58" s="757"/>
      <c r="K58" s="757"/>
      <c r="L58" s="757">
        <f>SUM(L54:L57)</f>
        <v>6000</v>
      </c>
      <c r="M58" s="757">
        <f>SUM(M54:M57)</f>
        <v>12000</v>
      </c>
      <c r="N58" s="757"/>
      <c r="O58" s="809"/>
      <c r="P58" s="809"/>
      <c r="Q58" s="809"/>
      <c r="R58" s="809"/>
      <c r="AZ58" s="705"/>
    </row>
    <row r="59" spans="1:52">
      <c r="A59" t="str">
        <f t="shared" si="11"/>
        <v/>
      </c>
    </row>
    <row r="60" spans="1:52">
      <c r="A60" s="706" t="str">
        <f t="shared" si="11"/>
        <v/>
      </c>
      <c r="B60" s="706"/>
      <c r="I60" s="782" t="s">
        <v>43</v>
      </c>
      <c r="J60" s="781" t="s">
        <v>15</v>
      </c>
      <c r="K60" s="781" t="s">
        <v>25</v>
      </c>
      <c r="L60" s="781" t="s">
        <v>30</v>
      </c>
      <c r="M60" s="781" t="s">
        <v>3</v>
      </c>
    </row>
    <row r="61" spans="1:52" ht="30">
      <c r="A61" s="786" t="str">
        <f t="shared" si="11"/>
        <v>Dung l</v>
      </c>
      <c r="B61" s="786" t="s">
        <v>1090</v>
      </c>
      <c r="C61" s="78"/>
      <c r="D61" s="78"/>
      <c r="E61" s="78"/>
      <c r="F61" s="78"/>
      <c r="G61" s="78"/>
      <c r="H61" s="78"/>
      <c r="I61" s="810"/>
      <c r="J61" s="810"/>
      <c r="K61" s="810"/>
      <c r="L61" s="810"/>
      <c r="M61" s="811">
        <f>SUM(M62:M63)</f>
        <v>73500</v>
      </c>
    </row>
    <row r="62" spans="1:52">
      <c r="A62" s="124" t="str">
        <f t="shared" si="11"/>
        <v/>
      </c>
      <c r="B62" s="124"/>
      <c r="C62" s="78"/>
      <c r="D62" s="78"/>
      <c r="E62" s="78"/>
      <c r="F62" s="78"/>
      <c r="G62" s="78"/>
      <c r="H62" s="78"/>
      <c r="I62" s="804" t="s">
        <v>4</v>
      </c>
      <c r="J62" s="812">
        <f>L22</f>
        <v>33800</v>
      </c>
      <c r="K62" s="812">
        <f>L32-L29-L30</f>
        <v>9900</v>
      </c>
      <c r="L62" s="812">
        <f>L49-L42-L43-L44-L46-L47</f>
        <v>19800</v>
      </c>
      <c r="M62" s="812">
        <f>SUM(J62:L62)</f>
        <v>63500</v>
      </c>
    </row>
    <row r="63" spans="1:52">
      <c r="A63" s="124" t="str">
        <f t="shared" si="11"/>
        <v/>
      </c>
      <c r="B63" s="124"/>
      <c r="C63" s="78"/>
      <c r="D63" s="78"/>
      <c r="E63" s="78"/>
      <c r="F63" s="78"/>
      <c r="G63" s="78"/>
      <c r="H63" s="78"/>
      <c r="I63" s="804" t="s">
        <v>249</v>
      </c>
      <c r="J63" s="804"/>
      <c r="K63" s="812">
        <f>L29+L30</f>
        <v>3000</v>
      </c>
      <c r="L63" s="813">
        <f>L42+L43+L44+L46+L47</f>
        <v>7000</v>
      </c>
      <c r="M63" s="812">
        <f t="shared" ref="M63" si="12">SUM(J63:L63)</f>
        <v>10000</v>
      </c>
    </row>
    <row r="64" spans="1:52" ht="30">
      <c r="A64" s="786" t="str">
        <f t="shared" si="11"/>
        <v>Dung l</v>
      </c>
      <c r="B64" s="786" t="s">
        <v>1091</v>
      </c>
      <c r="C64" s="78"/>
      <c r="D64" s="78"/>
      <c r="E64" s="78"/>
      <c r="F64" s="78"/>
      <c r="G64" s="78"/>
      <c r="H64" s="78"/>
      <c r="I64" s="810"/>
      <c r="J64" s="810"/>
      <c r="K64" s="810"/>
      <c r="L64" s="810"/>
      <c r="M64" s="811">
        <f>SUM(M65:M66)</f>
        <v>33200</v>
      </c>
    </row>
    <row r="65" spans="1:13">
      <c r="A65" s="124" t="str">
        <f t="shared" si="11"/>
        <v/>
      </c>
      <c r="B65" s="124"/>
      <c r="C65" s="78"/>
      <c r="D65" s="78"/>
      <c r="E65" s="78"/>
      <c r="F65" s="78"/>
      <c r="G65" s="78"/>
      <c r="H65" s="78"/>
      <c r="I65" s="804" t="s">
        <v>4</v>
      </c>
      <c r="J65" s="812">
        <f>L10+L12+L16+L19+L21</f>
        <v>13600</v>
      </c>
      <c r="K65" s="812">
        <f>L25</f>
        <v>2300</v>
      </c>
      <c r="L65" s="812">
        <f>L37+L39</f>
        <v>6800</v>
      </c>
      <c r="M65" s="812">
        <f>SUM(J65:L65)</f>
        <v>22700</v>
      </c>
    </row>
    <row r="66" spans="1:13">
      <c r="A66" s="124" t="str">
        <f t="shared" si="11"/>
        <v/>
      </c>
      <c r="B66" s="124"/>
      <c r="C66" s="78"/>
      <c r="D66" s="78"/>
      <c r="E66" s="78"/>
      <c r="F66" s="78"/>
      <c r="G66" s="78"/>
      <c r="H66" s="78"/>
      <c r="I66" s="804" t="s">
        <v>249</v>
      </c>
      <c r="J66" s="804"/>
      <c r="K66" s="812">
        <f>L31+L58</f>
        <v>7500</v>
      </c>
      <c r="L66" s="812">
        <f>L45+L48</f>
        <v>3000</v>
      </c>
      <c r="M66" s="812">
        <f t="shared" ref="M66" si="13">SUM(J66:L66)</f>
        <v>10500</v>
      </c>
    </row>
    <row r="67" spans="1:13">
      <c r="A67" s="78" t="str">
        <f t="shared" si="11"/>
        <v/>
      </c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</row>
    <row r="68" spans="1:13">
      <c r="A68" s="706" t="str">
        <f t="shared" si="11"/>
        <v/>
      </c>
      <c r="B68" s="706"/>
      <c r="C68" s="78"/>
      <c r="D68" s="78"/>
      <c r="E68" s="78"/>
      <c r="F68" s="78"/>
      <c r="G68" s="78"/>
      <c r="H68" s="78"/>
      <c r="I68" s="814" t="s">
        <v>43</v>
      </c>
      <c r="J68" s="706" t="s">
        <v>15</v>
      </c>
      <c r="K68" s="706" t="s">
        <v>25</v>
      </c>
      <c r="L68" s="706" t="s">
        <v>30</v>
      </c>
      <c r="M68" s="706" t="s">
        <v>3</v>
      </c>
    </row>
    <row r="69" spans="1:13" ht="48" customHeight="1">
      <c r="A69" s="786" t="str">
        <f t="shared" si="11"/>
        <v>Dung l</v>
      </c>
      <c r="B69" s="786" t="s">
        <v>1092</v>
      </c>
      <c r="C69" s="78"/>
      <c r="D69" s="78"/>
      <c r="E69" s="78"/>
      <c r="F69" s="78"/>
      <c r="G69" s="78"/>
      <c r="H69" s="78"/>
      <c r="I69" s="810"/>
      <c r="J69" s="810"/>
      <c r="K69" s="810"/>
      <c r="L69" s="810"/>
      <c r="M69" s="811">
        <f>SUM(M70:M71)</f>
        <v>94700</v>
      </c>
    </row>
    <row r="70" spans="1:13" ht="22.9" customHeight="1">
      <c r="A70" s="124" t="str">
        <f t="shared" si="11"/>
        <v/>
      </c>
      <c r="B70" s="124"/>
      <c r="C70" s="78"/>
      <c r="D70" s="78"/>
      <c r="E70" s="78"/>
      <c r="F70" s="78"/>
      <c r="G70" s="78"/>
      <c r="H70" s="78"/>
      <c r="I70" s="804" t="s">
        <v>4</v>
      </c>
      <c r="J70" s="812">
        <f>J62+L12+L16+L19+L21</f>
        <v>44100</v>
      </c>
      <c r="K70" s="812">
        <f>K62</f>
        <v>9900</v>
      </c>
      <c r="L70" s="812">
        <f>L62+L37</f>
        <v>23200</v>
      </c>
      <c r="M70" s="812">
        <f>SUM(J70:L70)</f>
        <v>77200</v>
      </c>
    </row>
    <row r="71" spans="1:13">
      <c r="A71" s="124" t="str">
        <f t="shared" si="11"/>
        <v/>
      </c>
      <c r="B71" s="124"/>
      <c r="C71" s="78"/>
      <c r="D71" s="78"/>
      <c r="E71" s="78"/>
      <c r="F71" s="78"/>
      <c r="G71" s="78"/>
      <c r="H71" s="78"/>
      <c r="I71" s="804" t="s">
        <v>249</v>
      </c>
      <c r="J71" s="804"/>
      <c r="K71" s="812">
        <f>K63+L58</f>
        <v>9000</v>
      </c>
      <c r="L71" s="812">
        <f>L63+L48</f>
        <v>8500</v>
      </c>
      <c r="M71" s="812">
        <f t="shared" ref="M71" si="14">SUM(J71:L71)</f>
        <v>17500</v>
      </c>
    </row>
    <row r="72" spans="1:13" ht="30">
      <c r="A72" s="786" t="str">
        <f t="shared" si="11"/>
        <v>Dung l</v>
      </c>
      <c r="B72" s="786" t="s">
        <v>1093</v>
      </c>
      <c r="C72" s="78"/>
      <c r="D72" s="78"/>
      <c r="E72" s="78"/>
      <c r="F72" s="78"/>
      <c r="G72" s="78"/>
      <c r="H72" s="78"/>
      <c r="I72" s="810"/>
      <c r="J72" s="810"/>
      <c r="K72" s="810"/>
      <c r="L72" s="810"/>
      <c r="M72" s="811">
        <f>SUM(M73:M74)</f>
        <v>12000</v>
      </c>
    </row>
    <row r="73" spans="1:13">
      <c r="A73" s="124"/>
      <c r="B73" s="124"/>
      <c r="C73" s="78"/>
      <c r="D73" s="78"/>
      <c r="E73" s="78"/>
      <c r="F73" s="78"/>
      <c r="G73" s="78"/>
      <c r="H73" s="78"/>
      <c r="I73" s="804" t="s">
        <v>4</v>
      </c>
      <c r="J73" s="812">
        <f>L10</f>
        <v>3300</v>
      </c>
      <c r="K73" s="812">
        <f>L25</f>
        <v>2300</v>
      </c>
      <c r="L73" s="812">
        <f>L39</f>
        <v>3400</v>
      </c>
      <c r="M73" s="812">
        <f>SUM(J73:L73)</f>
        <v>9000</v>
      </c>
    </row>
    <row r="74" spans="1:13">
      <c r="A74" s="124"/>
      <c r="B74" s="124"/>
      <c r="C74" s="78"/>
      <c r="D74" s="78"/>
      <c r="E74" s="78"/>
      <c r="F74" s="78"/>
      <c r="G74" s="78"/>
      <c r="H74" s="78"/>
      <c r="I74" s="804" t="s">
        <v>249</v>
      </c>
      <c r="J74" s="804"/>
      <c r="K74" s="812">
        <f>L31</f>
        <v>1500</v>
      </c>
      <c r="L74" s="812">
        <f>L45</f>
        <v>1500</v>
      </c>
      <c r="M74" s="812">
        <f t="shared" ref="M74" si="15">SUM(J74:L74)</f>
        <v>3000</v>
      </c>
    </row>
  </sheetData>
  <autoFilter ref="B4:AZ51">
    <filterColumn colId="28" showButton="0"/>
    <filterColumn colId="30" showButton="0"/>
  </autoFilter>
  <mergeCells count="61">
    <mergeCell ref="AF4:AG4"/>
    <mergeCell ref="S5:S16"/>
    <mergeCell ref="Z5:Z9"/>
    <mergeCell ref="AA5:AA7"/>
    <mergeCell ref="AE5:AE7"/>
    <mergeCell ref="AG5:AG7"/>
    <mergeCell ref="Z10:Z14"/>
    <mergeCell ref="AA10:AA11"/>
    <mergeCell ref="AE10:AE11"/>
    <mergeCell ref="AG10:AG11"/>
    <mergeCell ref="S3:S4"/>
    <mergeCell ref="T3:T4"/>
    <mergeCell ref="U3:U4"/>
    <mergeCell ref="V3:V4"/>
    <mergeCell ref="AD4:AE4"/>
    <mergeCell ref="Z15:Z18"/>
    <mergeCell ref="AI5:AI7"/>
    <mergeCell ref="AJ5:AJ7"/>
    <mergeCell ref="AK5:AK7"/>
    <mergeCell ref="AA8:AA9"/>
    <mergeCell ref="AE8:AE9"/>
    <mergeCell ref="AG8:AG9"/>
    <mergeCell ref="AI8:AI9"/>
    <mergeCell ref="AJ8:AJ9"/>
    <mergeCell ref="AK8:AK9"/>
    <mergeCell ref="AI10:AI11"/>
    <mergeCell ref="AJ10:AJ11"/>
    <mergeCell ref="AK10:AK11"/>
    <mergeCell ref="W11:W12"/>
    <mergeCell ref="AA12:AA14"/>
    <mergeCell ref="AE12:AE14"/>
    <mergeCell ref="AG12:AG14"/>
    <mergeCell ref="AH12:AH14"/>
    <mergeCell ref="AI12:AI14"/>
    <mergeCell ref="AJ12:AJ14"/>
    <mergeCell ref="AK12:AK14"/>
    <mergeCell ref="AK15:AK16"/>
    <mergeCell ref="AK17:AK18"/>
    <mergeCell ref="AA17:AA18"/>
    <mergeCell ref="AE17:AE18"/>
    <mergeCell ref="AG17:AG18"/>
    <mergeCell ref="AI17:AI18"/>
    <mergeCell ref="AJ17:AJ18"/>
    <mergeCell ref="AA15:AA16"/>
    <mergeCell ref="AE15:AE16"/>
    <mergeCell ref="AG15:AG16"/>
    <mergeCell ref="AI15:AI16"/>
    <mergeCell ref="AJ15:AJ16"/>
    <mergeCell ref="S23:S26"/>
    <mergeCell ref="S29:S31"/>
    <mergeCell ref="S33:S41"/>
    <mergeCell ref="S42:S48"/>
    <mergeCell ref="A3:A4"/>
    <mergeCell ref="S17:S21"/>
    <mergeCell ref="Q3:R3"/>
    <mergeCell ref="B3:B4"/>
    <mergeCell ref="C3:E3"/>
    <mergeCell ref="F3:H3"/>
    <mergeCell ref="I3:K3"/>
    <mergeCell ref="L3:N3"/>
    <mergeCell ref="O3:P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99"/>
  <sheetViews>
    <sheetView zoomScaleNormal="100" workbookViewId="0">
      <selection activeCell="AK7" sqref="AK7"/>
    </sheetView>
  </sheetViews>
  <sheetFormatPr defaultColWidth="8.85546875" defaultRowHeight="15"/>
  <cols>
    <col min="1" max="2" width="23.5703125" style="122" customWidth="1"/>
    <col min="3" max="15" width="8.7109375" style="755" hidden="1" customWidth="1"/>
    <col min="16" max="17" width="8.85546875" style="755" hidden="1" customWidth="1"/>
    <col min="18" max="18" width="7" style="755" hidden="1" customWidth="1"/>
    <col min="19" max="23" width="8.85546875" style="755" hidden="1" customWidth="1"/>
    <col min="24" max="24" width="13.7109375" style="755" hidden="1" customWidth="1"/>
    <col min="25" max="25" width="8.85546875" style="755" hidden="1" customWidth="1"/>
    <col min="26" max="26" width="16.140625" hidden="1" customWidth="1"/>
    <col min="27" max="27" width="19.7109375" style="755" hidden="1" customWidth="1"/>
    <col min="28" max="28" width="9.85546875" style="755" hidden="1" customWidth="1"/>
    <col min="29" max="29" width="23.7109375" style="778" hidden="1" customWidth="1"/>
    <col min="30" max="30" width="8.85546875" style="755" hidden="1" customWidth="1"/>
    <col min="31" max="31" width="17.140625" style="755" hidden="1" customWidth="1"/>
    <col min="32" max="32" width="8.85546875" style="704" hidden="1" customWidth="1"/>
    <col min="33" max="33" width="9.28515625" hidden="1" customWidth="1"/>
    <col min="34" max="34" width="9" hidden="1" customWidth="1"/>
    <col min="35" max="36" width="9" bestFit="1" customWidth="1"/>
    <col min="37" max="37" width="10" bestFit="1" customWidth="1"/>
    <col min="38" max="38" width="9" bestFit="1" customWidth="1"/>
    <col min="39" max="39" width="17.28515625" style="122" bestFit="1" customWidth="1"/>
    <col min="40" max="40" width="10.28515625" style="122" customWidth="1"/>
    <col min="41" max="41" width="16" style="122" customWidth="1"/>
    <col min="42" max="42" width="25.140625" style="122" bestFit="1" customWidth="1"/>
    <col min="43" max="43" width="27.28515625" style="705" bestFit="1" customWidth="1"/>
    <col min="45" max="45" width="15.7109375" bestFit="1" customWidth="1"/>
    <col min="47" max="47" width="10.140625" bestFit="1" customWidth="1"/>
    <col min="49" max="49" width="9.140625" bestFit="1" customWidth="1"/>
    <col min="50" max="50" width="10.7109375" bestFit="1" customWidth="1"/>
    <col min="51" max="51" width="12.28515625" bestFit="1" customWidth="1"/>
    <col min="55" max="55" width="34.42578125" bestFit="1" customWidth="1"/>
  </cols>
  <sheetData>
    <row r="1" spans="1:55" ht="20.45" customHeight="1">
      <c r="A1" s="907" t="s">
        <v>897</v>
      </c>
      <c r="B1" s="907" t="s">
        <v>897</v>
      </c>
      <c r="C1" s="913">
        <v>2016</v>
      </c>
      <c r="D1" s="914"/>
      <c r="E1" s="915"/>
      <c r="F1" s="904" t="s">
        <v>898</v>
      </c>
      <c r="G1" s="904"/>
      <c r="H1" s="904"/>
      <c r="I1" s="904" t="s">
        <v>899</v>
      </c>
      <c r="J1" s="904"/>
      <c r="K1" s="904"/>
      <c r="L1" s="904" t="s">
        <v>900</v>
      </c>
      <c r="M1" s="904"/>
      <c r="N1" s="904"/>
      <c r="O1" s="916" t="s">
        <v>901</v>
      </c>
      <c r="P1" s="916"/>
      <c r="Q1" s="916"/>
      <c r="R1" s="904" t="s">
        <v>902</v>
      </c>
      <c r="S1" s="904"/>
      <c r="T1" s="904"/>
      <c r="U1" s="910" t="s">
        <v>903</v>
      </c>
      <c r="V1" s="910"/>
      <c r="W1" s="697"/>
      <c r="X1" s="698" t="s">
        <v>904</v>
      </c>
      <c r="Y1" s="699" t="s">
        <v>905</v>
      </c>
      <c r="Z1" s="700" t="s">
        <v>906</v>
      </c>
      <c r="AA1" s="701" t="s">
        <v>907</v>
      </c>
      <c r="AB1" s="702" t="s">
        <v>908</v>
      </c>
      <c r="AC1" s="702" t="s">
        <v>909</v>
      </c>
      <c r="AD1" s="703" t="s">
        <v>910</v>
      </c>
      <c r="AE1" s="703" t="s">
        <v>911</v>
      </c>
      <c r="AG1" s="906" t="s">
        <v>912</v>
      </c>
      <c r="AH1" s="906"/>
      <c r="AI1" s="906" t="s">
        <v>913</v>
      </c>
      <c r="AJ1" s="906"/>
      <c r="AK1" s="906" t="s">
        <v>914</v>
      </c>
      <c r="AL1" s="906"/>
      <c r="AM1" s="893" t="s">
        <v>43</v>
      </c>
      <c r="AN1" s="893" t="s">
        <v>915</v>
      </c>
      <c r="AO1" s="893" t="s">
        <v>916</v>
      </c>
      <c r="AP1" s="893" t="s">
        <v>917</v>
      </c>
      <c r="AR1" s="909" t="s">
        <v>103</v>
      </c>
      <c r="AS1" s="909" t="s">
        <v>918</v>
      </c>
      <c r="AT1" s="909" t="s">
        <v>919</v>
      </c>
      <c r="AU1" s="909"/>
      <c r="AV1" s="909" t="s">
        <v>920</v>
      </c>
      <c r="AW1" s="909"/>
      <c r="AX1" s="911" t="s">
        <v>831</v>
      </c>
      <c r="AY1" s="912"/>
      <c r="AZ1" s="909" t="s">
        <v>921</v>
      </c>
      <c r="BA1" s="909" t="s">
        <v>922</v>
      </c>
      <c r="BB1" s="909" t="s">
        <v>923</v>
      </c>
      <c r="BC1" s="909" t="s">
        <v>14</v>
      </c>
    </row>
    <row r="2" spans="1:55">
      <c r="A2" s="908"/>
      <c r="B2" s="908"/>
      <c r="C2" s="706" t="s">
        <v>924</v>
      </c>
      <c r="D2" s="706" t="s">
        <v>925</v>
      </c>
      <c r="E2" s="706" t="s">
        <v>926</v>
      </c>
      <c r="F2" s="706" t="s">
        <v>924</v>
      </c>
      <c r="G2" s="706" t="s">
        <v>925</v>
      </c>
      <c r="H2" s="706" t="s">
        <v>926</v>
      </c>
      <c r="I2" s="706" t="s">
        <v>924</v>
      </c>
      <c r="J2" s="706" t="s">
        <v>925</v>
      </c>
      <c r="K2" s="706" t="s">
        <v>926</v>
      </c>
      <c r="L2" s="706" t="s">
        <v>924</v>
      </c>
      <c r="M2" s="706" t="s">
        <v>925</v>
      </c>
      <c r="N2" s="706" t="s">
        <v>926</v>
      </c>
      <c r="O2" s="707" t="s">
        <v>924</v>
      </c>
      <c r="P2" s="707" t="s">
        <v>925</v>
      </c>
      <c r="Q2" s="707" t="s">
        <v>926</v>
      </c>
      <c r="R2" s="706" t="s">
        <v>924</v>
      </c>
      <c r="S2" s="706" t="s">
        <v>925</v>
      </c>
      <c r="T2" s="706" t="s">
        <v>926</v>
      </c>
      <c r="U2" s="708" t="s">
        <v>925</v>
      </c>
      <c r="V2" s="708" t="s">
        <v>926</v>
      </c>
      <c r="W2" s="708"/>
      <c r="X2" s="709"/>
      <c r="Y2" s="710"/>
      <c r="Z2" s="711"/>
      <c r="AA2" s="712"/>
      <c r="AB2" s="713"/>
      <c r="AC2" s="714"/>
      <c r="AD2" s="703"/>
      <c r="AE2" s="703"/>
      <c r="AG2" s="715" t="s">
        <v>925</v>
      </c>
      <c r="AH2" s="715" t="s">
        <v>926</v>
      </c>
      <c r="AI2" s="715" t="s">
        <v>925</v>
      </c>
      <c r="AJ2" s="715" t="s">
        <v>926</v>
      </c>
      <c r="AK2" s="715" t="s">
        <v>925</v>
      </c>
      <c r="AL2" s="715" t="s">
        <v>926</v>
      </c>
      <c r="AM2" s="893"/>
      <c r="AN2" s="893"/>
      <c r="AO2" s="893"/>
      <c r="AP2" s="893"/>
      <c r="AR2" s="909"/>
      <c r="AS2" s="909"/>
      <c r="AT2" s="706" t="s">
        <v>927</v>
      </c>
      <c r="AU2" s="706" t="s">
        <v>928</v>
      </c>
      <c r="AV2" s="706" t="s">
        <v>927</v>
      </c>
      <c r="AW2" s="706" t="s">
        <v>926</v>
      </c>
      <c r="AX2" s="706" t="s">
        <v>927</v>
      </c>
      <c r="AY2" s="706" t="s">
        <v>929</v>
      </c>
      <c r="AZ2" s="909"/>
      <c r="BA2" s="909"/>
      <c r="BB2" s="909"/>
      <c r="BC2" s="909"/>
    </row>
    <row r="3" spans="1:55">
      <c r="A3" s="124" t="str">
        <f>LEFT(B3,6)</f>
        <v>GGHL04</v>
      </c>
      <c r="B3" s="124" t="s">
        <v>58</v>
      </c>
      <c r="C3" s="716"/>
      <c r="D3" s="716">
        <v>2000</v>
      </c>
      <c r="E3" s="717">
        <v>60</v>
      </c>
      <c r="F3" s="716"/>
      <c r="G3" s="716">
        <v>2000</v>
      </c>
      <c r="H3" s="716">
        <v>60</v>
      </c>
      <c r="I3" s="716"/>
      <c r="J3" s="716">
        <v>2000</v>
      </c>
      <c r="K3" s="716">
        <v>60</v>
      </c>
      <c r="L3" s="718"/>
      <c r="M3" s="718">
        <v>1500</v>
      </c>
      <c r="N3" s="718">
        <v>60</v>
      </c>
      <c r="O3" s="719"/>
      <c r="P3" s="719">
        <v>1500</v>
      </c>
      <c r="Q3" s="719">
        <v>60</v>
      </c>
      <c r="R3" s="691"/>
      <c r="S3" s="691">
        <v>1500</v>
      </c>
      <c r="T3" s="691">
        <v>60</v>
      </c>
      <c r="U3" s="720"/>
      <c r="V3" s="720"/>
      <c r="W3" s="720"/>
      <c r="X3" s="721"/>
      <c r="Y3" s="722"/>
      <c r="Z3" s="723"/>
      <c r="AA3" s="720"/>
      <c r="AB3" s="703"/>
      <c r="AC3" s="724"/>
      <c r="AD3" s="703"/>
      <c r="AE3" s="703"/>
      <c r="AG3" s="693">
        <v>1500</v>
      </c>
      <c r="AH3" s="693">
        <v>60</v>
      </c>
      <c r="AI3" s="693">
        <v>1500</v>
      </c>
      <c r="AJ3" s="693">
        <v>60</v>
      </c>
      <c r="AK3" s="693">
        <v>1500</v>
      </c>
      <c r="AL3" s="693">
        <v>60</v>
      </c>
      <c r="AM3" s="124" t="s">
        <v>930</v>
      </c>
      <c r="AN3" s="124" t="s">
        <v>931</v>
      </c>
      <c r="AO3" s="124" t="s">
        <v>932</v>
      </c>
      <c r="AP3" s="725" t="s">
        <v>933</v>
      </c>
      <c r="AQ3" s="705" t="s">
        <v>934</v>
      </c>
      <c r="AR3" s="889" t="s">
        <v>15</v>
      </c>
      <c r="AS3" s="124" t="s">
        <v>932</v>
      </c>
      <c r="AT3" s="124">
        <v>2</v>
      </c>
      <c r="AU3" s="716">
        <v>5000</v>
      </c>
      <c r="AV3" s="124">
        <v>2</v>
      </c>
      <c r="AW3" s="716">
        <v>120</v>
      </c>
      <c r="AX3" s="716"/>
      <c r="AY3" s="716"/>
      <c r="AZ3" s="726">
        <f>AU3/$AU$14</f>
        <v>4.8216007714561235E-2</v>
      </c>
      <c r="BA3" s="726">
        <f t="shared" ref="BA3:BA14" si="0">AW3/$AW$14</f>
        <v>1.4035087719298246E-2</v>
      </c>
      <c r="BB3" s="726">
        <f>AY3/$AY$14</f>
        <v>0</v>
      </c>
      <c r="BC3" s="3"/>
    </row>
    <row r="4" spans="1:55">
      <c r="A4" s="124" t="str">
        <f t="shared" ref="A4:A67" si="1">LEFT(B4,6)</f>
        <v>GGHL05</v>
      </c>
      <c r="B4" s="124" t="s">
        <v>60</v>
      </c>
      <c r="C4" s="716"/>
      <c r="D4" s="716">
        <v>2000</v>
      </c>
      <c r="E4" s="717">
        <v>60</v>
      </c>
      <c r="F4" s="716"/>
      <c r="G4" s="716">
        <v>2000</v>
      </c>
      <c r="H4" s="716">
        <v>60</v>
      </c>
      <c r="I4" s="716"/>
      <c r="J4" s="716">
        <v>2000</v>
      </c>
      <c r="K4" s="716">
        <v>60</v>
      </c>
      <c r="L4" s="718"/>
      <c r="M4" s="718">
        <v>1500</v>
      </c>
      <c r="N4" s="718">
        <v>60</v>
      </c>
      <c r="O4" s="719"/>
      <c r="P4" s="719">
        <v>1500</v>
      </c>
      <c r="Q4" s="719">
        <v>60</v>
      </c>
      <c r="R4" s="691"/>
      <c r="S4" s="691">
        <v>1500</v>
      </c>
      <c r="T4" s="691">
        <v>60</v>
      </c>
      <c r="U4" s="720"/>
      <c r="V4" s="720"/>
      <c r="W4" s="720"/>
      <c r="X4" s="721"/>
      <c r="Y4" s="722"/>
      <c r="Z4" s="723"/>
      <c r="AA4" s="720"/>
      <c r="AB4" s="703"/>
      <c r="AC4" s="724"/>
      <c r="AD4" s="703"/>
      <c r="AE4" s="703"/>
      <c r="AG4" s="693">
        <v>1500</v>
      </c>
      <c r="AH4" s="693">
        <v>60</v>
      </c>
      <c r="AI4" s="693">
        <v>1500</v>
      </c>
      <c r="AJ4" s="693">
        <v>60</v>
      </c>
      <c r="AK4" s="693">
        <v>1500</v>
      </c>
      <c r="AL4" s="693">
        <v>60</v>
      </c>
      <c r="AM4" s="124" t="s">
        <v>930</v>
      </c>
      <c r="AN4" s="124" t="s">
        <v>931</v>
      </c>
      <c r="AO4" s="124" t="s">
        <v>932</v>
      </c>
      <c r="AP4" s="725" t="s">
        <v>933</v>
      </c>
      <c r="AQ4" s="705" t="s">
        <v>934</v>
      </c>
      <c r="AR4" s="889"/>
      <c r="AS4" s="124" t="s">
        <v>935</v>
      </c>
      <c r="AT4" s="124">
        <v>4</v>
      </c>
      <c r="AU4" s="716">
        <v>13200</v>
      </c>
      <c r="AV4" s="124">
        <v>7</v>
      </c>
      <c r="AW4" s="716">
        <v>760</v>
      </c>
      <c r="AX4" s="716"/>
      <c r="AY4" s="716"/>
      <c r="AZ4" s="726">
        <f t="shared" ref="AZ4:AZ14" si="2">AU4/$AU$14</f>
        <v>0.12729026036644167</v>
      </c>
      <c r="BA4" s="726">
        <f t="shared" si="0"/>
        <v>8.8888888888888892E-2</v>
      </c>
      <c r="BB4" s="726">
        <f t="shared" ref="BB4:BB14" si="3">AY4/$AY$14</f>
        <v>0</v>
      </c>
      <c r="BC4" s="3"/>
    </row>
    <row r="5" spans="1:55">
      <c r="A5" s="124" t="str">
        <f t="shared" si="1"/>
        <v>GGHL06</v>
      </c>
      <c r="B5" s="124" t="s">
        <v>61</v>
      </c>
      <c r="C5" s="716"/>
      <c r="D5" s="716"/>
      <c r="E5" s="717"/>
      <c r="F5" s="716"/>
      <c r="G5" s="716">
        <v>1250</v>
      </c>
      <c r="H5" s="716">
        <v>40</v>
      </c>
      <c r="I5" s="716"/>
      <c r="J5" s="716">
        <v>1500</v>
      </c>
      <c r="K5" s="716">
        <v>60</v>
      </c>
      <c r="L5" s="718"/>
      <c r="M5" s="718">
        <v>1500</v>
      </c>
      <c r="N5" s="718">
        <v>60</v>
      </c>
      <c r="O5" s="719"/>
      <c r="P5" s="719">
        <v>1500</v>
      </c>
      <c r="Q5" s="719">
        <v>60</v>
      </c>
      <c r="R5" s="691"/>
      <c r="S5" s="691">
        <v>1500</v>
      </c>
      <c r="T5" s="691">
        <v>60</v>
      </c>
      <c r="U5" s="720"/>
      <c r="V5" s="720"/>
      <c r="W5" s="720"/>
      <c r="X5" s="721"/>
      <c r="Y5" s="722"/>
      <c r="Z5" s="723"/>
      <c r="AA5" s="720"/>
      <c r="AB5" s="703"/>
      <c r="AC5" s="724"/>
      <c r="AD5" s="703"/>
      <c r="AE5" s="703"/>
      <c r="AG5" s="693">
        <v>1500</v>
      </c>
      <c r="AH5" s="693">
        <v>60</v>
      </c>
      <c r="AI5" s="693">
        <v>1500</v>
      </c>
      <c r="AJ5" s="693">
        <v>60</v>
      </c>
      <c r="AK5" s="693">
        <v>1500</v>
      </c>
      <c r="AL5" s="693">
        <v>60</v>
      </c>
      <c r="AM5" s="124" t="s">
        <v>930</v>
      </c>
      <c r="AN5" s="124" t="s">
        <v>931</v>
      </c>
      <c r="AO5" s="124" t="s">
        <v>935</v>
      </c>
      <c r="AP5" s="124" t="s">
        <v>936</v>
      </c>
      <c r="AR5" s="889"/>
      <c r="AS5" s="727" t="s">
        <v>937</v>
      </c>
      <c r="AT5" s="727">
        <v>6</v>
      </c>
      <c r="AU5" s="692">
        <v>17200</v>
      </c>
      <c r="AV5" s="727">
        <v>8</v>
      </c>
      <c r="AW5" s="692">
        <v>1200</v>
      </c>
      <c r="AX5" s="692">
        <f>1+2</f>
        <v>3</v>
      </c>
      <c r="AY5" s="692">
        <f>3000+10000</f>
        <v>13000</v>
      </c>
      <c r="AZ5" s="728">
        <f t="shared" si="2"/>
        <v>0.16586306653809066</v>
      </c>
      <c r="BA5" s="728">
        <f t="shared" si="0"/>
        <v>0.14035087719298245</v>
      </c>
      <c r="BB5" s="728">
        <f t="shared" si="3"/>
        <v>0.26804123711340205</v>
      </c>
      <c r="BC5" s="729" t="s">
        <v>938</v>
      </c>
    </row>
    <row r="6" spans="1:55">
      <c r="A6" s="124" t="str">
        <f t="shared" si="1"/>
        <v>GGHL07</v>
      </c>
      <c r="B6" s="124" t="s">
        <v>63</v>
      </c>
      <c r="C6" s="716"/>
      <c r="D6" s="716"/>
      <c r="E6" s="717"/>
      <c r="F6" s="716"/>
      <c r="G6" s="716">
        <v>1250</v>
      </c>
      <c r="H6" s="716">
        <v>40</v>
      </c>
      <c r="I6" s="716"/>
      <c r="J6" s="716">
        <v>1500</v>
      </c>
      <c r="K6" s="716">
        <v>60</v>
      </c>
      <c r="L6" s="718"/>
      <c r="M6" s="718">
        <v>1500</v>
      </c>
      <c r="N6" s="718">
        <v>60</v>
      </c>
      <c r="O6" s="719"/>
      <c r="P6" s="719">
        <v>1500</v>
      </c>
      <c r="Q6" s="719">
        <v>60</v>
      </c>
      <c r="R6" s="691"/>
      <c r="S6" s="691">
        <v>1500</v>
      </c>
      <c r="T6" s="691">
        <v>60</v>
      </c>
      <c r="U6" s="720"/>
      <c r="V6" s="720"/>
      <c r="W6" s="720"/>
      <c r="X6" s="721"/>
      <c r="Y6" s="722"/>
      <c r="Z6" s="723"/>
      <c r="AA6" s="720"/>
      <c r="AB6" s="703"/>
      <c r="AC6" s="724"/>
      <c r="AD6" s="703"/>
      <c r="AE6" s="703"/>
      <c r="AG6" s="693">
        <v>1500</v>
      </c>
      <c r="AH6" s="693">
        <v>60</v>
      </c>
      <c r="AI6" s="693">
        <v>1500</v>
      </c>
      <c r="AJ6" s="693">
        <v>60</v>
      </c>
      <c r="AK6" s="693">
        <v>1500</v>
      </c>
      <c r="AL6" s="693">
        <v>60</v>
      </c>
      <c r="AM6" s="124" t="s">
        <v>930</v>
      </c>
      <c r="AN6" s="124" t="s">
        <v>931</v>
      </c>
      <c r="AO6" s="124" t="s">
        <v>935</v>
      </c>
      <c r="AP6" s="124" t="s">
        <v>939</v>
      </c>
      <c r="AR6" s="889"/>
      <c r="AS6" s="727" t="s">
        <v>940</v>
      </c>
      <c r="AT6" s="727">
        <v>5</v>
      </c>
      <c r="AU6" s="692">
        <v>12000</v>
      </c>
      <c r="AV6" s="727">
        <v>8</v>
      </c>
      <c r="AW6" s="692">
        <v>1100</v>
      </c>
      <c r="AX6" s="692">
        <v>2</v>
      </c>
      <c r="AY6" s="692">
        <f>2*2500</f>
        <v>5000</v>
      </c>
      <c r="AZ6" s="728">
        <f t="shared" si="2"/>
        <v>0.11571841851494696</v>
      </c>
      <c r="BA6" s="728">
        <f t="shared" si="0"/>
        <v>0.12865497076023391</v>
      </c>
      <c r="BB6" s="728">
        <f t="shared" si="3"/>
        <v>0.10309278350515463</v>
      </c>
      <c r="BC6" s="729"/>
    </row>
    <row r="7" spans="1:55">
      <c r="A7" s="124" t="str">
        <f t="shared" si="1"/>
        <v>GGHL08</v>
      </c>
      <c r="B7" s="124" t="s">
        <v>64</v>
      </c>
      <c r="C7" s="730"/>
      <c r="D7" s="730"/>
      <c r="E7" s="731"/>
      <c r="F7" s="730"/>
      <c r="G7" s="730"/>
      <c r="H7" s="730"/>
      <c r="I7" s="730"/>
      <c r="J7" s="730">
        <v>1500</v>
      </c>
      <c r="K7" s="730">
        <v>50</v>
      </c>
      <c r="L7" s="718"/>
      <c r="M7" s="718">
        <v>2000</v>
      </c>
      <c r="N7" s="718">
        <v>80</v>
      </c>
      <c r="O7" s="719"/>
      <c r="P7" s="719">
        <v>2250</v>
      </c>
      <c r="Q7" s="719">
        <v>100</v>
      </c>
      <c r="R7" s="691"/>
      <c r="S7" s="691">
        <v>2700</v>
      </c>
      <c r="T7" s="691">
        <v>130</v>
      </c>
      <c r="U7" s="732">
        <f>S7-P7</f>
        <v>450</v>
      </c>
      <c r="V7" s="732">
        <f>T7-Q7</f>
        <v>30</v>
      </c>
      <c r="W7" s="732"/>
      <c r="X7" s="721">
        <v>8</v>
      </c>
      <c r="Y7" s="722">
        <f>Z7-X7</f>
        <v>2</v>
      </c>
      <c r="Z7" s="733">
        <f>_xlfn.CEILING.MATH(T7/15)+1</f>
        <v>10</v>
      </c>
      <c r="AA7" s="734">
        <f>_xlfn.CEILING.MATH(T7/15) +1</f>
        <v>10</v>
      </c>
      <c r="AB7" s="735" t="s">
        <v>941</v>
      </c>
      <c r="AC7" s="736" t="s">
        <v>942</v>
      </c>
      <c r="AD7" s="703" t="s">
        <v>943</v>
      </c>
      <c r="AE7" s="737" t="s">
        <v>944</v>
      </c>
      <c r="AG7" s="693">
        <v>2800</v>
      </c>
      <c r="AH7" s="693">
        <v>135</v>
      </c>
      <c r="AI7" s="693">
        <v>2800</v>
      </c>
      <c r="AJ7" s="693">
        <v>135</v>
      </c>
      <c r="AK7" s="693">
        <v>2800</v>
      </c>
      <c r="AL7" s="693">
        <v>135</v>
      </c>
      <c r="AM7" s="124" t="s">
        <v>930</v>
      </c>
      <c r="AN7" s="124" t="s">
        <v>931</v>
      </c>
      <c r="AO7" s="124" t="s">
        <v>935</v>
      </c>
      <c r="AP7" s="124" t="s">
        <v>939</v>
      </c>
      <c r="AR7" s="889"/>
      <c r="AS7" s="124" t="s">
        <v>945</v>
      </c>
      <c r="AT7" s="124">
        <v>0</v>
      </c>
      <c r="AU7" s="716">
        <v>0</v>
      </c>
      <c r="AV7" s="124">
        <v>4</v>
      </c>
      <c r="AW7" s="716">
        <v>550</v>
      </c>
      <c r="AX7" s="716">
        <v>4</v>
      </c>
      <c r="AY7" s="716">
        <f>4*2500</f>
        <v>10000</v>
      </c>
      <c r="AZ7" s="726">
        <f t="shared" si="2"/>
        <v>0</v>
      </c>
      <c r="BA7" s="726">
        <f t="shared" si="0"/>
        <v>6.4327485380116955E-2</v>
      </c>
      <c r="BB7" s="726">
        <f t="shared" si="3"/>
        <v>0.20618556701030927</v>
      </c>
      <c r="BC7" s="3"/>
    </row>
    <row r="8" spans="1:55">
      <c r="A8" s="124" t="str">
        <f t="shared" si="1"/>
        <v>GGHL09</v>
      </c>
      <c r="B8" s="124" t="s">
        <v>65</v>
      </c>
      <c r="C8" s="730"/>
      <c r="D8" s="730"/>
      <c r="E8" s="731"/>
      <c r="F8" s="730"/>
      <c r="G8" s="730"/>
      <c r="H8" s="730"/>
      <c r="I8" s="730"/>
      <c r="J8" s="730">
        <v>1500</v>
      </c>
      <c r="K8" s="730">
        <v>50</v>
      </c>
      <c r="L8" s="718"/>
      <c r="M8" s="718">
        <v>2000</v>
      </c>
      <c r="N8" s="718">
        <v>80</v>
      </c>
      <c r="O8" s="719"/>
      <c r="P8" s="719">
        <v>2250</v>
      </c>
      <c r="Q8" s="719">
        <v>100</v>
      </c>
      <c r="R8" s="691"/>
      <c r="S8" s="691">
        <v>2700</v>
      </c>
      <c r="T8" s="691">
        <v>130</v>
      </c>
      <c r="U8" s="732">
        <f>S8-P8</f>
        <v>450</v>
      </c>
      <c r="V8" s="732">
        <f>T8-Q8</f>
        <v>30</v>
      </c>
      <c r="W8" s="732"/>
      <c r="X8" s="721">
        <v>8</v>
      </c>
      <c r="Y8" s="722">
        <f>Z8-X8</f>
        <v>2</v>
      </c>
      <c r="Z8" s="733">
        <f>_xlfn.CEILING.MATH(T8/15)+1</f>
        <v>10</v>
      </c>
      <c r="AA8" s="734">
        <f>_xlfn.CEILING.MATH(T8/15) +1</f>
        <v>10</v>
      </c>
      <c r="AB8" s="735" t="s">
        <v>941</v>
      </c>
      <c r="AC8" s="736" t="s">
        <v>942</v>
      </c>
      <c r="AD8" s="703" t="s">
        <v>943</v>
      </c>
      <c r="AE8" s="737" t="s">
        <v>944</v>
      </c>
      <c r="AG8" s="693">
        <v>2800</v>
      </c>
      <c r="AH8" s="693">
        <v>135</v>
      </c>
      <c r="AI8" s="693">
        <v>2800</v>
      </c>
      <c r="AJ8" s="693">
        <v>135</v>
      </c>
      <c r="AK8" s="693">
        <v>2800</v>
      </c>
      <c r="AL8" s="693">
        <v>135</v>
      </c>
      <c r="AM8" s="124" t="s">
        <v>930</v>
      </c>
      <c r="AN8" s="124" t="s">
        <v>931</v>
      </c>
      <c r="AO8" s="124" t="s">
        <v>935</v>
      </c>
      <c r="AP8" s="124" t="s">
        <v>939</v>
      </c>
      <c r="AR8" s="889" t="s">
        <v>25</v>
      </c>
      <c r="AS8" s="124" t="s">
        <v>946</v>
      </c>
      <c r="AT8" s="124">
        <v>3</v>
      </c>
      <c r="AU8" s="716">
        <v>6900</v>
      </c>
      <c r="AV8" s="124">
        <v>2</v>
      </c>
      <c r="AW8" s="716">
        <v>120</v>
      </c>
      <c r="AX8" s="716"/>
      <c r="AY8" s="716"/>
      <c r="AZ8" s="726">
        <f t="shared" si="2"/>
        <v>6.6538090646094505E-2</v>
      </c>
      <c r="BA8" s="726">
        <f t="shared" si="0"/>
        <v>1.4035087719298246E-2</v>
      </c>
      <c r="BB8" s="726">
        <f t="shared" si="3"/>
        <v>0</v>
      </c>
      <c r="BC8" s="3"/>
    </row>
    <row r="9" spans="1:55" ht="17.45" customHeight="1">
      <c r="A9" s="124" t="str">
        <f t="shared" si="1"/>
        <v>GGHL10</v>
      </c>
      <c r="B9" s="124" t="s">
        <v>947</v>
      </c>
      <c r="C9" s="694"/>
      <c r="D9" s="694"/>
      <c r="E9" s="738"/>
      <c r="F9" s="694"/>
      <c r="G9" s="694"/>
      <c r="H9" s="694"/>
      <c r="I9" s="694"/>
      <c r="J9" s="694">
        <v>2000</v>
      </c>
      <c r="K9" s="694">
        <v>60</v>
      </c>
      <c r="L9" s="694"/>
      <c r="M9" s="694">
        <v>2000</v>
      </c>
      <c r="N9" s="694">
        <v>80</v>
      </c>
      <c r="O9" s="694"/>
      <c r="P9" s="694">
        <v>2000</v>
      </c>
      <c r="Q9" s="694">
        <v>80</v>
      </c>
      <c r="R9" s="694"/>
      <c r="S9" s="694">
        <v>2500</v>
      </c>
      <c r="T9" s="694">
        <v>80</v>
      </c>
      <c r="U9" s="739"/>
      <c r="V9" s="739">
        <f>T9-Q9</f>
        <v>0</v>
      </c>
      <c r="W9" s="739"/>
      <c r="X9" s="740"/>
      <c r="Y9" s="740"/>
      <c r="Z9" s="741"/>
      <c r="AA9" s="742">
        <f>_xlfn.CEILING.MATH(T9/15) +1</f>
        <v>7</v>
      </c>
      <c r="AB9" s="740"/>
      <c r="AC9" s="743" t="s">
        <v>948</v>
      </c>
      <c r="AD9" s="740"/>
      <c r="AE9" s="740"/>
      <c r="AF9" s="744"/>
      <c r="AG9" s="694">
        <v>2900</v>
      </c>
      <c r="AH9" s="694">
        <v>100</v>
      </c>
      <c r="AI9" s="694">
        <v>2900</v>
      </c>
      <c r="AJ9" s="694">
        <v>100</v>
      </c>
      <c r="AK9" s="694">
        <v>2900</v>
      </c>
      <c r="AL9" s="694">
        <v>100</v>
      </c>
      <c r="AM9" s="124" t="s">
        <v>930</v>
      </c>
      <c r="AN9" s="124" t="s">
        <v>931</v>
      </c>
      <c r="AO9" s="124" t="s">
        <v>935</v>
      </c>
      <c r="AP9" s="124" t="s">
        <v>939</v>
      </c>
      <c r="AR9" s="889"/>
      <c r="AS9" s="124" t="s">
        <v>949</v>
      </c>
      <c r="AT9" s="124">
        <v>0</v>
      </c>
      <c r="AU9" s="716">
        <v>0</v>
      </c>
      <c r="AV9" s="124">
        <v>2</v>
      </c>
      <c r="AW9" s="716">
        <v>160</v>
      </c>
      <c r="AX9" s="716"/>
      <c r="AY9" s="716"/>
      <c r="AZ9" s="726">
        <f t="shared" si="2"/>
        <v>0</v>
      </c>
      <c r="BA9" s="726">
        <f t="shared" si="0"/>
        <v>1.8713450292397661E-2</v>
      </c>
      <c r="BB9" s="726">
        <f t="shared" si="3"/>
        <v>0</v>
      </c>
      <c r="BC9" s="3"/>
    </row>
    <row r="10" spans="1:55">
      <c r="A10" s="124" t="str">
        <f t="shared" si="1"/>
        <v>GGHL11</v>
      </c>
      <c r="B10" s="124" t="s">
        <v>67</v>
      </c>
      <c r="C10" s="719"/>
      <c r="D10" s="719"/>
      <c r="E10" s="745"/>
      <c r="F10" s="719"/>
      <c r="G10" s="719"/>
      <c r="H10" s="719"/>
      <c r="I10" s="719"/>
      <c r="J10" s="719"/>
      <c r="K10" s="719"/>
      <c r="L10" s="718"/>
      <c r="M10" s="718"/>
      <c r="N10" s="718"/>
      <c r="O10" s="719"/>
      <c r="P10" s="719">
        <v>1700</v>
      </c>
      <c r="Q10" s="719">
        <v>80</v>
      </c>
      <c r="R10" s="691"/>
      <c r="S10" s="691">
        <v>2700</v>
      </c>
      <c r="T10" s="691">
        <v>130</v>
      </c>
      <c r="U10" s="732">
        <f>S10-P10</f>
        <v>1000</v>
      </c>
      <c r="V10" s="732">
        <f>T10-Q10</f>
        <v>50</v>
      </c>
      <c r="W10" s="732"/>
      <c r="X10" s="721">
        <v>7</v>
      </c>
      <c r="Y10" s="722">
        <f>Z10-X10</f>
        <v>3</v>
      </c>
      <c r="Z10" s="733">
        <f>_xlfn.CEILING.MATH(T10/15)+1</f>
        <v>10</v>
      </c>
      <c r="AA10" s="734">
        <f>_xlfn.CEILING.MATH(T10/15) +1</f>
        <v>10</v>
      </c>
      <c r="AB10" s="735" t="s">
        <v>941</v>
      </c>
      <c r="AC10" s="736" t="s">
        <v>950</v>
      </c>
      <c r="AD10" s="703" t="s">
        <v>951</v>
      </c>
      <c r="AE10" s="746" t="s">
        <v>952</v>
      </c>
      <c r="AG10" s="693">
        <v>2800</v>
      </c>
      <c r="AH10" s="693">
        <v>135</v>
      </c>
      <c r="AI10" s="693">
        <v>2800</v>
      </c>
      <c r="AJ10" s="693">
        <v>135</v>
      </c>
      <c r="AK10" s="693">
        <v>2800</v>
      </c>
      <c r="AL10" s="693">
        <v>135</v>
      </c>
      <c r="AM10" s="124" t="s">
        <v>930</v>
      </c>
      <c r="AN10" s="124" t="s">
        <v>931</v>
      </c>
      <c r="AO10" s="124" t="s">
        <v>935</v>
      </c>
      <c r="AP10" s="124" t="s">
        <v>936</v>
      </c>
      <c r="AR10" s="889"/>
      <c r="AS10" s="727" t="s">
        <v>953</v>
      </c>
      <c r="AT10" s="727">
        <v>8</v>
      </c>
      <c r="AU10" s="692">
        <v>12800</v>
      </c>
      <c r="AV10" s="727">
        <v>13</v>
      </c>
      <c r="AW10" s="692">
        <v>1920</v>
      </c>
      <c r="AX10" s="692"/>
      <c r="AY10" s="692"/>
      <c r="AZ10" s="747">
        <f t="shared" si="2"/>
        <v>0.12343297974927676</v>
      </c>
      <c r="BA10" s="747">
        <f t="shared" si="0"/>
        <v>0.22456140350877193</v>
      </c>
      <c r="BB10" s="728">
        <f t="shared" si="3"/>
        <v>0</v>
      </c>
      <c r="BC10" s="729" t="s">
        <v>954</v>
      </c>
    </row>
    <row r="11" spans="1:55">
      <c r="A11" s="124" t="str">
        <f t="shared" si="1"/>
        <v>GGHL12</v>
      </c>
      <c r="B11" s="124" t="s">
        <v>68</v>
      </c>
      <c r="C11" s="719"/>
      <c r="D11" s="719"/>
      <c r="E11" s="745"/>
      <c r="F11" s="719"/>
      <c r="G11" s="719"/>
      <c r="H11" s="719"/>
      <c r="I11" s="719"/>
      <c r="J11" s="719"/>
      <c r="K11" s="719"/>
      <c r="L11" s="718"/>
      <c r="M11" s="718"/>
      <c r="N11" s="718"/>
      <c r="O11" s="719"/>
      <c r="P11" s="719">
        <v>1700</v>
      </c>
      <c r="Q11" s="719">
        <v>80</v>
      </c>
      <c r="R11" s="691"/>
      <c r="S11" s="691">
        <v>2700</v>
      </c>
      <c r="T11" s="691">
        <v>130</v>
      </c>
      <c r="U11" s="732">
        <f>S11-P11</f>
        <v>1000</v>
      </c>
      <c r="V11" s="732">
        <f>T11-Q11</f>
        <v>50</v>
      </c>
      <c r="W11" s="732"/>
      <c r="X11" s="721">
        <v>7</v>
      </c>
      <c r="Y11" s="722">
        <f>Z11-X11</f>
        <v>3</v>
      </c>
      <c r="Z11" s="733">
        <f>_xlfn.CEILING.MATH(T11/15)+1</f>
        <v>10</v>
      </c>
      <c r="AA11" s="734">
        <f>_xlfn.CEILING.MATH(T11/15) +1</f>
        <v>10</v>
      </c>
      <c r="AB11" s="735" t="s">
        <v>941</v>
      </c>
      <c r="AC11" s="736" t="s">
        <v>950</v>
      </c>
      <c r="AD11" s="703" t="s">
        <v>951</v>
      </c>
      <c r="AE11" s="746" t="s">
        <v>952</v>
      </c>
      <c r="AG11" s="693">
        <v>2800</v>
      </c>
      <c r="AH11" s="693">
        <v>135</v>
      </c>
      <c r="AI11" s="693">
        <v>2800</v>
      </c>
      <c r="AJ11" s="693">
        <v>135</v>
      </c>
      <c r="AK11" s="693">
        <v>2800</v>
      </c>
      <c r="AL11" s="693">
        <v>135</v>
      </c>
      <c r="AM11" s="124" t="s">
        <v>930</v>
      </c>
      <c r="AN11" s="124" t="s">
        <v>931</v>
      </c>
      <c r="AO11" s="124" t="s">
        <v>935</v>
      </c>
      <c r="AP11" s="124" t="s">
        <v>936</v>
      </c>
      <c r="AR11" s="889" t="s">
        <v>30</v>
      </c>
      <c r="AS11" s="124" t="s">
        <v>955</v>
      </c>
      <c r="AT11" s="124">
        <v>5</v>
      </c>
      <c r="AU11" s="716">
        <v>15400</v>
      </c>
      <c r="AV11" s="124">
        <v>7</v>
      </c>
      <c r="AW11" s="716">
        <v>620</v>
      </c>
      <c r="AX11" s="716"/>
      <c r="AY11" s="716"/>
      <c r="AZ11" s="726">
        <f t="shared" si="2"/>
        <v>0.14850530376084861</v>
      </c>
      <c r="BA11" s="726">
        <f t="shared" si="0"/>
        <v>7.2514619883040934E-2</v>
      </c>
      <c r="BB11" s="726">
        <f t="shared" si="3"/>
        <v>0</v>
      </c>
      <c r="BC11" s="3"/>
    </row>
    <row r="12" spans="1:55" ht="17.45" customHeight="1">
      <c r="A12" s="124" t="str">
        <f t="shared" si="1"/>
        <v>GGHL13</v>
      </c>
      <c r="B12" s="124" t="s">
        <v>69</v>
      </c>
      <c r="C12" s="716"/>
      <c r="D12" s="716"/>
      <c r="E12" s="717"/>
      <c r="F12" s="716"/>
      <c r="G12" s="716"/>
      <c r="H12" s="716"/>
      <c r="I12" s="716"/>
      <c r="J12" s="716"/>
      <c r="K12" s="716"/>
      <c r="L12" s="718"/>
      <c r="M12" s="718"/>
      <c r="N12" s="718"/>
      <c r="O12" s="719"/>
      <c r="P12" s="719"/>
      <c r="Q12" s="719"/>
      <c r="R12" s="691"/>
      <c r="S12" s="691"/>
      <c r="T12" s="691"/>
      <c r="U12" s="732"/>
      <c r="V12" s="732"/>
      <c r="W12" s="732"/>
      <c r="X12" s="721"/>
      <c r="Y12" s="722"/>
      <c r="Z12" s="733"/>
      <c r="AA12" s="734"/>
      <c r="AB12" s="703"/>
      <c r="AC12" s="724"/>
      <c r="AD12" s="703"/>
      <c r="AE12" s="703"/>
      <c r="AG12" s="693">
        <v>4000</v>
      </c>
      <c r="AH12" s="693">
        <v>150</v>
      </c>
      <c r="AI12" s="693">
        <v>4000</v>
      </c>
      <c r="AJ12" s="693">
        <v>150</v>
      </c>
      <c r="AK12" s="693">
        <v>4000</v>
      </c>
      <c r="AL12" s="693">
        <v>150</v>
      </c>
      <c r="AM12" s="124" t="s">
        <v>956</v>
      </c>
      <c r="AN12" s="124" t="s">
        <v>403</v>
      </c>
      <c r="AO12" s="124" t="s">
        <v>937</v>
      </c>
      <c r="AP12" s="124" t="s">
        <v>957</v>
      </c>
      <c r="AR12" s="889"/>
      <c r="AS12" s="727" t="s">
        <v>958</v>
      </c>
      <c r="AT12" s="727">
        <v>7</v>
      </c>
      <c r="AU12" s="692">
        <v>15700</v>
      </c>
      <c r="AV12" s="727">
        <v>11</v>
      </c>
      <c r="AW12" s="692">
        <v>1450</v>
      </c>
      <c r="AX12" s="692">
        <v>5</v>
      </c>
      <c r="AY12" s="692">
        <f>3000+5000+3*2500</f>
        <v>15500</v>
      </c>
      <c r="AZ12" s="728">
        <f t="shared" si="2"/>
        <v>0.15139826422372227</v>
      </c>
      <c r="BA12" s="728">
        <f t="shared" si="0"/>
        <v>0.16959064327485379</v>
      </c>
      <c r="BB12" s="728">
        <f t="shared" si="3"/>
        <v>0.31958762886597936</v>
      </c>
      <c r="BC12" s="729"/>
    </row>
    <row r="13" spans="1:55" ht="17.45" customHeight="1">
      <c r="A13" s="124" t="str">
        <f t="shared" si="1"/>
        <v>GGHL14</v>
      </c>
      <c r="B13" s="124" t="s">
        <v>71</v>
      </c>
      <c r="C13" s="716"/>
      <c r="D13" s="716"/>
      <c r="E13" s="717"/>
      <c r="F13" s="716"/>
      <c r="G13" s="716"/>
      <c r="H13" s="716"/>
      <c r="I13" s="716"/>
      <c r="J13" s="716"/>
      <c r="K13" s="716"/>
      <c r="L13" s="718"/>
      <c r="M13" s="718"/>
      <c r="N13" s="718"/>
      <c r="O13" s="719"/>
      <c r="P13" s="719"/>
      <c r="Q13" s="719"/>
      <c r="R13" s="691"/>
      <c r="S13" s="691"/>
      <c r="T13" s="691"/>
      <c r="U13" s="732"/>
      <c r="V13" s="732"/>
      <c r="W13" s="732"/>
      <c r="X13" s="721"/>
      <c r="Y13" s="722"/>
      <c r="Z13" s="733"/>
      <c r="AA13" s="734"/>
      <c r="AB13" s="703"/>
      <c r="AC13" s="724"/>
      <c r="AD13" s="703"/>
      <c r="AE13" s="703"/>
      <c r="AG13" s="693">
        <v>4000</v>
      </c>
      <c r="AH13" s="693">
        <v>150</v>
      </c>
      <c r="AI13" s="693">
        <v>4000</v>
      </c>
      <c r="AJ13" s="693">
        <v>150</v>
      </c>
      <c r="AK13" s="693">
        <v>4000</v>
      </c>
      <c r="AL13" s="693">
        <v>150</v>
      </c>
      <c r="AM13" s="124" t="s">
        <v>956</v>
      </c>
      <c r="AN13" s="124" t="s">
        <v>403</v>
      </c>
      <c r="AO13" s="124" t="s">
        <v>937</v>
      </c>
      <c r="AP13" s="124" t="s">
        <v>959</v>
      </c>
      <c r="AR13" s="889"/>
      <c r="AS13" s="124" t="s">
        <v>960</v>
      </c>
      <c r="AT13" s="124">
        <v>4</v>
      </c>
      <c r="AU13" s="716">
        <v>5500</v>
      </c>
      <c r="AV13" s="124">
        <v>4</v>
      </c>
      <c r="AW13" s="716">
        <v>550</v>
      </c>
      <c r="AX13" s="716">
        <v>2</v>
      </c>
      <c r="AY13" s="716">
        <f>2*2500</f>
        <v>5000</v>
      </c>
      <c r="AZ13" s="726">
        <f t="shared" si="2"/>
        <v>5.3037608486017358E-2</v>
      </c>
      <c r="BA13" s="726">
        <f t="shared" si="0"/>
        <v>6.4327485380116955E-2</v>
      </c>
      <c r="BB13" s="726">
        <f t="shared" si="3"/>
        <v>0.10309278350515463</v>
      </c>
      <c r="BC13" s="3"/>
    </row>
    <row r="14" spans="1:55" ht="17.45" customHeight="1">
      <c r="A14" s="124" t="str">
        <f t="shared" si="1"/>
        <v>GGHL15</v>
      </c>
      <c r="B14" s="124" t="s">
        <v>72</v>
      </c>
      <c r="C14" s="716"/>
      <c r="D14" s="716"/>
      <c r="E14" s="717"/>
      <c r="F14" s="716"/>
      <c r="G14" s="716"/>
      <c r="H14" s="716"/>
      <c r="I14" s="716"/>
      <c r="J14" s="716"/>
      <c r="K14" s="716"/>
      <c r="L14" s="718"/>
      <c r="M14" s="718"/>
      <c r="N14" s="718"/>
      <c r="O14" s="719"/>
      <c r="P14" s="719"/>
      <c r="Q14" s="719"/>
      <c r="R14" s="691"/>
      <c r="S14" s="691"/>
      <c r="T14" s="691"/>
      <c r="U14" s="732"/>
      <c r="V14" s="732"/>
      <c r="W14" s="732"/>
      <c r="X14" s="721"/>
      <c r="Y14" s="722"/>
      <c r="Z14" s="733"/>
      <c r="AA14" s="734"/>
      <c r="AB14" s="703"/>
      <c r="AC14" s="724"/>
      <c r="AD14" s="703"/>
      <c r="AE14" s="703"/>
      <c r="AG14" s="693">
        <v>4000</v>
      </c>
      <c r="AH14" s="693">
        <v>150</v>
      </c>
      <c r="AI14" s="693">
        <v>4000</v>
      </c>
      <c r="AJ14" s="693">
        <v>150</v>
      </c>
      <c r="AK14" s="693">
        <v>4000</v>
      </c>
      <c r="AL14" s="693">
        <v>150</v>
      </c>
      <c r="AM14" s="124" t="s">
        <v>956</v>
      </c>
      <c r="AN14" s="124" t="s">
        <v>404</v>
      </c>
      <c r="AO14" s="124" t="s">
        <v>937</v>
      </c>
      <c r="AP14" s="124" t="s">
        <v>961</v>
      </c>
      <c r="AR14" s="748" t="s">
        <v>962</v>
      </c>
      <c r="AS14" s="749"/>
      <c r="AT14" s="750">
        <f t="shared" ref="AT14:AY14" si="4">SUM(AT3:AT13)</f>
        <v>44</v>
      </c>
      <c r="AU14" s="750">
        <f t="shared" si="4"/>
        <v>103700</v>
      </c>
      <c r="AV14" s="750">
        <f t="shared" si="4"/>
        <v>68</v>
      </c>
      <c r="AW14" s="750">
        <f t="shared" si="4"/>
        <v>8550</v>
      </c>
      <c r="AX14" s="750">
        <f t="shared" si="4"/>
        <v>16</v>
      </c>
      <c r="AY14" s="750">
        <f t="shared" si="4"/>
        <v>48500</v>
      </c>
      <c r="AZ14" s="751">
        <f t="shared" si="2"/>
        <v>1</v>
      </c>
      <c r="BA14" s="751">
        <f t="shared" si="0"/>
        <v>1</v>
      </c>
      <c r="BB14" s="726">
        <f t="shared" si="3"/>
        <v>1</v>
      </c>
      <c r="BC14" s="749"/>
    </row>
    <row r="15" spans="1:55" ht="17.45" customHeight="1">
      <c r="A15" s="124" t="str">
        <f t="shared" si="1"/>
        <v>GGHL16</v>
      </c>
      <c r="B15" s="124" t="s">
        <v>963</v>
      </c>
      <c r="C15" s="694"/>
      <c r="D15" s="694"/>
      <c r="E15" s="738"/>
      <c r="F15" s="694"/>
      <c r="G15" s="694"/>
      <c r="H15" s="694"/>
      <c r="I15" s="694"/>
      <c r="J15" s="694"/>
      <c r="K15" s="694"/>
      <c r="L15" s="694"/>
      <c r="M15" s="694"/>
      <c r="N15" s="694"/>
      <c r="O15" s="694"/>
      <c r="P15" s="694"/>
      <c r="Q15" s="694"/>
      <c r="R15" s="694"/>
      <c r="S15" s="694"/>
      <c r="T15" s="694"/>
      <c r="U15" s="739"/>
      <c r="V15" s="739"/>
      <c r="W15" s="739"/>
      <c r="X15" s="740"/>
      <c r="Y15" s="740"/>
      <c r="Z15" s="741"/>
      <c r="AA15" s="742"/>
      <c r="AB15" s="740"/>
      <c r="AC15" s="743"/>
      <c r="AD15" s="740"/>
      <c r="AE15" s="740"/>
      <c r="AF15" s="744"/>
      <c r="AG15" s="694">
        <v>4000</v>
      </c>
      <c r="AH15" s="694">
        <v>150</v>
      </c>
      <c r="AI15" s="694">
        <v>4000</v>
      </c>
      <c r="AJ15" s="694">
        <v>150</v>
      </c>
      <c r="AK15" s="694">
        <v>4000</v>
      </c>
      <c r="AL15" s="694">
        <v>150</v>
      </c>
      <c r="AM15" s="124" t="s">
        <v>956</v>
      </c>
      <c r="AN15" s="124" t="s">
        <v>404</v>
      </c>
      <c r="AO15" s="124" t="s">
        <v>937</v>
      </c>
      <c r="AP15" s="124" t="s">
        <v>957</v>
      </c>
    </row>
    <row r="16" spans="1:55" ht="17.45" customHeight="1">
      <c r="A16" s="124" t="str">
        <f t="shared" si="1"/>
        <v>GGHL17</v>
      </c>
      <c r="B16" s="124" t="s">
        <v>277</v>
      </c>
      <c r="C16" s="716"/>
      <c r="D16" s="716"/>
      <c r="E16" s="717"/>
      <c r="F16" s="716"/>
      <c r="G16" s="716"/>
      <c r="H16" s="716"/>
      <c r="I16" s="716"/>
      <c r="J16" s="716"/>
      <c r="K16" s="716"/>
      <c r="L16" s="718"/>
      <c r="M16" s="718"/>
      <c r="N16" s="718"/>
      <c r="O16" s="719"/>
      <c r="P16" s="719"/>
      <c r="Q16" s="719"/>
      <c r="R16" s="691"/>
      <c r="S16" s="691"/>
      <c r="T16" s="691"/>
      <c r="U16" s="732"/>
      <c r="V16" s="732"/>
      <c r="W16" s="732"/>
      <c r="X16" s="721"/>
      <c r="Y16" s="722"/>
      <c r="Z16" s="733"/>
      <c r="AA16" s="734"/>
      <c r="AB16" s="703"/>
      <c r="AC16" s="724"/>
      <c r="AD16" s="703"/>
      <c r="AE16" s="703"/>
      <c r="AG16" s="693">
        <v>4000</v>
      </c>
      <c r="AH16" s="693">
        <v>150</v>
      </c>
      <c r="AI16" s="693">
        <v>4000</v>
      </c>
      <c r="AJ16" s="693">
        <v>150</v>
      </c>
      <c r="AK16" s="693">
        <v>4000</v>
      </c>
      <c r="AL16" s="693">
        <v>150</v>
      </c>
      <c r="AM16" s="124" t="s">
        <v>956</v>
      </c>
      <c r="AN16" s="124" t="s">
        <v>403</v>
      </c>
      <c r="AO16" s="124" t="s">
        <v>937</v>
      </c>
      <c r="AP16" s="124" t="s">
        <v>959</v>
      </c>
      <c r="AU16" s="54"/>
      <c r="AX16" s="5" t="s">
        <v>843</v>
      </c>
      <c r="AY16" s="5" t="s">
        <v>964</v>
      </c>
      <c r="AZ16" s="5" t="s">
        <v>965</v>
      </c>
      <c r="BA16" s="5" t="s">
        <v>966</v>
      </c>
    </row>
    <row r="17" spans="1:55" ht="17.45" customHeight="1">
      <c r="A17" s="124" t="str">
        <f t="shared" si="1"/>
        <v>GGHL18</v>
      </c>
      <c r="B17" s="124" t="s">
        <v>278</v>
      </c>
      <c r="C17" s="716"/>
      <c r="D17" s="716"/>
      <c r="E17" s="717"/>
      <c r="F17" s="716"/>
      <c r="G17" s="716"/>
      <c r="H17" s="716"/>
      <c r="I17" s="716"/>
      <c r="J17" s="716"/>
      <c r="K17" s="716"/>
      <c r="L17" s="718"/>
      <c r="M17" s="718"/>
      <c r="N17" s="718"/>
      <c r="O17" s="719"/>
      <c r="P17" s="719"/>
      <c r="Q17" s="719"/>
      <c r="R17" s="691"/>
      <c r="S17" s="691"/>
      <c r="T17" s="691"/>
      <c r="U17" s="732"/>
      <c r="V17" s="732"/>
      <c r="W17" s="732"/>
      <c r="X17" s="721"/>
      <c r="Y17" s="722"/>
      <c r="Z17" s="733"/>
      <c r="AA17" s="734"/>
      <c r="AB17" s="703"/>
      <c r="AC17" s="724"/>
      <c r="AD17" s="703"/>
      <c r="AE17" s="703"/>
      <c r="AG17" s="693">
        <v>4000</v>
      </c>
      <c r="AH17" s="693">
        <v>150</v>
      </c>
      <c r="AI17" s="693">
        <v>4000</v>
      </c>
      <c r="AJ17" s="693">
        <v>150</v>
      </c>
      <c r="AK17" s="693">
        <v>4000</v>
      </c>
      <c r="AL17" s="693">
        <v>150</v>
      </c>
      <c r="AM17" s="124" t="s">
        <v>956</v>
      </c>
      <c r="AN17" s="124" t="s">
        <v>403</v>
      </c>
      <c r="AO17" s="124" t="s">
        <v>937</v>
      </c>
      <c r="AP17" s="124" t="s">
        <v>959</v>
      </c>
      <c r="AW17" t="s">
        <v>967</v>
      </c>
      <c r="AX17" s="660">
        <v>16000</v>
      </c>
      <c r="AY17" s="660">
        <v>2500</v>
      </c>
      <c r="AZ17" s="660">
        <v>10000</v>
      </c>
      <c r="BA17" s="660">
        <v>2500</v>
      </c>
      <c r="BB17" s="54">
        <f t="shared" ref="BB17:BC19" si="5">AX17+AZ17</f>
        <v>26000</v>
      </c>
      <c r="BC17" s="54">
        <f t="shared" si="5"/>
        <v>5000</v>
      </c>
    </row>
    <row r="18" spans="1:55" ht="17.45" customHeight="1">
      <c r="A18" s="124" t="str">
        <f t="shared" si="1"/>
        <v>GGHL25</v>
      </c>
      <c r="B18" s="124" t="s">
        <v>279</v>
      </c>
      <c r="C18" s="716"/>
      <c r="D18" s="716"/>
      <c r="E18" s="717"/>
      <c r="F18" s="716"/>
      <c r="G18" s="716"/>
      <c r="H18" s="716"/>
      <c r="I18" s="716"/>
      <c r="J18" s="716"/>
      <c r="K18" s="716"/>
      <c r="L18" s="718"/>
      <c r="M18" s="718"/>
      <c r="N18" s="718"/>
      <c r="O18" s="719"/>
      <c r="P18" s="719"/>
      <c r="Q18" s="719"/>
      <c r="R18" s="691"/>
      <c r="S18" s="691"/>
      <c r="T18" s="691"/>
      <c r="U18" s="732"/>
      <c r="V18" s="732"/>
      <c r="W18" s="732"/>
      <c r="X18" s="721"/>
      <c r="Y18" s="722"/>
      <c r="Z18" s="733"/>
      <c r="AA18" s="734"/>
      <c r="AB18" s="703"/>
      <c r="AC18" s="724"/>
      <c r="AD18" s="703"/>
      <c r="AE18" s="703"/>
      <c r="AG18" s="693">
        <v>4000</v>
      </c>
      <c r="AH18" s="693">
        <v>150</v>
      </c>
      <c r="AI18" s="693">
        <v>4000</v>
      </c>
      <c r="AJ18" s="693">
        <v>150</v>
      </c>
      <c r="AK18" s="693">
        <v>4000</v>
      </c>
      <c r="AL18" s="693">
        <v>150</v>
      </c>
      <c r="AM18" s="124" t="s">
        <v>956</v>
      </c>
      <c r="AN18" s="124" t="s">
        <v>404</v>
      </c>
      <c r="AO18" s="124" t="s">
        <v>937</v>
      </c>
      <c r="AP18" s="124" t="s">
        <v>961</v>
      </c>
      <c r="AW18" t="s">
        <v>968</v>
      </c>
      <c r="AX18" s="660">
        <v>25000</v>
      </c>
      <c r="AY18" s="660">
        <f>5000</f>
        <v>5000</v>
      </c>
      <c r="AZ18" s="660">
        <v>15000</v>
      </c>
      <c r="BA18" s="660">
        <f>5000</f>
        <v>5000</v>
      </c>
      <c r="BB18" s="54">
        <f t="shared" si="5"/>
        <v>40000</v>
      </c>
      <c r="BC18" s="54">
        <f t="shared" si="5"/>
        <v>10000</v>
      </c>
    </row>
    <row r="19" spans="1:55" ht="17.45" customHeight="1">
      <c r="A19" s="124" t="str">
        <f t="shared" si="1"/>
        <v>GGHL26</v>
      </c>
      <c r="B19" s="124" t="s">
        <v>337</v>
      </c>
      <c r="C19" s="716"/>
      <c r="D19" s="716"/>
      <c r="E19" s="717"/>
      <c r="F19" s="716"/>
      <c r="G19" s="716"/>
      <c r="H19" s="716"/>
      <c r="I19" s="716"/>
      <c r="J19" s="716"/>
      <c r="K19" s="716"/>
      <c r="L19" s="718"/>
      <c r="M19" s="718"/>
      <c r="N19" s="718"/>
      <c r="O19" s="719"/>
      <c r="P19" s="719"/>
      <c r="Q19" s="719"/>
      <c r="R19" s="691"/>
      <c r="S19" s="691"/>
      <c r="T19" s="691"/>
      <c r="U19" s="732"/>
      <c r="V19" s="732"/>
      <c r="W19" s="732"/>
      <c r="X19" s="721"/>
      <c r="Y19" s="722"/>
      <c r="Z19" s="733"/>
      <c r="AA19" s="734"/>
      <c r="AB19" s="703"/>
      <c r="AC19" s="724"/>
      <c r="AD19" s="703"/>
      <c r="AE19" s="703"/>
      <c r="AG19" s="693"/>
      <c r="AH19" s="693"/>
      <c r="AI19" s="752">
        <v>4000</v>
      </c>
      <c r="AJ19" s="752">
        <v>150</v>
      </c>
      <c r="AK19" s="693">
        <v>4000</v>
      </c>
      <c r="AL19" s="693">
        <v>150</v>
      </c>
      <c r="AM19" s="124" t="s">
        <v>956</v>
      </c>
      <c r="AN19" s="124" t="s">
        <v>404</v>
      </c>
      <c r="AO19" s="124" t="s">
        <v>937</v>
      </c>
      <c r="AP19" s="124" t="s">
        <v>961</v>
      </c>
      <c r="AW19" s="5" t="s">
        <v>3</v>
      </c>
      <c r="AX19" s="753">
        <f>AX17+AX18</f>
        <v>41000</v>
      </c>
      <c r="AY19" s="753">
        <f>AY17+AY18</f>
        <v>7500</v>
      </c>
      <c r="AZ19" s="753">
        <f>AZ17+AZ18</f>
        <v>25000</v>
      </c>
      <c r="BA19" s="753">
        <f>BA17+BA18</f>
        <v>7500</v>
      </c>
      <c r="BB19" s="754">
        <f t="shared" si="5"/>
        <v>66000</v>
      </c>
      <c r="BC19" s="754">
        <f t="shared" si="5"/>
        <v>15000</v>
      </c>
    </row>
    <row r="20" spans="1:55" ht="17.45" customHeight="1">
      <c r="A20" s="124" t="str">
        <f t="shared" si="1"/>
        <v>GGHL27</v>
      </c>
      <c r="B20" s="124" t="s">
        <v>408</v>
      </c>
      <c r="C20" s="716"/>
      <c r="D20" s="716"/>
      <c r="E20" s="717"/>
      <c r="F20" s="716"/>
      <c r="G20" s="716"/>
      <c r="H20" s="716"/>
      <c r="I20" s="716"/>
      <c r="J20" s="716"/>
      <c r="K20" s="716"/>
      <c r="L20" s="718"/>
      <c r="M20" s="718"/>
      <c r="N20" s="718"/>
      <c r="O20" s="719"/>
      <c r="P20" s="719"/>
      <c r="Q20" s="719"/>
      <c r="R20" s="691"/>
      <c r="S20" s="691"/>
      <c r="T20" s="691"/>
      <c r="U20" s="732"/>
      <c r="V20" s="732"/>
      <c r="W20" s="732"/>
      <c r="X20" s="721"/>
      <c r="Y20" s="722"/>
      <c r="Z20" s="733"/>
      <c r="AA20" s="734"/>
      <c r="AB20" s="703"/>
      <c r="AC20" s="724"/>
      <c r="AD20" s="703"/>
      <c r="AE20" s="703"/>
      <c r="AG20" s="693"/>
      <c r="AH20" s="693"/>
      <c r="AI20" s="693"/>
      <c r="AJ20" s="693"/>
      <c r="AK20" s="752">
        <v>3500</v>
      </c>
      <c r="AL20" s="752">
        <v>100</v>
      </c>
      <c r="AM20" s="124" t="s">
        <v>956</v>
      </c>
      <c r="AN20" s="124" t="s">
        <v>577</v>
      </c>
      <c r="AO20" s="124" t="s">
        <v>940</v>
      </c>
      <c r="AP20" s="124" t="s">
        <v>969</v>
      </c>
    </row>
    <row r="21" spans="1:55" ht="17.45" customHeight="1">
      <c r="A21" s="124" t="str">
        <f t="shared" si="1"/>
        <v>GGHL28</v>
      </c>
      <c r="B21" s="124" t="s">
        <v>410</v>
      </c>
      <c r="C21" s="716"/>
      <c r="D21" s="716"/>
      <c r="E21" s="717"/>
      <c r="F21" s="716"/>
      <c r="G21" s="716"/>
      <c r="H21" s="716"/>
      <c r="I21" s="716"/>
      <c r="J21" s="716"/>
      <c r="K21" s="716"/>
      <c r="L21" s="718"/>
      <c r="M21" s="718"/>
      <c r="N21" s="718"/>
      <c r="O21" s="719"/>
      <c r="P21" s="719"/>
      <c r="Q21" s="719"/>
      <c r="R21" s="691"/>
      <c r="S21" s="691"/>
      <c r="T21" s="691"/>
      <c r="U21" s="732"/>
      <c r="V21" s="732"/>
      <c r="W21" s="732"/>
      <c r="X21" s="721"/>
      <c r="Y21" s="722"/>
      <c r="Z21" s="733"/>
      <c r="AA21" s="734"/>
      <c r="AB21" s="703"/>
      <c r="AC21" s="724"/>
      <c r="AD21" s="703"/>
      <c r="AE21" s="703"/>
      <c r="AG21" s="693"/>
      <c r="AH21" s="693"/>
      <c r="AI21" s="693"/>
      <c r="AJ21" s="693"/>
      <c r="AK21" s="752">
        <v>3500</v>
      </c>
      <c r="AL21" s="752">
        <v>100</v>
      </c>
      <c r="AM21" s="124" t="s">
        <v>956</v>
      </c>
      <c r="AN21" s="124" t="s">
        <v>577</v>
      </c>
      <c r="AO21" s="124" t="s">
        <v>940</v>
      </c>
      <c r="AP21" s="124" t="s">
        <v>969</v>
      </c>
      <c r="AW21" s="755">
        <v>2024</v>
      </c>
      <c r="AX21" s="755" t="s">
        <v>678</v>
      </c>
      <c r="AY21" s="755" t="s">
        <v>970</v>
      </c>
      <c r="AZ21" s="755" t="s">
        <v>831</v>
      </c>
    </row>
    <row r="22" spans="1:55" ht="17.45" customHeight="1">
      <c r="A22" s="124" t="str">
        <f t="shared" si="1"/>
        <v>GGHL29</v>
      </c>
      <c r="B22" s="124" t="s">
        <v>411</v>
      </c>
      <c r="C22" s="716"/>
      <c r="D22" s="716"/>
      <c r="E22" s="717"/>
      <c r="F22" s="716"/>
      <c r="G22" s="716"/>
      <c r="H22" s="716"/>
      <c r="I22" s="716"/>
      <c r="J22" s="716"/>
      <c r="K22" s="716"/>
      <c r="L22" s="718"/>
      <c r="M22" s="718"/>
      <c r="N22" s="718"/>
      <c r="O22" s="719"/>
      <c r="P22" s="719"/>
      <c r="Q22" s="719"/>
      <c r="R22" s="691"/>
      <c r="S22" s="691"/>
      <c r="T22" s="691"/>
      <c r="U22" s="732"/>
      <c r="V22" s="732"/>
      <c r="W22" s="732"/>
      <c r="X22" s="721"/>
      <c r="Y22" s="722"/>
      <c r="Z22" s="733"/>
      <c r="AA22" s="734"/>
      <c r="AB22" s="703"/>
      <c r="AC22" s="724"/>
      <c r="AD22" s="703"/>
      <c r="AE22" s="703"/>
      <c r="AG22" s="693"/>
      <c r="AH22" s="693"/>
      <c r="AI22" s="693"/>
      <c r="AJ22" s="693"/>
      <c r="AK22" s="752">
        <v>4500</v>
      </c>
      <c r="AL22" s="752">
        <v>150</v>
      </c>
      <c r="AM22" s="124" t="s">
        <v>956</v>
      </c>
      <c r="AN22" s="124" t="s">
        <v>577</v>
      </c>
      <c r="AO22" s="124" t="s">
        <v>940</v>
      </c>
      <c r="AP22" s="124" t="s">
        <v>969</v>
      </c>
      <c r="AW22" t="s">
        <v>847</v>
      </c>
      <c r="AX22" s="660">
        <f>'[11]SGSN-MME'!K22</f>
        <v>33800</v>
      </c>
      <c r="AY22" s="660">
        <f>AL32-AL24-AL25-AL26</f>
        <v>2630</v>
      </c>
      <c r="AZ22" s="54">
        <f>AY5+AY6-7500</f>
        <v>10500</v>
      </c>
    </row>
    <row r="23" spans="1:55" ht="17.45" customHeight="1">
      <c r="A23" s="124" t="str">
        <f t="shared" si="1"/>
        <v>GGHL30</v>
      </c>
      <c r="B23" s="124" t="s">
        <v>971</v>
      </c>
      <c r="C23" s="716"/>
      <c r="D23" s="716"/>
      <c r="E23" s="717"/>
      <c r="F23" s="716"/>
      <c r="G23" s="716"/>
      <c r="H23" s="716"/>
      <c r="I23" s="716"/>
      <c r="J23" s="716"/>
      <c r="K23" s="716"/>
      <c r="L23" s="718"/>
      <c r="M23" s="718"/>
      <c r="N23" s="718"/>
      <c r="O23" s="719"/>
      <c r="P23" s="719"/>
      <c r="Q23" s="719"/>
      <c r="R23" s="691"/>
      <c r="S23" s="691"/>
      <c r="T23" s="691"/>
      <c r="U23" s="732"/>
      <c r="V23" s="732"/>
      <c r="W23" s="732"/>
      <c r="X23" s="721"/>
      <c r="Y23" s="722"/>
      <c r="Z23" s="733"/>
      <c r="AA23" s="734"/>
      <c r="AB23" s="703"/>
      <c r="AC23" s="724"/>
      <c r="AD23" s="703"/>
      <c r="AE23" s="703"/>
      <c r="AG23" s="693"/>
      <c r="AH23" s="693"/>
      <c r="AI23" s="693"/>
      <c r="AJ23" s="693"/>
      <c r="AK23" s="694">
        <v>4500</v>
      </c>
      <c r="AL23" s="694">
        <v>150</v>
      </c>
      <c r="AM23" s="124" t="s">
        <v>956</v>
      </c>
      <c r="AN23" s="124" t="s">
        <v>577</v>
      </c>
      <c r="AO23" s="124" t="s">
        <v>940</v>
      </c>
      <c r="AP23" s="124" t="s">
        <v>969</v>
      </c>
      <c r="AW23" t="s">
        <v>3</v>
      </c>
      <c r="AX23" s="660">
        <f>'[11]SGSN-MME'!K50</f>
        <v>73500</v>
      </c>
      <c r="AY23" s="660">
        <f>AL70</f>
        <v>6090</v>
      </c>
      <c r="AZ23" s="54">
        <f>AY14-AY19</f>
        <v>41000</v>
      </c>
    </row>
    <row r="24" spans="1:55" ht="17.45" customHeight="1">
      <c r="A24" s="124" t="str">
        <f t="shared" si="1"/>
        <v>GGPD04</v>
      </c>
      <c r="B24" s="124" t="s">
        <v>497</v>
      </c>
      <c r="C24" s="716"/>
      <c r="D24" s="716"/>
      <c r="E24" s="717"/>
      <c r="F24" s="716"/>
      <c r="G24" s="716"/>
      <c r="H24" s="716"/>
      <c r="I24" s="716"/>
      <c r="J24" s="716"/>
      <c r="K24" s="716"/>
      <c r="L24" s="718"/>
      <c r="M24" s="718"/>
      <c r="N24" s="718"/>
      <c r="O24" s="719"/>
      <c r="P24" s="719"/>
      <c r="Q24" s="719"/>
      <c r="R24" s="691"/>
      <c r="S24" s="691"/>
      <c r="T24" s="691"/>
      <c r="U24" s="732"/>
      <c r="V24" s="732"/>
      <c r="W24" s="732"/>
      <c r="X24" s="721"/>
      <c r="Y24" s="722"/>
      <c r="Z24" s="733"/>
      <c r="AA24" s="734"/>
      <c r="AB24" s="703"/>
      <c r="AC24" s="724"/>
      <c r="AD24" s="703"/>
      <c r="AE24" s="703"/>
      <c r="AG24" s="693"/>
      <c r="AH24" s="693"/>
      <c r="AI24" s="693"/>
      <c r="AJ24" s="693"/>
      <c r="AK24" s="752">
        <v>4500</v>
      </c>
      <c r="AL24" s="752">
        <v>150</v>
      </c>
      <c r="AM24" s="124" t="s">
        <v>972</v>
      </c>
      <c r="AN24" s="124" t="s">
        <v>829</v>
      </c>
      <c r="AO24" s="124" t="s">
        <v>945</v>
      </c>
      <c r="AP24" s="124" t="s">
        <v>973</v>
      </c>
      <c r="AW24" t="s">
        <v>974</v>
      </c>
      <c r="AX24" s="94">
        <f>AX22/AX23</f>
        <v>0.45986394557823129</v>
      </c>
      <c r="AY24" s="94">
        <f>AY22/AY23</f>
        <v>0.43185550082101809</v>
      </c>
      <c r="AZ24" s="94">
        <f>AZ22/AZ23</f>
        <v>0.25609756097560976</v>
      </c>
    </row>
    <row r="25" spans="1:55" ht="17.45" customHeight="1">
      <c r="A25" s="124" t="str">
        <f t="shared" si="1"/>
        <v>GGPD05</v>
      </c>
      <c r="B25" s="124" t="s">
        <v>496</v>
      </c>
      <c r="C25" s="716"/>
      <c r="D25" s="716"/>
      <c r="E25" s="717"/>
      <c r="F25" s="716"/>
      <c r="G25" s="716"/>
      <c r="H25" s="716"/>
      <c r="I25" s="716"/>
      <c r="J25" s="716"/>
      <c r="K25" s="716"/>
      <c r="L25" s="718"/>
      <c r="M25" s="718"/>
      <c r="N25" s="718"/>
      <c r="O25" s="719"/>
      <c r="P25" s="719"/>
      <c r="Q25" s="719"/>
      <c r="R25" s="691"/>
      <c r="S25" s="691"/>
      <c r="T25" s="691"/>
      <c r="U25" s="732"/>
      <c r="V25" s="732"/>
      <c r="W25" s="732"/>
      <c r="X25" s="721"/>
      <c r="Y25" s="722"/>
      <c r="Z25" s="733"/>
      <c r="AA25" s="734"/>
      <c r="AB25" s="703"/>
      <c r="AC25" s="724"/>
      <c r="AD25" s="703"/>
      <c r="AE25" s="703"/>
      <c r="AG25" s="693"/>
      <c r="AH25" s="693"/>
      <c r="AI25" s="693"/>
      <c r="AJ25" s="693"/>
      <c r="AK25" s="752">
        <v>4500</v>
      </c>
      <c r="AL25" s="752">
        <v>150</v>
      </c>
      <c r="AM25" s="124" t="s">
        <v>972</v>
      </c>
      <c r="AN25" s="124" t="s">
        <v>829</v>
      </c>
      <c r="AO25" s="124" t="s">
        <v>945</v>
      </c>
      <c r="AP25" s="124" t="s">
        <v>973</v>
      </c>
    </row>
    <row r="26" spans="1:55" ht="17.45" customHeight="1">
      <c r="A26" s="124" t="str">
        <f t="shared" si="1"/>
        <v>GGPD06</v>
      </c>
      <c r="B26" s="124" t="s">
        <v>498</v>
      </c>
      <c r="C26" s="716"/>
      <c r="D26" s="716"/>
      <c r="E26" s="717"/>
      <c r="F26" s="716"/>
      <c r="G26" s="716"/>
      <c r="H26" s="716"/>
      <c r="I26" s="716"/>
      <c r="J26" s="716"/>
      <c r="K26" s="716"/>
      <c r="L26" s="718"/>
      <c r="M26" s="718"/>
      <c r="N26" s="718"/>
      <c r="O26" s="719"/>
      <c r="P26" s="719"/>
      <c r="Q26" s="719"/>
      <c r="R26" s="691"/>
      <c r="S26" s="691"/>
      <c r="T26" s="691"/>
      <c r="U26" s="732"/>
      <c r="V26" s="732"/>
      <c r="W26" s="732"/>
      <c r="X26" s="721"/>
      <c r="Y26" s="722"/>
      <c r="Z26" s="733"/>
      <c r="AA26" s="734"/>
      <c r="AB26" s="703"/>
      <c r="AC26" s="724"/>
      <c r="AD26" s="703"/>
      <c r="AE26" s="703"/>
      <c r="AG26" s="693"/>
      <c r="AH26" s="693"/>
      <c r="AI26" s="693"/>
      <c r="AJ26" s="693"/>
      <c r="AK26" s="752">
        <v>3500</v>
      </c>
      <c r="AL26" s="752">
        <v>100</v>
      </c>
      <c r="AM26" s="124" t="s">
        <v>972</v>
      </c>
      <c r="AN26" s="124" t="s">
        <v>829</v>
      </c>
      <c r="AO26" s="124" t="s">
        <v>945</v>
      </c>
      <c r="AP26" s="124" t="s">
        <v>973</v>
      </c>
      <c r="AW26" s="755">
        <v>2026</v>
      </c>
      <c r="AX26" t="s">
        <v>678</v>
      </c>
      <c r="AY26" t="s">
        <v>970</v>
      </c>
    </row>
    <row r="27" spans="1:55" ht="17.45" customHeight="1">
      <c r="A27" s="124" t="str">
        <f t="shared" si="1"/>
        <v>GGPD07</v>
      </c>
      <c r="B27" s="124" t="s">
        <v>975</v>
      </c>
      <c r="C27" s="694"/>
      <c r="D27" s="694"/>
      <c r="E27" s="738"/>
      <c r="F27" s="694"/>
      <c r="G27" s="694"/>
      <c r="H27" s="694"/>
      <c r="I27" s="694"/>
      <c r="J27" s="694"/>
      <c r="K27" s="694"/>
      <c r="L27" s="694"/>
      <c r="M27" s="694"/>
      <c r="N27" s="694"/>
      <c r="O27" s="694"/>
      <c r="P27" s="694"/>
      <c r="Q27" s="694"/>
      <c r="R27" s="694"/>
      <c r="S27" s="694"/>
      <c r="T27" s="694"/>
      <c r="U27" s="739"/>
      <c r="V27" s="739"/>
      <c r="W27" s="739"/>
      <c r="X27" s="740"/>
      <c r="Y27" s="740"/>
      <c r="Z27" s="741"/>
      <c r="AA27" s="742"/>
      <c r="AB27" s="740"/>
      <c r="AC27" s="743"/>
      <c r="AD27" s="740"/>
      <c r="AE27" s="740"/>
      <c r="AF27" s="744"/>
      <c r="AG27" s="694"/>
      <c r="AH27" s="694"/>
      <c r="AI27" s="693"/>
      <c r="AJ27" s="693"/>
      <c r="AK27" s="694">
        <v>4500</v>
      </c>
      <c r="AL27" s="694">
        <v>150</v>
      </c>
      <c r="AM27" s="124" t="s">
        <v>972</v>
      </c>
      <c r="AN27" s="124" t="s">
        <v>829</v>
      </c>
      <c r="AO27" s="124" t="s">
        <v>945</v>
      </c>
      <c r="AP27" s="124" t="s">
        <v>973</v>
      </c>
      <c r="AW27" t="s">
        <v>847</v>
      </c>
      <c r="AX27" s="660">
        <f>AX22-'[11]SGSN-MME'!K7-'[11]SGSN-MME'!K8-'[11]SGSN-MME'!K9</f>
        <v>23900</v>
      </c>
      <c r="AY27" s="660">
        <f>AY22-AL3-AL4-AL5-AL6-AL7-AL8</f>
        <v>2120</v>
      </c>
      <c r="AZ27" s="54">
        <f>AY22-AY27</f>
        <v>510</v>
      </c>
      <c r="BA27" s="54"/>
    </row>
    <row r="28" spans="1:55" ht="17.45" customHeight="1">
      <c r="A28" s="124" t="str">
        <f t="shared" si="1"/>
        <v>GGHL31</v>
      </c>
      <c r="B28" s="124" t="s">
        <v>976</v>
      </c>
      <c r="C28" s="716"/>
      <c r="D28" s="716"/>
      <c r="E28" s="717"/>
      <c r="F28" s="716"/>
      <c r="G28" s="716"/>
      <c r="H28" s="716"/>
      <c r="I28" s="716"/>
      <c r="J28" s="716"/>
      <c r="K28" s="716"/>
      <c r="L28" s="718"/>
      <c r="M28" s="718"/>
      <c r="N28" s="718"/>
      <c r="O28" s="719"/>
      <c r="P28" s="719"/>
      <c r="Q28" s="719"/>
      <c r="R28" s="691"/>
      <c r="S28" s="691"/>
      <c r="T28" s="691"/>
      <c r="U28" s="732"/>
      <c r="V28" s="732"/>
      <c r="W28" s="732"/>
      <c r="X28" s="721"/>
      <c r="Y28" s="722"/>
      <c r="Z28" s="733"/>
      <c r="AA28" s="734"/>
      <c r="AB28" s="703"/>
      <c r="AC28" s="724"/>
      <c r="AD28" s="703"/>
      <c r="AE28" s="703"/>
      <c r="AG28" s="693"/>
      <c r="AH28" s="693"/>
      <c r="AI28" s="693"/>
      <c r="AJ28" s="693"/>
      <c r="AK28" s="752">
        <v>4500</v>
      </c>
      <c r="AL28" s="752">
        <v>150</v>
      </c>
      <c r="AM28" s="124" t="s">
        <v>956</v>
      </c>
      <c r="AN28" s="756" t="s">
        <v>977</v>
      </c>
      <c r="AO28" s="756" t="s">
        <v>940</v>
      </c>
      <c r="AP28" s="756" t="s">
        <v>969</v>
      </c>
      <c r="AQ28" s="705" t="s">
        <v>978</v>
      </c>
      <c r="AW28" t="s">
        <v>3</v>
      </c>
      <c r="AX28" s="660">
        <f>AX23+5000</f>
        <v>78500</v>
      </c>
      <c r="AY28" s="660">
        <f>AY23+750</f>
        <v>6840</v>
      </c>
    </row>
    <row r="29" spans="1:55" ht="17.45" customHeight="1">
      <c r="A29" s="124" t="str">
        <f t="shared" si="1"/>
        <v>GGHL32</v>
      </c>
      <c r="B29" s="124" t="s">
        <v>979</v>
      </c>
      <c r="C29" s="716"/>
      <c r="D29" s="716"/>
      <c r="E29" s="717"/>
      <c r="F29" s="716"/>
      <c r="G29" s="716"/>
      <c r="H29" s="716"/>
      <c r="I29" s="716"/>
      <c r="J29" s="716"/>
      <c r="K29" s="716"/>
      <c r="L29" s="718"/>
      <c r="M29" s="718"/>
      <c r="N29" s="718"/>
      <c r="O29" s="719"/>
      <c r="P29" s="719"/>
      <c r="Q29" s="719"/>
      <c r="R29" s="691"/>
      <c r="S29" s="691"/>
      <c r="T29" s="691"/>
      <c r="U29" s="732"/>
      <c r="V29" s="732"/>
      <c r="W29" s="732"/>
      <c r="X29" s="721"/>
      <c r="Y29" s="722"/>
      <c r="Z29" s="733"/>
      <c r="AA29" s="734"/>
      <c r="AB29" s="703"/>
      <c r="AC29" s="724"/>
      <c r="AD29" s="703"/>
      <c r="AE29" s="703"/>
      <c r="AG29" s="693"/>
      <c r="AH29" s="693"/>
      <c r="AI29" s="693"/>
      <c r="AJ29" s="693"/>
      <c r="AK29" s="752">
        <v>4500</v>
      </c>
      <c r="AL29" s="752">
        <v>150</v>
      </c>
      <c r="AM29" s="124" t="s">
        <v>956</v>
      </c>
      <c r="AN29" s="756" t="s">
        <v>977</v>
      </c>
      <c r="AO29" s="756" t="s">
        <v>940</v>
      </c>
      <c r="AP29" s="756" t="s">
        <v>969</v>
      </c>
      <c r="AQ29" s="705" t="s">
        <v>978</v>
      </c>
      <c r="AW29" t="s">
        <v>974</v>
      </c>
      <c r="AX29" s="94">
        <f>AX27/AX28</f>
        <v>0.30445859872611464</v>
      </c>
      <c r="AY29" s="94">
        <f>AY27/AY28</f>
        <v>0.30994152046783624</v>
      </c>
    </row>
    <row r="30" spans="1:55" ht="17.45" customHeight="1">
      <c r="A30" s="124" t="str">
        <f t="shared" si="1"/>
        <v>GGHL33</v>
      </c>
      <c r="B30" s="124" t="s">
        <v>980</v>
      </c>
      <c r="C30" s="716"/>
      <c r="D30" s="716"/>
      <c r="E30" s="717"/>
      <c r="F30" s="716"/>
      <c r="G30" s="716"/>
      <c r="H30" s="716"/>
      <c r="I30" s="716"/>
      <c r="J30" s="716"/>
      <c r="K30" s="716"/>
      <c r="L30" s="718"/>
      <c r="M30" s="718"/>
      <c r="N30" s="718"/>
      <c r="O30" s="719"/>
      <c r="P30" s="719"/>
      <c r="Q30" s="719"/>
      <c r="R30" s="691"/>
      <c r="S30" s="691"/>
      <c r="T30" s="691"/>
      <c r="U30" s="732"/>
      <c r="V30" s="732"/>
      <c r="W30" s="732"/>
      <c r="X30" s="721"/>
      <c r="Y30" s="722"/>
      <c r="Z30" s="733"/>
      <c r="AA30" s="734"/>
      <c r="AB30" s="703"/>
      <c r="AC30" s="724"/>
      <c r="AD30" s="703"/>
      <c r="AE30" s="703"/>
      <c r="AG30" s="693"/>
      <c r="AH30" s="693"/>
      <c r="AI30" s="693"/>
      <c r="AJ30" s="693"/>
      <c r="AK30" s="752">
        <v>4500</v>
      </c>
      <c r="AL30" s="752">
        <v>150</v>
      </c>
      <c r="AM30" s="124" t="s">
        <v>956</v>
      </c>
      <c r="AN30" s="756" t="s">
        <v>977</v>
      </c>
      <c r="AO30" s="756" t="s">
        <v>940</v>
      </c>
      <c r="AP30" s="756" t="s">
        <v>969</v>
      </c>
      <c r="AQ30" s="705" t="s">
        <v>978</v>
      </c>
      <c r="AW30" t="s">
        <v>524</v>
      </c>
      <c r="AX30" t="s">
        <v>981</v>
      </c>
      <c r="AY30" t="s">
        <v>982</v>
      </c>
    </row>
    <row r="31" spans="1:55" ht="17.45" customHeight="1">
      <c r="A31" s="124" t="str">
        <f t="shared" si="1"/>
        <v>GGHL34</v>
      </c>
      <c r="B31" s="124" t="s">
        <v>983</v>
      </c>
      <c r="C31" s="716"/>
      <c r="D31" s="716"/>
      <c r="E31" s="717"/>
      <c r="F31" s="716"/>
      <c r="G31" s="716"/>
      <c r="H31" s="716"/>
      <c r="I31" s="716"/>
      <c r="J31" s="716"/>
      <c r="K31" s="716"/>
      <c r="L31" s="718"/>
      <c r="M31" s="718"/>
      <c r="N31" s="718"/>
      <c r="O31" s="719"/>
      <c r="P31" s="719"/>
      <c r="Q31" s="719"/>
      <c r="R31" s="691"/>
      <c r="S31" s="691"/>
      <c r="T31" s="691"/>
      <c r="U31" s="732"/>
      <c r="V31" s="732"/>
      <c r="W31" s="732"/>
      <c r="X31" s="721"/>
      <c r="Y31" s="722"/>
      <c r="Z31" s="733"/>
      <c r="AA31" s="734"/>
      <c r="AB31" s="703"/>
      <c r="AC31" s="724"/>
      <c r="AD31" s="703"/>
      <c r="AE31" s="703"/>
      <c r="AG31" s="693"/>
      <c r="AH31" s="693"/>
      <c r="AI31" s="693"/>
      <c r="AJ31" s="693"/>
      <c r="AK31" s="694">
        <v>4500</v>
      </c>
      <c r="AL31" s="694">
        <v>150</v>
      </c>
      <c r="AM31" s="124" t="s">
        <v>956</v>
      </c>
      <c r="AN31" s="756" t="s">
        <v>977</v>
      </c>
      <c r="AO31" s="756" t="s">
        <v>940</v>
      </c>
      <c r="AP31" s="756" t="s">
        <v>969</v>
      </c>
      <c r="AQ31" s="705" t="s">
        <v>978</v>
      </c>
    </row>
    <row r="32" spans="1:55">
      <c r="A32" s="124" t="str">
        <f t="shared" si="1"/>
        <v xml:space="preserve">Total </v>
      </c>
      <c r="B32" s="715" t="s">
        <v>984</v>
      </c>
      <c r="C32" s="757"/>
      <c r="D32" s="757">
        <f t="shared" ref="D32:O32" si="6">SUM(D3:D8)</f>
        <v>4000</v>
      </c>
      <c r="E32" s="757">
        <f t="shared" si="6"/>
        <v>120</v>
      </c>
      <c r="F32" s="757">
        <f t="shared" si="6"/>
        <v>0</v>
      </c>
      <c r="G32" s="757">
        <f t="shared" si="6"/>
        <v>6500</v>
      </c>
      <c r="H32" s="757">
        <f t="shared" si="6"/>
        <v>200</v>
      </c>
      <c r="I32" s="757">
        <f t="shared" si="6"/>
        <v>0</v>
      </c>
      <c r="J32" s="757">
        <f t="shared" si="6"/>
        <v>10000</v>
      </c>
      <c r="K32" s="757">
        <f t="shared" si="6"/>
        <v>340</v>
      </c>
      <c r="L32" s="757">
        <f t="shared" si="6"/>
        <v>0</v>
      </c>
      <c r="M32" s="757">
        <f t="shared" si="6"/>
        <v>10000</v>
      </c>
      <c r="N32" s="757">
        <f t="shared" si="6"/>
        <v>400</v>
      </c>
      <c r="O32" s="757">
        <f t="shared" si="6"/>
        <v>0</v>
      </c>
      <c r="P32" s="757">
        <f>SUM(P3:P11)</f>
        <v>15900</v>
      </c>
      <c r="Q32" s="757">
        <f>SUM(Q3:Q11)</f>
        <v>680</v>
      </c>
      <c r="R32" s="757">
        <f>SUM(R3:R8)</f>
        <v>0</v>
      </c>
      <c r="S32" s="757">
        <f>SUM(S3:S11)</f>
        <v>19300</v>
      </c>
      <c r="T32" s="757">
        <f>SUM(T3:T11)</f>
        <v>840</v>
      </c>
      <c r="U32" s="758"/>
      <c r="V32" s="758"/>
      <c r="W32" s="758"/>
      <c r="X32" s="759"/>
      <c r="Y32" s="759"/>
      <c r="Z32" s="760"/>
      <c r="AA32" s="761"/>
      <c r="AB32" s="759"/>
      <c r="AC32" s="762"/>
      <c r="AD32" s="759"/>
      <c r="AE32" s="759"/>
      <c r="AF32" s="763"/>
      <c r="AG32" s="757">
        <f>SUM(AG3:AG22)-AG9-AG15</f>
        <v>41200</v>
      </c>
      <c r="AH32" s="757">
        <f>SUM(AH3:AH22)-AH9-AH15</f>
        <v>1680</v>
      </c>
      <c r="AI32" s="757">
        <f>SUM(AI3:AI27)-AI9-AI15-AI23-AI27</f>
        <v>45200</v>
      </c>
      <c r="AJ32" s="757">
        <f t="shared" ref="AJ32" si="7">SUM(AJ3:AJ27)-AJ9-AJ15-AJ23-AJ27</f>
        <v>1830</v>
      </c>
      <c r="AK32" s="757">
        <f>SUM(AK3:AK31)-AK9-AK15-AK23-AK27-AK31</f>
        <v>82700</v>
      </c>
      <c r="AL32" s="757">
        <f>SUM(AL3:AL31)-AL9-AL15-AL23-AL27-AL31</f>
        <v>3030</v>
      </c>
      <c r="AM32" s="757"/>
      <c r="AN32" s="757"/>
      <c r="AO32" s="757"/>
      <c r="AP32" s="757"/>
    </row>
    <row r="33" spans="1:43" ht="30">
      <c r="A33" s="124" t="str">
        <f t="shared" si="1"/>
        <v>GGHK01</v>
      </c>
      <c r="B33" s="124" t="s">
        <v>75</v>
      </c>
      <c r="C33" s="716"/>
      <c r="D33" s="716">
        <v>1000</v>
      </c>
      <c r="E33" s="717">
        <v>20</v>
      </c>
      <c r="F33" s="716"/>
      <c r="G33" s="716">
        <v>1500</v>
      </c>
      <c r="H33" s="716">
        <v>35</v>
      </c>
      <c r="I33" s="716"/>
      <c r="J33" s="716">
        <v>1750</v>
      </c>
      <c r="K33" s="716">
        <v>50</v>
      </c>
      <c r="L33" s="718"/>
      <c r="M33" s="718">
        <v>1750</v>
      </c>
      <c r="N33" s="718">
        <v>60</v>
      </c>
      <c r="O33" s="719"/>
      <c r="P33" s="719">
        <v>1500</v>
      </c>
      <c r="Q33" s="719">
        <v>60</v>
      </c>
      <c r="R33" s="691"/>
      <c r="S33" s="691">
        <v>1500</v>
      </c>
      <c r="T33" s="691">
        <v>60</v>
      </c>
      <c r="U33" s="732">
        <f>S33-P33</f>
        <v>0</v>
      </c>
      <c r="V33" s="732">
        <f>T33-Q33</f>
        <v>0</v>
      </c>
      <c r="W33" s="732"/>
      <c r="X33" s="721"/>
      <c r="Y33" s="722">
        <f>Z33-X33</f>
        <v>0</v>
      </c>
      <c r="Z33" s="733"/>
      <c r="AA33" s="734">
        <f>_xlfn.CEILING.MATH(T33/15) +1</f>
        <v>5</v>
      </c>
      <c r="AB33" s="764"/>
      <c r="AC33" s="725" t="s">
        <v>985</v>
      </c>
      <c r="AD33" s="703"/>
      <c r="AE33" s="703"/>
      <c r="AG33" s="693">
        <v>1500</v>
      </c>
      <c r="AH33" s="693">
        <v>60</v>
      </c>
      <c r="AI33" s="693">
        <v>1500</v>
      </c>
      <c r="AJ33" s="693">
        <v>60</v>
      </c>
      <c r="AK33" s="693">
        <v>1500</v>
      </c>
      <c r="AL33" s="693">
        <v>60</v>
      </c>
      <c r="AM33" s="124" t="s">
        <v>930</v>
      </c>
      <c r="AN33" s="124" t="s">
        <v>931</v>
      </c>
      <c r="AO33" s="124" t="s">
        <v>946</v>
      </c>
      <c r="AP33" s="124" t="s">
        <v>986</v>
      </c>
      <c r="AQ33" s="705" t="s">
        <v>987</v>
      </c>
    </row>
    <row r="34" spans="1:43" ht="30">
      <c r="A34" s="124" t="str">
        <f t="shared" si="1"/>
        <v>GGHK02</v>
      </c>
      <c r="B34" s="124" t="s">
        <v>77</v>
      </c>
      <c r="C34" s="716"/>
      <c r="D34" s="716">
        <v>1000</v>
      </c>
      <c r="E34" s="717">
        <v>20</v>
      </c>
      <c r="F34" s="716"/>
      <c r="G34" s="716">
        <v>1500</v>
      </c>
      <c r="H34" s="716">
        <v>35</v>
      </c>
      <c r="I34" s="716"/>
      <c r="J34" s="716">
        <v>1750</v>
      </c>
      <c r="K34" s="716">
        <v>50</v>
      </c>
      <c r="L34" s="718"/>
      <c r="M34" s="718">
        <v>1750</v>
      </c>
      <c r="N34" s="718">
        <v>60</v>
      </c>
      <c r="O34" s="719"/>
      <c r="P34" s="719">
        <v>1500</v>
      </c>
      <c r="Q34" s="719">
        <v>60</v>
      </c>
      <c r="R34" s="691"/>
      <c r="S34" s="691">
        <v>1500</v>
      </c>
      <c r="T34" s="691">
        <v>60</v>
      </c>
      <c r="U34" s="732">
        <f>S34-P34</f>
        <v>0</v>
      </c>
      <c r="V34" s="732">
        <f>T34-Q34</f>
        <v>0</v>
      </c>
      <c r="W34" s="732"/>
      <c r="X34" s="721"/>
      <c r="Y34" s="722">
        <f>Z34-X34</f>
        <v>0</v>
      </c>
      <c r="Z34" s="733"/>
      <c r="AA34" s="734">
        <f>_xlfn.CEILING.MATH(T34/15) +1</f>
        <v>5</v>
      </c>
      <c r="AB34" s="764"/>
      <c r="AC34" s="725" t="s">
        <v>988</v>
      </c>
      <c r="AD34" s="703"/>
      <c r="AE34" s="703"/>
      <c r="AG34" s="693">
        <v>1500</v>
      </c>
      <c r="AH34" s="693">
        <v>60</v>
      </c>
      <c r="AI34" s="693">
        <v>1500</v>
      </c>
      <c r="AJ34" s="693">
        <v>60</v>
      </c>
      <c r="AK34" s="693">
        <v>1500</v>
      </c>
      <c r="AL34" s="693">
        <v>60</v>
      </c>
      <c r="AM34" s="124" t="s">
        <v>930</v>
      </c>
      <c r="AN34" s="124" t="s">
        <v>931</v>
      </c>
      <c r="AO34" s="124" t="s">
        <v>946</v>
      </c>
      <c r="AP34" s="124" t="s">
        <v>986</v>
      </c>
      <c r="AQ34" s="705" t="s">
        <v>987</v>
      </c>
    </row>
    <row r="35" spans="1:43">
      <c r="A35" s="124" t="str">
        <f t="shared" si="1"/>
        <v>GGHK03</v>
      </c>
      <c r="B35" s="124" t="s">
        <v>989</v>
      </c>
      <c r="C35" s="694"/>
      <c r="D35" s="694"/>
      <c r="E35" s="738"/>
      <c r="F35" s="694"/>
      <c r="G35" s="694"/>
      <c r="H35" s="694"/>
      <c r="I35" s="694"/>
      <c r="J35" s="694">
        <v>1750</v>
      </c>
      <c r="K35" s="694">
        <v>50</v>
      </c>
      <c r="L35" s="694"/>
      <c r="M35" s="694">
        <v>1750</v>
      </c>
      <c r="N35" s="694">
        <v>60</v>
      </c>
      <c r="O35" s="694"/>
      <c r="P35" s="694">
        <v>1750</v>
      </c>
      <c r="Q35" s="694">
        <v>60</v>
      </c>
      <c r="R35" s="694"/>
      <c r="S35" s="694">
        <v>1750</v>
      </c>
      <c r="T35" s="694">
        <v>60</v>
      </c>
      <c r="U35" s="739"/>
      <c r="V35" s="739">
        <f>T35-Q35</f>
        <v>0</v>
      </c>
      <c r="W35" s="739"/>
      <c r="X35" s="740"/>
      <c r="Y35" s="740">
        <f>Z35-X35</f>
        <v>0</v>
      </c>
      <c r="Z35" s="741"/>
      <c r="AA35" s="742">
        <f>_xlfn.CEILING.MATH(T35/15) +1</f>
        <v>5</v>
      </c>
      <c r="AB35" s="740"/>
      <c r="AC35" s="743" t="s">
        <v>990</v>
      </c>
      <c r="AD35" s="740"/>
      <c r="AE35" s="740"/>
      <c r="AF35" s="744"/>
      <c r="AG35" s="694">
        <v>2000</v>
      </c>
      <c r="AH35" s="694">
        <v>70</v>
      </c>
      <c r="AI35" s="694">
        <v>2000</v>
      </c>
      <c r="AJ35" s="694">
        <v>70</v>
      </c>
      <c r="AK35" s="694">
        <v>2000</v>
      </c>
      <c r="AL35" s="694">
        <v>70</v>
      </c>
      <c r="AM35" s="124" t="s">
        <v>930</v>
      </c>
      <c r="AN35" s="124" t="s">
        <v>931</v>
      </c>
      <c r="AO35" s="124" t="s">
        <v>949</v>
      </c>
      <c r="AP35" s="124" t="s">
        <v>991</v>
      </c>
    </row>
    <row r="36" spans="1:43">
      <c r="A36" s="124" t="str">
        <f t="shared" si="1"/>
        <v>GGHK06</v>
      </c>
      <c r="B36" s="124" t="s">
        <v>80</v>
      </c>
      <c r="C36" s="719"/>
      <c r="D36" s="719"/>
      <c r="E36" s="745"/>
      <c r="F36" s="719"/>
      <c r="G36" s="719"/>
      <c r="H36" s="719"/>
      <c r="I36" s="719"/>
      <c r="J36" s="719"/>
      <c r="K36" s="719"/>
      <c r="L36" s="718"/>
      <c r="M36" s="718"/>
      <c r="N36" s="718"/>
      <c r="O36" s="719"/>
      <c r="P36" s="719">
        <v>1600</v>
      </c>
      <c r="Q36" s="719">
        <v>80</v>
      </c>
      <c r="R36" s="691"/>
      <c r="S36" s="691">
        <v>1800</v>
      </c>
      <c r="T36" s="691">
        <v>90</v>
      </c>
      <c r="U36" s="732">
        <f>S36-P36</f>
        <v>200</v>
      </c>
      <c r="V36" s="732">
        <f>T36-Q36</f>
        <v>10</v>
      </c>
      <c r="W36" s="732"/>
      <c r="X36" s="721">
        <v>7</v>
      </c>
      <c r="Y36" s="722">
        <f>Z36-X36</f>
        <v>0</v>
      </c>
      <c r="Z36" s="733">
        <f>_xlfn.CEILING.MATH(T36/15)+1</f>
        <v>7</v>
      </c>
      <c r="AA36" s="734">
        <f>_xlfn.CEILING.MATH(T36/15) +1</f>
        <v>7</v>
      </c>
      <c r="AB36" s="735" t="s">
        <v>941</v>
      </c>
      <c r="AC36" s="736" t="s">
        <v>950</v>
      </c>
      <c r="AD36" s="703" t="s">
        <v>951</v>
      </c>
      <c r="AE36" s="746" t="s">
        <v>952</v>
      </c>
      <c r="AG36" s="693">
        <v>1800</v>
      </c>
      <c r="AH36" s="693">
        <v>90</v>
      </c>
      <c r="AI36" s="693">
        <v>1800</v>
      </c>
      <c r="AJ36" s="693">
        <v>90</v>
      </c>
      <c r="AK36" s="693">
        <v>1800</v>
      </c>
      <c r="AL36" s="693">
        <v>90</v>
      </c>
      <c r="AM36" s="124" t="s">
        <v>930</v>
      </c>
      <c r="AN36" s="124" t="s">
        <v>931</v>
      </c>
      <c r="AO36" s="124" t="s">
        <v>949</v>
      </c>
      <c r="AP36" s="124" t="s">
        <v>991</v>
      </c>
    </row>
    <row r="37" spans="1:43">
      <c r="A37" s="124" t="str">
        <f t="shared" si="1"/>
        <v>GGHK07</v>
      </c>
      <c r="B37" s="124" t="s">
        <v>81</v>
      </c>
      <c r="C37" s="716"/>
      <c r="D37" s="716"/>
      <c r="E37" s="717"/>
      <c r="F37" s="716"/>
      <c r="G37" s="716"/>
      <c r="H37" s="716"/>
      <c r="I37" s="716"/>
      <c r="J37" s="716"/>
      <c r="K37" s="716"/>
      <c r="L37" s="718"/>
      <c r="M37" s="718"/>
      <c r="N37" s="718"/>
      <c r="O37" s="719"/>
      <c r="P37" s="719"/>
      <c r="Q37" s="719"/>
      <c r="R37" s="691"/>
      <c r="S37" s="691"/>
      <c r="T37" s="691"/>
      <c r="U37" s="732"/>
      <c r="V37" s="732"/>
      <c r="W37" s="732"/>
      <c r="X37" s="721"/>
      <c r="Y37" s="722"/>
      <c r="Z37" s="733"/>
      <c r="AA37" s="734"/>
      <c r="AB37" s="703"/>
      <c r="AC37" s="724"/>
      <c r="AD37" s="703"/>
      <c r="AE37" s="703"/>
      <c r="AG37" s="693">
        <v>4000</v>
      </c>
      <c r="AH37" s="693">
        <v>150</v>
      </c>
      <c r="AI37" s="693">
        <v>4000</v>
      </c>
      <c r="AJ37" s="693">
        <v>150</v>
      </c>
      <c r="AK37" s="693">
        <v>4000</v>
      </c>
      <c r="AL37" s="693">
        <v>150</v>
      </c>
      <c r="AM37" s="124" t="s">
        <v>956</v>
      </c>
      <c r="AN37" s="124" t="s">
        <v>424</v>
      </c>
      <c r="AO37" s="124" t="s">
        <v>953</v>
      </c>
      <c r="AP37" s="124" t="s">
        <v>992</v>
      </c>
    </row>
    <row r="38" spans="1:43">
      <c r="A38" s="124" t="str">
        <f t="shared" si="1"/>
        <v>GGHK08</v>
      </c>
      <c r="B38" s="124" t="s">
        <v>993</v>
      </c>
      <c r="C38" s="694"/>
      <c r="D38" s="694"/>
      <c r="E38" s="738"/>
      <c r="F38" s="694"/>
      <c r="G38" s="694"/>
      <c r="H38" s="694"/>
      <c r="I38" s="694"/>
      <c r="J38" s="694"/>
      <c r="K38" s="694"/>
      <c r="L38" s="694"/>
      <c r="M38" s="694"/>
      <c r="N38" s="694"/>
      <c r="O38" s="694"/>
      <c r="P38" s="694"/>
      <c r="Q38" s="694"/>
      <c r="R38" s="694"/>
      <c r="S38" s="694"/>
      <c r="T38" s="694"/>
      <c r="U38" s="739"/>
      <c r="V38" s="739"/>
      <c r="W38" s="739"/>
      <c r="X38" s="740"/>
      <c r="Y38" s="740"/>
      <c r="Z38" s="741"/>
      <c r="AA38" s="742"/>
      <c r="AB38" s="740"/>
      <c r="AC38" s="743"/>
      <c r="AD38" s="740"/>
      <c r="AE38" s="740"/>
      <c r="AF38" s="744"/>
      <c r="AG38" s="694">
        <v>4000</v>
      </c>
      <c r="AH38" s="694">
        <v>150</v>
      </c>
      <c r="AI38" s="694">
        <v>4000</v>
      </c>
      <c r="AJ38" s="694">
        <v>150</v>
      </c>
      <c r="AK38" s="694">
        <v>4000</v>
      </c>
      <c r="AL38" s="694">
        <v>150</v>
      </c>
      <c r="AM38" s="124" t="s">
        <v>956</v>
      </c>
      <c r="AN38" s="124" t="s">
        <v>424</v>
      </c>
      <c r="AO38" s="124" t="s">
        <v>953</v>
      </c>
      <c r="AP38" s="124" t="s">
        <v>992</v>
      </c>
    </row>
    <row r="39" spans="1:43">
      <c r="A39" s="124" t="str">
        <f t="shared" si="1"/>
        <v>GGHK09</v>
      </c>
      <c r="B39" s="124" t="s">
        <v>276</v>
      </c>
      <c r="C39" s="716"/>
      <c r="D39" s="716"/>
      <c r="E39" s="717"/>
      <c r="F39" s="716"/>
      <c r="G39" s="716"/>
      <c r="H39" s="716"/>
      <c r="I39" s="716"/>
      <c r="J39" s="716"/>
      <c r="K39" s="716"/>
      <c r="L39" s="718"/>
      <c r="M39" s="718"/>
      <c r="N39" s="718"/>
      <c r="O39" s="719"/>
      <c r="P39" s="719"/>
      <c r="Q39" s="719"/>
      <c r="R39" s="691"/>
      <c r="S39" s="691"/>
      <c r="T39" s="691"/>
      <c r="U39" s="732"/>
      <c r="V39" s="732"/>
      <c r="W39" s="732"/>
      <c r="X39" s="721"/>
      <c r="Y39" s="722"/>
      <c r="Z39" s="733"/>
      <c r="AA39" s="734"/>
      <c r="AB39" s="703"/>
      <c r="AC39" s="724"/>
      <c r="AD39" s="703"/>
      <c r="AE39" s="703"/>
      <c r="AG39" s="693">
        <v>4000</v>
      </c>
      <c r="AH39" s="693">
        <v>150</v>
      </c>
      <c r="AI39" s="693">
        <v>4000</v>
      </c>
      <c r="AJ39" s="693">
        <v>150</v>
      </c>
      <c r="AK39" s="693">
        <v>4000</v>
      </c>
      <c r="AL39" s="693">
        <v>150</v>
      </c>
      <c r="AM39" s="124" t="s">
        <v>956</v>
      </c>
      <c r="AN39" s="124" t="s">
        <v>424</v>
      </c>
      <c r="AO39" s="124" t="s">
        <v>953</v>
      </c>
      <c r="AP39" s="124" t="s">
        <v>994</v>
      </c>
    </row>
    <row r="40" spans="1:43">
      <c r="A40" s="124" t="str">
        <f t="shared" si="1"/>
        <v>GGHK13</v>
      </c>
      <c r="B40" s="124" t="s">
        <v>426</v>
      </c>
      <c r="C40" s="716"/>
      <c r="D40" s="716"/>
      <c r="E40" s="717"/>
      <c r="F40" s="716"/>
      <c r="G40" s="716"/>
      <c r="H40" s="716"/>
      <c r="I40" s="716"/>
      <c r="J40" s="716"/>
      <c r="K40" s="716"/>
      <c r="L40" s="718"/>
      <c r="M40" s="718"/>
      <c r="N40" s="718"/>
      <c r="O40" s="719"/>
      <c r="P40" s="719"/>
      <c r="Q40" s="719"/>
      <c r="R40" s="691"/>
      <c r="S40" s="691"/>
      <c r="T40" s="691"/>
      <c r="U40" s="732"/>
      <c r="V40" s="732"/>
      <c r="W40" s="732"/>
      <c r="X40" s="721"/>
      <c r="Y40" s="722"/>
      <c r="Z40" s="733"/>
      <c r="AA40" s="734"/>
      <c r="AB40" s="703"/>
      <c r="AC40" s="724"/>
      <c r="AD40" s="703"/>
      <c r="AE40" s="703"/>
      <c r="AG40" s="693"/>
      <c r="AH40" s="693"/>
      <c r="AI40" s="693"/>
      <c r="AJ40" s="693"/>
      <c r="AK40" s="752">
        <v>4500</v>
      </c>
      <c r="AL40" s="752">
        <v>150</v>
      </c>
      <c r="AM40" s="124" t="s">
        <v>956</v>
      </c>
      <c r="AN40" s="124" t="s">
        <v>578</v>
      </c>
      <c r="AO40" s="124" t="s">
        <v>953</v>
      </c>
      <c r="AP40" s="124" t="s">
        <v>994</v>
      </c>
    </row>
    <row r="41" spans="1:43">
      <c r="A41" s="124" t="str">
        <f t="shared" si="1"/>
        <v>GGHK14</v>
      </c>
      <c r="B41" s="124" t="s">
        <v>427</v>
      </c>
      <c r="C41" s="694"/>
      <c r="D41" s="694"/>
      <c r="E41" s="738"/>
      <c r="F41" s="694"/>
      <c r="G41" s="694"/>
      <c r="H41" s="694"/>
      <c r="I41" s="694"/>
      <c r="J41" s="694"/>
      <c r="K41" s="694"/>
      <c r="L41" s="694"/>
      <c r="M41" s="694"/>
      <c r="N41" s="694"/>
      <c r="O41" s="694"/>
      <c r="P41" s="694"/>
      <c r="Q41" s="694"/>
      <c r="R41" s="694"/>
      <c r="S41" s="694"/>
      <c r="T41" s="694"/>
      <c r="U41" s="739"/>
      <c r="V41" s="739"/>
      <c r="W41" s="739"/>
      <c r="X41" s="740"/>
      <c r="Y41" s="740"/>
      <c r="Z41" s="741"/>
      <c r="AA41" s="742"/>
      <c r="AB41" s="740"/>
      <c r="AC41" s="743"/>
      <c r="AD41" s="740"/>
      <c r="AE41" s="740"/>
      <c r="AF41" s="744"/>
      <c r="AG41" s="694"/>
      <c r="AH41" s="694"/>
      <c r="AI41" s="693"/>
      <c r="AJ41" s="693"/>
      <c r="AK41" s="694">
        <v>4500</v>
      </c>
      <c r="AL41" s="694">
        <v>150</v>
      </c>
      <c r="AM41" s="124" t="s">
        <v>956</v>
      </c>
      <c r="AN41" s="124" t="s">
        <v>578</v>
      </c>
      <c r="AO41" s="124" t="s">
        <v>953</v>
      </c>
      <c r="AP41" s="124" t="s">
        <v>994</v>
      </c>
    </row>
    <row r="42" spans="1:43">
      <c r="A42" s="124" t="str">
        <f t="shared" si="1"/>
        <v>GGHK10</v>
      </c>
      <c r="B42" s="124" t="s">
        <v>359</v>
      </c>
      <c r="C42" s="693"/>
      <c r="D42" s="693"/>
      <c r="E42" s="765"/>
      <c r="F42" s="693"/>
      <c r="G42" s="693"/>
      <c r="H42" s="693"/>
      <c r="I42" s="693"/>
      <c r="J42" s="693"/>
      <c r="K42" s="693"/>
      <c r="L42" s="693"/>
      <c r="M42" s="693"/>
      <c r="N42" s="693"/>
      <c r="O42" s="693"/>
      <c r="P42" s="693"/>
      <c r="Q42" s="693"/>
      <c r="R42" s="693"/>
      <c r="S42" s="693"/>
      <c r="T42" s="693"/>
      <c r="U42" s="766"/>
      <c r="V42" s="766"/>
      <c r="W42" s="766"/>
      <c r="X42" s="703"/>
      <c r="Y42" s="703"/>
      <c r="Z42" s="767"/>
      <c r="AA42" s="768"/>
      <c r="AB42" s="703"/>
      <c r="AC42" s="724"/>
      <c r="AD42" s="703"/>
      <c r="AE42" s="703"/>
      <c r="AF42" s="769"/>
      <c r="AG42" s="693"/>
      <c r="AH42" s="693"/>
      <c r="AI42" s="752">
        <v>4000</v>
      </c>
      <c r="AJ42" s="752">
        <v>150</v>
      </c>
      <c r="AK42" s="693">
        <v>4000</v>
      </c>
      <c r="AL42" s="693">
        <v>150</v>
      </c>
      <c r="AM42" s="124" t="s">
        <v>972</v>
      </c>
      <c r="AN42" s="124" t="s">
        <v>357</v>
      </c>
      <c r="AO42" s="124" t="s">
        <v>953</v>
      </c>
      <c r="AP42" s="124" t="s">
        <v>995</v>
      </c>
    </row>
    <row r="43" spans="1:43">
      <c r="A43" s="124" t="str">
        <f t="shared" si="1"/>
        <v>GGHK11</v>
      </c>
      <c r="B43" s="124" t="s">
        <v>360</v>
      </c>
      <c r="C43" s="693"/>
      <c r="D43" s="693"/>
      <c r="E43" s="765"/>
      <c r="F43" s="693"/>
      <c r="G43" s="693"/>
      <c r="H43" s="693"/>
      <c r="I43" s="693"/>
      <c r="J43" s="693"/>
      <c r="K43" s="693"/>
      <c r="L43" s="693"/>
      <c r="M43" s="693"/>
      <c r="N43" s="693"/>
      <c r="O43" s="693"/>
      <c r="P43" s="693"/>
      <c r="Q43" s="693"/>
      <c r="R43" s="693"/>
      <c r="S43" s="693"/>
      <c r="T43" s="693"/>
      <c r="U43" s="766"/>
      <c r="V43" s="766"/>
      <c r="W43" s="766"/>
      <c r="X43" s="703"/>
      <c r="Y43" s="703"/>
      <c r="Z43" s="767"/>
      <c r="AA43" s="768"/>
      <c r="AB43" s="703"/>
      <c r="AC43" s="724"/>
      <c r="AD43" s="703"/>
      <c r="AE43" s="703"/>
      <c r="AF43" s="769"/>
      <c r="AG43" s="693"/>
      <c r="AH43" s="693"/>
      <c r="AI43" s="752">
        <v>4000</v>
      </c>
      <c r="AJ43" s="752">
        <v>150</v>
      </c>
      <c r="AK43" s="693">
        <v>4000</v>
      </c>
      <c r="AL43" s="693">
        <v>150</v>
      </c>
      <c r="AM43" s="124" t="s">
        <v>972</v>
      </c>
      <c r="AN43" s="124" t="s">
        <v>357</v>
      </c>
      <c r="AO43" s="124" t="s">
        <v>953</v>
      </c>
      <c r="AP43" s="124" t="s">
        <v>995</v>
      </c>
    </row>
    <row r="44" spans="1:43">
      <c r="A44" s="124" t="str">
        <f t="shared" si="1"/>
        <v>GGHK12</v>
      </c>
      <c r="B44" s="124" t="s">
        <v>996</v>
      </c>
      <c r="C44" s="694"/>
      <c r="D44" s="694"/>
      <c r="E44" s="738"/>
      <c r="F44" s="694"/>
      <c r="G44" s="694"/>
      <c r="H44" s="694"/>
      <c r="I44" s="694"/>
      <c r="J44" s="694"/>
      <c r="K44" s="694"/>
      <c r="L44" s="694"/>
      <c r="M44" s="694"/>
      <c r="N44" s="694"/>
      <c r="O44" s="694"/>
      <c r="P44" s="694"/>
      <c r="Q44" s="694"/>
      <c r="R44" s="694"/>
      <c r="S44" s="694"/>
      <c r="T44" s="694"/>
      <c r="U44" s="739"/>
      <c r="V44" s="739"/>
      <c r="W44" s="739"/>
      <c r="X44" s="740"/>
      <c r="Y44" s="740"/>
      <c r="Z44" s="741"/>
      <c r="AA44" s="742"/>
      <c r="AB44" s="740"/>
      <c r="AC44" s="743"/>
      <c r="AD44" s="740"/>
      <c r="AE44" s="740"/>
      <c r="AF44" s="744"/>
      <c r="AG44" s="694"/>
      <c r="AH44" s="694"/>
      <c r="AI44" s="694">
        <v>4000</v>
      </c>
      <c r="AJ44" s="694">
        <v>150</v>
      </c>
      <c r="AK44" s="694">
        <v>4000</v>
      </c>
      <c r="AL44" s="694">
        <v>150</v>
      </c>
      <c r="AM44" s="124" t="s">
        <v>972</v>
      </c>
      <c r="AN44" s="124" t="s">
        <v>357</v>
      </c>
      <c r="AO44" s="124" t="s">
        <v>953</v>
      </c>
      <c r="AP44" s="124" t="s">
        <v>995</v>
      </c>
    </row>
    <row r="45" spans="1:43">
      <c r="A45" s="124" t="str">
        <f t="shared" si="1"/>
        <v>GGHK15</v>
      </c>
      <c r="B45" s="124" t="s">
        <v>886</v>
      </c>
      <c r="C45" s="693"/>
      <c r="D45" s="693"/>
      <c r="E45" s="765"/>
      <c r="F45" s="693"/>
      <c r="G45" s="693"/>
      <c r="H45" s="693"/>
      <c r="I45" s="693"/>
      <c r="J45" s="693"/>
      <c r="K45" s="693"/>
      <c r="L45" s="693"/>
      <c r="M45" s="693"/>
      <c r="N45" s="693"/>
      <c r="O45" s="693"/>
      <c r="P45" s="693"/>
      <c r="Q45" s="693"/>
      <c r="R45" s="693"/>
      <c r="S45" s="693"/>
      <c r="T45" s="693"/>
      <c r="U45" s="766"/>
      <c r="V45" s="766"/>
      <c r="W45" s="766"/>
      <c r="X45" s="703"/>
      <c r="Y45" s="703"/>
      <c r="Z45" s="767"/>
      <c r="AA45" s="768"/>
      <c r="AB45" s="703"/>
      <c r="AC45" s="724"/>
      <c r="AD45" s="703"/>
      <c r="AE45" s="703"/>
      <c r="AF45" s="769"/>
      <c r="AG45" s="693"/>
      <c r="AH45" s="693"/>
      <c r="AI45" s="693"/>
      <c r="AJ45" s="693"/>
      <c r="AK45" s="752">
        <v>4000</v>
      </c>
      <c r="AL45" s="752">
        <v>150</v>
      </c>
      <c r="AM45" s="124" t="s">
        <v>972</v>
      </c>
      <c r="AN45" s="756" t="s">
        <v>888</v>
      </c>
      <c r="AO45" s="756" t="s">
        <v>953</v>
      </c>
      <c r="AP45" s="756" t="s">
        <v>994</v>
      </c>
      <c r="AQ45" s="705" t="s">
        <v>978</v>
      </c>
    </row>
    <row r="46" spans="1:43" s="704" customFormat="1">
      <c r="A46" s="124" t="str">
        <f t="shared" si="1"/>
        <v xml:space="preserve">Total </v>
      </c>
      <c r="B46" s="715" t="s">
        <v>997</v>
      </c>
      <c r="C46" s="757"/>
      <c r="D46" s="757">
        <f t="shared" ref="D46:O46" si="8">SUM(D33:D34)</f>
        <v>2000</v>
      </c>
      <c r="E46" s="757">
        <f t="shared" si="8"/>
        <v>40</v>
      </c>
      <c r="F46" s="757">
        <f t="shared" si="8"/>
        <v>0</v>
      </c>
      <c r="G46" s="757">
        <f t="shared" si="8"/>
        <v>3000</v>
      </c>
      <c r="H46" s="757">
        <f t="shared" si="8"/>
        <v>70</v>
      </c>
      <c r="I46" s="757">
        <f t="shared" si="8"/>
        <v>0</v>
      </c>
      <c r="J46" s="757">
        <f t="shared" si="8"/>
        <v>3500</v>
      </c>
      <c r="K46" s="757">
        <f t="shared" si="8"/>
        <v>100</v>
      </c>
      <c r="L46" s="757">
        <f t="shared" si="8"/>
        <v>0</v>
      </c>
      <c r="M46" s="757">
        <f t="shared" si="8"/>
        <v>3500</v>
      </c>
      <c r="N46" s="757">
        <f t="shared" si="8"/>
        <v>120</v>
      </c>
      <c r="O46" s="757">
        <f t="shared" si="8"/>
        <v>0</v>
      </c>
      <c r="P46" s="757">
        <f>SUM(P33:P36)</f>
        <v>6350</v>
      </c>
      <c r="Q46" s="757">
        <f>SUM(Q33:Q36)</f>
        <v>260</v>
      </c>
      <c r="R46" s="757">
        <f>SUM(R33:R34)</f>
        <v>0</v>
      </c>
      <c r="S46" s="757">
        <f>SUM(S33:S36)</f>
        <v>6550</v>
      </c>
      <c r="T46" s="757">
        <f>SUM(T33:T36)</f>
        <v>270</v>
      </c>
      <c r="U46" s="758"/>
      <c r="V46" s="758"/>
      <c r="W46" s="758"/>
      <c r="X46" s="759"/>
      <c r="Y46" s="759"/>
      <c r="Z46" s="760"/>
      <c r="AA46" s="761"/>
      <c r="AB46" s="759"/>
      <c r="AC46" s="762"/>
      <c r="AD46" s="759"/>
      <c r="AE46" s="759"/>
      <c r="AF46" s="763"/>
      <c r="AG46" s="757">
        <f>SUM(AG33:AG44)-AG35-AG38-AG41-AG44</f>
        <v>12800</v>
      </c>
      <c r="AH46" s="757">
        <f>SUM(AH33:AH44)-AH35-AH38-AH41-AH44</f>
        <v>510</v>
      </c>
      <c r="AI46" s="757">
        <f>SUM(AI33:AI44)-AI35-AI38-AI41-AI44</f>
        <v>20800</v>
      </c>
      <c r="AJ46" s="757">
        <f>SUM(AJ33:AJ44)-AJ35-AJ38-AJ41-AJ44</f>
        <v>810</v>
      </c>
      <c r="AK46" s="757">
        <f>SUM(AK33:AK45)-AK35-AK38-AK41-AK44</f>
        <v>29300</v>
      </c>
      <c r="AL46" s="757">
        <f>SUM(AL33:AL45)-AL35-AL38-AL41-AL44</f>
        <v>1110</v>
      </c>
      <c r="AM46" s="757"/>
      <c r="AN46" s="757"/>
      <c r="AO46" s="757"/>
      <c r="AP46" s="757"/>
      <c r="AQ46" s="770"/>
    </row>
    <row r="47" spans="1:43" s="704" customFormat="1">
      <c r="A47" s="124" t="str">
        <f t="shared" si="1"/>
        <v>GGHT07</v>
      </c>
      <c r="B47" s="124" t="s">
        <v>84</v>
      </c>
      <c r="C47" s="716"/>
      <c r="D47" s="716">
        <v>2000</v>
      </c>
      <c r="E47" s="717">
        <v>60</v>
      </c>
      <c r="F47" s="716"/>
      <c r="G47" s="716">
        <v>2000</v>
      </c>
      <c r="H47" s="716">
        <v>60</v>
      </c>
      <c r="I47" s="716"/>
      <c r="J47" s="716">
        <v>2000</v>
      </c>
      <c r="K47" s="716">
        <v>60</v>
      </c>
      <c r="L47" s="718"/>
      <c r="M47" s="718">
        <v>1500</v>
      </c>
      <c r="N47" s="718">
        <v>60</v>
      </c>
      <c r="O47" s="719"/>
      <c r="P47" s="719">
        <v>1500</v>
      </c>
      <c r="Q47" s="719">
        <v>60</v>
      </c>
      <c r="R47" s="691"/>
      <c r="S47" s="691">
        <v>1500</v>
      </c>
      <c r="T47" s="691">
        <v>60</v>
      </c>
      <c r="U47" s="732">
        <f t="shared" ref="U47:V53" si="9">S47-P47</f>
        <v>0</v>
      </c>
      <c r="V47" s="732">
        <f t="shared" si="9"/>
        <v>0</v>
      </c>
      <c r="W47" s="732"/>
      <c r="X47" s="721"/>
      <c r="Y47" s="722">
        <f t="shared" ref="Y47:Y53" si="10">Z47-X47</f>
        <v>0</v>
      </c>
      <c r="Z47" s="733"/>
      <c r="AA47" s="734">
        <f t="shared" ref="AA47:AA53" si="11">_xlfn.CEILING.MATH(T47/15) +1</f>
        <v>5</v>
      </c>
      <c r="AB47" s="703"/>
      <c r="AC47" s="724"/>
      <c r="AD47" s="703"/>
      <c r="AE47" s="703"/>
      <c r="AG47" s="693">
        <v>1500</v>
      </c>
      <c r="AH47" s="693">
        <v>60</v>
      </c>
      <c r="AI47" s="693">
        <v>1500</v>
      </c>
      <c r="AJ47" s="693">
        <v>60</v>
      </c>
      <c r="AK47" s="693">
        <v>1500</v>
      </c>
      <c r="AL47" s="693">
        <v>60</v>
      </c>
      <c r="AM47" s="124" t="s">
        <v>930</v>
      </c>
      <c r="AN47" s="124" t="s">
        <v>931</v>
      </c>
      <c r="AO47" s="124" t="s">
        <v>955</v>
      </c>
      <c r="AP47" s="124" t="s">
        <v>998</v>
      </c>
      <c r="AQ47" s="705" t="s">
        <v>999</v>
      </c>
    </row>
    <row r="48" spans="1:43" s="704" customFormat="1">
      <c r="A48" s="124" t="str">
        <f t="shared" si="1"/>
        <v>GGHT08</v>
      </c>
      <c r="B48" s="124" t="s">
        <v>86</v>
      </c>
      <c r="C48" s="716"/>
      <c r="D48" s="716">
        <v>2000</v>
      </c>
      <c r="E48" s="717">
        <v>60</v>
      </c>
      <c r="F48" s="716"/>
      <c r="G48" s="716">
        <v>2000</v>
      </c>
      <c r="H48" s="716">
        <v>60</v>
      </c>
      <c r="I48" s="716"/>
      <c r="J48" s="716">
        <v>2000</v>
      </c>
      <c r="K48" s="716">
        <v>60</v>
      </c>
      <c r="L48" s="718"/>
      <c r="M48" s="718">
        <v>1500</v>
      </c>
      <c r="N48" s="718">
        <v>60</v>
      </c>
      <c r="O48" s="719"/>
      <c r="P48" s="719">
        <v>1500</v>
      </c>
      <c r="Q48" s="719">
        <v>60</v>
      </c>
      <c r="R48" s="691"/>
      <c r="S48" s="691">
        <v>1500</v>
      </c>
      <c r="T48" s="691">
        <v>60</v>
      </c>
      <c r="U48" s="732">
        <f t="shared" si="9"/>
        <v>0</v>
      </c>
      <c r="V48" s="732">
        <f t="shared" si="9"/>
        <v>0</v>
      </c>
      <c r="W48" s="732"/>
      <c r="X48" s="721"/>
      <c r="Y48" s="722">
        <f t="shared" si="10"/>
        <v>0</v>
      </c>
      <c r="Z48" s="733"/>
      <c r="AA48" s="734">
        <f t="shared" si="11"/>
        <v>5</v>
      </c>
      <c r="AB48" s="703"/>
      <c r="AC48" s="724"/>
      <c r="AD48" s="703"/>
      <c r="AE48" s="703"/>
      <c r="AG48" s="693">
        <v>1500</v>
      </c>
      <c r="AH48" s="693">
        <v>60</v>
      </c>
      <c r="AI48" s="693">
        <v>1500</v>
      </c>
      <c r="AJ48" s="693">
        <v>60</v>
      </c>
      <c r="AK48" s="693">
        <v>1500</v>
      </c>
      <c r="AL48" s="693">
        <v>60</v>
      </c>
      <c r="AM48" s="124" t="s">
        <v>930</v>
      </c>
      <c r="AN48" s="124" t="s">
        <v>931</v>
      </c>
      <c r="AO48" s="124" t="s">
        <v>955</v>
      </c>
      <c r="AP48" s="124" t="s">
        <v>998</v>
      </c>
      <c r="AQ48" s="705" t="s">
        <v>1000</v>
      </c>
    </row>
    <row r="49" spans="1:43" s="704" customFormat="1">
      <c r="A49" s="124" t="str">
        <f t="shared" si="1"/>
        <v>GGHT09</v>
      </c>
      <c r="B49" s="124" t="s">
        <v>87</v>
      </c>
      <c r="C49" s="716"/>
      <c r="D49" s="716"/>
      <c r="E49" s="717"/>
      <c r="F49" s="716"/>
      <c r="G49" s="716">
        <v>1000</v>
      </c>
      <c r="H49" s="716">
        <v>30</v>
      </c>
      <c r="I49" s="716"/>
      <c r="J49" s="716">
        <v>1500</v>
      </c>
      <c r="K49" s="716">
        <v>50</v>
      </c>
      <c r="L49" s="718"/>
      <c r="M49" s="718">
        <v>1500</v>
      </c>
      <c r="N49" s="718">
        <v>60</v>
      </c>
      <c r="O49" s="719"/>
      <c r="P49" s="719">
        <v>1500</v>
      </c>
      <c r="Q49" s="719">
        <v>60</v>
      </c>
      <c r="R49" s="691"/>
      <c r="S49" s="691">
        <v>1500</v>
      </c>
      <c r="T49" s="691">
        <v>60</v>
      </c>
      <c r="U49" s="732">
        <f t="shared" si="9"/>
        <v>0</v>
      </c>
      <c r="V49" s="732">
        <f t="shared" si="9"/>
        <v>0</v>
      </c>
      <c r="W49" s="732"/>
      <c r="X49" s="721"/>
      <c r="Y49" s="722">
        <f t="shared" si="10"/>
        <v>0</v>
      </c>
      <c r="Z49" s="733"/>
      <c r="AA49" s="734">
        <f t="shared" si="11"/>
        <v>5</v>
      </c>
      <c r="AB49" s="703"/>
      <c r="AC49" s="724"/>
      <c r="AD49" s="703"/>
      <c r="AE49" s="703"/>
      <c r="AG49" s="693">
        <v>1500</v>
      </c>
      <c r="AH49" s="693">
        <v>60</v>
      </c>
      <c r="AI49" s="693">
        <v>1500</v>
      </c>
      <c r="AJ49" s="693">
        <v>60</v>
      </c>
      <c r="AK49" s="693">
        <v>1500</v>
      </c>
      <c r="AL49" s="693">
        <v>60</v>
      </c>
      <c r="AM49" s="124" t="s">
        <v>930</v>
      </c>
      <c r="AN49" s="124" t="s">
        <v>931</v>
      </c>
      <c r="AO49" s="124" t="s">
        <v>955</v>
      </c>
      <c r="AP49" s="124" t="s">
        <v>1001</v>
      </c>
      <c r="AQ49" s="770"/>
    </row>
    <row r="50" spans="1:43" s="704" customFormat="1">
      <c r="A50" s="124" t="str">
        <f t="shared" si="1"/>
        <v>GGHT10</v>
      </c>
      <c r="B50" s="124" t="s">
        <v>89</v>
      </c>
      <c r="C50" s="716"/>
      <c r="D50" s="716"/>
      <c r="E50" s="717"/>
      <c r="F50" s="716"/>
      <c r="G50" s="716">
        <v>1000</v>
      </c>
      <c r="H50" s="716">
        <v>30</v>
      </c>
      <c r="I50" s="716"/>
      <c r="J50" s="716">
        <v>1500</v>
      </c>
      <c r="K50" s="716">
        <v>50</v>
      </c>
      <c r="L50" s="718"/>
      <c r="M50" s="718">
        <v>1500</v>
      </c>
      <c r="N50" s="718">
        <v>60</v>
      </c>
      <c r="O50" s="719"/>
      <c r="P50" s="719">
        <v>1500</v>
      </c>
      <c r="Q50" s="719">
        <v>60</v>
      </c>
      <c r="R50" s="691"/>
      <c r="S50" s="691">
        <v>1500</v>
      </c>
      <c r="T50" s="691">
        <v>60</v>
      </c>
      <c r="U50" s="732">
        <f t="shared" si="9"/>
        <v>0</v>
      </c>
      <c r="V50" s="732">
        <f t="shared" si="9"/>
        <v>0</v>
      </c>
      <c r="W50" s="732"/>
      <c r="X50" s="721"/>
      <c r="Y50" s="722">
        <f t="shared" si="10"/>
        <v>0</v>
      </c>
      <c r="Z50" s="733"/>
      <c r="AA50" s="734">
        <f t="shared" si="11"/>
        <v>5</v>
      </c>
      <c r="AB50" s="703"/>
      <c r="AC50" s="724"/>
      <c r="AD50" s="703"/>
      <c r="AE50" s="703"/>
      <c r="AG50" s="693">
        <v>1500</v>
      </c>
      <c r="AH50" s="693">
        <v>60</v>
      </c>
      <c r="AI50" s="693">
        <v>1500</v>
      </c>
      <c r="AJ50" s="693">
        <v>60</v>
      </c>
      <c r="AK50" s="693">
        <v>1500</v>
      </c>
      <c r="AL50" s="693">
        <v>60</v>
      </c>
      <c r="AM50" s="124" t="s">
        <v>930</v>
      </c>
      <c r="AN50" s="124" t="s">
        <v>931</v>
      </c>
      <c r="AO50" s="124" t="s">
        <v>955</v>
      </c>
      <c r="AP50" s="124" t="s">
        <v>1002</v>
      </c>
      <c r="AQ50" s="770"/>
    </row>
    <row r="51" spans="1:43" s="704" customFormat="1">
      <c r="A51" s="124" t="str">
        <f t="shared" si="1"/>
        <v>GGHT11</v>
      </c>
      <c r="B51" s="124" t="s">
        <v>90</v>
      </c>
      <c r="C51" s="716"/>
      <c r="D51" s="716"/>
      <c r="E51" s="717"/>
      <c r="F51" s="716"/>
      <c r="G51" s="716"/>
      <c r="H51" s="716"/>
      <c r="I51" s="716"/>
      <c r="J51" s="716">
        <v>1500</v>
      </c>
      <c r="K51" s="716">
        <v>50</v>
      </c>
      <c r="L51" s="718"/>
      <c r="M51" s="718">
        <v>2500</v>
      </c>
      <c r="N51" s="718">
        <v>120</v>
      </c>
      <c r="O51" s="719"/>
      <c r="P51" s="719">
        <v>2500</v>
      </c>
      <c r="Q51" s="719">
        <v>120</v>
      </c>
      <c r="R51" s="691"/>
      <c r="S51" s="691">
        <v>2700</v>
      </c>
      <c r="T51" s="691">
        <v>130</v>
      </c>
      <c r="U51" s="732">
        <f t="shared" si="9"/>
        <v>200</v>
      </c>
      <c r="V51" s="732">
        <f t="shared" si="9"/>
        <v>10</v>
      </c>
      <c r="W51" s="732"/>
      <c r="X51" s="721">
        <v>9</v>
      </c>
      <c r="Y51" s="722">
        <f t="shared" si="10"/>
        <v>1</v>
      </c>
      <c r="Z51" s="733">
        <f>_xlfn.CEILING.MATH(T51/15)+1</f>
        <v>10</v>
      </c>
      <c r="AA51" s="734">
        <f t="shared" si="11"/>
        <v>10</v>
      </c>
      <c r="AB51" s="735" t="s">
        <v>941</v>
      </c>
      <c r="AC51" s="736" t="s">
        <v>950</v>
      </c>
      <c r="AD51" s="703" t="s">
        <v>951</v>
      </c>
      <c r="AE51" s="124" t="s">
        <v>1003</v>
      </c>
      <c r="AG51" s="693">
        <v>2700</v>
      </c>
      <c r="AH51" s="693">
        <v>130</v>
      </c>
      <c r="AI51" s="693">
        <v>2700</v>
      </c>
      <c r="AJ51" s="693">
        <v>130</v>
      </c>
      <c r="AK51" s="693">
        <v>2700</v>
      </c>
      <c r="AL51" s="693">
        <v>130</v>
      </c>
      <c r="AM51" s="124" t="s">
        <v>930</v>
      </c>
      <c r="AN51" s="124" t="s">
        <v>931</v>
      </c>
      <c r="AO51" s="124" t="s">
        <v>955</v>
      </c>
      <c r="AP51" s="124" t="s">
        <v>1002</v>
      </c>
      <c r="AQ51" s="770"/>
    </row>
    <row r="52" spans="1:43" s="704" customFormat="1" ht="19.149999999999999" customHeight="1">
      <c r="A52" s="124" t="str">
        <f t="shared" si="1"/>
        <v>GGHT12</v>
      </c>
      <c r="B52" s="124" t="s">
        <v>1004</v>
      </c>
      <c r="C52" s="694"/>
      <c r="D52" s="694"/>
      <c r="E52" s="738"/>
      <c r="F52" s="694"/>
      <c r="G52" s="694"/>
      <c r="H52" s="694"/>
      <c r="I52" s="694"/>
      <c r="J52" s="694">
        <v>2000</v>
      </c>
      <c r="K52" s="694">
        <v>60</v>
      </c>
      <c r="L52" s="694"/>
      <c r="M52" s="694">
        <v>2500</v>
      </c>
      <c r="N52" s="694">
        <v>120</v>
      </c>
      <c r="O52" s="694"/>
      <c r="P52" s="694">
        <v>2500</v>
      </c>
      <c r="Q52" s="694">
        <v>120</v>
      </c>
      <c r="R52" s="694"/>
      <c r="S52" s="694">
        <v>2500</v>
      </c>
      <c r="T52" s="694">
        <v>120</v>
      </c>
      <c r="U52" s="739">
        <f t="shared" si="9"/>
        <v>0</v>
      </c>
      <c r="V52" s="739">
        <f t="shared" si="9"/>
        <v>0</v>
      </c>
      <c r="W52" s="739"/>
      <c r="X52" s="740"/>
      <c r="Y52" s="740">
        <f t="shared" si="10"/>
        <v>0</v>
      </c>
      <c r="Z52" s="771"/>
      <c r="AA52" s="742">
        <f t="shared" si="11"/>
        <v>9</v>
      </c>
      <c r="AB52" s="740"/>
      <c r="AC52" s="743" t="s">
        <v>1005</v>
      </c>
      <c r="AD52" s="740"/>
      <c r="AE52" s="740"/>
      <c r="AF52" s="744"/>
      <c r="AG52" s="694">
        <v>2500</v>
      </c>
      <c r="AH52" s="694">
        <v>120</v>
      </c>
      <c r="AI52" s="694">
        <v>2500</v>
      </c>
      <c r="AJ52" s="694">
        <v>120</v>
      </c>
      <c r="AK52" s="694">
        <v>2500</v>
      </c>
      <c r="AL52" s="694">
        <v>120</v>
      </c>
      <c r="AM52" s="124" t="s">
        <v>930</v>
      </c>
      <c r="AN52" s="124" t="s">
        <v>931</v>
      </c>
      <c r="AO52" s="124" t="s">
        <v>955</v>
      </c>
      <c r="AP52" s="124" t="s">
        <v>1001</v>
      </c>
      <c r="AQ52" s="770"/>
    </row>
    <row r="53" spans="1:43" s="704" customFormat="1">
      <c r="A53" s="124" t="str">
        <f t="shared" si="1"/>
        <v>GGHT13</v>
      </c>
      <c r="B53" s="124" t="s">
        <v>93</v>
      </c>
      <c r="C53" s="719"/>
      <c r="D53" s="719"/>
      <c r="E53" s="745"/>
      <c r="F53" s="719"/>
      <c r="G53" s="719"/>
      <c r="H53" s="719"/>
      <c r="I53" s="719"/>
      <c r="J53" s="719"/>
      <c r="K53" s="719"/>
      <c r="L53" s="718"/>
      <c r="M53" s="718"/>
      <c r="N53" s="718"/>
      <c r="O53" s="719"/>
      <c r="P53" s="719">
        <v>2500</v>
      </c>
      <c r="Q53" s="719">
        <v>120</v>
      </c>
      <c r="R53" s="691"/>
      <c r="S53" s="691">
        <v>2700</v>
      </c>
      <c r="T53" s="691">
        <v>130</v>
      </c>
      <c r="U53" s="732">
        <f t="shared" si="9"/>
        <v>200</v>
      </c>
      <c r="V53" s="732">
        <f t="shared" si="9"/>
        <v>10</v>
      </c>
      <c r="W53" s="732"/>
      <c r="X53" s="721">
        <v>9</v>
      </c>
      <c r="Y53" s="722">
        <f t="shared" si="10"/>
        <v>1</v>
      </c>
      <c r="Z53" s="733">
        <f>_xlfn.CEILING.MATH(T53/15)+1</f>
        <v>10</v>
      </c>
      <c r="AA53" s="734">
        <f t="shared" si="11"/>
        <v>10</v>
      </c>
      <c r="AB53" s="735" t="s">
        <v>941</v>
      </c>
      <c r="AC53" s="736" t="s">
        <v>950</v>
      </c>
      <c r="AD53" s="703" t="s">
        <v>951</v>
      </c>
      <c r="AE53" s="746" t="s">
        <v>1006</v>
      </c>
      <c r="AG53" s="693">
        <v>2700</v>
      </c>
      <c r="AH53" s="693">
        <v>130</v>
      </c>
      <c r="AI53" s="693">
        <v>2700</v>
      </c>
      <c r="AJ53" s="693">
        <v>130</v>
      </c>
      <c r="AK53" s="693">
        <v>2700</v>
      </c>
      <c r="AL53" s="693">
        <v>130</v>
      </c>
      <c r="AM53" s="124" t="s">
        <v>930</v>
      </c>
      <c r="AN53" s="124" t="s">
        <v>931</v>
      </c>
      <c r="AO53" s="124" t="s">
        <v>955</v>
      </c>
      <c r="AP53" s="124" t="s">
        <v>1001</v>
      </c>
      <c r="AQ53" s="770"/>
    </row>
    <row r="54" spans="1:43" s="704" customFormat="1">
      <c r="A54" s="124" t="str">
        <f t="shared" si="1"/>
        <v>GGHT17</v>
      </c>
      <c r="B54" s="124" t="s">
        <v>328</v>
      </c>
      <c r="C54" s="719"/>
      <c r="D54" s="719"/>
      <c r="E54" s="745"/>
      <c r="F54" s="719"/>
      <c r="G54" s="719"/>
      <c r="H54" s="719"/>
      <c r="I54" s="719"/>
      <c r="J54" s="719"/>
      <c r="K54" s="719"/>
      <c r="L54" s="718"/>
      <c r="M54" s="718"/>
      <c r="N54" s="718"/>
      <c r="O54" s="719"/>
      <c r="P54" s="719"/>
      <c r="Q54" s="719"/>
      <c r="R54" s="691"/>
      <c r="S54" s="691"/>
      <c r="T54" s="691"/>
      <c r="U54" s="732"/>
      <c r="V54" s="732"/>
      <c r="W54" s="732"/>
      <c r="X54" s="721"/>
      <c r="Y54" s="722"/>
      <c r="Z54" s="733"/>
      <c r="AA54" s="734"/>
      <c r="AB54" s="735"/>
      <c r="AC54" s="736"/>
      <c r="AD54" s="703"/>
      <c r="AE54" s="746"/>
      <c r="AG54" s="693"/>
      <c r="AH54" s="693"/>
      <c r="AI54" s="752">
        <v>4000</v>
      </c>
      <c r="AJ54" s="752">
        <v>150</v>
      </c>
      <c r="AK54" s="693">
        <v>4000</v>
      </c>
      <c r="AL54" s="693">
        <v>150</v>
      </c>
      <c r="AM54" s="124" t="s">
        <v>956</v>
      </c>
      <c r="AN54" s="124" t="s">
        <v>440</v>
      </c>
      <c r="AO54" s="124" t="s">
        <v>958</v>
      </c>
      <c r="AP54" s="124" t="s">
        <v>1007</v>
      </c>
      <c r="AQ54" s="770"/>
    </row>
    <row r="55" spans="1:43" s="704" customFormat="1">
      <c r="A55" s="124" t="str">
        <f t="shared" si="1"/>
        <v>GGHT19</v>
      </c>
      <c r="B55" s="124" t="s">
        <v>445</v>
      </c>
      <c r="C55" s="716"/>
      <c r="D55" s="716"/>
      <c r="E55" s="717"/>
      <c r="F55" s="716"/>
      <c r="G55" s="716"/>
      <c r="H55" s="716"/>
      <c r="I55" s="716"/>
      <c r="J55" s="716"/>
      <c r="K55" s="716"/>
      <c r="L55" s="718"/>
      <c r="M55" s="718"/>
      <c r="N55" s="718"/>
      <c r="O55" s="719"/>
      <c r="P55" s="719"/>
      <c r="Q55" s="719"/>
      <c r="R55" s="691"/>
      <c r="S55" s="691"/>
      <c r="T55" s="691"/>
      <c r="U55" s="732"/>
      <c r="V55" s="732"/>
      <c r="W55" s="732"/>
      <c r="X55" s="721"/>
      <c r="Y55" s="722"/>
      <c r="Z55" s="723"/>
      <c r="AA55" s="734"/>
      <c r="AB55" s="703"/>
      <c r="AC55" s="724"/>
      <c r="AD55" s="703"/>
      <c r="AE55" s="703"/>
      <c r="AG55" s="693"/>
      <c r="AH55" s="693"/>
      <c r="AI55" s="693"/>
      <c r="AJ55" s="693"/>
      <c r="AK55" s="752">
        <v>4500</v>
      </c>
      <c r="AL55" s="752">
        <v>150</v>
      </c>
      <c r="AM55" s="124" t="s">
        <v>956</v>
      </c>
      <c r="AN55" s="124" t="s">
        <v>440</v>
      </c>
      <c r="AO55" s="124" t="s">
        <v>958</v>
      </c>
      <c r="AP55" s="124" t="s">
        <v>1008</v>
      </c>
      <c r="AQ55" s="770"/>
    </row>
    <row r="56" spans="1:43" s="704" customFormat="1">
      <c r="A56" s="124" t="str">
        <f t="shared" si="1"/>
        <v>GGHT20</v>
      </c>
      <c r="B56" s="124" t="s">
        <v>446</v>
      </c>
      <c r="C56" s="716"/>
      <c r="D56" s="716"/>
      <c r="E56" s="717"/>
      <c r="F56" s="716"/>
      <c r="G56" s="716"/>
      <c r="H56" s="716"/>
      <c r="I56" s="716"/>
      <c r="J56" s="716"/>
      <c r="K56" s="716"/>
      <c r="L56" s="718"/>
      <c r="M56" s="718"/>
      <c r="N56" s="718"/>
      <c r="O56" s="719"/>
      <c r="P56" s="719"/>
      <c r="Q56" s="719"/>
      <c r="R56" s="691"/>
      <c r="S56" s="691"/>
      <c r="T56" s="691"/>
      <c r="U56" s="732"/>
      <c r="V56" s="732"/>
      <c r="W56" s="732"/>
      <c r="X56" s="721"/>
      <c r="Y56" s="722"/>
      <c r="Z56" s="723"/>
      <c r="AA56" s="734"/>
      <c r="AB56" s="703"/>
      <c r="AC56" s="724"/>
      <c r="AD56" s="703"/>
      <c r="AE56" s="703"/>
      <c r="AG56" s="693"/>
      <c r="AH56" s="693"/>
      <c r="AI56" s="693"/>
      <c r="AJ56" s="693"/>
      <c r="AK56" s="752">
        <v>4500</v>
      </c>
      <c r="AL56" s="752">
        <v>150</v>
      </c>
      <c r="AM56" s="124" t="s">
        <v>956</v>
      </c>
      <c r="AN56" s="124" t="s">
        <v>440</v>
      </c>
      <c r="AO56" s="124" t="s">
        <v>958</v>
      </c>
      <c r="AP56" s="124" t="s">
        <v>1008</v>
      </c>
      <c r="AQ56" s="770"/>
    </row>
    <row r="57" spans="1:43" s="704" customFormat="1">
      <c r="A57" s="124" t="str">
        <f t="shared" si="1"/>
        <v>GGHT21</v>
      </c>
      <c r="B57" s="124" t="s">
        <v>447</v>
      </c>
      <c r="C57" s="694"/>
      <c r="D57" s="694"/>
      <c r="E57" s="738"/>
      <c r="F57" s="694"/>
      <c r="G57" s="694"/>
      <c r="H57" s="694"/>
      <c r="I57" s="694"/>
      <c r="J57" s="694"/>
      <c r="K57" s="694"/>
      <c r="L57" s="694"/>
      <c r="M57" s="694"/>
      <c r="N57" s="694"/>
      <c r="O57" s="694"/>
      <c r="P57" s="694"/>
      <c r="Q57" s="694"/>
      <c r="R57" s="694"/>
      <c r="S57" s="694"/>
      <c r="T57" s="694"/>
      <c r="U57" s="739"/>
      <c r="V57" s="739"/>
      <c r="W57" s="739"/>
      <c r="X57" s="740"/>
      <c r="Y57" s="740"/>
      <c r="Z57" s="771"/>
      <c r="AA57" s="742"/>
      <c r="AB57" s="740"/>
      <c r="AC57" s="743"/>
      <c r="AD57" s="740"/>
      <c r="AE57" s="740"/>
      <c r="AF57" s="744"/>
      <c r="AG57" s="694"/>
      <c r="AH57" s="694"/>
      <c r="AI57" s="693"/>
      <c r="AJ57" s="693"/>
      <c r="AK57" s="694">
        <v>4500</v>
      </c>
      <c r="AL57" s="694">
        <v>150</v>
      </c>
      <c r="AM57" s="124" t="s">
        <v>956</v>
      </c>
      <c r="AN57" s="124" t="s">
        <v>440</v>
      </c>
      <c r="AO57" s="124" t="s">
        <v>958</v>
      </c>
      <c r="AP57" s="124" t="s">
        <v>1008</v>
      </c>
      <c r="AQ57" s="770"/>
    </row>
    <row r="58" spans="1:43" s="704" customFormat="1">
      <c r="A58" s="124" t="str">
        <f t="shared" si="1"/>
        <v>GGHT14</v>
      </c>
      <c r="B58" s="124" t="s">
        <v>250</v>
      </c>
      <c r="C58" s="716"/>
      <c r="D58" s="716"/>
      <c r="E58" s="717"/>
      <c r="F58" s="716"/>
      <c r="G58" s="716"/>
      <c r="H58" s="716"/>
      <c r="I58" s="716"/>
      <c r="J58" s="716"/>
      <c r="K58" s="716"/>
      <c r="L58" s="718"/>
      <c r="M58" s="718"/>
      <c r="N58" s="718"/>
      <c r="O58" s="719"/>
      <c r="P58" s="719"/>
      <c r="Q58" s="719"/>
      <c r="R58" s="691"/>
      <c r="S58" s="691"/>
      <c r="T58" s="691"/>
      <c r="U58" s="732"/>
      <c r="V58" s="732"/>
      <c r="W58" s="732"/>
      <c r="X58" s="721"/>
      <c r="Y58" s="722"/>
      <c r="Z58" s="723"/>
      <c r="AA58" s="734"/>
      <c r="AB58" s="703"/>
      <c r="AC58" s="724"/>
      <c r="AD58" s="703"/>
      <c r="AE58" s="703"/>
      <c r="AG58" s="693">
        <v>3400</v>
      </c>
      <c r="AH58" s="693">
        <v>150</v>
      </c>
      <c r="AI58" s="693">
        <v>2500</v>
      </c>
      <c r="AJ58" s="693">
        <v>100</v>
      </c>
      <c r="AK58" s="693">
        <v>2500</v>
      </c>
      <c r="AL58" s="693">
        <v>100</v>
      </c>
      <c r="AM58" s="124" t="s">
        <v>1009</v>
      </c>
      <c r="AN58" s="124" t="s">
        <v>434</v>
      </c>
      <c r="AO58" s="124" t="s">
        <v>958</v>
      </c>
      <c r="AP58" s="124" t="s">
        <v>1007</v>
      </c>
      <c r="AQ58" s="770"/>
    </row>
    <row r="59" spans="1:43" s="704" customFormat="1">
      <c r="A59" s="124" t="str">
        <f t="shared" si="1"/>
        <v>GGHT15</v>
      </c>
      <c r="B59" s="124" t="s">
        <v>252</v>
      </c>
      <c r="C59" s="716"/>
      <c r="D59" s="716"/>
      <c r="E59" s="717"/>
      <c r="F59" s="716"/>
      <c r="G59" s="716"/>
      <c r="H59" s="716"/>
      <c r="I59" s="716"/>
      <c r="J59" s="716"/>
      <c r="K59" s="716"/>
      <c r="L59" s="718"/>
      <c r="M59" s="718"/>
      <c r="N59" s="718"/>
      <c r="O59" s="719"/>
      <c r="P59" s="719"/>
      <c r="Q59" s="719"/>
      <c r="R59" s="691"/>
      <c r="S59" s="691"/>
      <c r="T59" s="691"/>
      <c r="U59" s="732"/>
      <c r="V59" s="732"/>
      <c r="W59" s="732"/>
      <c r="X59" s="721"/>
      <c r="Y59" s="722"/>
      <c r="Z59" s="723"/>
      <c r="AA59" s="734"/>
      <c r="AB59" s="703"/>
      <c r="AC59" s="724"/>
      <c r="AD59" s="703"/>
      <c r="AE59" s="703"/>
      <c r="AG59" s="693">
        <v>3400</v>
      </c>
      <c r="AH59" s="693">
        <v>150</v>
      </c>
      <c r="AI59" s="693">
        <v>2500</v>
      </c>
      <c r="AJ59" s="693">
        <v>100</v>
      </c>
      <c r="AK59" s="693">
        <v>2500</v>
      </c>
      <c r="AL59" s="693">
        <v>100</v>
      </c>
      <c r="AM59" s="124" t="s">
        <v>1009</v>
      </c>
      <c r="AN59" s="124" t="s">
        <v>434</v>
      </c>
      <c r="AO59" s="124" t="s">
        <v>958</v>
      </c>
      <c r="AP59" s="124" t="s">
        <v>1007</v>
      </c>
      <c r="AQ59" s="770"/>
    </row>
    <row r="60" spans="1:43" s="704" customFormat="1">
      <c r="A60" s="124" t="str">
        <f t="shared" si="1"/>
        <v>GGHT18</v>
      </c>
      <c r="B60" s="124" t="s">
        <v>338</v>
      </c>
      <c r="C60" s="716"/>
      <c r="D60" s="716"/>
      <c r="E60" s="717"/>
      <c r="F60" s="716"/>
      <c r="G60" s="716"/>
      <c r="H60" s="716"/>
      <c r="I60" s="716"/>
      <c r="J60" s="716"/>
      <c r="K60" s="716"/>
      <c r="L60" s="718"/>
      <c r="M60" s="718"/>
      <c r="N60" s="718"/>
      <c r="O60" s="719"/>
      <c r="P60" s="719"/>
      <c r="Q60" s="719"/>
      <c r="R60" s="691"/>
      <c r="S60" s="691"/>
      <c r="T60" s="691"/>
      <c r="U60" s="732"/>
      <c r="V60" s="732"/>
      <c r="W60" s="732"/>
      <c r="X60" s="721"/>
      <c r="Y60" s="722"/>
      <c r="Z60" s="723"/>
      <c r="AA60" s="734"/>
      <c r="AB60" s="703"/>
      <c r="AC60" s="724"/>
      <c r="AD60" s="703"/>
      <c r="AE60" s="703"/>
      <c r="AG60" s="693">
        <v>3400</v>
      </c>
      <c r="AH60" s="693">
        <v>150</v>
      </c>
      <c r="AI60" s="693">
        <v>2500</v>
      </c>
      <c r="AJ60" s="693">
        <v>100</v>
      </c>
      <c r="AK60" s="693">
        <v>2500</v>
      </c>
      <c r="AL60" s="693">
        <v>100</v>
      </c>
      <c r="AM60" s="124" t="s">
        <v>1009</v>
      </c>
      <c r="AN60" s="124" t="s">
        <v>438</v>
      </c>
      <c r="AO60" s="124" t="s">
        <v>958</v>
      </c>
      <c r="AP60" s="124" t="s">
        <v>1007</v>
      </c>
      <c r="AQ60" s="770"/>
    </row>
    <row r="61" spans="1:43" s="704" customFormat="1">
      <c r="A61" s="124" t="str">
        <f t="shared" si="1"/>
        <v>GGHT16</v>
      </c>
      <c r="B61" s="124" t="s">
        <v>1010</v>
      </c>
      <c r="C61" s="694"/>
      <c r="D61" s="694"/>
      <c r="E61" s="738"/>
      <c r="F61" s="694"/>
      <c r="G61" s="694"/>
      <c r="H61" s="694"/>
      <c r="I61" s="694"/>
      <c r="J61" s="694"/>
      <c r="K61" s="694"/>
      <c r="L61" s="694"/>
      <c r="M61" s="694"/>
      <c r="N61" s="694"/>
      <c r="O61" s="694"/>
      <c r="P61" s="694"/>
      <c r="Q61" s="694"/>
      <c r="R61" s="694"/>
      <c r="S61" s="694"/>
      <c r="T61" s="694"/>
      <c r="U61" s="739"/>
      <c r="V61" s="739"/>
      <c r="W61" s="739"/>
      <c r="X61" s="740"/>
      <c r="Y61" s="740"/>
      <c r="Z61" s="771"/>
      <c r="AA61" s="742"/>
      <c r="AB61" s="740"/>
      <c r="AC61" s="743"/>
      <c r="AD61" s="740"/>
      <c r="AE61" s="740"/>
      <c r="AF61" s="744"/>
      <c r="AG61" s="694">
        <v>3400</v>
      </c>
      <c r="AH61" s="694">
        <v>150</v>
      </c>
      <c r="AI61" s="694">
        <v>2500</v>
      </c>
      <c r="AJ61" s="694">
        <v>100</v>
      </c>
      <c r="AK61" s="694">
        <v>2500</v>
      </c>
      <c r="AL61" s="694">
        <v>100</v>
      </c>
      <c r="AM61" s="124" t="s">
        <v>1009</v>
      </c>
      <c r="AN61" s="124" t="s">
        <v>438</v>
      </c>
      <c r="AO61" s="124" t="s">
        <v>958</v>
      </c>
      <c r="AP61" s="124" t="s">
        <v>1007</v>
      </c>
      <c r="AQ61" s="770"/>
    </row>
    <row r="62" spans="1:43" s="704" customFormat="1">
      <c r="A62" s="124" t="str">
        <f t="shared" si="1"/>
        <v>GGPL01</v>
      </c>
      <c r="B62" s="124" t="s">
        <v>451</v>
      </c>
      <c r="C62" s="693"/>
      <c r="D62" s="693"/>
      <c r="E62" s="765"/>
      <c r="F62" s="693"/>
      <c r="G62" s="693"/>
      <c r="H62" s="693"/>
      <c r="I62" s="693"/>
      <c r="J62" s="693"/>
      <c r="K62" s="693"/>
      <c r="L62" s="693"/>
      <c r="M62" s="693"/>
      <c r="N62" s="693"/>
      <c r="O62" s="693"/>
      <c r="P62" s="693"/>
      <c r="Q62" s="693"/>
      <c r="R62" s="693"/>
      <c r="S62" s="693"/>
      <c r="T62" s="693"/>
      <c r="U62" s="766"/>
      <c r="V62" s="766"/>
      <c r="W62" s="766"/>
      <c r="X62" s="703"/>
      <c r="Y62" s="703"/>
      <c r="Z62" s="3"/>
      <c r="AA62" s="768"/>
      <c r="AB62" s="703"/>
      <c r="AC62" s="724"/>
      <c r="AD62" s="703"/>
      <c r="AE62" s="703"/>
      <c r="AF62" s="769"/>
      <c r="AG62" s="693"/>
      <c r="AH62" s="693"/>
      <c r="AI62" s="693"/>
      <c r="AJ62" s="693"/>
      <c r="AK62" s="752">
        <v>4000</v>
      </c>
      <c r="AL62" s="752">
        <v>150</v>
      </c>
      <c r="AM62" s="124" t="s">
        <v>972</v>
      </c>
      <c r="AN62" s="124" t="s">
        <v>536</v>
      </c>
      <c r="AO62" s="124" t="s">
        <v>960</v>
      </c>
      <c r="AP62" s="124" t="s">
        <v>1011</v>
      </c>
      <c r="AQ62" s="770"/>
    </row>
    <row r="63" spans="1:43" s="704" customFormat="1">
      <c r="A63" s="124" t="str">
        <f t="shared" si="1"/>
        <v>GGPL02</v>
      </c>
      <c r="B63" s="124" t="s">
        <v>452</v>
      </c>
      <c r="C63" s="693"/>
      <c r="D63" s="693"/>
      <c r="E63" s="765"/>
      <c r="F63" s="693"/>
      <c r="G63" s="693"/>
      <c r="H63" s="693"/>
      <c r="I63" s="693"/>
      <c r="J63" s="693"/>
      <c r="K63" s="693"/>
      <c r="L63" s="693"/>
      <c r="M63" s="693"/>
      <c r="N63" s="693"/>
      <c r="O63" s="693"/>
      <c r="P63" s="693"/>
      <c r="Q63" s="693"/>
      <c r="R63" s="693"/>
      <c r="S63" s="693"/>
      <c r="T63" s="693"/>
      <c r="U63" s="766"/>
      <c r="V63" s="766"/>
      <c r="W63" s="766"/>
      <c r="X63" s="703"/>
      <c r="Y63" s="703"/>
      <c r="Z63" s="3"/>
      <c r="AA63" s="768"/>
      <c r="AB63" s="703"/>
      <c r="AC63" s="724"/>
      <c r="AD63" s="703"/>
      <c r="AE63" s="703"/>
      <c r="AF63" s="769"/>
      <c r="AG63" s="693"/>
      <c r="AH63" s="693"/>
      <c r="AI63" s="693"/>
      <c r="AJ63" s="693"/>
      <c r="AK63" s="752">
        <v>4000</v>
      </c>
      <c r="AL63" s="752">
        <v>150</v>
      </c>
      <c r="AM63" s="124" t="s">
        <v>972</v>
      </c>
      <c r="AN63" s="124" t="s">
        <v>536</v>
      </c>
      <c r="AO63" s="124" t="s">
        <v>960</v>
      </c>
      <c r="AP63" s="124" t="s">
        <v>1011</v>
      </c>
      <c r="AQ63" s="770"/>
    </row>
    <row r="64" spans="1:43" s="704" customFormat="1">
      <c r="A64" s="124" t="str">
        <f t="shared" si="1"/>
        <v>GGPL03</v>
      </c>
      <c r="B64" s="124" t="s">
        <v>453</v>
      </c>
      <c r="C64" s="693"/>
      <c r="D64" s="693"/>
      <c r="E64" s="765"/>
      <c r="F64" s="693"/>
      <c r="G64" s="693"/>
      <c r="H64" s="693"/>
      <c r="I64" s="693"/>
      <c r="J64" s="693"/>
      <c r="K64" s="693"/>
      <c r="L64" s="693"/>
      <c r="M64" s="693"/>
      <c r="N64" s="693"/>
      <c r="O64" s="693"/>
      <c r="P64" s="693"/>
      <c r="Q64" s="693"/>
      <c r="R64" s="693"/>
      <c r="S64" s="693"/>
      <c r="T64" s="693"/>
      <c r="U64" s="766"/>
      <c r="V64" s="766"/>
      <c r="W64" s="766"/>
      <c r="X64" s="703"/>
      <c r="Y64" s="703"/>
      <c r="Z64" s="3"/>
      <c r="AA64" s="768"/>
      <c r="AB64" s="703"/>
      <c r="AC64" s="724"/>
      <c r="AD64" s="703"/>
      <c r="AE64" s="703"/>
      <c r="AF64" s="769"/>
      <c r="AG64" s="693"/>
      <c r="AH64" s="693"/>
      <c r="AI64" s="693"/>
      <c r="AJ64" s="693"/>
      <c r="AK64" s="752">
        <v>3000</v>
      </c>
      <c r="AL64" s="752">
        <v>100</v>
      </c>
      <c r="AM64" s="124" t="s">
        <v>972</v>
      </c>
      <c r="AN64" s="124" t="s">
        <v>536</v>
      </c>
      <c r="AO64" s="124" t="s">
        <v>960</v>
      </c>
      <c r="AP64" s="124" t="s">
        <v>1011</v>
      </c>
      <c r="AQ64" s="770"/>
    </row>
    <row r="65" spans="1:43" s="704" customFormat="1">
      <c r="A65" s="124" t="str">
        <f t="shared" si="1"/>
        <v>GGPL04</v>
      </c>
      <c r="B65" s="124" t="s">
        <v>454</v>
      </c>
      <c r="C65" s="693"/>
      <c r="D65" s="693"/>
      <c r="E65" s="765"/>
      <c r="F65" s="693"/>
      <c r="G65" s="693"/>
      <c r="H65" s="693"/>
      <c r="I65" s="693"/>
      <c r="J65" s="693"/>
      <c r="K65" s="693"/>
      <c r="L65" s="693"/>
      <c r="M65" s="693"/>
      <c r="N65" s="693"/>
      <c r="O65" s="693"/>
      <c r="P65" s="693"/>
      <c r="Q65" s="693"/>
      <c r="R65" s="693"/>
      <c r="S65" s="693"/>
      <c r="T65" s="693"/>
      <c r="U65" s="766"/>
      <c r="V65" s="766"/>
      <c r="W65" s="766"/>
      <c r="X65" s="703"/>
      <c r="Y65" s="703"/>
      <c r="Z65" s="3"/>
      <c r="AA65" s="768"/>
      <c r="AB65" s="703"/>
      <c r="AC65" s="724"/>
      <c r="AD65" s="703"/>
      <c r="AE65" s="703"/>
      <c r="AF65" s="769"/>
      <c r="AG65" s="693"/>
      <c r="AH65" s="693"/>
      <c r="AI65" s="693"/>
      <c r="AJ65" s="693"/>
      <c r="AK65" s="694">
        <v>4000</v>
      </c>
      <c r="AL65" s="694">
        <v>150</v>
      </c>
      <c r="AM65" s="124" t="s">
        <v>972</v>
      </c>
      <c r="AN65" s="124" t="s">
        <v>536</v>
      </c>
      <c r="AO65" s="124" t="s">
        <v>960</v>
      </c>
      <c r="AP65" s="124" t="s">
        <v>1011</v>
      </c>
      <c r="AQ65" s="770"/>
    </row>
    <row r="66" spans="1:43" s="704" customFormat="1">
      <c r="A66" s="124" t="str">
        <f t="shared" si="1"/>
        <v>GGHT22</v>
      </c>
      <c r="B66" s="124" t="s">
        <v>889</v>
      </c>
      <c r="C66" s="693"/>
      <c r="D66" s="693"/>
      <c r="E66" s="765"/>
      <c r="F66" s="693"/>
      <c r="G66" s="693"/>
      <c r="H66" s="693"/>
      <c r="I66" s="693"/>
      <c r="J66" s="693"/>
      <c r="K66" s="693"/>
      <c r="L66" s="693"/>
      <c r="M66" s="693"/>
      <c r="N66" s="693"/>
      <c r="O66" s="693"/>
      <c r="P66" s="693"/>
      <c r="Q66" s="693"/>
      <c r="R66" s="693"/>
      <c r="S66" s="693"/>
      <c r="T66" s="693"/>
      <c r="U66" s="766"/>
      <c r="V66" s="766"/>
      <c r="W66" s="766"/>
      <c r="X66" s="703"/>
      <c r="Y66" s="703"/>
      <c r="Z66" s="3"/>
      <c r="AA66" s="768"/>
      <c r="AB66" s="703"/>
      <c r="AC66" s="724"/>
      <c r="AD66" s="703"/>
      <c r="AE66" s="703"/>
      <c r="AF66" s="769"/>
      <c r="AG66" s="693"/>
      <c r="AH66" s="693"/>
      <c r="AI66" s="693"/>
      <c r="AJ66" s="693"/>
      <c r="AK66" s="752">
        <v>4000</v>
      </c>
      <c r="AL66" s="752">
        <v>150</v>
      </c>
      <c r="AM66" s="124" t="s">
        <v>972</v>
      </c>
      <c r="AN66" s="124" t="s">
        <v>890</v>
      </c>
      <c r="AO66" s="124" t="s">
        <v>958</v>
      </c>
      <c r="AP66" s="124" t="s">
        <v>1008</v>
      </c>
      <c r="AQ66" s="705" t="s">
        <v>978</v>
      </c>
    </row>
    <row r="67" spans="1:43" s="704" customFormat="1">
      <c r="A67" s="124" t="str">
        <f t="shared" si="1"/>
        <v>GGHT23</v>
      </c>
      <c r="B67" s="124" t="s">
        <v>891</v>
      </c>
      <c r="C67" s="693"/>
      <c r="D67" s="693"/>
      <c r="E67" s="765"/>
      <c r="F67" s="693"/>
      <c r="G67" s="693"/>
      <c r="H67" s="693"/>
      <c r="I67" s="693"/>
      <c r="J67" s="693"/>
      <c r="K67" s="693"/>
      <c r="L67" s="693"/>
      <c r="M67" s="693"/>
      <c r="N67" s="693"/>
      <c r="O67" s="693"/>
      <c r="P67" s="693"/>
      <c r="Q67" s="693"/>
      <c r="R67" s="693"/>
      <c r="S67" s="693"/>
      <c r="T67" s="693"/>
      <c r="U67" s="766"/>
      <c r="V67" s="766"/>
      <c r="W67" s="766"/>
      <c r="X67" s="703"/>
      <c r="Y67" s="703"/>
      <c r="Z67" s="3"/>
      <c r="AA67" s="768"/>
      <c r="AB67" s="703"/>
      <c r="AC67" s="724"/>
      <c r="AD67" s="703"/>
      <c r="AE67" s="703"/>
      <c r="AF67" s="769"/>
      <c r="AG67" s="693"/>
      <c r="AH67" s="693"/>
      <c r="AI67" s="693"/>
      <c r="AJ67" s="693"/>
      <c r="AK67" s="752">
        <v>4000</v>
      </c>
      <c r="AL67" s="752">
        <v>150</v>
      </c>
      <c r="AM67" s="124" t="s">
        <v>972</v>
      </c>
      <c r="AN67" s="124" t="s">
        <v>890</v>
      </c>
      <c r="AO67" s="124" t="s">
        <v>958</v>
      </c>
      <c r="AP67" s="124" t="s">
        <v>1007</v>
      </c>
      <c r="AQ67" s="705" t="s">
        <v>978</v>
      </c>
    </row>
    <row r="68" spans="1:43" s="704" customFormat="1">
      <c r="A68" s="124" t="str">
        <f t="shared" ref="A68:A69" si="12">LEFT(B68,6)</f>
        <v>GGHT24</v>
      </c>
      <c r="B68" s="124" t="s">
        <v>1012</v>
      </c>
      <c r="C68" s="693"/>
      <c r="D68" s="693"/>
      <c r="E68" s="765"/>
      <c r="F68" s="693"/>
      <c r="G68" s="693"/>
      <c r="H68" s="693"/>
      <c r="I68" s="693"/>
      <c r="J68" s="693"/>
      <c r="K68" s="693"/>
      <c r="L68" s="693"/>
      <c r="M68" s="693"/>
      <c r="N68" s="693"/>
      <c r="O68" s="693"/>
      <c r="P68" s="693"/>
      <c r="Q68" s="693"/>
      <c r="R68" s="693"/>
      <c r="S68" s="693"/>
      <c r="T68" s="693"/>
      <c r="U68" s="766"/>
      <c r="V68" s="766"/>
      <c r="W68" s="766"/>
      <c r="X68" s="703"/>
      <c r="Y68" s="703"/>
      <c r="Z68" s="3"/>
      <c r="AA68" s="768"/>
      <c r="AB68" s="703"/>
      <c r="AC68" s="724"/>
      <c r="AD68" s="703"/>
      <c r="AE68" s="703"/>
      <c r="AF68" s="769"/>
      <c r="AG68" s="693"/>
      <c r="AH68" s="693"/>
      <c r="AI68" s="693"/>
      <c r="AJ68" s="693"/>
      <c r="AK68" s="694">
        <v>4000</v>
      </c>
      <c r="AL68" s="694">
        <v>150</v>
      </c>
      <c r="AM68" s="124" t="s">
        <v>972</v>
      </c>
      <c r="AN68" s="124" t="s">
        <v>890</v>
      </c>
      <c r="AO68" s="124" t="s">
        <v>958</v>
      </c>
      <c r="AP68" s="124" t="s">
        <v>1007</v>
      </c>
      <c r="AQ68" s="705" t="s">
        <v>978</v>
      </c>
    </row>
    <row r="69" spans="1:43" s="704" customFormat="1">
      <c r="A69" s="124" t="str">
        <f t="shared" si="12"/>
        <v xml:space="preserve">Total </v>
      </c>
      <c r="B69" s="715" t="s">
        <v>1013</v>
      </c>
      <c r="C69" s="757"/>
      <c r="D69" s="757">
        <f t="shared" ref="D69:O69" si="13">SUM(D47:D51)</f>
        <v>4000</v>
      </c>
      <c r="E69" s="757">
        <f t="shared" si="13"/>
        <v>120</v>
      </c>
      <c r="F69" s="757">
        <f t="shared" si="13"/>
        <v>0</v>
      </c>
      <c r="G69" s="757">
        <f t="shared" si="13"/>
        <v>6000</v>
      </c>
      <c r="H69" s="757">
        <f t="shared" si="13"/>
        <v>180</v>
      </c>
      <c r="I69" s="757">
        <f t="shared" si="13"/>
        <v>0</v>
      </c>
      <c r="J69" s="757">
        <f t="shared" si="13"/>
        <v>8500</v>
      </c>
      <c r="K69" s="757">
        <f t="shared" si="13"/>
        <v>270</v>
      </c>
      <c r="L69" s="757">
        <f t="shared" si="13"/>
        <v>0</v>
      </c>
      <c r="M69" s="757">
        <f t="shared" si="13"/>
        <v>8500</v>
      </c>
      <c r="N69" s="757">
        <f t="shared" si="13"/>
        <v>360</v>
      </c>
      <c r="O69" s="757">
        <f t="shared" si="13"/>
        <v>0</v>
      </c>
      <c r="P69" s="757">
        <f>SUM(P47:P53)</f>
        <v>13500</v>
      </c>
      <c r="Q69" s="757">
        <f>SUM(Q47:Q53)</f>
        <v>600</v>
      </c>
      <c r="R69" s="757">
        <f>SUM(R47:R51)</f>
        <v>0</v>
      </c>
      <c r="S69" s="757">
        <f>SUM(S47:S53)</f>
        <v>13900</v>
      </c>
      <c r="T69" s="757">
        <f>SUM(T47:T53)</f>
        <v>620</v>
      </c>
      <c r="U69" s="758"/>
      <c r="V69" s="758"/>
      <c r="W69" s="758"/>
      <c r="X69" s="759"/>
      <c r="Y69" s="759"/>
      <c r="Z69" s="729"/>
      <c r="AA69" s="759"/>
      <c r="AB69" s="759"/>
      <c r="AC69" s="762"/>
      <c r="AD69" s="759"/>
      <c r="AE69" s="759"/>
      <c r="AF69" s="763"/>
      <c r="AG69" s="757">
        <f>SUM(AG47:AG61)-AG52-AG57-AG61</f>
        <v>21600</v>
      </c>
      <c r="AH69" s="757">
        <f>SUM(AH47:AH61)-AH52-AH57-AH61</f>
        <v>950</v>
      </c>
      <c r="AI69" s="757">
        <f>SUM(AI47:AI65)-AI52-AI57-AI61-AI65</f>
        <v>22900</v>
      </c>
      <c r="AJ69" s="757">
        <f t="shared" ref="AJ69" si="14">SUM(AJ47:AJ65)-AJ52-AJ57-AJ61-AJ65</f>
        <v>950</v>
      </c>
      <c r="AK69" s="757">
        <f>SUM(AK47:AK68)-AK52-AK57-AK61-AK65-AK68</f>
        <v>50900</v>
      </c>
      <c r="AL69" s="757">
        <f>SUM(AL47:AL68)-AL52-AL57-AL61-AL65-AL68</f>
        <v>1950</v>
      </c>
      <c r="AM69" s="757"/>
      <c r="AN69" s="757"/>
      <c r="AO69" s="757"/>
      <c r="AP69" s="757"/>
      <c r="AQ69" s="770"/>
    </row>
    <row r="70" spans="1:43" s="704" customFormat="1">
      <c r="A70" s="715" t="s">
        <v>1014</v>
      </c>
      <c r="B70" s="715" t="s">
        <v>1014</v>
      </c>
      <c r="C70" s="757"/>
      <c r="D70" s="757">
        <f>D32+D46+D69</f>
        <v>10000</v>
      </c>
      <c r="E70" s="772">
        <f>E32+E46+E69</f>
        <v>280</v>
      </c>
      <c r="F70" s="757"/>
      <c r="G70" s="757">
        <f>G32+G46+G69</f>
        <v>15500</v>
      </c>
      <c r="H70" s="757">
        <f>H32+H46+H69</f>
        <v>450</v>
      </c>
      <c r="I70" s="757"/>
      <c r="J70" s="757">
        <f>J32+J46+J69</f>
        <v>22000</v>
      </c>
      <c r="K70" s="757">
        <f>K32+K46+K69</f>
        <v>710</v>
      </c>
      <c r="L70" s="757"/>
      <c r="M70" s="757">
        <f>M32+M46+M69</f>
        <v>22000</v>
      </c>
      <c r="N70" s="757">
        <f>N32+N46+N69</f>
        <v>880</v>
      </c>
      <c r="O70" s="757"/>
      <c r="P70" s="757">
        <f>P32+P46+P69</f>
        <v>35750</v>
      </c>
      <c r="Q70" s="757">
        <f>Q32+Q46+Q69</f>
        <v>1540</v>
      </c>
      <c r="R70" s="757"/>
      <c r="S70" s="757">
        <f>S32+S46+S69</f>
        <v>39750</v>
      </c>
      <c r="T70" s="757">
        <f>T32+T46+T69</f>
        <v>1730</v>
      </c>
      <c r="U70" s="773">
        <f>S70-P70</f>
        <v>4000</v>
      </c>
      <c r="V70" s="773">
        <f>T70-Q70</f>
        <v>190</v>
      </c>
      <c r="W70" s="758"/>
      <c r="X70" s="759"/>
      <c r="Y70" s="759">
        <f>SUM(Y2:Y61)</f>
        <v>12</v>
      </c>
      <c r="Z70" s="729"/>
      <c r="AA70" s="759"/>
      <c r="AB70" s="759"/>
      <c r="AC70" s="762"/>
      <c r="AD70" s="759"/>
      <c r="AE70" s="759"/>
      <c r="AF70" s="763"/>
      <c r="AG70" s="757">
        <f t="shared" ref="AG70:AL70" si="15">AG32+AG46+AG69</f>
        <v>75600</v>
      </c>
      <c r="AH70" s="757">
        <f t="shared" si="15"/>
        <v>3140</v>
      </c>
      <c r="AI70" s="757">
        <f t="shared" si="15"/>
        <v>88900</v>
      </c>
      <c r="AJ70" s="757">
        <f t="shared" si="15"/>
        <v>3590</v>
      </c>
      <c r="AK70" s="757">
        <f t="shared" si="15"/>
        <v>162900</v>
      </c>
      <c r="AL70" s="757">
        <f t="shared" si="15"/>
        <v>6090</v>
      </c>
      <c r="AM70" s="757"/>
      <c r="AN70" s="757"/>
      <c r="AO70" s="757"/>
      <c r="AP70" s="757"/>
      <c r="AQ70" s="770"/>
    </row>
    <row r="71" spans="1:43">
      <c r="A71" s="706" t="s">
        <v>1015</v>
      </c>
      <c r="B71" s="706" t="s">
        <v>1015</v>
      </c>
      <c r="C71" s="774"/>
      <c r="D71" s="774"/>
      <c r="E71" s="774"/>
      <c r="F71" s="774"/>
      <c r="G71" s="774"/>
      <c r="H71" s="774"/>
      <c r="I71" s="774"/>
      <c r="J71" s="774"/>
      <c r="K71" s="774"/>
      <c r="L71" s="774"/>
      <c r="M71" s="774"/>
      <c r="N71" s="774"/>
      <c r="O71" s="774"/>
      <c r="P71" s="774"/>
      <c r="Q71" s="774"/>
      <c r="R71" s="774"/>
      <c r="S71" s="774"/>
      <c r="T71" s="774"/>
      <c r="U71" s="774"/>
      <c r="V71" s="774"/>
      <c r="W71" s="774"/>
      <c r="X71" s="774"/>
      <c r="Y71" s="774"/>
      <c r="Z71" s="47"/>
      <c r="AA71" s="774"/>
      <c r="AB71" s="774"/>
      <c r="AC71" s="775"/>
      <c r="AD71" s="774"/>
      <c r="AE71" s="774"/>
      <c r="AF71" s="776"/>
      <c r="AG71" s="777"/>
      <c r="AH71" s="777"/>
      <c r="AI71" s="777">
        <f>AI70-AG70</f>
        <v>13300</v>
      </c>
      <c r="AJ71" s="777">
        <f>AJ70-AH70</f>
        <v>450</v>
      </c>
      <c r="AK71" s="777">
        <f>AK70-AI70</f>
        <v>74000</v>
      </c>
      <c r="AL71" s="777">
        <f>AL70-AJ70</f>
        <v>2500</v>
      </c>
      <c r="AM71" s="777"/>
      <c r="AN71" s="777"/>
      <c r="AO71" s="777"/>
      <c r="AP71" s="777"/>
    </row>
    <row r="72" spans="1:43">
      <c r="AH72" s="54"/>
    </row>
    <row r="73" spans="1:43">
      <c r="A73" s="715" t="s">
        <v>1016</v>
      </c>
      <c r="B73" s="715" t="s">
        <v>1016</v>
      </c>
      <c r="C73" s="757"/>
      <c r="D73" s="757">
        <f t="shared" ref="D73:O73" si="16">SUM(D44:D49)</f>
        <v>6000</v>
      </c>
      <c r="E73" s="757">
        <f t="shared" si="16"/>
        <v>160</v>
      </c>
      <c r="F73" s="757">
        <f t="shared" si="16"/>
        <v>0</v>
      </c>
      <c r="G73" s="757">
        <f t="shared" si="16"/>
        <v>8000</v>
      </c>
      <c r="H73" s="757">
        <f t="shared" si="16"/>
        <v>220</v>
      </c>
      <c r="I73" s="757">
        <f t="shared" si="16"/>
        <v>0</v>
      </c>
      <c r="J73" s="757">
        <f t="shared" si="16"/>
        <v>9000</v>
      </c>
      <c r="K73" s="757">
        <f t="shared" si="16"/>
        <v>270</v>
      </c>
      <c r="L73" s="757">
        <f t="shared" si="16"/>
        <v>0</v>
      </c>
      <c r="M73" s="757">
        <f t="shared" si="16"/>
        <v>8000</v>
      </c>
      <c r="N73" s="757">
        <f t="shared" si="16"/>
        <v>300</v>
      </c>
      <c r="O73" s="757">
        <f t="shared" si="16"/>
        <v>0</v>
      </c>
      <c r="P73" s="757">
        <f>SUM(P44:P52)</f>
        <v>17350</v>
      </c>
      <c r="Q73" s="757">
        <f>SUM(Q44:Q52)</f>
        <v>740</v>
      </c>
      <c r="R73" s="757">
        <f>SUM(R44:R49)</f>
        <v>0</v>
      </c>
      <c r="S73" s="757">
        <f>SUM(S44:S52)</f>
        <v>17750</v>
      </c>
      <c r="T73" s="757">
        <f>SUM(T44:T52)</f>
        <v>760</v>
      </c>
      <c r="U73" s="758"/>
      <c r="V73" s="758"/>
      <c r="W73" s="758"/>
      <c r="X73" s="759"/>
      <c r="Y73" s="759"/>
      <c r="Z73" s="760"/>
      <c r="AA73" s="761"/>
      <c r="AB73" s="759"/>
      <c r="AC73" s="762"/>
      <c r="AD73" s="759"/>
      <c r="AE73" s="759"/>
      <c r="AF73" s="779"/>
      <c r="AG73" s="757">
        <f>SUM(AG44:AG63)-AG50-AG56</f>
        <v>38800</v>
      </c>
      <c r="AH73" s="757">
        <f>SUM(AH44:AH63)-AH50-AH56</f>
        <v>1670</v>
      </c>
      <c r="AI73" s="757"/>
      <c r="AJ73" s="757"/>
      <c r="AK73" s="715" t="s">
        <v>925</v>
      </c>
      <c r="AL73" s="715" t="s">
        <v>926</v>
      </c>
      <c r="AM73" s="757" t="s">
        <v>43</v>
      </c>
      <c r="AN73" s="715" t="s">
        <v>915</v>
      </c>
      <c r="AO73" s="715" t="s">
        <v>916</v>
      </c>
      <c r="AP73" s="715" t="s">
        <v>916</v>
      </c>
    </row>
    <row r="74" spans="1:43">
      <c r="A74" s="124" t="str">
        <f t="shared" ref="A74:A77" si="17">LEFT(B74,6)</f>
        <v>GGHK16</v>
      </c>
      <c r="B74" s="124" t="s">
        <v>1017</v>
      </c>
      <c r="C74" s="703"/>
      <c r="D74" s="703"/>
      <c r="E74" s="703"/>
      <c r="F74" s="703"/>
      <c r="G74" s="703"/>
      <c r="H74" s="703"/>
      <c r="I74" s="703"/>
      <c r="J74" s="703"/>
      <c r="K74" s="703"/>
      <c r="L74" s="703"/>
      <c r="M74" s="703"/>
      <c r="N74" s="703"/>
      <c r="O74" s="703"/>
      <c r="P74" s="703"/>
      <c r="Q74" s="703"/>
      <c r="R74" s="703"/>
      <c r="S74" s="703"/>
      <c r="T74" s="703"/>
      <c r="U74" s="703"/>
      <c r="V74" s="703"/>
      <c r="W74" s="703"/>
      <c r="X74" s="703"/>
      <c r="Y74" s="703"/>
      <c r="Z74" s="3"/>
      <c r="AA74" s="703"/>
      <c r="AB74" s="703"/>
      <c r="AC74" s="724"/>
      <c r="AD74" s="703"/>
      <c r="AE74" s="703"/>
      <c r="AF74" s="780"/>
      <c r="AG74" s="3"/>
      <c r="AH74" s="767"/>
      <c r="AI74" s="3"/>
      <c r="AJ74" s="3"/>
      <c r="AK74" s="694">
        <v>4000</v>
      </c>
      <c r="AL74" s="694">
        <v>150</v>
      </c>
      <c r="AM74" s="124" t="s">
        <v>972</v>
      </c>
      <c r="AN74" s="756" t="s">
        <v>888</v>
      </c>
      <c r="AO74" s="756" t="s">
        <v>953</v>
      </c>
      <c r="AP74" s="756" t="s">
        <v>994</v>
      </c>
      <c r="AQ74" s="705" t="s">
        <v>978</v>
      </c>
    </row>
    <row r="75" spans="1:43">
      <c r="A75" s="124" t="str">
        <f t="shared" si="17"/>
        <v>GGHK17</v>
      </c>
      <c r="B75" s="124" t="s">
        <v>1018</v>
      </c>
      <c r="C75" s="703"/>
      <c r="D75" s="703"/>
      <c r="E75" s="703"/>
      <c r="F75" s="703"/>
      <c r="G75" s="703"/>
      <c r="H75" s="703"/>
      <c r="I75" s="703"/>
      <c r="J75" s="703"/>
      <c r="K75" s="703"/>
      <c r="L75" s="703"/>
      <c r="M75" s="703"/>
      <c r="N75" s="703"/>
      <c r="O75" s="703"/>
      <c r="P75" s="703"/>
      <c r="Q75" s="703"/>
      <c r="R75" s="703"/>
      <c r="S75" s="703"/>
      <c r="T75" s="703"/>
      <c r="U75" s="703"/>
      <c r="V75" s="703"/>
      <c r="W75" s="703"/>
      <c r="X75" s="703"/>
      <c r="Y75" s="703"/>
      <c r="Z75" s="3"/>
      <c r="AA75" s="703"/>
      <c r="AB75" s="703"/>
      <c r="AC75" s="724"/>
      <c r="AD75" s="703"/>
      <c r="AE75" s="703"/>
      <c r="AF75" s="780"/>
      <c r="AG75" s="3"/>
      <c r="AH75" s="767"/>
      <c r="AI75" s="3"/>
      <c r="AJ75" s="3"/>
      <c r="AK75" s="694">
        <v>4000</v>
      </c>
      <c r="AL75" s="694">
        <v>150</v>
      </c>
      <c r="AM75" s="124" t="s">
        <v>972</v>
      </c>
      <c r="AN75" s="756" t="s">
        <v>885</v>
      </c>
      <c r="AO75" s="756" t="s">
        <v>953</v>
      </c>
      <c r="AP75" s="756" t="s">
        <v>995</v>
      </c>
      <c r="AQ75" s="705" t="s">
        <v>978</v>
      </c>
    </row>
    <row r="76" spans="1:43">
      <c r="A76" s="124" t="str">
        <f t="shared" si="17"/>
        <v>GGHK18</v>
      </c>
      <c r="B76" s="124" t="s">
        <v>1019</v>
      </c>
      <c r="C76" s="703"/>
      <c r="D76" s="703"/>
      <c r="E76" s="703"/>
      <c r="F76" s="703"/>
      <c r="G76" s="703"/>
      <c r="H76" s="703"/>
      <c r="I76" s="703"/>
      <c r="J76" s="703"/>
      <c r="K76" s="703"/>
      <c r="L76" s="703"/>
      <c r="M76" s="703"/>
      <c r="N76" s="703"/>
      <c r="O76" s="703"/>
      <c r="P76" s="703"/>
      <c r="Q76" s="703"/>
      <c r="R76" s="703"/>
      <c r="S76" s="703"/>
      <c r="T76" s="703"/>
      <c r="U76" s="703"/>
      <c r="V76" s="703"/>
      <c r="W76" s="703"/>
      <c r="X76" s="703"/>
      <c r="Y76" s="703"/>
      <c r="Z76" s="3"/>
      <c r="AA76" s="703"/>
      <c r="AB76" s="703"/>
      <c r="AC76" s="724"/>
      <c r="AD76" s="703"/>
      <c r="AE76" s="703"/>
      <c r="AF76" s="780"/>
      <c r="AG76" s="3"/>
      <c r="AH76" s="767"/>
      <c r="AI76" s="3"/>
      <c r="AJ76" s="3"/>
      <c r="AK76" s="694">
        <v>4000</v>
      </c>
      <c r="AL76" s="694">
        <v>150</v>
      </c>
      <c r="AM76" s="124" t="s">
        <v>972</v>
      </c>
      <c r="AN76" s="756" t="s">
        <v>885</v>
      </c>
      <c r="AO76" s="756" t="s">
        <v>953</v>
      </c>
      <c r="AP76" s="756" t="s">
        <v>995</v>
      </c>
      <c r="AQ76" s="705" t="s">
        <v>978</v>
      </c>
    </row>
    <row r="77" spans="1:43">
      <c r="A77" s="124" t="str">
        <f t="shared" si="17"/>
        <v>GGHK19</v>
      </c>
      <c r="B77" s="124" t="s">
        <v>1020</v>
      </c>
      <c r="C77" s="703"/>
      <c r="D77" s="703"/>
      <c r="E77" s="703"/>
      <c r="F77" s="703"/>
      <c r="G77" s="703"/>
      <c r="H77" s="703"/>
      <c r="I77" s="703"/>
      <c r="J77" s="703"/>
      <c r="K77" s="703"/>
      <c r="L77" s="703"/>
      <c r="M77" s="703"/>
      <c r="N77" s="703"/>
      <c r="O77" s="703"/>
      <c r="P77" s="703"/>
      <c r="Q77" s="703"/>
      <c r="R77" s="703"/>
      <c r="S77" s="703"/>
      <c r="T77" s="703"/>
      <c r="U77" s="703"/>
      <c r="V77" s="703"/>
      <c r="W77" s="703"/>
      <c r="X77" s="703"/>
      <c r="Y77" s="703"/>
      <c r="Z77" s="3"/>
      <c r="AA77" s="703"/>
      <c r="AB77" s="703"/>
      <c r="AC77" s="724"/>
      <c r="AD77" s="703"/>
      <c r="AE77" s="703"/>
      <c r="AF77" s="780"/>
      <c r="AG77" s="3"/>
      <c r="AH77" s="767"/>
      <c r="AI77" s="3"/>
      <c r="AJ77" s="3"/>
      <c r="AK77" s="694">
        <v>4000</v>
      </c>
      <c r="AL77" s="694">
        <v>150</v>
      </c>
      <c r="AM77" s="124" t="s">
        <v>972</v>
      </c>
      <c r="AN77" s="756" t="s">
        <v>885</v>
      </c>
      <c r="AO77" s="756" t="s">
        <v>953</v>
      </c>
      <c r="AP77" s="756" t="s">
        <v>995</v>
      </c>
      <c r="AQ77" s="705" t="s">
        <v>978</v>
      </c>
    </row>
    <row r="78" spans="1:43">
      <c r="A78" s="715" t="s">
        <v>1021</v>
      </c>
      <c r="B78" s="715" t="s">
        <v>1021</v>
      </c>
      <c r="C78" s="757"/>
      <c r="D78" s="757">
        <f t="shared" ref="D78:O78" si="18">SUM(D48:D53)</f>
        <v>2000</v>
      </c>
      <c r="E78" s="757">
        <f t="shared" si="18"/>
        <v>60</v>
      </c>
      <c r="F78" s="757">
        <f t="shared" si="18"/>
        <v>0</v>
      </c>
      <c r="G78" s="757">
        <f t="shared" si="18"/>
        <v>4000</v>
      </c>
      <c r="H78" s="757">
        <f t="shared" si="18"/>
        <v>120</v>
      </c>
      <c r="I78" s="757">
        <f t="shared" si="18"/>
        <v>0</v>
      </c>
      <c r="J78" s="757">
        <f t="shared" si="18"/>
        <v>8500</v>
      </c>
      <c r="K78" s="757">
        <f t="shared" si="18"/>
        <v>270</v>
      </c>
      <c r="L78" s="757">
        <f t="shared" si="18"/>
        <v>0</v>
      </c>
      <c r="M78" s="757">
        <f t="shared" si="18"/>
        <v>9500</v>
      </c>
      <c r="N78" s="757">
        <f t="shared" si="18"/>
        <v>420</v>
      </c>
      <c r="O78" s="757">
        <f t="shared" si="18"/>
        <v>0</v>
      </c>
      <c r="P78" s="757">
        <f>SUM(P48:P56)</f>
        <v>12000</v>
      </c>
      <c r="Q78" s="757">
        <f>SUM(Q48:Q56)</f>
        <v>540</v>
      </c>
      <c r="R78" s="757">
        <f>SUM(R48:R53)</f>
        <v>0</v>
      </c>
      <c r="S78" s="757">
        <f>SUM(S48:S56)</f>
        <v>12400</v>
      </c>
      <c r="T78" s="757">
        <f>SUM(T48:T56)</f>
        <v>560</v>
      </c>
      <c r="U78" s="758"/>
      <c r="V78" s="758"/>
      <c r="W78" s="758"/>
      <c r="X78" s="759"/>
      <c r="Y78" s="759"/>
      <c r="Z78" s="760"/>
      <c r="AA78" s="761"/>
      <c r="AB78" s="759"/>
      <c r="AC78" s="762"/>
      <c r="AD78" s="759"/>
      <c r="AE78" s="759"/>
      <c r="AF78" s="779"/>
      <c r="AG78" s="757">
        <f>SUM(AG48:AG67)-AG54-AG60</f>
        <v>22600</v>
      </c>
      <c r="AH78" s="757">
        <f>SUM(AH48:AH67)-AH54-AH60</f>
        <v>1010</v>
      </c>
      <c r="AI78" s="757"/>
      <c r="AJ78" s="757"/>
      <c r="AK78" s="757">
        <f>SUM(AK74:AK77)</f>
        <v>16000</v>
      </c>
      <c r="AL78" s="757">
        <f>SUM(AL74:AL77)</f>
        <v>600</v>
      </c>
      <c r="AM78" s="757"/>
      <c r="AN78" s="757"/>
      <c r="AO78" s="757"/>
      <c r="AP78" s="757"/>
    </row>
    <row r="79" spans="1:43">
      <c r="AN79" s="705"/>
      <c r="AO79" s="705"/>
      <c r="AP79" s="705"/>
    </row>
    <row r="80" spans="1:43" s="5" customFormat="1">
      <c r="A80" s="706"/>
      <c r="B80" s="706"/>
      <c r="C80" s="781"/>
      <c r="D80" s="781"/>
      <c r="E80" s="781"/>
      <c r="F80" s="781"/>
      <c r="G80" s="781"/>
      <c r="H80" s="781"/>
      <c r="I80" s="781"/>
      <c r="J80" s="781"/>
      <c r="K80" s="781"/>
      <c r="L80" s="781"/>
      <c r="M80" s="781"/>
      <c r="N80" s="781"/>
      <c r="O80" s="781"/>
      <c r="P80" s="781"/>
      <c r="Q80" s="781"/>
      <c r="R80" s="781"/>
      <c r="S80" s="781"/>
      <c r="T80" s="781"/>
      <c r="U80" s="781"/>
      <c r="V80" s="781"/>
      <c r="W80" s="781"/>
      <c r="X80" s="781"/>
      <c r="Y80" s="781"/>
      <c r="Z80" s="782"/>
      <c r="AA80" s="781"/>
      <c r="AB80" s="781"/>
      <c r="AC80" s="783"/>
      <c r="AD80" s="781"/>
      <c r="AE80" s="781"/>
      <c r="AF80" s="784"/>
      <c r="AG80" s="782"/>
      <c r="AH80" s="782"/>
      <c r="AI80" s="782" t="s">
        <v>43</v>
      </c>
      <c r="AJ80" s="781" t="s">
        <v>15</v>
      </c>
      <c r="AK80" s="781" t="s">
        <v>25</v>
      </c>
      <c r="AL80" s="781" t="s">
        <v>30</v>
      </c>
      <c r="AM80" s="706" t="s">
        <v>3</v>
      </c>
      <c r="AN80" s="705"/>
      <c r="AO80" s="705"/>
      <c r="AP80" s="705"/>
      <c r="AQ80" s="785"/>
    </row>
    <row r="81" spans="1:42" ht="30">
      <c r="A81" s="786" t="s">
        <v>1022</v>
      </c>
      <c r="B81" s="786" t="s">
        <v>1022</v>
      </c>
      <c r="C81" s="787"/>
      <c r="D81" s="787"/>
      <c r="E81" s="787"/>
      <c r="F81" s="787"/>
      <c r="G81" s="787"/>
      <c r="H81" s="787"/>
      <c r="I81" s="787"/>
      <c r="J81" s="787"/>
      <c r="K81" s="787"/>
      <c r="L81" s="787"/>
      <c r="M81" s="787"/>
      <c r="N81" s="787"/>
      <c r="O81" s="787"/>
      <c r="P81" s="787"/>
      <c r="Q81" s="787"/>
      <c r="R81" s="787"/>
      <c r="S81" s="787"/>
      <c r="T81" s="787"/>
      <c r="U81" s="787"/>
      <c r="V81" s="787"/>
      <c r="W81" s="787"/>
      <c r="X81" s="787"/>
      <c r="Y81" s="787"/>
      <c r="Z81" s="788"/>
      <c r="AA81" s="787"/>
      <c r="AB81" s="787"/>
      <c r="AC81" s="789"/>
      <c r="AD81" s="787"/>
      <c r="AE81" s="787"/>
      <c r="AF81" s="790"/>
      <c r="AG81" s="788"/>
      <c r="AH81" s="788"/>
      <c r="AI81" s="788"/>
      <c r="AJ81" s="788"/>
      <c r="AK81" s="788"/>
      <c r="AL81" s="788"/>
      <c r="AM81" s="791">
        <f>SUM(AM82:AM84)</f>
        <v>6090</v>
      </c>
      <c r="AN81" s="705"/>
      <c r="AO81" s="705"/>
      <c r="AP81" s="705"/>
    </row>
    <row r="82" spans="1:42">
      <c r="A82" s="124" t="str">
        <f t="shared" ref="A82:A84" si="19">LEFT(B82,6)</f>
        <v/>
      </c>
      <c r="B82" s="124"/>
      <c r="C82" s="703"/>
      <c r="D82" s="703"/>
      <c r="E82" s="703"/>
      <c r="F82" s="703"/>
      <c r="G82" s="703"/>
      <c r="H82" s="703"/>
      <c r="I82" s="703"/>
      <c r="J82" s="703"/>
      <c r="K82" s="703"/>
      <c r="L82" s="703"/>
      <c r="M82" s="703"/>
      <c r="N82" s="703"/>
      <c r="O82" s="703"/>
      <c r="P82" s="703"/>
      <c r="Q82" s="703"/>
      <c r="R82" s="703"/>
      <c r="S82" s="703"/>
      <c r="T82" s="703"/>
      <c r="U82" s="703"/>
      <c r="V82" s="703"/>
      <c r="W82" s="703"/>
      <c r="X82" s="703"/>
      <c r="Y82" s="703"/>
      <c r="Z82" s="3"/>
      <c r="AA82" s="703"/>
      <c r="AB82" s="703"/>
      <c r="AC82" s="724"/>
      <c r="AD82" s="703"/>
      <c r="AE82" s="703"/>
      <c r="AF82" s="780"/>
      <c r="AG82" s="3"/>
      <c r="AH82" s="3"/>
      <c r="AI82" s="3" t="s">
        <v>4</v>
      </c>
      <c r="AJ82" s="767">
        <f>AL32-AL24-AL25-AL26</f>
        <v>2630</v>
      </c>
      <c r="AK82" s="767">
        <f>AL46-AL42-AL43-AL45</f>
        <v>660</v>
      </c>
      <c r="AL82" s="767">
        <f>AL69-AL58-AL59-AL60-AL62-AL63-AL64-AL66-AL67</f>
        <v>950</v>
      </c>
      <c r="AM82" s="792">
        <f>SUM(AJ82:AL82)</f>
        <v>4240</v>
      </c>
      <c r="AN82" s="705"/>
      <c r="AO82" s="705"/>
      <c r="AP82" s="705"/>
    </row>
    <row r="83" spans="1:42">
      <c r="A83" s="124" t="str">
        <f t="shared" si="19"/>
        <v/>
      </c>
      <c r="B83" s="124"/>
      <c r="C83" s="703"/>
      <c r="D83" s="703"/>
      <c r="E83" s="703"/>
      <c r="F83" s="703"/>
      <c r="G83" s="703"/>
      <c r="H83" s="703"/>
      <c r="I83" s="703"/>
      <c r="J83" s="703"/>
      <c r="K83" s="703"/>
      <c r="L83" s="703"/>
      <c r="M83" s="703"/>
      <c r="N83" s="703"/>
      <c r="O83" s="703"/>
      <c r="P83" s="703"/>
      <c r="Q83" s="703"/>
      <c r="R83" s="703"/>
      <c r="S83" s="703"/>
      <c r="T83" s="703"/>
      <c r="U83" s="703"/>
      <c r="V83" s="703"/>
      <c r="W83" s="703"/>
      <c r="X83" s="703"/>
      <c r="Y83" s="703"/>
      <c r="Z83" s="3"/>
      <c r="AA83" s="703"/>
      <c r="AB83" s="703"/>
      <c r="AC83" s="724"/>
      <c r="AD83" s="703"/>
      <c r="AE83" s="703"/>
      <c r="AF83" s="780"/>
      <c r="AG83" s="3"/>
      <c r="AH83" s="3"/>
      <c r="AI83" s="3" t="s">
        <v>249</v>
      </c>
      <c r="AJ83" s="767">
        <f>AL24+AL25+AL26</f>
        <v>400</v>
      </c>
      <c r="AK83" s="767">
        <f>AL42+AL43+AL45</f>
        <v>450</v>
      </c>
      <c r="AL83" s="54">
        <f>AL62+AL63+AL64+AL66+AL67</f>
        <v>700</v>
      </c>
      <c r="AM83" s="792">
        <f>SUM(AJ83:AL83)</f>
        <v>1550</v>
      </c>
      <c r="AN83" s="705"/>
      <c r="AO83" s="705"/>
      <c r="AP83" s="705"/>
    </row>
    <row r="84" spans="1:42">
      <c r="A84" s="124" t="str">
        <f t="shared" si="19"/>
        <v/>
      </c>
      <c r="B84" s="124"/>
      <c r="C84" s="703"/>
      <c r="D84" s="703"/>
      <c r="E84" s="703"/>
      <c r="F84" s="703"/>
      <c r="G84" s="703"/>
      <c r="H84" s="703"/>
      <c r="I84" s="703"/>
      <c r="J84" s="703"/>
      <c r="K84" s="703"/>
      <c r="L84" s="703"/>
      <c r="M84" s="703"/>
      <c r="N84" s="703"/>
      <c r="O84" s="703"/>
      <c r="P84" s="703"/>
      <c r="Q84" s="703"/>
      <c r="R84" s="703"/>
      <c r="S84" s="703"/>
      <c r="T84" s="703"/>
      <c r="U84" s="703"/>
      <c r="V84" s="703"/>
      <c r="W84" s="703"/>
      <c r="X84" s="703"/>
      <c r="Y84" s="703"/>
      <c r="Z84" s="3"/>
      <c r="AA84" s="703"/>
      <c r="AB84" s="703"/>
      <c r="AC84" s="724"/>
      <c r="AD84" s="703"/>
      <c r="AE84" s="703"/>
      <c r="AF84" s="780"/>
      <c r="AG84" s="3"/>
      <c r="AH84" s="3"/>
      <c r="AI84" s="3" t="s">
        <v>251</v>
      </c>
      <c r="AJ84" s="3"/>
      <c r="AK84" s="3"/>
      <c r="AL84" s="767">
        <f>AL58+AL59+AL60</f>
        <v>300</v>
      </c>
      <c r="AM84" s="792">
        <f>SUM(AJ84:AL84)</f>
        <v>300</v>
      </c>
      <c r="AN84" s="705"/>
      <c r="AO84" s="705"/>
      <c r="AP84" s="705"/>
    </row>
    <row r="85" spans="1:42" ht="30">
      <c r="A85" s="786" t="s">
        <v>1023</v>
      </c>
      <c r="B85" s="786" t="s">
        <v>1023</v>
      </c>
      <c r="C85" s="787"/>
      <c r="D85" s="787"/>
      <c r="E85" s="787"/>
      <c r="F85" s="787"/>
      <c r="G85" s="787"/>
      <c r="H85" s="787"/>
      <c r="I85" s="787"/>
      <c r="J85" s="787"/>
      <c r="K85" s="787"/>
      <c r="L85" s="787"/>
      <c r="M85" s="787"/>
      <c r="N85" s="787"/>
      <c r="O85" s="787"/>
      <c r="P85" s="787"/>
      <c r="Q85" s="787"/>
      <c r="R85" s="787"/>
      <c r="S85" s="787"/>
      <c r="T85" s="787"/>
      <c r="U85" s="787"/>
      <c r="V85" s="787"/>
      <c r="W85" s="787"/>
      <c r="X85" s="787"/>
      <c r="Y85" s="787"/>
      <c r="Z85" s="788"/>
      <c r="AA85" s="787"/>
      <c r="AB85" s="787"/>
      <c r="AC85" s="789"/>
      <c r="AD85" s="787"/>
      <c r="AE85" s="787"/>
      <c r="AF85" s="790"/>
      <c r="AG85" s="788"/>
      <c r="AH85" s="788"/>
      <c r="AI85" s="788"/>
      <c r="AJ85" s="788"/>
      <c r="AK85" s="788"/>
      <c r="AL85" s="788"/>
      <c r="AM85" s="791">
        <f>SUM(AM86:AM88)</f>
        <v>2490</v>
      </c>
      <c r="AN85" s="705"/>
      <c r="AO85" s="705"/>
      <c r="AP85" s="705"/>
    </row>
    <row r="86" spans="1:42">
      <c r="A86" s="124" t="str">
        <f t="shared" ref="A86:A89" si="20">LEFT(B86,6)</f>
        <v/>
      </c>
      <c r="B86" s="124"/>
      <c r="C86" s="703"/>
      <c r="D86" s="703"/>
      <c r="E86" s="703"/>
      <c r="F86" s="703"/>
      <c r="G86" s="703"/>
      <c r="H86" s="703"/>
      <c r="I86" s="703"/>
      <c r="J86" s="703"/>
      <c r="K86" s="703"/>
      <c r="L86" s="703"/>
      <c r="M86" s="703"/>
      <c r="N86" s="703"/>
      <c r="O86" s="703"/>
      <c r="P86" s="703"/>
      <c r="Q86" s="703"/>
      <c r="R86" s="703"/>
      <c r="S86" s="703"/>
      <c r="T86" s="703"/>
      <c r="U86" s="703"/>
      <c r="V86" s="703"/>
      <c r="W86" s="703"/>
      <c r="X86" s="703"/>
      <c r="Y86" s="703"/>
      <c r="Z86" s="3"/>
      <c r="AA86" s="703"/>
      <c r="AB86" s="703"/>
      <c r="AC86" s="724"/>
      <c r="AD86" s="703"/>
      <c r="AE86" s="703"/>
      <c r="AF86" s="780"/>
      <c r="AG86" s="3"/>
      <c r="AH86" s="3"/>
      <c r="AI86" s="3" t="s">
        <v>4</v>
      </c>
      <c r="AJ86" s="767">
        <f>AL9+AL15+AL23+AL31</f>
        <v>550</v>
      </c>
      <c r="AK86" s="767">
        <f>AL35+AL38+AL41</f>
        <v>370</v>
      </c>
      <c r="AL86" s="767">
        <f>AL52+AL57</f>
        <v>270</v>
      </c>
      <c r="AM86" s="792">
        <f>SUM(AJ86:AL86)</f>
        <v>1190</v>
      </c>
      <c r="AN86" s="705"/>
      <c r="AO86" s="705"/>
      <c r="AP86" s="705"/>
    </row>
    <row r="87" spans="1:42">
      <c r="A87" s="124" t="str">
        <f t="shared" si="20"/>
        <v/>
      </c>
      <c r="B87" s="124"/>
      <c r="C87" s="703"/>
      <c r="D87" s="703"/>
      <c r="E87" s="703"/>
      <c r="F87" s="703"/>
      <c r="G87" s="703"/>
      <c r="H87" s="703"/>
      <c r="I87" s="703"/>
      <c r="J87" s="703"/>
      <c r="K87" s="703"/>
      <c r="L87" s="703"/>
      <c r="M87" s="703"/>
      <c r="N87" s="703"/>
      <c r="O87" s="703"/>
      <c r="P87" s="703"/>
      <c r="Q87" s="703"/>
      <c r="R87" s="703"/>
      <c r="S87" s="703"/>
      <c r="T87" s="703"/>
      <c r="U87" s="703"/>
      <c r="V87" s="703"/>
      <c r="W87" s="703"/>
      <c r="X87" s="703"/>
      <c r="Y87" s="703"/>
      <c r="Z87" s="3"/>
      <c r="AA87" s="703"/>
      <c r="AB87" s="703"/>
      <c r="AC87" s="724"/>
      <c r="AD87" s="703"/>
      <c r="AE87" s="703"/>
      <c r="AF87" s="780"/>
      <c r="AG87" s="3"/>
      <c r="AH87" s="3"/>
      <c r="AI87" s="3" t="s">
        <v>249</v>
      </c>
      <c r="AJ87" s="767">
        <f>AL27</f>
        <v>150</v>
      </c>
      <c r="AK87" s="767">
        <f>AL44+AL78</f>
        <v>750</v>
      </c>
      <c r="AL87" s="767">
        <f>AL65+AL68</f>
        <v>300</v>
      </c>
      <c r="AM87" s="792">
        <f>SUM(AJ87:AL87)</f>
        <v>1200</v>
      </c>
      <c r="AN87" s="705"/>
      <c r="AO87" s="705"/>
      <c r="AP87" s="705"/>
    </row>
    <row r="88" spans="1:42">
      <c r="A88" s="124" t="str">
        <f t="shared" si="20"/>
        <v/>
      </c>
      <c r="B88" s="124"/>
      <c r="C88" s="703"/>
      <c r="D88" s="703"/>
      <c r="E88" s="703"/>
      <c r="F88" s="703"/>
      <c r="G88" s="703"/>
      <c r="H88" s="703"/>
      <c r="I88" s="703"/>
      <c r="J88" s="703"/>
      <c r="K88" s="703"/>
      <c r="L88" s="703"/>
      <c r="M88" s="703"/>
      <c r="N88" s="703"/>
      <c r="O88" s="703"/>
      <c r="P88" s="703"/>
      <c r="Q88" s="703"/>
      <c r="R88" s="703"/>
      <c r="S88" s="703"/>
      <c r="T88" s="703"/>
      <c r="U88" s="703"/>
      <c r="V88" s="703"/>
      <c r="W88" s="703"/>
      <c r="X88" s="703"/>
      <c r="Y88" s="703"/>
      <c r="Z88" s="3"/>
      <c r="AA88" s="703"/>
      <c r="AB88" s="703"/>
      <c r="AC88" s="724"/>
      <c r="AD88" s="703"/>
      <c r="AE88" s="703"/>
      <c r="AF88" s="780"/>
      <c r="AG88" s="3"/>
      <c r="AH88" s="3"/>
      <c r="AI88" s="3" t="s">
        <v>251</v>
      </c>
      <c r="AJ88" s="3"/>
      <c r="AK88" s="3"/>
      <c r="AL88" s="767">
        <f>AL61</f>
        <v>100</v>
      </c>
      <c r="AM88" s="792">
        <f>SUM(AJ88:AL88)</f>
        <v>100</v>
      </c>
      <c r="AN88" s="705"/>
      <c r="AO88" s="705"/>
      <c r="AP88" s="705"/>
    </row>
    <row r="89" spans="1:42">
      <c r="A89" s="124" t="str">
        <f t="shared" si="20"/>
        <v/>
      </c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AA89"/>
      <c r="AB89"/>
      <c r="AC89"/>
      <c r="AD89"/>
      <c r="AE89"/>
      <c r="AF89"/>
      <c r="AN89" s="705"/>
      <c r="AO89" s="705"/>
      <c r="AP89" s="705"/>
    </row>
    <row r="90" spans="1:42">
      <c r="A90" s="706"/>
      <c r="B90" s="706"/>
      <c r="C90" s="781"/>
      <c r="D90" s="781"/>
      <c r="E90" s="781"/>
      <c r="F90" s="781"/>
      <c r="G90" s="781"/>
      <c r="H90" s="781"/>
      <c r="I90" s="781"/>
      <c r="J90" s="781"/>
      <c r="K90" s="781"/>
      <c r="L90" s="781"/>
      <c r="M90" s="781"/>
      <c r="N90" s="781"/>
      <c r="O90" s="781"/>
      <c r="P90" s="781"/>
      <c r="Q90" s="781"/>
      <c r="R90" s="781"/>
      <c r="S90" s="781"/>
      <c r="T90" s="781"/>
      <c r="U90" s="781"/>
      <c r="V90" s="781"/>
      <c r="W90" s="781"/>
      <c r="X90" s="781"/>
      <c r="Y90" s="781"/>
      <c r="Z90" s="782"/>
      <c r="AA90" s="781"/>
      <c r="AB90" s="781"/>
      <c r="AC90" s="783"/>
      <c r="AD90" s="781"/>
      <c r="AE90" s="781"/>
      <c r="AF90" s="784"/>
      <c r="AG90" s="782"/>
      <c r="AH90" s="782"/>
      <c r="AI90" s="782" t="s">
        <v>43</v>
      </c>
      <c r="AJ90" s="781" t="s">
        <v>15</v>
      </c>
      <c r="AK90" s="781" t="s">
        <v>25</v>
      </c>
      <c r="AL90" s="781" t="s">
        <v>30</v>
      </c>
      <c r="AM90" s="706" t="s">
        <v>3</v>
      </c>
      <c r="AN90" s="705"/>
      <c r="AO90" s="705"/>
      <c r="AP90" s="705"/>
    </row>
    <row r="91" spans="1:42" ht="45">
      <c r="A91" s="786" t="s">
        <v>1024</v>
      </c>
      <c r="B91" s="786" t="s">
        <v>1024</v>
      </c>
      <c r="C91" s="787"/>
      <c r="D91" s="787"/>
      <c r="E91" s="787"/>
      <c r="F91" s="787"/>
      <c r="G91" s="787"/>
      <c r="H91" s="787"/>
      <c r="I91" s="787"/>
      <c r="J91" s="787"/>
      <c r="K91" s="787"/>
      <c r="L91" s="787"/>
      <c r="M91" s="787"/>
      <c r="N91" s="787"/>
      <c r="O91" s="787"/>
      <c r="P91" s="787"/>
      <c r="Q91" s="787"/>
      <c r="R91" s="787"/>
      <c r="S91" s="787"/>
      <c r="T91" s="787"/>
      <c r="U91" s="787"/>
      <c r="V91" s="787"/>
      <c r="W91" s="787"/>
      <c r="X91" s="787"/>
      <c r="Y91" s="787"/>
      <c r="Z91" s="788"/>
      <c r="AA91" s="787"/>
      <c r="AB91" s="787"/>
      <c r="AC91" s="789"/>
      <c r="AD91" s="787"/>
      <c r="AE91" s="787"/>
      <c r="AF91" s="790"/>
      <c r="AG91" s="788"/>
      <c r="AH91" s="788"/>
      <c r="AI91" s="788"/>
      <c r="AJ91" s="788"/>
      <c r="AK91" s="788"/>
      <c r="AL91" s="788"/>
      <c r="AM91" s="791">
        <f>SUM(AM92:AM94)</f>
        <v>8130</v>
      </c>
      <c r="AN91" s="705"/>
      <c r="AO91" s="705"/>
      <c r="AP91" s="705"/>
    </row>
    <row r="92" spans="1:42">
      <c r="A92" s="124" t="str">
        <f t="shared" ref="A92:A94" si="21">LEFT(B92,6)</f>
        <v/>
      </c>
      <c r="B92" s="124"/>
      <c r="C92" s="703"/>
      <c r="D92" s="703"/>
      <c r="E92" s="703"/>
      <c r="F92" s="703"/>
      <c r="G92" s="703"/>
      <c r="H92" s="703"/>
      <c r="I92" s="703"/>
      <c r="J92" s="703"/>
      <c r="K92" s="703"/>
      <c r="L92" s="703"/>
      <c r="M92" s="703"/>
      <c r="N92" s="703"/>
      <c r="O92" s="703"/>
      <c r="P92" s="703"/>
      <c r="Q92" s="703"/>
      <c r="R92" s="703"/>
      <c r="S92" s="703"/>
      <c r="T92" s="703"/>
      <c r="U92" s="703"/>
      <c r="V92" s="703"/>
      <c r="W92" s="703"/>
      <c r="X92" s="703"/>
      <c r="Y92" s="703"/>
      <c r="Z92" s="3"/>
      <c r="AA92" s="703"/>
      <c r="AB92" s="703"/>
      <c r="AC92" s="724"/>
      <c r="AD92" s="703"/>
      <c r="AE92" s="703"/>
      <c r="AF92" s="780"/>
      <c r="AG92" s="3"/>
      <c r="AH92" s="3"/>
      <c r="AI92" s="3" t="s">
        <v>4</v>
      </c>
      <c r="AJ92" s="767">
        <f>AJ82+AL9+AL15+AL31</f>
        <v>3030</v>
      </c>
      <c r="AK92" s="767">
        <f>AK82+AL35+AL38</f>
        <v>880</v>
      </c>
      <c r="AL92" s="767">
        <f>AL82+AL52</f>
        <v>1070</v>
      </c>
      <c r="AM92" s="792">
        <f>SUM(AJ92:AL92)</f>
        <v>4980</v>
      </c>
      <c r="AN92" s="705"/>
      <c r="AO92" s="705"/>
      <c r="AP92" s="705"/>
    </row>
    <row r="93" spans="1:42">
      <c r="A93" s="124" t="str">
        <f t="shared" si="21"/>
        <v/>
      </c>
      <c r="B93" s="124"/>
      <c r="C93" s="703"/>
      <c r="D93" s="703"/>
      <c r="E93" s="703"/>
      <c r="F93" s="703"/>
      <c r="G93" s="703"/>
      <c r="H93" s="703"/>
      <c r="I93" s="703"/>
      <c r="J93" s="703"/>
      <c r="K93" s="703"/>
      <c r="L93" s="703"/>
      <c r="M93" s="703"/>
      <c r="N93" s="703"/>
      <c r="O93" s="703"/>
      <c r="P93" s="703"/>
      <c r="Q93" s="703"/>
      <c r="R93" s="703"/>
      <c r="S93" s="703"/>
      <c r="T93" s="703"/>
      <c r="U93" s="703"/>
      <c r="V93" s="703"/>
      <c r="W93" s="703"/>
      <c r="X93" s="703"/>
      <c r="Y93" s="703"/>
      <c r="Z93" s="3"/>
      <c r="AA93" s="703"/>
      <c r="AB93" s="703"/>
      <c r="AC93" s="724"/>
      <c r="AD93" s="703"/>
      <c r="AE93" s="703"/>
      <c r="AF93" s="780"/>
      <c r="AG93" s="3"/>
      <c r="AH93" s="3"/>
      <c r="AI93" s="3" t="s">
        <v>249</v>
      </c>
      <c r="AJ93" s="767">
        <f>AJ83+AL27</f>
        <v>550</v>
      </c>
      <c r="AK93" s="767">
        <f>AK83+AL44+AL78</f>
        <v>1200</v>
      </c>
      <c r="AL93" s="767">
        <f>AL83+AL65+AL68</f>
        <v>1000</v>
      </c>
      <c r="AM93" s="792">
        <f>SUM(AJ93:AL93)</f>
        <v>2750</v>
      </c>
      <c r="AN93" s="705"/>
      <c r="AO93" s="705"/>
      <c r="AP93" s="705"/>
    </row>
    <row r="94" spans="1:42">
      <c r="A94" s="124" t="str">
        <f t="shared" si="21"/>
        <v/>
      </c>
      <c r="B94" s="124"/>
      <c r="C94" s="703"/>
      <c r="D94" s="703"/>
      <c r="E94" s="703"/>
      <c r="F94" s="703"/>
      <c r="G94" s="703"/>
      <c r="H94" s="703"/>
      <c r="I94" s="703"/>
      <c r="J94" s="703"/>
      <c r="K94" s="703"/>
      <c r="L94" s="703"/>
      <c r="M94" s="703"/>
      <c r="N94" s="703"/>
      <c r="O94" s="703"/>
      <c r="P94" s="703"/>
      <c r="Q94" s="703"/>
      <c r="R94" s="703"/>
      <c r="S94" s="703"/>
      <c r="T94" s="703"/>
      <c r="U94" s="703"/>
      <c r="V94" s="703"/>
      <c r="W94" s="703"/>
      <c r="X94" s="703"/>
      <c r="Y94" s="703"/>
      <c r="Z94" s="3"/>
      <c r="AA94" s="703"/>
      <c r="AB94" s="703"/>
      <c r="AC94" s="724"/>
      <c r="AD94" s="703"/>
      <c r="AE94" s="703"/>
      <c r="AF94" s="780"/>
      <c r="AG94" s="3"/>
      <c r="AH94" s="3"/>
      <c r="AI94" s="3" t="s">
        <v>251</v>
      </c>
      <c r="AJ94" s="3"/>
      <c r="AK94" s="3"/>
      <c r="AL94" s="767">
        <f>AL84+AL61</f>
        <v>400</v>
      </c>
      <c r="AM94" s="792">
        <f>SUM(AJ94:AL94)</f>
        <v>400</v>
      </c>
      <c r="AN94" s="705"/>
      <c r="AO94" s="705"/>
      <c r="AP94" s="705"/>
    </row>
    <row r="95" spans="1:42" ht="30">
      <c r="A95" s="786" t="s">
        <v>1025</v>
      </c>
      <c r="B95" s="786" t="s">
        <v>1025</v>
      </c>
      <c r="C95" s="787"/>
      <c r="D95" s="787"/>
      <c r="E95" s="787"/>
      <c r="F95" s="787"/>
      <c r="G95" s="787"/>
      <c r="H95" s="787"/>
      <c r="I95" s="787"/>
      <c r="J95" s="787"/>
      <c r="K95" s="787"/>
      <c r="L95" s="787"/>
      <c r="M95" s="787"/>
      <c r="N95" s="787"/>
      <c r="O95" s="787"/>
      <c r="P95" s="787"/>
      <c r="Q95" s="787"/>
      <c r="R95" s="787"/>
      <c r="S95" s="787"/>
      <c r="T95" s="787"/>
      <c r="U95" s="787"/>
      <c r="V95" s="787"/>
      <c r="W95" s="787"/>
      <c r="X95" s="787"/>
      <c r="Y95" s="787"/>
      <c r="Z95" s="788"/>
      <c r="AA95" s="787"/>
      <c r="AB95" s="787"/>
      <c r="AC95" s="789"/>
      <c r="AD95" s="787"/>
      <c r="AE95" s="787"/>
      <c r="AF95" s="790"/>
      <c r="AG95" s="788"/>
      <c r="AH95" s="788"/>
      <c r="AI95" s="788"/>
      <c r="AJ95" s="788"/>
      <c r="AK95" s="788"/>
      <c r="AL95" s="788"/>
      <c r="AM95" s="791">
        <f>SUM(AM96:AM98)</f>
        <v>450</v>
      </c>
      <c r="AN95" s="705"/>
      <c r="AO95" s="705"/>
      <c r="AP95" s="705"/>
    </row>
    <row r="96" spans="1:42">
      <c r="A96" s="124"/>
      <c r="B96" s="124"/>
      <c r="C96" s="703"/>
      <c r="D96" s="703"/>
      <c r="E96" s="703"/>
      <c r="F96" s="703"/>
      <c r="G96" s="703"/>
      <c r="H96" s="703"/>
      <c r="I96" s="703"/>
      <c r="J96" s="703"/>
      <c r="K96" s="703"/>
      <c r="L96" s="703"/>
      <c r="M96" s="703"/>
      <c r="N96" s="703"/>
      <c r="O96" s="703"/>
      <c r="P96" s="703"/>
      <c r="Q96" s="703"/>
      <c r="R96" s="703"/>
      <c r="S96" s="703"/>
      <c r="T96" s="703"/>
      <c r="U96" s="703"/>
      <c r="V96" s="703"/>
      <c r="W96" s="703"/>
      <c r="X96" s="703"/>
      <c r="Y96" s="703"/>
      <c r="Z96" s="3"/>
      <c r="AA96" s="703"/>
      <c r="AB96" s="703"/>
      <c r="AC96" s="724"/>
      <c r="AD96" s="703"/>
      <c r="AE96" s="703"/>
      <c r="AF96" s="780"/>
      <c r="AG96" s="3"/>
      <c r="AH96" s="3"/>
      <c r="AI96" s="3" t="s">
        <v>4</v>
      </c>
      <c r="AJ96" s="767">
        <f>AL23</f>
        <v>150</v>
      </c>
      <c r="AK96" s="767">
        <f>AJ38</f>
        <v>150</v>
      </c>
      <c r="AL96" s="767">
        <f>AL57</f>
        <v>150</v>
      </c>
      <c r="AM96" s="792">
        <f>SUM(AJ96:AL96)</f>
        <v>450</v>
      </c>
      <c r="AN96" s="705"/>
      <c r="AO96" s="705"/>
      <c r="AP96" s="705"/>
    </row>
    <row r="97" spans="1:42">
      <c r="A97" s="124"/>
      <c r="B97" s="124"/>
      <c r="C97" s="703"/>
      <c r="D97" s="703"/>
      <c r="E97" s="703"/>
      <c r="F97" s="703"/>
      <c r="G97" s="703"/>
      <c r="H97" s="703"/>
      <c r="I97" s="703"/>
      <c r="J97" s="703"/>
      <c r="K97" s="703"/>
      <c r="L97" s="703"/>
      <c r="M97" s="703"/>
      <c r="N97" s="703"/>
      <c r="O97" s="703"/>
      <c r="P97" s="703"/>
      <c r="Q97" s="703"/>
      <c r="R97" s="703"/>
      <c r="S97" s="703"/>
      <c r="T97" s="703"/>
      <c r="U97" s="703"/>
      <c r="V97" s="703"/>
      <c r="W97" s="703"/>
      <c r="X97" s="703"/>
      <c r="Y97" s="703"/>
      <c r="Z97" s="3"/>
      <c r="AA97" s="703"/>
      <c r="AB97" s="703"/>
      <c r="AC97" s="724"/>
      <c r="AD97" s="703"/>
      <c r="AE97" s="703"/>
      <c r="AF97" s="780"/>
      <c r="AG97" s="3"/>
      <c r="AH97" s="3"/>
      <c r="AI97" s="3" t="s">
        <v>249</v>
      </c>
      <c r="AJ97" s="3"/>
      <c r="AK97" s="767"/>
      <c r="AL97" s="767"/>
      <c r="AM97" s="792">
        <f>SUM(AJ97:AL97)</f>
        <v>0</v>
      </c>
      <c r="AN97" s="705"/>
      <c r="AO97" s="705"/>
      <c r="AP97" s="705"/>
    </row>
    <row r="98" spans="1:42">
      <c r="A98" s="124"/>
      <c r="B98" s="124"/>
      <c r="C98" s="703"/>
      <c r="D98" s="703"/>
      <c r="E98" s="703"/>
      <c r="F98" s="703"/>
      <c r="G98" s="703"/>
      <c r="H98" s="703"/>
      <c r="I98" s="703"/>
      <c r="J98" s="703"/>
      <c r="K98" s="703"/>
      <c r="L98" s="703"/>
      <c r="M98" s="703"/>
      <c r="N98" s="703"/>
      <c r="O98" s="703"/>
      <c r="P98" s="703"/>
      <c r="Q98" s="703"/>
      <c r="R98" s="703"/>
      <c r="S98" s="703"/>
      <c r="T98" s="703"/>
      <c r="U98" s="703"/>
      <c r="V98" s="703"/>
      <c r="W98" s="703"/>
      <c r="X98" s="703"/>
      <c r="Y98" s="703"/>
      <c r="Z98" s="3"/>
      <c r="AA98" s="703"/>
      <c r="AB98" s="703"/>
      <c r="AC98" s="724"/>
      <c r="AD98" s="703"/>
      <c r="AE98" s="703"/>
      <c r="AF98" s="780"/>
      <c r="AG98" s="3"/>
      <c r="AH98" s="3"/>
      <c r="AI98" s="3" t="s">
        <v>251</v>
      </c>
      <c r="AJ98" s="3"/>
      <c r="AK98" s="3"/>
      <c r="AL98" s="767"/>
      <c r="AM98" s="792">
        <f>SUM(AJ98:AL98)</f>
        <v>0</v>
      </c>
      <c r="AN98" s="705"/>
      <c r="AO98" s="705"/>
      <c r="AP98" s="705"/>
    </row>
    <row r="99" spans="1:42">
      <c r="AN99" s="705"/>
      <c r="AO99" s="705"/>
      <c r="AP99" s="705"/>
    </row>
  </sheetData>
  <autoFilter ref="B2:AQ71"/>
  <mergeCells count="28">
    <mergeCell ref="AM1:AM2"/>
    <mergeCell ref="B1:B2"/>
    <mergeCell ref="C1:E1"/>
    <mergeCell ref="F1:H1"/>
    <mergeCell ref="I1:K1"/>
    <mergeCell ref="L1:N1"/>
    <mergeCell ref="O1:Q1"/>
    <mergeCell ref="AX1:AY1"/>
    <mergeCell ref="AZ1:AZ2"/>
    <mergeCell ref="BA1:BA2"/>
    <mergeCell ref="BB1:BB2"/>
    <mergeCell ref="BC1:BC2"/>
    <mergeCell ref="AR3:AR7"/>
    <mergeCell ref="AR8:AR10"/>
    <mergeCell ref="AR11:AR13"/>
    <mergeCell ref="A1:A2"/>
    <mergeCell ref="AV1:AW1"/>
    <mergeCell ref="AN1:AN2"/>
    <mergeCell ref="AO1:AO2"/>
    <mergeCell ref="AP1:AP2"/>
    <mergeCell ref="AR1:AR2"/>
    <mergeCell ref="AS1:AS2"/>
    <mergeCell ref="AT1:AU1"/>
    <mergeCell ref="R1:T1"/>
    <mergeCell ref="U1:V1"/>
    <mergeCell ref="AG1:AH1"/>
    <mergeCell ref="AI1:AJ1"/>
    <mergeCell ref="AK1:AL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6"/>
  <sheetViews>
    <sheetView topLeftCell="E1" workbookViewId="0">
      <selection activeCell="AA11" sqref="AA11"/>
    </sheetView>
  </sheetViews>
  <sheetFormatPr defaultRowHeight="15"/>
  <cols>
    <col min="2" max="2" width="10.42578125" bestFit="1" customWidth="1"/>
    <col min="3" max="3" width="8.5703125" bestFit="1" customWidth="1"/>
    <col min="5" max="5" width="12.42578125" customWidth="1"/>
    <col min="6" max="6" width="17.85546875" customWidth="1"/>
    <col min="7" max="7" width="20.5703125" bestFit="1" customWidth="1"/>
    <col min="8" max="8" width="8.28515625" bestFit="1" customWidth="1"/>
    <col min="9" max="9" width="8.5703125" customWidth="1"/>
    <col min="10" max="10" width="4.140625" bestFit="1" customWidth="1"/>
    <col min="11" max="11" width="9.85546875" bestFit="1" customWidth="1"/>
    <col min="12" max="12" width="7.140625" bestFit="1" customWidth="1"/>
    <col min="13" max="13" width="11.42578125" customWidth="1"/>
    <col min="14" max="14" width="13.5703125" customWidth="1"/>
    <col min="15" max="15" width="11" bestFit="1" customWidth="1"/>
    <col min="16" max="16" width="10.28515625" bestFit="1" customWidth="1"/>
    <col min="17" max="18" width="11" bestFit="1" customWidth="1"/>
    <col min="19" max="19" width="21.42578125" bestFit="1" customWidth="1"/>
    <col min="20" max="20" width="8.7109375" bestFit="1" customWidth="1"/>
    <col min="21" max="21" width="18" bestFit="1" customWidth="1"/>
    <col min="23" max="23" width="13.85546875" bestFit="1" customWidth="1"/>
  </cols>
  <sheetData>
    <row r="1" spans="1:28">
      <c r="A1" s="3"/>
      <c r="B1" s="3"/>
      <c r="C1" s="3"/>
      <c r="D1" s="3"/>
      <c r="E1" s="917" t="s">
        <v>5</v>
      </c>
      <c r="F1" s="918"/>
      <c r="J1" s="28"/>
      <c r="K1" s="29"/>
      <c r="L1" s="29"/>
      <c r="M1" s="29"/>
      <c r="N1" s="919" t="s">
        <v>5</v>
      </c>
      <c r="O1" s="920"/>
      <c r="P1" s="920"/>
      <c r="Q1" s="920"/>
      <c r="R1" s="920"/>
      <c r="X1" t="s">
        <v>475</v>
      </c>
      <c r="Y1" t="s">
        <v>319</v>
      </c>
    </row>
    <row r="2" spans="1:28" ht="25.5">
      <c r="A2" s="6" t="s">
        <v>0</v>
      </c>
      <c r="B2" s="6" t="s">
        <v>7</v>
      </c>
      <c r="C2" s="6" t="s">
        <v>8</v>
      </c>
      <c r="D2" s="7" t="s">
        <v>9</v>
      </c>
      <c r="E2" s="8" t="s">
        <v>10</v>
      </c>
      <c r="F2" s="9" t="s">
        <v>11</v>
      </c>
      <c r="G2" s="8" t="s">
        <v>282</v>
      </c>
      <c r="H2" s="8" t="s">
        <v>283</v>
      </c>
      <c r="I2" s="200" t="s">
        <v>319</v>
      </c>
      <c r="J2" s="6" t="s">
        <v>0</v>
      </c>
      <c r="K2" s="6" t="s">
        <v>7</v>
      </c>
      <c r="L2" s="6" t="s">
        <v>43</v>
      </c>
      <c r="M2" s="7" t="s">
        <v>9</v>
      </c>
      <c r="N2" s="7" t="s">
        <v>45</v>
      </c>
      <c r="O2" s="7" t="s">
        <v>284</v>
      </c>
      <c r="P2" s="7" t="s">
        <v>285</v>
      </c>
      <c r="Q2" s="7" t="s">
        <v>47</v>
      </c>
      <c r="R2" s="7" t="s">
        <v>329</v>
      </c>
      <c r="S2" s="8" t="s">
        <v>494</v>
      </c>
      <c r="T2" s="8" t="s">
        <v>283</v>
      </c>
      <c r="U2" s="200" t="s">
        <v>493</v>
      </c>
      <c r="V2" s="326" t="s">
        <v>264</v>
      </c>
      <c r="W2" s="200" t="s">
        <v>495</v>
      </c>
      <c r="X2" t="s">
        <v>481</v>
      </c>
      <c r="Y2" t="s">
        <v>1126</v>
      </c>
      <c r="Z2" t="s">
        <v>1126</v>
      </c>
      <c r="AA2" t="s">
        <v>1130</v>
      </c>
      <c r="AB2" t="s">
        <v>1131</v>
      </c>
    </row>
    <row r="3" spans="1:28">
      <c r="A3" s="13">
        <v>1</v>
      </c>
      <c r="B3" s="14" t="s">
        <v>16</v>
      </c>
      <c r="C3" s="14" t="s">
        <v>4</v>
      </c>
      <c r="D3" s="15" t="s">
        <v>749</v>
      </c>
      <c r="E3" s="16">
        <v>2500000</v>
      </c>
      <c r="F3" s="16">
        <v>2800000</v>
      </c>
      <c r="G3" s="3" t="s">
        <v>286</v>
      </c>
      <c r="H3" s="3">
        <v>1.65</v>
      </c>
      <c r="I3">
        <f t="shared" ref="I3:I17" si="0">VLOOKUP(B3,X:Y,2,FALSE)</f>
        <v>18</v>
      </c>
      <c r="J3" s="33">
        <v>1</v>
      </c>
      <c r="K3" s="34" t="s">
        <v>497</v>
      </c>
      <c r="L3" s="34" t="s">
        <v>249</v>
      </c>
      <c r="M3" s="40" t="s">
        <v>15</v>
      </c>
      <c r="N3" s="41">
        <f>VLOOKUP(K3,'Chi tiết_report'!$B$123:$S$175,16,FALSE)</f>
        <v>4500000</v>
      </c>
      <c r="O3" s="97">
        <f>VLOOKUP(K3,'Chi tiết_report'!$B$123:$S$175,7,FALSE)</f>
        <v>150000</v>
      </c>
      <c r="P3" s="41">
        <v>150000</v>
      </c>
      <c r="Q3" s="36">
        <f>VLOOKUP(K3,'Chi tiết_report'!$B$123:$S$175,18,FALSE)</f>
        <v>4500000</v>
      </c>
      <c r="R3" s="36">
        <f>VLOOKUP(K3,'Chi tiết_report'!$B$123:$Z$175,24,FALSE)</f>
        <v>0</v>
      </c>
      <c r="S3" s="3" t="s">
        <v>829</v>
      </c>
      <c r="T3" s="167"/>
      <c r="U3" s="396" t="str">
        <f t="shared" ref="U3:U6" si="1">LOWER(CONCATENATE(K3,".",IF(L3="Ericsson","eric",IF(L3="VHT","viettel","cisco")),".zone",RIGHT(M3,1)))</f>
        <v>ggpd04.viettel.zone1</v>
      </c>
      <c r="V3" t="str">
        <f>VLOOKUP(K3,idns_weight_PCSCF!A:B,2,FALSE)</f>
        <v>Viettel</v>
      </c>
      <c r="X3" t="s">
        <v>16</v>
      </c>
      <c r="Y3">
        <v>18</v>
      </c>
      <c r="Z3">
        <v>18</v>
      </c>
      <c r="AA3">
        <v>4</v>
      </c>
      <c r="AB3">
        <v>32769</v>
      </c>
    </row>
    <row r="4" spans="1:28">
      <c r="A4" s="13">
        <f>A3+1</f>
        <v>2</v>
      </c>
      <c r="B4" s="14" t="s">
        <v>17</v>
      </c>
      <c r="C4" s="14" t="s">
        <v>4</v>
      </c>
      <c r="D4" s="15" t="s">
        <v>749</v>
      </c>
      <c r="E4" s="16">
        <v>2500000</v>
      </c>
      <c r="F4" s="16">
        <v>2800000</v>
      </c>
      <c r="G4" s="3" t="s">
        <v>286</v>
      </c>
      <c r="H4" s="3">
        <v>1.65</v>
      </c>
      <c r="I4">
        <f t="shared" si="0"/>
        <v>18</v>
      </c>
      <c r="J4" s="33">
        <v>2</v>
      </c>
      <c r="K4" s="34" t="s">
        <v>496</v>
      </c>
      <c r="L4" s="34" t="s">
        <v>249</v>
      </c>
      <c r="M4" s="40" t="s">
        <v>15</v>
      </c>
      <c r="N4" s="41">
        <f>VLOOKUP(K4,'Chi tiết_report'!$B$123:$S$175,16,FALSE)</f>
        <v>4500000</v>
      </c>
      <c r="O4" s="97">
        <f>VLOOKUP(K4,'Chi tiết_report'!$B$123:$S$175,7,FALSE)</f>
        <v>150000</v>
      </c>
      <c r="P4" s="41">
        <v>150000</v>
      </c>
      <c r="Q4" s="36">
        <f>VLOOKUP(K4,'Chi tiết_report'!$B$123:$S$175,18,FALSE)</f>
        <v>4500000</v>
      </c>
      <c r="R4" s="36">
        <f>VLOOKUP(K4,'Chi tiết_report'!$B$123:$Z$175,24,FALSE)</f>
        <v>0</v>
      </c>
      <c r="S4" s="3" t="s">
        <v>829</v>
      </c>
      <c r="T4" s="167"/>
      <c r="U4" s="396" t="str">
        <f t="shared" si="1"/>
        <v>ggpd05.viettel.zone1</v>
      </c>
      <c r="V4" t="str">
        <f>VLOOKUP(K4,idns_weight_PCSCF!A:B,2,FALSE)</f>
        <v>Viettel</v>
      </c>
      <c r="X4" t="s">
        <v>17</v>
      </c>
      <c r="Y4">
        <v>18</v>
      </c>
      <c r="Z4">
        <v>18</v>
      </c>
      <c r="AA4">
        <v>8</v>
      </c>
      <c r="AB4">
        <v>32769</v>
      </c>
    </row>
    <row r="5" spans="1:28">
      <c r="A5" s="13">
        <f t="shared" ref="A5:A17" si="2">A4+1</f>
        <v>3</v>
      </c>
      <c r="B5" s="14" t="s">
        <v>18</v>
      </c>
      <c r="C5" s="14" t="s">
        <v>4</v>
      </c>
      <c r="D5" s="15" t="s">
        <v>749</v>
      </c>
      <c r="E5" s="16">
        <v>3300000</v>
      </c>
      <c r="F5" s="16">
        <v>3300000</v>
      </c>
      <c r="G5" s="3" t="s">
        <v>289</v>
      </c>
      <c r="H5" s="3">
        <v>1.84</v>
      </c>
      <c r="I5">
        <f t="shared" si="0"/>
        <v>38</v>
      </c>
      <c r="J5" s="33">
        <v>3</v>
      </c>
      <c r="K5" s="34" t="s">
        <v>498</v>
      </c>
      <c r="L5" s="34" t="s">
        <v>249</v>
      </c>
      <c r="M5" s="40" t="s">
        <v>15</v>
      </c>
      <c r="N5" s="41">
        <f>VLOOKUP(K5,'Chi tiết_report'!$B$123:$S$175,16,FALSE)</f>
        <v>4500000</v>
      </c>
      <c r="O5" s="97">
        <f>VLOOKUP(K5,'Chi tiết_report'!$B$123:$S$175,7,FALSE)</f>
        <v>150000</v>
      </c>
      <c r="P5" s="41">
        <v>100000</v>
      </c>
      <c r="Q5" s="36">
        <f>VLOOKUP(K5,'Chi tiết_report'!$B$123:$S$175,18,FALSE)</f>
        <v>4500000</v>
      </c>
      <c r="R5" s="36">
        <f>VLOOKUP(K5,'Chi tiết_report'!$B$123:$Z$175,24,FALSE)</f>
        <v>0</v>
      </c>
      <c r="S5" s="3" t="s">
        <v>829</v>
      </c>
      <c r="T5" s="167"/>
      <c r="U5" s="396" t="str">
        <f t="shared" si="1"/>
        <v>ggpd06.viettel.zone1</v>
      </c>
      <c r="V5" t="str">
        <f>VLOOKUP(K5,idns_weight_PCSCF!A:B,2,FALSE)</f>
        <v>Viettel</v>
      </c>
      <c r="X5" t="s">
        <v>18</v>
      </c>
      <c r="Y5">
        <v>38</v>
      </c>
      <c r="Z5">
        <v>38</v>
      </c>
      <c r="AA5">
        <v>12</v>
      </c>
      <c r="AB5">
        <v>32769</v>
      </c>
    </row>
    <row r="6" spans="1:28">
      <c r="A6" s="13">
        <f t="shared" si="2"/>
        <v>4</v>
      </c>
      <c r="B6" s="14" t="s">
        <v>19</v>
      </c>
      <c r="C6" s="14" t="s">
        <v>4</v>
      </c>
      <c r="D6" s="15" t="s">
        <v>749</v>
      </c>
      <c r="E6" s="16">
        <v>3300000</v>
      </c>
      <c r="F6" s="16">
        <v>3300000</v>
      </c>
      <c r="G6" s="3" t="s">
        <v>289</v>
      </c>
      <c r="H6" s="3">
        <v>1.84</v>
      </c>
      <c r="I6">
        <f t="shared" si="0"/>
        <v>38</v>
      </c>
      <c r="J6" s="33">
        <v>4</v>
      </c>
      <c r="K6" s="34" t="s">
        <v>492</v>
      </c>
      <c r="L6" s="34" t="s">
        <v>249</v>
      </c>
      <c r="M6" s="40" t="s">
        <v>15</v>
      </c>
      <c r="N6" s="41">
        <f>VLOOKUP(K6,'Chi tiết_report'!$B$123:$S$175,16,FALSE)</f>
        <v>4500000</v>
      </c>
      <c r="O6" s="97">
        <f>VLOOKUP(K6,'Chi tiết_report'!$B$123:$S$175,7,FALSE)</f>
        <v>150000</v>
      </c>
      <c r="P6" s="41">
        <v>150000</v>
      </c>
      <c r="Q6" s="36">
        <f>VLOOKUP(K6,'Chi tiết_report'!$B$123:$S$175,18,FALSE)</f>
        <v>4500000</v>
      </c>
      <c r="R6" s="36">
        <f>VLOOKUP(K6,'Chi tiết_report'!$B$123:$Z$175,24,FALSE)</f>
        <v>0</v>
      </c>
      <c r="S6" s="3" t="s">
        <v>829</v>
      </c>
      <c r="T6" s="167"/>
      <c r="U6" s="396" t="str">
        <f t="shared" si="1"/>
        <v>ggpd07.viettel.zone1</v>
      </c>
      <c r="V6" t="str">
        <f>VLOOKUP(K6,idns_weight_PCSCF!A:B,2,FALSE)</f>
        <v>Viettel</v>
      </c>
      <c r="X6" t="s">
        <v>19</v>
      </c>
      <c r="Y6">
        <v>38</v>
      </c>
      <c r="Z6">
        <v>38</v>
      </c>
      <c r="AA6">
        <v>16</v>
      </c>
      <c r="AB6">
        <v>32769</v>
      </c>
    </row>
    <row r="7" spans="1:28">
      <c r="A7" s="13">
        <f t="shared" si="2"/>
        <v>5</v>
      </c>
      <c r="B7" s="14" t="s">
        <v>20</v>
      </c>
      <c r="C7" s="14" t="s">
        <v>4</v>
      </c>
      <c r="D7" s="15" t="s">
        <v>749</v>
      </c>
      <c r="E7" s="16">
        <v>3300000</v>
      </c>
      <c r="F7" s="16">
        <v>3300000</v>
      </c>
      <c r="G7" s="3" t="s">
        <v>289</v>
      </c>
      <c r="H7" s="3">
        <v>1.84</v>
      </c>
      <c r="I7">
        <f t="shared" si="0"/>
        <v>38</v>
      </c>
      <c r="J7" s="33">
        <v>5</v>
      </c>
      <c r="K7" s="34" t="s">
        <v>58</v>
      </c>
      <c r="L7" s="34" t="s">
        <v>4</v>
      </c>
      <c r="M7" s="35" t="s">
        <v>15</v>
      </c>
      <c r="N7" s="41">
        <f>VLOOKUP(K7,'Chi tiết_report'!$B$123:$S$175,16,FALSE)</f>
        <v>1500000</v>
      </c>
      <c r="O7" s="97">
        <f>VLOOKUP(K7,'Chi tiết_report'!$B$123:$S$175,7,FALSE)</f>
        <v>80000</v>
      </c>
      <c r="P7" s="41">
        <v>60000</v>
      </c>
      <c r="Q7" s="36">
        <f>VLOOKUP(K7,'Chi tiết_report'!$B$123:$S$175,18,FALSE)</f>
        <v>1755000</v>
      </c>
      <c r="R7" s="36">
        <f>VLOOKUP(K7,'Chi tiết_report'!$B$123:$Z$175,24,FALSE)</f>
        <v>1495000</v>
      </c>
      <c r="S7" t="s">
        <v>287</v>
      </c>
      <c r="T7" s="167" t="s">
        <v>358</v>
      </c>
      <c r="U7" s="396" t="str">
        <f>LOWER(CONCATENATE(K7,".",IF(L7="Ericsson","eric",IF(L7="VHT","viettel","cisco")),".zone",RIGHT(M7,1)))</f>
        <v>gghl04.eric.zone1</v>
      </c>
      <c r="V7" t="str">
        <f>VLOOKUP(K7,idns_weight_PCSCF!A:B,2,FALSE)</f>
        <v>Ericsson</v>
      </c>
      <c r="X7" t="s">
        <v>20</v>
      </c>
      <c r="Y7">
        <v>38</v>
      </c>
      <c r="Z7">
        <v>38</v>
      </c>
      <c r="AA7">
        <v>40</v>
      </c>
      <c r="AB7">
        <v>32769</v>
      </c>
    </row>
    <row r="8" spans="1:28">
      <c r="A8" s="13">
        <f t="shared" si="2"/>
        <v>6</v>
      </c>
      <c r="B8" s="14" t="s">
        <v>21</v>
      </c>
      <c r="C8" s="14" t="s">
        <v>4</v>
      </c>
      <c r="D8" s="15" t="s">
        <v>749</v>
      </c>
      <c r="E8" s="16">
        <v>3300000</v>
      </c>
      <c r="F8" s="16">
        <v>3300000</v>
      </c>
      <c r="G8" s="3" t="s">
        <v>289</v>
      </c>
      <c r="H8" s="3">
        <v>1.65</v>
      </c>
      <c r="I8">
        <f t="shared" si="0"/>
        <v>38</v>
      </c>
      <c r="J8" s="33">
        <v>6</v>
      </c>
      <c r="K8" s="34" t="s">
        <v>60</v>
      </c>
      <c r="L8" s="34" t="s">
        <v>4</v>
      </c>
      <c r="M8" s="35" t="s">
        <v>15</v>
      </c>
      <c r="N8" s="41">
        <v>1500000</v>
      </c>
      <c r="O8" s="97">
        <v>80000</v>
      </c>
      <c r="P8" s="41">
        <v>60000</v>
      </c>
      <c r="Q8" s="36">
        <f>26*65535</f>
        <v>1703910</v>
      </c>
      <c r="R8" s="36">
        <f>VLOOKUP(K8,'Chi tiết_report'!$B$123:$Z$175,24,FALSE)</f>
        <v>0</v>
      </c>
      <c r="S8" t="s">
        <v>287</v>
      </c>
      <c r="T8" s="167" t="s">
        <v>358</v>
      </c>
      <c r="U8" s="396" t="str">
        <f t="shared" ref="U8:U57" si="3">LOWER(CONCATENATE(K8,".",IF(L8="Ericsson","eric",IF(L8="VHT","viettel","cisco")),".zone",RIGHT(M8,1)))</f>
        <v>gghl05.eric.zone1</v>
      </c>
      <c r="V8" t="str">
        <f>VLOOKUP(K8,idns_weight_PCSCF!A:B,2,FALSE)</f>
        <v>Ericsson</v>
      </c>
      <c r="X8" t="s">
        <v>21</v>
      </c>
      <c r="Y8">
        <v>38</v>
      </c>
      <c r="Z8">
        <v>38</v>
      </c>
      <c r="AA8">
        <v>44</v>
      </c>
      <c r="AB8">
        <v>32769</v>
      </c>
    </row>
    <row r="9" spans="1:28">
      <c r="A9" s="13">
        <f t="shared" si="2"/>
        <v>7</v>
      </c>
      <c r="B9" s="14" t="s">
        <v>22</v>
      </c>
      <c r="C9" s="14" t="s">
        <v>4</v>
      </c>
      <c r="D9" s="15" t="s">
        <v>749</v>
      </c>
      <c r="E9" s="16">
        <v>3300000</v>
      </c>
      <c r="F9" s="16">
        <v>3300000</v>
      </c>
      <c r="G9" s="3" t="s">
        <v>290</v>
      </c>
      <c r="H9" s="168" t="s">
        <v>296</v>
      </c>
      <c r="I9">
        <f t="shared" si="0"/>
        <v>10</v>
      </c>
      <c r="J9" s="33">
        <v>7</v>
      </c>
      <c r="K9" s="34" t="s">
        <v>61</v>
      </c>
      <c r="L9" s="34" t="s">
        <v>4</v>
      </c>
      <c r="M9" s="35" t="s">
        <v>15</v>
      </c>
      <c r="N9" s="41">
        <v>1500000</v>
      </c>
      <c r="O9" s="97">
        <v>80000</v>
      </c>
      <c r="P9" s="41">
        <v>60000</v>
      </c>
      <c r="Q9" s="36">
        <f>VLOOKUP(K9,'Chi tiết_report'!$B$123:$S$175,18,FALSE)</f>
        <v>0</v>
      </c>
      <c r="R9" s="36">
        <f>VLOOKUP(K9,'Chi tiết_report'!$B$123:$Z$175,24,FALSE)</f>
        <v>0</v>
      </c>
      <c r="S9" t="s">
        <v>287</v>
      </c>
      <c r="T9" s="167" t="s">
        <v>358</v>
      </c>
      <c r="U9" s="396" t="str">
        <f t="shared" si="3"/>
        <v>gghl06.eric.zone1</v>
      </c>
      <c r="V9" t="e">
        <f>VLOOKUP(K9,idns_weight_PCSCF!A:B,2,FALSE)</f>
        <v>#N/A</v>
      </c>
      <c r="X9" t="s">
        <v>22</v>
      </c>
      <c r="Y9">
        <v>10</v>
      </c>
      <c r="Z9">
        <v>10</v>
      </c>
      <c r="AA9">
        <v>60</v>
      </c>
      <c r="AB9">
        <v>32769</v>
      </c>
    </row>
    <row r="10" spans="1:28">
      <c r="A10" s="13">
        <f t="shared" si="2"/>
        <v>8</v>
      </c>
      <c r="B10" s="14" t="s">
        <v>106</v>
      </c>
      <c r="C10" s="14" t="s">
        <v>4</v>
      </c>
      <c r="D10" s="15" t="s">
        <v>749</v>
      </c>
      <c r="E10" s="16">
        <v>3300000</v>
      </c>
      <c r="F10" s="16">
        <v>3300000</v>
      </c>
      <c r="G10" s="3" t="s">
        <v>290</v>
      </c>
      <c r="H10" s="168" t="s">
        <v>296</v>
      </c>
      <c r="I10">
        <f t="shared" si="0"/>
        <v>10</v>
      </c>
      <c r="J10" s="33">
        <v>8</v>
      </c>
      <c r="K10" s="34" t="s">
        <v>63</v>
      </c>
      <c r="L10" s="34" t="s">
        <v>4</v>
      </c>
      <c r="M10" s="35" t="s">
        <v>15</v>
      </c>
      <c r="N10" s="41">
        <f>VLOOKUP(K10,'Chi tiết_report'!$B$123:$S$175,16,FALSE)</f>
        <v>1500000</v>
      </c>
      <c r="O10" s="97">
        <f>VLOOKUP(K10,'Chi tiết_report'!$B$123:$S$175,7,FALSE)</f>
        <v>80000</v>
      </c>
      <c r="P10" s="41">
        <v>60000</v>
      </c>
      <c r="Q10" s="36">
        <f>VLOOKUP(K10,'Chi tiết_report'!$B$123:$S$175,18,FALSE)</f>
        <v>1690000</v>
      </c>
      <c r="R10" s="36">
        <f>VLOOKUP(K10,'Chi tiết_report'!$B$123:$Z$175,24,FALSE)</f>
        <v>1495000</v>
      </c>
      <c r="S10" t="s">
        <v>287</v>
      </c>
      <c r="T10" s="167" t="s">
        <v>358</v>
      </c>
      <c r="U10" s="396" t="str">
        <f t="shared" si="3"/>
        <v>gghl07.eric.zone1</v>
      </c>
      <c r="V10" t="str">
        <f>VLOOKUP(K10,idns_weight_PCSCF!A:B,2,FALSE)</f>
        <v>Ericsson</v>
      </c>
      <c r="X10" t="s">
        <v>106</v>
      </c>
      <c r="Y10">
        <v>10</v>
      </c>
      <c r="Z10">
        <v>10</v>
      </c>
      <c r="AA10">
        <v>92</v>
      </c>
      <c r="AB10">
        <v>32769</v>
      </c>
    </row>
    <row r="11" spans="1:28">
      <c r="A11" s="13">
        <f t="shared" si="2"/>
        <v>9</v>
      </c>
      <c r="B11" s="14" t="s">
        <v>107</v>
      </c>
      <c r="C11" s="14" t="s">
        <v>4</v>
      </c>
      <c r="D11" s="15" t="s">
        <v>749</v>
      </c>
      <c r="E11" s="16">
        <v>3300000</v>
      </c>
      <c r="F11" s="16">
        <v>3300000</v>
      </c>
      <c r="G11" s="3" t="s">
        <v>292</v>
      </c>
      <c r="H11" s="168" t="s">
        <v>296</v>
      </c>
      <c r="I11">
        <f t="shared" si="0"/>
        <v>38</v>
      </c>
      <c r="J11" s="33">
        <v>9</v>
      </c>
      <c r="K11" s="34" t="s">
        <v>64</v>
      </c>
      <c r="L11" s="34" t="s">
        <v>4</v>
      </c>
      <c r="M11" s="35" t="s">
        <v>15</v>
      </c>
      <c r="N11" s="41">
        <f>VLOOKUP(K11,'Chi tiết_report'!$B$123:$S$175,16,FALSE)</f>
        <v>2800000</v>
      </c>
      <c r="O11" s="97">
        <f>VLOOKUP(K11,'Chi tiết_report'!$B$123:$S$175,7,FALSE)</f>
        <v>150000</v>
      </c>
      <c r="P11" s="41">
        <v>135000</v>
      </c>
      <c r="Q11" s="36">
        <f>VLOOKUP(K11,'Chi tiết_report'!$B$123:$S$175,18,FALSE)</f>
        <v>2990000</v>
      </c>
      <c r="R11" s="36">
        <f>VLOOKUP(K11,'Chi tiết_report'!$B$123:$Z$175,24,FALSE)</f>
        <v>2730000</v>
      </c>
      <c r="S11" t="s">
        <v>287</v>
      </c>
      <c r="T11" s="167" t="s">
        <v>358</v>
      </c>
      <c r="U11" s="396" t="str">
        <f t="shared" si="3"/>
        <v>gghl08.eric.zone1</v>
      </c>
      <c r="V11" t="str">
        <f>VLOOKUP(K11,idns_weight_PCSCF!A:B,2,FALSE)</f>
        <v>Ericsson</v>
      </c>
      <c r="X11" t="s">
        <v>107</v>
      </c>
      <c r="Y11">
        <v>38</v>
      </c>
      <c r="Z11">
        <v>38</v>
      </c>
      <c r="AA11">
        <v>96</v>
      </c>
      <c r="AB11">
        <v>32769</v>
      </c>
    </row>
    <row r="12" spans="1:28">
      <c r="A12" s="13">
        <f t="shared" si="2"/>
        <v>10</v>
      </c>
      <c r="B12" s="14" t="s">
        <v>108</v>
      </c>
      <c r="C12" s="14" t="s">
        <v>4</v>
      </c>
      <c r="D12" s="15" t="s">
        <v>749</v>
      </c>
      <c r="E12" s="16">
        <v>3300000</v>
      </c>
      <c r="F12" s="16">
        <v>3300000</v>
      </c>
      <c r="G12" s="3" t="s">
        <v>292</v>
      </c>
      <c r="H12" s="168" t="s">
        <v>296</v>
      </c>
      <c r="I12">
        <f t="shared" si="0"/>
        <v>38</v>
      </c>
      <c r="J12" s="33">
        <v>10</v>
      </c>
      <c r="K12" s="34" t="s">
        <v>65</v>
      </c>
      <c r="L12" s="34" t="s">
        <v>4</v>
      </c>
      <c r="M12" s="35" t="s">
        <v>15</v>
      </c>
      <c r="N12" s="41">
        <f>VLOOKUP(K12,'Chi tiết_report'!$B$123:$S$175,16,FALSE)</f>
        <v>2800000</v>
      </c>
      <c r="O12" s="97">
        <f>VLOOKUP(K12,'Chi tiết_report'!$B$123:$S$175,7,FALSE)</f>
        <v>150000</v>
      </c>
      <c r="P12" s="41">
        <v>135000</v>
      </c>
      <c r="Q12" s="36">
        <f>VLOOKUP(K12,'Chi tiết_report'!$B$123:$S$175,18,FALSE)</f>
        <v>2990000</v>
      </c>
      <c r="R12" s="36">
        <f>VLOOKUP(K12,'Chi tiết_report'!$B$123:$Z$175,24,FALSE)</f>
        <v>2730000</v>
      </c>
      <c r="S12" t="s">
        <v>287</v>
      </c>
      <c r="T12" s="167" t="s">
        <v>358</v>
      </c>
      <c r="U12" s="396" t="str">
        <f t="shared" si="3"/>
        <v>gghl09.eric.zone1</v>
      </c>
      <c r="V12" t="str">
        <f>VLOOKUP(K12,idns_weight_PCSCF!A:B,2,FALSE)</f>
        <v>Ericsson</v>
      </c>
      <c r="X12" t="s">
        <v>108</v>
      </c>
      <c r="Y12">
        <v>38</v>
      </c>
      <c r="Z12">
        <v>38</v>
      </c>
      <c r="AA12">
        <v>100</v>
      </c>
      <c r="AB12">
        <v>32769</v>
      </c>
    </row>
    <row r="13" spans="1:28">
      <c r="A13" s="13">
        <f t="shared" si="2"/>
        <v>11</v>
      </c>
      <c r="B13" s="14" t="s">
        <v>345</v>
      </c>
      <c r="C13" s="14" t="s">
        <v>4</v>
      </c>
      <c r="D13" s="15" t="s">
        <v>749</v>
      </c>
      <c r="E13" s="16">
        <v>2000000</v>
      </c>
      <c r="F13" s="16">
        <v>2000000</v>
      </c>
      <c r="G13" s="3" t="s">
        <v>290</v>
      </c>
      <c r="H13" s="168" t="s">
        <v>347</v>
      </c>
      <c r="I13">
        <f t="shared" si="0"/>
        <v>10</v>
      </c>
      <c r="J13" s="33">
        <v>11</v>
      </c>
      <c r="K13" s="34" t="s">
        <v>66</v>
      </c>
      <c r="L13" s="34" t="s">
        <v>4</v>
      </c>
      <c r="M13" s="35" t="s">
        <v>15</v>
      </c>
      <c r="N13" s="41">
        <f>VLOOKUP(K13,'Chi tiết_report'!$B$123:$S$175,16,FALSE)</f>
        <v>2400000</v>
      </c>
      <c r="O13" s="97">
        <f>VLOOKUP(K13,'Chi tiết_report'!$B$123:$S$175,7,FALSE)</f>
        <v>100000</v>
      </c>
      <c r="P13" s="41">
        <v>100000</v>
      </c>
      <c r="Q13" s="36">
        <f>VLOOKUP(K13,'Chi tiết_report'!$B$123:$S$175,18,FALSE)</f>
        <v>2470000</v>
      </c>
      <c r="R13" s="36">
        <f>VLOOKUP(K13,'Chi tiết_report'!$B$123:$Z$175,24,FALSE)</f>
        <v>2015000</v>
      </c>
      <c r="S13" t="s">
        <v>287</v>
      </c>
      <c r="T13" s="167" t="s">
        <v>358</v>
      </c>
      <c r="U13" s="396" t="str">
        <f t="shared" si="3"/>
        <v>gghl10.eric.zone1</v>
      </c>
      <c r="V13" t="str">
        <f>VLOOKUP(K13,idns_weight_PCSCF!A:B,2,FALSE)</f>
        <v>Ericsson</v>
      </c>
      <c r="X13" t="s">
        <v>345</v>
      </c>
      <c r="Y13">
        <v>10</v>
      </c>
      <c r="Z13">
        <v>10</v>
      </c>
      <c r="AA13">
        <v>116</v>
      </c>
      <c r="AB13">
        <v>32769</v>
      </c>
    </row>
    <row r="14" spans="1:28">
      <c r="A14" s="13">
        <f t="shared" si="2"/>
        <v>12</v>
      </c>
      <c r="B14" s="14" t="s">
        <v>346</v>
      </c>
      <c r="C14" s="14" t="s">
        <v>4</v>
      </c>
      <c r="D14" s="15" t="s">
        <v>749</v>
      </c>
      <c r="E14" s="16">
        <v>2000000</v>
      </c>
      <c r="F14" s="16">
        <v>2000000</v>
      </c>
      <c r="G14" s="3" t="s">
        <v>292</v>
      </c>
      <c r="H14" s="168" t="s">
        <v>347</v>
      </c>
      <c r="I14">
        <f t="shared" si="0"/>
        <v>30</v>
      </c>
      <c r="J14" s="33">
        <v>12</v>
      </c>
      <c r="K14" s="34" t="s">
        <v>67</v>
      </c>
      <c r="L14" s="34" t="s">
        <v>4</v>
      </c>
      <c r="M14" s="35" t="s">
        <v>15</v>
      </c>
      <c r="N14" s="41">
        <f>VLOOKUP(K14,'Chi tiết_report'!$B$123:$S$175,16,FALSE)</f>
        <v>2800000</v>
      </c>
      <c r="O14" s="97">
        <f>VLOOKUP(K14,'Chi tiết_report'!$B$123:$S$175,7,FALSE)</f>
        <v>150000</v>
      </c>
      <c r="P14" s="41">
        <v>135000</v>
      </c>
      <c r="Q14" s="36">
        <f>VLOOKUP(K14,'Chi tiết_report'!$B$123:$S$175,18,FALSE)</f>
        <v>2990000</v>
      </c>
      <c r="R14" s="36">
        <f>VLOOKUP(K14,'Chi tiết_report'!$B$123:$Z$175,24,FALSE)</f>
        <v>2730000</v>
      </c>
      <c r="S14" t="s">
        <v>287</v>
      </c>
      <c r="T14" s="167" t="s">
        <v>358</v>
      </c>
      <c r="U14" s="396" t="str">
        <f t="shared" si="3"/>
        <v>gghl11.eric.zone1</v>
      </c>
      <c r="V14" t="str">
        <f>VLOOKUP(K14,idns_weight_PCSCF!A:B,2,FALSE)</f>
        <v>Ericsson</v>
      </c>
      <c r="X14" t="s">
        <v>346</v>
      </c>
      <c r="Y14">
        <v>30</v>
      </c>
      <c r="Z14">
        <v>30</v>
      </c>
      <c r="AA14">
        <v>120</v>
      </c>
      <c r="AB14">
        <v>32769</v>
      </c>
    </row>
    <row r="15" spans="1:28">
      <c r="A15" s="13">
        <f t="shared" si="2"/>
        <v>13</v>
      </c>
      <c r="B15" s="101" t="s">
        <v>689</v>
      </c>
      <c r="C15" s="101" t="s">
        <v>4</v>
      </c>
      <c r="D15" s="102" t="s">
        <v>750</v>
      </c>
      <c r="E15" s="103">
        <v>2000000</v>
      </c>
      <c r="F15" s="103">
        <v>2000000</v>
      </c>
      <c r="G15" s="174" t="s">
        <v>748</v>
      </c>
      <c r="H15" s="654">
        <v>1.86</v>
      </c>
      <c r="I15">
        <f t="shared" si="0"/>
        <v>20</v>
      </c>
      <c r="J15" s="33">
        <v>13</v>
      </c>
      <c r="K15" s="34" t="s">
        <v>68</v>
      </c>
      <c r="L15" s="34" t="s">
        <v>4</v>
      </c>
      <c r="M15" s="35" t="s">
        <v>15</v>
      </c>
      <c r="N15" s="41">
        <f>VLOOKUP(K15,'Chi tiết_report'!$B$123:$S$175,16,FALSE)</f>
        <v>2800000</v>
      </c>
      <c r="O15" s="97">
        <f>VLOOKUP(K15,'Chi tiết_report'!$B$123:$S$175,7,FALSE)</f>
        <v>150000</v>
      </c>
      <c r="P15" s="41">
        <v>135000</v>
      </c>
      <c r="Q15" s="36">
        <f>VLOOKUP(K15,'Chi tiết_report'!$B$123:$S$175,18,FALSE)</f>
        <v>2990000</v>
      </c>
      <c r="R15" s="36">
        <f>VLOOKUP(K15,'Chi tiết_report'!$B$123:$Z$175,24,FALSE)</f>
        <v>2730000</v>
      </c>
      <c r="S15" t="s">
        <v>287</v>
      </c>
      <c r="T15" s="167" t="s">
        <v>358</v>
      </c>
      <c r="U15" s="396" t="str">
        <f t="shared" si="3"/>
        <v>gghl12.eric.zone1</v>
      </c>
      <c r="V15" t="str">
        <f>VLOOKUP(K15,idns_weight_PCSCF!A:B,2,FALSE)</f>
        <v>Ericsson</v>
      </c>
      <c r="X15" t="s">
        <v>24</v>
      </c>
      <c r="Y15">
        <v>25</v>
      </c>
      <c r="Z15">
        <v>25</v>
      </c>
      <c r="AA15">
        <v>20</v>
      </c>
      <c r="AB15">
        <v>32770</v>
      </c>
    </row>
    <row r="16" spans="1:28">
      <c r="A16" s="13">
        <f t="shared" si="2"/>
        <v>14</v>
      </c>
      <c r="B16" s="101" t="s">
        <v>690</v>
      </c>
      <c r="C16" s="101" t="s">
        <v>4</v>
      </c>
      <c r="D16" s="102" t="s">
        <v>750</v>
      </c>
      <c r="E16" s="103">
        <v>2000000</v>
      </c>
      <c r="F16" s="103">
        <v>2000000</v>
      </c>
      <c r="G16" s="174" t="s">
        <v>748</v>
      </c>
      <c r="H16" s="654">
        <v>1.86</v>
      </c>
      <c r="I16">
        <f t="shared" si="0"/>
        <v>20</v>
      </c>
      <c r="J16" s="33">
        <v>14</v>
      </c>
      <c r="K16" s="34" t="s">
        <v>69</v>
      </c>
      <c r="L16" s="34" t="s">
        <v>4</v>
      </c>
      <c r="M16" s="35" t="s">
        <v>15</v>
      </c>
      <c r="N16" s="41">
        <f>VLOOKUP(K16,'Chi tiết_report'!$B$123:$S$175,16,FALSE)</f>
        <v>4000000</v>
      </c>
      <c r="O16" s="97">
        <f>VLOOKUP(K16,'Chi tiết_report'!$B$123:$S$175,7,FALSE)</f>
        <v>180000</v>
      </c>
      <c r="P16" s="41">
        <v>150000</v>
      </c>
      <c r="Q16" s="36">
        <f>VLOOKUP(K16,'Chi tiết_report'!$B$123:$S$175,18,FALSE)</f>
        <v>4063232</v>
      </c>
      <c r="R16" s="36">
        <f t="shared" ref="R16:R22" si="4">131072*31</f>
        <v>4063232</v>
      </c>
      <c r="S16" s="3" t="s">
        <v>403</v>
      </c>
      <c r="T16" s="167" t="s">
        <v>288</v>
      </c>
      <c r="U16" s="396" t="str">
        <f t="shared" si="3"/>
        <v>gghl13.eric.zone1</v>
      </c>
      <c r="V16" t="str">
        <f>VLOOKUP(K16,idns_weight_PCSCF!A:B,2,FALSE)</f>
        <v>Ericsson</v>
      </c>
      <c r="X16" t="s">
        <v>26</v>
      </c>
      <c r="Y16">
        <v>25</v>
      </c>
      <c r="Z16">
        <v>25</v>
      </c>
      <c r="AA16">
        <v>24</v>
      </c>
      <c r="AB16">
        <v>32770</v>
      </c>
    </row>
    <row r="17" spans="1:28">
      <c r="A17" s="13">
        <f t="shared" si="2"/>
        <v>15</v>
      </c>
      <c r="B17" s="101" t="s">
        <v>691</v>
      </c>
      <c r="C17" s="101" t="s">
        <v>4</v>
      </c>
      <c r="D17" s="102" t="s">
        <v>750</v>
      </c>
      <c r="E17" s="103">
        <v>2000000</v>
      </c>
      <c r="F17" s="103">
        <v>2000000</v>
      </c>
      <c r="G17" s="174" t="s">
        <v>748</v>
      </c>
      <c r="H17" s="654">
        <v>1.86</v>
      </c>
      <c r="I17">
        <f t="shared" si="0"/>
        <v>20</v>
      </c>
      <c r="J17" s="33">
        <v>15</v>
      </c>
      <c r="K17" s="34" t="s">
        <v>71</v>
      </c>
      <c r="L17" s="34" t="s">
        <v>4</v>
      </c>
      <c r="M17" s="35" t="s">
        <v>15</v>
      </c>
      <c r="N17" s="41">
        <f>VLOOKUP(K17,'Chi tiết_report'!$B$123:$S$175,16,FALSE)</f>
        <v>4000000</v>
      </c>
      <c r="O17" s="97">
        <f>VLOOKUP(K17,'Chi tiết_report'!$B$123:$S$175,7,FALSE)</f>
        <v>180000</v>
      </c>
      <c r="P17" s="41">
        <v>150000</v>
      </c>
      <c r="Q17" s="36">
        <f>VLOOKUP(K17,'Chi tiết_report'!$B$123:$S$175,18,FALSE)</f>
        <v>4063232</v>
      </c>
      <c r="R17" s="36">
        <f t="shared" si="4"/>
        <v>4063232</v>
      </c>
      <c r="S17" s="3" t="s">
        <v>403</v>
      </c>
      <c r="T17" s="167" t="s">
        <v>288</v>
      </c>
      <c r="U17" s="396" t="str">
        <f t="shared" si="3"/>
        <v>gghl14.eric.zone1</v>
      </c>
      <c r="V17" t="str">
        <f>VLOOKUP(K17,idns_weight_PCSCF!A:B,2,FALSE)</f>
        <v>Ericsson</v>
      </c>
      <c r="X17" t="s">
        <v>27</v>
      </c>
      <c r="Y17">
        <v>25</v>
      </c>
      <c r="Z17">
        <v>25</v>
      </c>
      <c r="AA17">
        <v>48</v>
      </c>
      <c r="AB17">
        <v>32770</v>
      </c>
    </row>
    <row r="18" spans="1:28">
      <c r="A18" s="146"/>
      <c r="B18" s="19" t="s">
        <v>23</v>
      </c>
      <c r="C18" s="19" t="s">
        <v>4</v>
      </c>
      <c r="D18" s="19"/>
      <c r="E18" s="20">
        <f>SUM(E3:E17)</f>
        <v>41400000</v>
      </c>
      <c r="F18" s="20">
        <f>SUM(F3:F17)</f>
        <v>42000000</v>
      </c>
      <c r="G18" s="3"/>
      <c r="H18" s="3"/>
      <c r="J18" s="33">
        <v>16</v>
      </c>
      <c r="K18" s="34" t="s">
        <v>72</v>
      </c>
      <c r="L18" s="34" t="s">
        <v>4</v>
      </c>
      <c r="M18" s="35" t="s">
        <v>15</v>
      </c>
      <c r="N18" s="41">
        <f>VLOOKUP(K18,'Chi tiết_report'!$B$123:$S$175,16,FALSE)</f>
        <v>4000000</v>
      </c>
      <c r="O18" s="97">
        <f>VLOOKUP(K18,'Chi tiết_report'!$B$123:$S$175,7,FALSE)</f>
        <v>180000</v>
      </c>
      <c r="P18" s="41">
        <v>150000</v>
      </c>
      <c r="Q18" s="36">
        <f>VLOOKUP(K18,'Chi tiết_report'!$B$123:$S$175,18,FALSE)</f>
        <v>4063232</v>
      </c>
      <c r="R18" s="36">
        <f t="shared" si="4"/>
        <v>4063232</v>
      </c>
      <c r="S18" s="3" t="s">
        <v>404</v>
      </c>
      <c r="T18" s="167" t="s">
        <v>358</v>
      </c>
      <c r="U18" s="396" t="str">
        <f t="shared" si="3"/>
        <v>gghl15.eric.zone1</v>
      </c>
      <c r="V18" t="str">
        <f>VLOOKUP(K18,idns_weight_PCSCF!A:B,2,FALSE)</f>
        <v>Ericsson</v>
      </c>
      <c r="X18" t="s">
        <v>105</v>
      </c>
      <c r="Y18">
        <v>25</v>
      </c>
      <c r="Z18">
        <v>25</v>
      </c>
      <c r="AA18">
        <v>104</v>
      </c>
      <c r="AB18">
        <v>32770</v>
      </c>
    </row>
    <row r="19" spans="1:28">
      <c r="A19" s="151">
        <v>16</v>
      </c>
      <c r="B19" s="152" t="s">
        <v>351</v>
      </c>
      <c r="C19" s="152" t="s">
        <v>249</v>
      </c>
      <c r="D19" s="153" t="s">
        <v>15</v>
      </c>
      <c r="E19" s="154">
        <v>1000000</v>
      </c>
      <c r="F19" s="154">
        <v>1000000</v>
      </c>
      <c r="G19" s="204"/>
      <c r="H19" s="205"/>
      <c r="J19" s="33">
        <v>17</v>
      </c>
      <c r="K19" s="34" t="s">
        <v>74</v>
      </c>
      <c r="L19" s="34" t="s">
        <v>4</v>
      </c>
      <c r="M19" s="35" t="s">
        <v>15</v>
      </c>
      <c r="N19" s="41">
        <f>VLOOKUP(K19,'Chi tiết_report'!$B$123:$S$175,16,FALSE)</f>
        <v>4000000</v>
      </c>
      <c r="O19" s="97">
        <f>VLOOKUP(K19,'Chi tiết_report'!$B$123:$S$175,7,FALSE)</f>
        <v>180000</v>
      </c>
      <c r="P19" s="41">
        <v>150000</v>
      </c>
      <c r="Q19" s="36">
        <f>VLOOKUP(K19,'Chi tiết_report'!$B$123:$S$175,18,FALSE)</f>
        <v>4063232</v>
      </c>
      <c r="R19" s="36">
        <f t="shared" si="4"/>
        <v>4063232</v>
      </c>
      <c r="S19" s="3" t="s">
        <v>404</v>
      </c>
      <c r="T19" s="167" t="s">
        <v>327</v>
      </c>
      <c r="U19" s="396" t="str">
        <f t="shared" si="3"/>
        <v>gghl16.eric.zone1</v>
      </c>
      <c r="V19" t="str">
        <f>VLOOKUP(K19,idns_weight_PCSCF!A:B,2,FALSE)</f>
        <v>Ericsson</v>
      </c>
      <c r="X19" t="s">
        <v>1067</v>
      </c>
      <c r="Y19">
        <v>25</v>
      </c>
      <c r="Z19">
        <v>25</v>
      </c>
      <c r="AA19">
        <v>244</v>
      </c>
      <c r="AB19">
        <v>32770</v>
      </c>
    </row>
    <row r="20" spans="1:28">
      <c r="A20" s="13">
        <f t="shared" ref="A20:A21" si="5">A19+1</f>
        <v>17</v>
      </c>
      <c r="B20" s="152" t="s">
        <v>352</v>
      </c>
      <c r="C20" s="152" t="s">
        <v>249</v>
      </c>
      <c r="D20" s="153" t="s">
        <v>15</v>
      </c>
      <c r="E20" s="154">
        <v>1000000</v>
      </c>
      <c r="F20" s="154">
        <v>1000000</v>
      </c>
      <c r="G20" s="204"/>
      <c r="H20" s="205"/>
      <c r="J20" s="33">
        <v>18</v>
      </c>
      <c r="K20" s="34" t="s">
        <v>277</v>
      </c>
      <c r="L20" s="34" t="s">
        <v>4</v>
      </c>
      <c r="M20" s="35" t="s">
        <v>15</v>
      </c>
      <c r="N20" s="41">
        <f>VLOOKUP(K20,'Chi tiết_report'!$B$123:$S$175,16,FALSE)</f>
        <v>4000000</v>
      </c>
      <c r="O20" s="97">
        <f>VLOOKUP(K20,'Chi tiết_report'!$B$123:$S$175,7,FALSE)</f>
        <v>180000</v>
      </c>
      <c r="P20" s="41">
        <v>150000</v>
      </c>
      <c r="Q20" s="36">
        <f>VLOOKUP(K20,'Chi tiết_report'!$B$123:$S$175,18,FALSE)</f>
        <v>4063232</v>
      </c>
      <c r="R20" s="36">
        <f t="shared" si="4"/>
        <v>4063232</v>
      </c>
      <c r="S20" s="3" t="s">
        <v>403</v>
      </c>
      <c r="T20" s="167"/>
      <c r="U20" s="396" t="str">
        <f t="shared" ref="U20:U27" si="6">LOWER(CONCATENATE(K20,".",IF(L20="Ericsson","eric",IF(L20="VHT","viettel","cisco")),".zone",RIGHT(M20,1)))</f>
        <v>gghl17.eric.zone1</v>
      </c>
      <c r="V20" t="str">
        <f>VLOOKUP(K20,idns_weight_PCSCF!A:B,2,FALSE)</f>
        <v>Ericsson</v>
      </c>
      <c r="X20" t="s">
        <v>1068</v>
      </c>
      <c r="Y20">
        <v>25</v>
      </c>
      <c r="Z20">
        <v>25</v>
      </c>
      <c r="AA20">
        <v>248</v>
      </c>
      <c r="AB20">
        <v>32770</v>
      </c>
    </row>
    <row r="21" spans="1:28">
      <c r="A21" s="13">
        <f t="shared" si="5"/>
        <v>18</v>
      </c>
      <c r="B21" s="152" t="s">
        <v>353</v>
      </c>
      <c r="C21" s="152" t="s">
        <v>249</v>
      </c>
      <c r="D21" s="153" t="s">
        <v>15</v>
      </c>
      <c r="E21" s="154">
        <v>1000000</v>
      </c>
      <c r="F21" s="154">
        <v>1000000</v>
      </c>
      <c r="G21" s="204"/>
      <c r="H21" s="205"/>
      <c r="J21" s="33">
        <v>19</v>
      </c>
      <c r="K21" s="34" t="s">
        <v>278</v>
      </c>
      <c r="L21" s="34" t="s">
        <v>4</v>
      </c>
      <c r="M21" s="35" t="s">
        <v>15</v>
      </c>
      <c r="N21" s="41">
        <f>VLOOKUP(K21,'Chi tiết_report'!$B$123:$S$175,16,FALSE)</f>
        <v>4000000</v>
      </c>
      <c r="O21" s="97">
        <f>VLOOKUP(K21,'Chi tiết_report'!$B$123:$S$175,7,FALSE)</f>
        <v>180000</v>
      </c>
      <c r="P21" s="41">
        <v>150000</v>
      </c>
      <c r="Q21" s="36">
        <f>VLOOKUP(K21,'Chi tiết_report'!$B$123:$S$175,18,FALSE)</f>
        <v>4063232</v>
      </c>
      <c r="R21" s="36">
        <f t="shared" si="4"/>
        <v>4063232</v>
      </c>
      <c r="S21" s="3" t="s">
        <v>403</v>
      </c>
      <c r="T21" s="167"/>
      <c r="U21" s="396" t="str">
        <f t="shared" si="6"/>
        <v>gghl18.eric.zone1</v>
      </c>
      <c r="V21" t="str">
        <f>VLOOKUP(K21,idns_weight_PCSCF!A:B,2,FALSE)</f>
        <v>Ericsson</v>
      </c>
      <c r="X21" t="s">
        <v>29</v>
      </c>
      <c r="Y21">
        <v>18</v>
      </c>
      <c r="Z21">
        <v>18</v>
      </c>
      <c r="AA21">
        <v>28</v>
      </c>
      <c r="AB21">
        <v>32771</v>
      </c>
    </row>
    <row r="22" spans="1:28">
      <c r="A22" s="13"/>
      <c r="B22" s="101" t="s">
        <v>23</v>
      </c>
      <c r="C22" s="101" t="s">
        <v>249</v>
      </c>
      <c r="D22" s="101"/>
      <c r="E22" s="236">
        <f>SUM(E19:E21)</f>
        <v>3000000</v>
      </c>
      <c r="F22" s="236">
        <f>SUM(F19:F21)</f>
        <v>3000000</v>
      </c>
      <c r="G22" s="3"/>
      <c r="H22" s="3"/>
      <c r="J22" s="33">
        <v>20</v>
      </c>
      <c r="K22" s="34" t="s">
        <v>279</v>
      </c>
      <c r="L22" s="34" t="s">
        <v>4</v>
      </c>
      <c r="M22" s="35" t="s">
        <v>15</v>
      </c>
      <c r="N22" s="41">
        <f>VLOOKUP(K22,'Chi tiết_report'!$B$123:$S$175,16,FALSE)</f>
        <v>4000000</v>
      </c>
      <c r="O22" s="97">
        <f>VLOOKUP(K22,'Chi tiết_report'!$B$123:$S$175,7,FALSE)</f>
        <v>180000</v>
      </c>
      <c r="P22" s="41">
        <v>150000</v>
      </c>
      <c r="Q22" s="36">
        <f>131072*31</f>
        <v>4063232</v>
      </c>
      <c r="R22" s="36">
        <f t="shared" si="4"/>
        <v>4063232</v>
      </c>
      <c r="S22" s="3" t="s">
        <v>404</v>
      </c>
      <c r="T22" s="167" t="s">
        <v>327</v>
      </c>
      <c r="U22" s="396" t="str">
        <f t="shared" si="6"/>
        <v>gghl25.eric.zone1</v>
      </c>
      <c r="V22" t="str">
        <f>VLOOKUP(K22,idns_weight_PCSCF!A:B,2,FALSE)</f>
        <v>Ericsson</v>
      </c>
      <c r="X22" t="s">
        <v>31</v>
      </c>
      <c r="Y22">
        <v>12</v>
      </c>
      <c r="Z22">
        <v>12</v>
      </c>
      <c r="AA22">
        <v>32</v>
      </c>
      <c r="AB22">
        <v>32771</v>
      </c>
    </row>
    <row r="23" spans="1:28">
      <c r="A23" s="13">
        <v>19</v>
      </c>
      <c r="B23" s="14" t="s">
        <v>24</v>
      </c>
      <c r="C23" s="14" t="s">
        <v>4</v>
      </c>
      <c r="D23" s="15" t="s">
        <v>25</v>
      </c>
      <c r="E23" s="16">
        <v>2300000</v>
      </c>
      <c r="F23" s="16">
        <v>2300000</v>
      </c>
      <c r="G23" s="3" t="s">
        <v>286</v>
      </c>
      <c r="H23" s="3">
        <v>1.65</v>
      </c>
      <c r="I23">
        <f>VLOOKUP(B23,X:Y,2,FALSE)</f>
        <v>25</v>
      </c>
      <c r="J23" s="33">
        <v>21</v>
      </c>
      <c r="K23" s="34" t="s">
        <v>337</v>
      </c>
      <c r="L23" s="34" t="s">
        <v>4</v>
      </c>
      <c r="M23" s="35" t="s">
        <v>15</v>
      </c>
      <c r="N23" s="41">
        <f>VLOOKUP(K23,'Chi tiết_report'!$B$123:$S$175,16,FALSE)</f>
        <v>4000000</v>
      </c>
      <c r="O23" s="97">
        <f>VLOOKUP(K23,'Chi tiết_report'!$B$123:$S$175,7,FALSE)</f>
        <v>180000</v>
      </c>
      <c r="P23" s="41">
        <v>150000</v>
      </c>
      <c r="Q23" s="36">
        <f>65535*54</f>
        <v>3538890</v>
      </c>
      <c r="R23" s="36">
        <f>131072*31</f>
        <v>4063232</v>
      </c>
      <c r="S23" s="3" t="s">
        <v>404</v>
      </c>
      <c r="T23" s="167" t="s">
        <v>327</v>
      </c>
      <c r="U23" s="396" t="str">
        <f t="shared" si="6"/>
        <v>gghl26.eric.zone1</v>
      </c>
      <c r="V23" t="str">
        <f>VLOOKUP(K23,idns_weight_PCSCF!A:B,2,FALSE)</f>
        <v>Ericsson</v>
      </c>
      <c r="X23" t="s">
        <v>32</v>
      </c>
      <c r="Y23">
        <v>38</v>
      </c>
      <c r="Z23">
        <v>38</v>
      </c>
      <c r="AA23">
        <v>36</v>
      </c>
      <c r="AB23">
        <v>32771</v>
      </c>
    </row>
    <row r="24" spans="1:28">
      <c r="A24" s="13">
        <f t="shared" ref="A24:A26" si="7">A23+1</f>
        <v>20</v>
      </c>
      <c r="B24" s="14" t="s">
        <v>26</v>
      </c>
      <c r="C24" s="14" t="s">
        <v>4</v>
      </c>
      <c r="D24" s="15" t="s">
        <v>25</v>
      </c>
      <c r="E24" s="16">
        <v>2300000</v>
      </c>
      <c r="F24" s="16">
        <v>2300000</v>
      </c>
      <c r="G24" s="3" t="s">
        <v>286</v>
      </c>
      <c r="H24" s="3">
        <v>1.65</v>
      </c>
      <c r="I24">
        <f>VLOOKUP(B24,X:Y,2,FALSE)</f>
        <v>25</v>
      </c>
      <c r="J24" s="33">
        <v>22</v>
      </c>
      <c r="K24" s="101" t="s">
        <v>408</v>
      </c>
      <c r="L24" s="101" t="s">
        <v>4</v>
      </c>
      <c r="M24" s="102" t="s">
        <v>15</v>
      </c>
      <c r="N24" s="41">
        <v>3500000</v>
      </c>
      <c r="O24" s="97">
        <v>100000</v>
      </c>
      <c r="P24" s="41">
        <v>100000</v>
      </c>
      <c r="Q24" s="36">
        <f>131072*27</f>
        <v>3538944</v>
      </c>
      <c r="R24" s="36" t="e">
        <f>VLOOKUP(K24,'Chi tiết_report'!$B$123:$Z$175,24,FALSE)</f>
        <v>#N/A</v>
      </c>
      <c r="S24" s="174" t="s">
        <v>577</v>
      </c>
      <c r="T24" s="436" t="s">
        <v>576</v>
      </c>
      <c r="U24" s="437" t="str">
        <f t="shared" si="6"/>
        <v>gghl27.eric.zone1</v>
      </c>
      <c r="V24" s="47">
        <v>0</v>
      </c>
      <c r="X24" t="s">
        <v>33</v>
      </c>
      <c r="Y24">
        <v>38</v>
      </c>
      <c r="Z24">
        <v>38</v>
      </c>
      <c r="AA24">
        <v>52</v>
      </c>
      <c r="AB24">
        <v>32771</v>
      </c>
    </row>
    <row r="25" spans="1:28">
      <c r="A25" s="13">
        <f t="shared" si="7"/>
        <v>21</v>
      </c>
      <c r="B25" s="14" t="s">
        <v>27</v>
      </c>
      <c r="C25" s="14" t="s">
        <v>4</v>
      </c>
      <c r="D25" s="15" t="s">
        <v>25</v>
      </c>
      <c r="E25" s="16">
        <v>2300000</v>
      </c>
      <c r="F25" s="16">
        <v>2300000</v>
      </c>
      <c r="G25" s="3" t="s">
        <v>289</v>
      </c>
      <c r="H25" s="3">
        <v>1.65</v>
      </c>
      <c r="I25">
        <f>VLOOKUP(B25,X:Y,2,FALSE)</f>
        <v>25</v>
      </c>
      <c r="J25" s="33">
        <v>23</v>
      </c>
      <c r="K25" s="101" t="s">
        <v>410</v>
      </c>
      <c r="L25" s="101" t="s">
        <v>4</v>
      </c>
      <c r="M25" s="102" t="s">
        <v>15</v>
      </c>
      <c r="N25" s="41">
        <v>3500000</v>
      </c>
      <c r="O25" s="97">
        <v>100000</v>
      </c>
      <c r="P25" s="41">
        <v>100000</v>
      </c>
      <c r="Q25" s="36">
        <f t="shared" ref="Q25:Q27" si="8">131072*27</f>
        <v>3538944</v>
      </c>
      <c r="R25" s="36" t="e">
        <f>VLOOKUP(K25,'Chi tiết_report'!$B$123:$Z$175,24,FALSE)</f>
        <v>#N/A</v>
      </c>
      <c r="S25" s="174" t="s">
        <v>577</v>
      </c>
      <c r="T25" s="436" t="s">
        <v>576</v>
      </c>
      <c r="U25" s="437" t="str">
        <f t="shared" si="6"/>
        <v>gghl28.eric.zone1</v>
      </c>
      <c r="V25" s="47">
        <v>0</v>
      </c>
      <c r="X25" t="s">
        <v>34</v>
      </c>
      <c r="Y25">
        <v>38</v>
      </c>
      <c r="Z25">
        <v>38</v>
      </c>
      <c r="AA25">
        <v>56</v>
      </c>
      <c r="AB25">
        <v>32771</v>
      </c>
    </row>
    <row r="26" spans="1:28">
      <c r="A26" s="13">
        <f t="shared" si="7"/>
        <v>22</v>
      </c>
      <c r="B26" s="14" t="s">
        <v>105</v>
      </c>
      <c r="C26" s="14" t="s">
        <v>4</v>
      </c>
      <c r="D26" s="15" t="s">
        <v>25</v>
      </c>
      <c r="E26" s="16">
        <v>2300000</v>
      </c>
      <c r="F26" s="16">
        <v>2300000</v>
      </c>
      <c r="G26" s="3" t="s">
        <v>294</v>
      </c>
      <c r="H26" s="168" t="s">
        <v>291</v>
      </c>
      <c r="I26">
        <f>VLOOKUP(B26,X:Y,2,FALSE)</f>
        <v>25</v>
      </c>
      <c r="J26" s="33">
        <v>24</v>
      </c>
      <c r="K26" s="101" t="s">
        <v>411</v>
      </c>
      <c r="L26" s="101" t="s">
        <v>4</v>
      </c>
      <c r="M26" s="102" t="s">
        <v>15</v>
      </c>
      <c r="N26" s="41">
        <v>4000000</v>
      </c>
      <c r="O26" s="97">
        <v>150000</v>
      </c>
      <c r="P26" s="41">
        <v>150000</v>
      </c>
      <c r="Q26" s="36">
        <f t="shared" si="8"/>
        <v>3538944</v>
      </c>
      <c r="R26" s="36" t="e">
        <f>VLOOKUP(K26,'Chi tiết_report'!$B$123:$Z$175,24,FALSE)</f>
        <v>#N/A</v>
      </c>
      <c r="S26" s="174" t="s">
        <v>577</v>
      </c>
      <c r="T26" s="436" t="s">
        <v>576</v>
      </c>
      <c r="U26" s="437" t="str">
        <f t="shared" si="6"/>
        <v>gghl29.eric.zone1</v>
      </c>
      <c r="V26" s="47">
        <v>0</v>
      </c>
      <c r="X26" t="s">
        <v>35</v>
      </c>
      <c r="Y26">
        <v>38</v>
      </c>
      <c r="Z26">
        <v>38</v>
      </c>
      <c r="AA26">
        <v>64</v>
      </c>
      <c r="AB26">
        <v>32771</v>
      </c>
    </row>
    <row r="27" spans="1:28">
      <c r="A27" s="13"/>
      <c r="B27" s="19" t="s">
        <v>28</v>
      </c>
      <c r="C27" s="19" t="s">
        <v>4</v>
      </c>
      <c r="D27" s="19"/>
      <c r="E27" s="20">
        <f>SUM(E23:E26)</f>
        <v>9200000</v>
      </c>
      <c r="F27" s="20">
        <f>SUM(F26:F26)</f>
        <v>2300000</v>
      </c>
      <c r="G27" s="3"/>
      <c r="H27" s="3"/>
      <c r="J27" s="33">
        <v>25</v>
      </c>
      <c r="K27" s="101" t="s">
        <v>1109</v>
      </c>
      <c r="L27" s="101" t="s">
        <v>4</v>
      </c>
      <c r="M27" s="102" t="s">
        <v>15</v>
      </c>
      <c r="N27" s="41">
        <v>4000000</v>
      </c>
      <c r="O27" s="97">
        <v>150000</v>
      </c>
      <c r="P27" s="41">
        <v>150000</v>
      </c>
      <c r="Q27" s="36">
        <f t="shared" si="8"/>
        <v>3538944</v>
      </c>
      <c r="R27" s="36" t="e">
        <f>VLOOKUP(K27,'Chi tiết_report'!$B$123:$Z$175,24,FALSE)</f>
        <v>#N/A</v>
      </c>
      <c r="S27" s="174" t="s">
        <v>577</v>
      </c>
      <c r="T27" s="436" t="s">
        <v>576</v>
      </c>
      <c r="U27" s="437" t="str">
        <f t="shared" si="6"/>
        <v>gghl30.eric.zone1</v>
      </c>
      <c r="V27" s="47">
        <v>0</v>
      </c>
      <c r="X27" t="s">
        <v>131</v>
      </c>
      <c r="Y27">
        <v>38</v>
      </c>
      <c r="Z27">
        <v>38</v>
      </c>
      <c r="AA27">
        <v>108</v>
      </c>
      <c r="AB27">
        <v>32771</v>
      </c>
    </row>
    <row r="28" spans="1:28">
      <c r="A28" s="151">
        <v>23</v>
      </c>
      <c r="B28" s="152" t="s">
        <v>348</v>
      </c>
      <c r="C28" s="152" t="s">
        <v>249</v>
      </c>
      <c r="D28" s="153" t="s">
        <v>25</v>
      </c>
      <c r="E28" s="154">
        <v>1500000</v>
      </c>
      <c r="F28" s="154">
        <v>1500000</v>
      </c>
      <c r="G28" s="204" t="s">
        <v>357</v>
      </c>
      <c r="H28" s="204"/>
      <c r="J28" s="33">
        <v>22</v>
      </c>
      <c r="K28" s="101" t="s">
        <v>976</v>
      </c>
      <c r="L28" s="101" t="s">
        <v>4</v>
      </c>
      <c r="M28" s="102" t="s">
        <v>15</v>
      </c>
      <c r="N28" s="41">
        <v>3500000</v>
      </c>
      <c r="O28" s="97">
        <v>100000</v>
      </c>
      <c r="P28" s="41">
        <v>100000</v>
      </c>
      <c r="Q28" s="36">
        <f>131072*27</f>
        <v>3538944</v>
      </c>
      <c r="R28" s="36" t="e">
        <f>VLOOKUP(K28,'Chi tiết_report'!$B$123:$Z$175,24,FALSE)</f>
        <v>#N/A</v>
      </c>
      <c r="S28" s="174" t="s">
        <v>977</v>
      </c>
      <c r="T28" s="436" t="s">
        <v>576</v>
      </c>
      <c r="U28" s="437" t="str">
        <f t="shared" si="3"/>
        <v>gghl31.eric.zone1</v>
      </c>
      <c r="V28" s="47">
        <v>0</v>
      </c>
      <c r="X28" t="s">
        <v>132</v>
      </c>
      <c r="Y28">
        <v>38</v>
      </c>
      <c r="Z28">
        <v>38</v>
      </c>
      <c r="AA28">
        <v>112</v>
      </c>
      <c r="AB28">
        <v>32771</v>
      </c>
    </row>
    <row r="29" spans="1:28">
      <c r="A29" s="13">
        <f t="shared" ref="A29:A30" si="9">A28+1</f>
        <v>24</v>
      </c>
      <c r="B29" s="152" t="s">
        <v>349</v>
      </c>
      <c r="C29" s="152" t="s">
        <v>249</v>
      </c>
      <c r="D29" s="153" t="s">
        <v>25</v>
      </c>
      <c r="E29" s="154">
        <v>1500000</v>
      </c>
      <c r="F29" s="154">
        <v>1500000</v>
      </c>
      <c r="G29" s="204" t="s">
        <v>357</v>
      </c>
      <c r="H29" s="204"/>
      <c r="J29" s="33">
        <v>23</v>
      </c>
      <c r="K29" s="101" t="s">
        <v>979</v>
      </c>
      <c r="L29" s="101" t="s">
        <v>4</v>
      </c>
      <c r="M29" s="102" t="s">
        <v>15</v>
      </c>
      <c r="N29" s="41">
        <v>3500000</v>
      </c>
      <c r="O29" s="97">
        <v>100000</v>
      </c>
      <c r="P29" s="41">
        <v>100000</v>
      </c>
      <c r="Q29" s="36">
        <f t="shared" ref="Q29:Q31" si="10">131072*27</f>
        <v>3538944</v>
      </c>
      <c r="R29" s="36" t="e">
        <f>VLOOKUP(K29,'Chi tiết_report'!$B$123:$Z$175,24,FALSE)</f>
        <v>#N/A</v>
      </c>
      <c r="S29" s="174" t="s">
        <v>977</v>
      </c>
      <c r="T29" s="436" t="s">
        <v>576</v>
      </c>
      <c r="U29" s="437" t="str">
        <f t="shared" si="3"/>
        <v>gghl32.eric.zone1</v>
      </c>
      <c r="V29" s="47">
        <v>0</v>
      </c>
      <c r="X29" t="s">
        <v>336</v>
      </c>
      <c r="Y29">
        <v>20</v>
      </c>
      <c r="Z29">
        <v>20</v>
      </c>
      <c r="AA29">
        <v>124</v>
      </c>
      <c r="AB29">
        <v>32771</v>
      </c>
    </row>
    <row r="30" spans="1:28">
      <c r="A30" s="13">
        <f t="shared" si="9"/>
        <v>25</v>
      </c>
      <c r="B30" s="152" t="s">
        <v>350</v>
      </c>
      <c r="C30" s="152" t="s">
        <v>249</v>
      </c>
      <c r="D30" s="153" t="s">
        <v>25</v>
      </c>
      <c r="E30" s="154">
        <v>1500000</v>
      </c>
      <c r="F30" s="154">
        <v>1500000</v>
      </c>
      <c r="G30" s="204" t="s">
        <v>357</v>
      </c>
      <c r="H30" s="205"/>
      <c r="J30" s="33">
        <v>24</v>
      </c>
      <c r="K30" s="101" t="s">
        <v>980</v>
      </c>
      <c r="L30" s="101" t="s">
        <v>4</v>
      </c>
      <c r="M30" s="102" t="s">
        <v>15</v>
      </c>
      <c r="N30" s="41">
        <v>4000000</v>
      </c>
      <c r="O30" s="97">
        <v>150000</v>
      </c>
      <c r="P30" s="41">
        <v>150000</v>
      </c>
      <c r="Q30" s="36">
        <f t="shared" si="10"/>
        <v>3538944</v>
      </c>
      <c r="R30" s="36" t="e">
        <f>VLOOKUP(K30,'Chi tiết_report'!$B$123:$Z$175,24,FALSE)</f>
        <v>#N/A</v>
      </c>
      <c r="S30" s="174" t="s">
        <v>977</v>
      </c>
      <c r="T30" s="436" t="s">
        <v>576</v>
      </c>
      <c r="U30" s="437" t="str">
        <f t="shared" si="3"/>
        <v>gghl33.eric.zone1</v>
      </c>
      <c r="V30" s="47">
        <v>0</v>
      </c>
      <c r="X30" t="s">
        <v>348</v>
      </c>
      <c r="Y30">
        <v>15</v>
      </c>
      <c r="Z30">
        <v>15</v>
      </c>
      <c r="AA30">
        <v>68</v>
      </c>
      <c r="AB30">
        <v>32773</v>
      </c>
    </row>
    <row r="31" spans="1:28">
      <c r="A31" s="151">
        <v>23</v>
      </c>
      <c r="B31" s="152" t="s">
        <v>893</v>
      </c>
      <c r="C31" s="152" t="s">
        <v>249</v>
      </c>
      <c r="D31" s="153" t="s">
        <v>25</v>
      </c>
      <c r="E31" s="154">
        <v>1500000</v>
      </c>
      <c r="F31" s="154">
        <v>1500000</v>
      </c>
      <c r="G31" s="696" t="s">
        <v>888</v>
      </c>
      <c r="H31" s="204">
        <v>2025</v>
      </c>
      <c r="J31" s="33">
        <v>25</v>
      </c>
      <c r="K31" s="101" t="s">
        <v>1108</v>
      </c>
      <c r="L31" s="101" t="s">
        <v>4</v>
      </c>
      <c r="M31" s="102" t="s">
        <v>15</v>
      </c>
      <c r="N31" s="41">
        <v>4000000</v>
      </c>
      <c r="O31" s="97">
        <v>150000</v>
      </c>
      <c r="P31" s="41">
        <v>150000</v>
      </c>
      <c r="Q31" s="36">
        <f t="shared" si="10"/>
        <v>3538944</v>
      </c>
      <c r="R31" s="36" t="e">
        <f>VLOOKUP(K31,'Chi tiết_report'!$B$123:$Z$175,24,FALSE)</f>
        <v>#N/A</v>
      </c>
      <c r="S31" s="174" t="s">
        <v>977</v>
      </c>
      <c r="T31" s="436" t="s">
        <v>576</v>
      </c>
      <c r="U31" s="437" t="str">
        <f t="shared" si="3"/>
        <v>gghl34.eric.zone1</v>
      </c>
      <c r="V31" s="47">
        <v>0</v>
      </c>
      <c r="X31" t="s">
        <v>349</v>
      </c>
      <c r="Y31">
        <v>15</v>
      </c>
      <c r="Z31">
        <v>15</v>
      </c>
      <c r="AA31">
        <v>72</v>
      </c>
      <c r="AB31">
        <v>32773</v>
      </c>
    </row>
    <row r="32" spans="1:28">
      <c r="A32" s="13">
        <f t="shared" ref="A32:A48" si="11">A31+1</f>
        <v>24</v>
      </c>
      <c r="B32" s="152" t="s">
        <v>894</v>
      </c>
      <c r="C32" s="152" t="s">
        <v>249</v>
      </c>
      <c r="D32" s="153" t="s">
        <v>25</v>
      </c>
      <c r="E32" s="154">
        <v>1500000</v>
      </c>
      <c r="F32" s="154">
        <v>1500000</v>
      </c>
      <c r="G32" s="696" t="s">
        <v>888</v>
      </c>
      <c r="H32" s="204">
        <v>2025</v>
      </c>
      <c r="I32">
        <f t="shared" ref="I32:I42" si="12">VLOOKUP(B36,X:Y,2,FALSE)</f>
        <v>18</v>
      </c>
      <c r="J32" s="33">
        <v>26</v>
      </c>
      <c r="K32" s="34" t="s">
        <v>256</v>
      </c>
      <c r="L32" s="34" t="s">
        <v>249</v>
      </c>
      <c r="M32" s="35" t="s">
        <v>15</v>
      </c>
      <c r="N32" s="41">
        <f>VLOOKUP(K32,'Chi tiết_report'!$B$123:$S$175,16,FALSE)</f>
        <v>1500000</v>
      </c>
      <c r="O32" s="97">
        <f>VLOOKUP(K32,'Chi tiết_report'!$B$123:$S$175,7,FALSE)</f>
        <v>80000</v>
      </c>
      <c r="P32" s="41">
        <v>60000</v>
      </c>
      <c r="Q32" s="36">
        <f>VLOOKUP(K32,'Chi tiết_report'!$B$123:$S$175,18,FALSE)</f>
        <v>1500000</v>
      </c>
      <c r="R32" s="36">
        <f>VLOOKUP(K32,'Chi tiết_report'!$B$123:$Z$175,24,FALSE)</f>
        <v>28376952</v>
      </c>
      <c r="S32" s="3" t="s">
        <v>249</v>
      </c>
      <c r="T32" s="167" t="s">
        <v>327</v>
      </c>
      <c r="U32" s="396" t="str">
        <f t="shared" si="3"/>
        <v>gghl19.viettel.zone1</v>
      </c>
      <c r="V32" t="e">
        <f>VLOOKUP(K32,idns_weight_PCSCF!A:B,2,FALSE)</f>
        <v>#N/A</v>
      </c>
      <c r="X32" t="s">
        <v>350</v>
      </c>
      <c r="Y32">
        <v>15</v>
      </c>
      <c r="Z32">
        <v>15</v>
      </c>
      <c r="AA32">
        <v>128</v>
      </c>
      <c r="AB32">
        <v>32773</v>
      </c>
    </row>
    <row r="33" spans="1:28">
      <c r="A33" s="13">
        <f>A31+1</f>
        <v>24</v>
      </c>
      <c r="B33" s="152" t="s">
        <v>895</v>
      </c>
      <c r="C33" s="152" t="s">
        <v>249</v>
      </c>
      <c r="D33" s="153" t="s">
        <v>25</v>
      </c>
      <c r="E33" s="154">
        <v>1500000</v>
      </c>
      <c r="F33" s="154">
        <v>1500000</v>
      </c>
      <c r="G33" s="696" t="s">
        <v>885</v>
      </c>
      <c r="H33" s="205"/>
      <c r="I33">
        <f t="shared" si="12"/>
        <v>12</v>
      </c>
      <c r="J33" s="33">
        <v>27</v>
      </c>
      <c r="K33" s="34" t="s">
        <v>248</v>
      </c>
      <c r="L33" s="34" t="s">
        <v>249</v>
      </c>
      <c r="M33" s="35" t="s">
        <v>15</v>
      </c>
      <c r="N33" s="41">
        <f>VLOOKUP(K33,'Chi tiết_report'!$B$123:$S$175,16,FALSE)</f>
        <v>1000000</v>
      </c>
      <c r="O33" s="97">
        <f>VLOOKUP(K33,'Chi tiết_report'!$B$123:$S$175,7,FALSE)</f>
        <v>70000</v>
      </c>
      <c r="P33" s="41">
        <v>60000</v>
      </c>
      <c r="Q33" s="36">
        <f>VLOOKUP(K33,'Chi tiết_report'!$B$123:$S$175,18,FALSE)</f>
        <v>1114032</v>
      </c>
      <c r="R33" s="36">
        <f>VLOOKUP(K33,'Chi tiết_report'!$B$123:$Z$175,24,FALSE)</f>
        <v>28376952</v>
      </c>
      <c r="S33" s="3" t="s">
        <v>249</v>
      </c>
      <c r="T33" s="167" t="s">
        <v>327</v>
      </c>
      <c r="U33" s="396" t="str">
        <f t="shared" si="3"/>
        <v>gghl20.viettel.zone1</v>
      </c>
      <c r="V33" t="e">
        <f>VLOOKUP(K33,idns_weight_PCSCF!A:B,2,FALSE)</f>
        <v>#N/A</v>
      </c>
      <c r="X33" t="s">
        <v>893</v>
      </c>
      <c r="Y33">
        <v>20</v>
      </c>
      <c r="Z33">
        <v>20</v>
      </c>
      <c r="AA33">
        <v>216</v>
      </c>
      <c r="AB33">
        <v>32773</v>
      </c>
    </row>
    <row r="34" spans="1:28">
      <c r="A34" s="13">
        <f>A32+1</f>
        <v>25</v>
      </c>
      <c r="B34" s="152" t="s">
        <v>896</v>
      </c>
      <c r="C34" s="152" t="s">
        <v>249</v>
      </c>
      <c r="D34" s="153" t="s">
        <v>25</v>
      </c>
      <c r="E34" s="154">
        <v>1500000</v>
      </c>
      <c r="F34" s="154">
        <v>1500000</v>
      </c>
      <c r="G34" s="696" t="s">
        <v>885</v>
      </c>
      <c r="H34" s="205"/>
      <c r="I34">
        <f t="shared" si="12"/>
        <v>38</v>
      </c>
      <c r="J34" s="33">
        <v>28</v>
      </c>
      <c r="K34" s="39" t="s">
        <v>75</v>
      </c>
      <c r="L34" s="39" t="s">
        <v>4</v>
      </c>
      <c r="M34" s="40" t="s">
        <v>25</v>
      </c>
      <c r="N34" s="41">
        <f>VLOOKUP(K34,'Chi tiết_report'!$B$123:$S$175,16,FALSE)</f>
        <v>1500000</v>
      </c>
      <c r="O34" s="97">
        <f>VLOOKUP(K34,'Chi tiết_report'!$B$123:$S$175,7,FALSE)</f>
        <v>80000</v>
      </c>
      <c r="P34" s="41">
        <v>60000</v>
      </c>
      <c r="Q34" s="36">
        <f>VLOOKUP(K34,'Chi tiết_report'!$B$123:$S$175,18,FALSE)</f>
        <v>1690000</v>
      </c>
      <c r="R34" s="36">
        <f>VLOOKUP(K34,'Chi tiết_report'!$B$123:$Z$175,24,FALSE)</f>
        <v>1495000</v>
      </c>
      <c r="S34" t="s">
        <v>287</v>
      </c>
      <c r="T34" s="167" t="s">
        <v>358</v>
      </c>
      <c r="U34" s="396" t="str">
        <f t="shared" si="3"/>
        <v>gghk01.eric.zone2</v>
      </c>
      <c r="V34" t="str">
        <f>VLOOKUP(K34,idns_weight_PCSCF!A:B,2,FALSE)</f>
        <v>Ericsson</v>
      </c>
      <c r="X34" t="s">
        <v>894</v>
      </c>
      <c r="Y34">
        <v>20</v>
      </c>
      <c r="Z34">
        <v>20</v>
      </c>
      <c r="AA34">
        <v>220</v>
      </c>
      <c r="AB34">
        <v>32773</v>
      </c>
    </row>
    <row r="35" spans="1:28">
      <c r="A35" s="13"/>
      <c r="B35" s="101" t="s">
        <v>28</v>
      </c>
      <c r="C35" s="101" t="s">
        <v>249</v>
      </c>
      <c r="D35" s="101"/>
      <c r="E35" s="236">
        <f>SUM(E31:E34)</f>
        <v>6000000</v>
      </c>
      <c r="F35" s="236">
        <f>SUM(F31:F34)</f>
        <v>6000000</v>
      </c>
      <c r="G35" s="3"/>
      <c r="H35" s="3"/>
      <c r="I35">
        <f t="shared" si="12"/>
        <v>38</v>
      </c>
      <c r="J35" s="33">
        <v>29</v>
      </c>
      <c r="K35" s="39" t="s">
        <v>77</v>
      </c>
      <c r="L35" s="39" t="s">
        <v>4</v>
      </c>
      <c r="M35" s="40" t="s">
        <v>25</v>
      </c>
      <c r="N35" s="41">
        <f>VLOOKUP(K35,'Chi tiết_report'!$B$123:$S$175,16,FALSE)</f>
        <v>1500000</v>
      </c>
      <c r="O35" s="97">
        <f>VLOOKUP(K35,'Chi tiết_report'!$B$123:$S$175,7,FALSE)</f>
        <v>80000</v>
      </c>
      <c r="P35" s="41">
        <v>60000</v>
      </c>
      <c r="Q35" s="36">
        <f>VLOOKUP(K35,'Chi tiết_report'!$B$123:$S$175,18,FALSE)</f>
        <v>1690000</v>
      </c>
      <c r="R35" s="36">
        <f>VLOOKUP(K35,'Chi tiết_report'!$B$123:$Z$175,24,FALSE)</f>
        <v>1495000</v>
      </c>
      <c r="S35" t="s">
        <v>287</v>
      </c>
      <c r="T35" s="167" t="s">
        <v>358</v>
      </c>
      <c r="U35" s="396" t="str">
        <f t="shared" si="3"/>
        <v>gghk02.eric.zone2</v>
      </c>
      <c r="V35" t="str">
        <f>VLOOKUP(K35,idns_weight_PCSCF!A:B,2,FALSE)</f>
        <v>Ericsson</v>
      </c>
      <c r="X35" t="s">
        <v>895</v>
      </c>
      <c r="Y35">
        <v>20</v>
      </c>
      <c r="Z35">
        <v>20</v>
      </c>
      <c r="AA35">
        <v>224</v>
      </c>
      <c r="AB35">
        <v>32773</v>
      </c>
    </row>
    <row r="36" spans="1:28">
      <c r="A36" s="13">
        <v>26</v>
      </c>
      <c r="B36" s="14" t="s">
        <v>29</v>
      </c>
      <c r="C36" s="14" t="s">
        <v>4</v>
      </c>
      <c r="D36" s="15" t="s">
        <v>30</v>
      </c>
      <c r="E36" s="16">
        <v>2500000</v>
      </c>
      <c r="F36" s="16">
        <v>2800000</v>
      </c>
      <c r="G36" s="3" t="s">
        <v>286</v>
      </c>
      <c r="H36" s="3">
        <v>1.65</v>
      </c>
      <c r="I36">
        <f t="shared" si="12"/>
        <v>38</v>
      </c>
      <c r="J36" s="33">
        <v>30</v>
      </c>
      <c r="K36" s="39" t="s">
        <v>78</v>
      </c>
      <c r="L36" s="39" t="s">
        <v>4</v>
      </c>
      <c r="M36" s="40" t="s">
        <v>25</v>
      </c>
      <c r="N36" s="41">
        <f>VLOOKUP(K36,'Chi tiết_report'!$B$123:$S$175,16,FALSE)</f>
        <v>2000000</v>
      </c>
      <c r="O36" s="97">
        <f>VLOOKUP(K36,'Chi tiết_report'!$B$123:$S$175,7,FALSE)</f>
        <v>80000</v>
      </c>
      <c r="P36" s="41">
        <v>80000</v>
      </c>
      <c r="Q36" s="36">
        <f>VLOOKUP(K36,'Chi tiết_report'!$B$123:$S$175,18,FALSE)</f>
        <v>2148216</v>
      </c>
      <c r="R36" s="36">
        <f>VLOOKUP(K36,'Chi tiết_report'!$B$123:$Z$175,24,FALSE)</f>
        <v>1755000</v>
      </c>
      <c r="S36" t="s">
        <v>287</v>
      </c>
      <c r="T36" s="167" t="s">
        <v>358</v>
      </c>
      <c r="U36" s="396" t="str">
        <f t="shared" si="3"/>
        <v>gghk03.eric.zone2</v>
      </c>
      <c r="V36" t="str">
        <f>VLOOKUP(K36,idns_weight_PCSCF!A:B,2,FALSE)</f>
        <v>Ericsson</v>
      </c>
      <c r="X36" t="s">
        <v>896</v>
      </c>
      <c r="Y36">
        <v>20</v>
      </c>
      <c r="Z36">
        <v>20</v>
      </c>
      <c r="AA36">
        <v>228</v>
      </c>
      <c r="AB36">
        <v>32773</v>
      </c>
    </row>
    <row r="37" spans="1:28">
      <c r="A37" s="13">
        <f t="shared" si="11"/>
        <v>27</v>
      </c>
      <c r="B37" s="14" t="s">
        <v>31</v>
      </c>
      <c r="C37" s="14" t="s">
        <v>4</v>
      </c>
      <c r="D37" s="15" t="s">
        <v>30</v>
      </c>
      <c r="E37" s="16">
        <v>2500000</v>
      </c>
      <c r="F37" s="16">
        <v>2800000</v>
      </c>
      <c r="G37" s="3" t="s">
        <v>286</v>
      </c>
      <c r="H37" s="3">
        <v>1.65</v>
      </c>
      <c r="I37">
        <f t="shared" si="12"/>
        <v>38</v>
      </c>
      <c r="J37" s="33">
        <v>31</v>
      </c>
      <c r="K37" s="39" t="s">
        <v>80</v>
      </c>
      <c r="L37" s="39" t="s">
        <v>4</v>
      </c>
      <c r="M37" s="40" t="s">
        <v>25</v>
      </c>
      <c r="N37" s="41">
        <f>VLOOKUP(K37,'Chi tiết_report'!$B$123:$S$175,16,FALSE)</f>
        <v>1800000</v>
      </c>
      <c r="O37" s="97">
        <f>VLOOKUP(K37,'Chi tiết_report'!$B$123:$S$175,7,FALSE)</f>
        <v>110000</v>
      </c>
      <c r="P37" s="41">
        <v>90000</v>
      </c>
      <c r="Q37" s="36">
        <f>VLOOKUP(K37,'Chi tiết_report'!$B$123:$S$175,18,FALSE)</f>
        <v>2015000</v>
      </c>
      <c r="R37" s="36">
        <f>VLOOKUP(K37,'Chi tiết_report'!$B$123:$Z$175,24,FALSE)</f>
        <v>2535000</v>
      </c>
      <c r="S37" t="s">
        <v>287</v>
      </c>
      <c r="T37" s="167" t="s">
        <v>358</v>
      </c>
      <c r="U37" s="396" t="str">
        <f t="shared" si="3"/>
        <v>gghk06.eric.zone2</v>
      </c>
      <c r="V37" t="str">
        <f>VLOOKUP(K37,idns_weight_PCSCF!A:B,2,FALSE)</f>
        <v>Ericsson</v>
      </c>
      <c r="X37" t="s">
        <v>1080</v>
      </c>
      <c r="Y37">
        <v>20</v>
      </c>
      <c r="Z37">
        <v>20</v>
      </c>
      <c r="AA37">
        <v>232</v>
      </c>
      <c r="AB37">
        <v>32774</v>
      </c>
    </row>
    <row r="38" spans="1:28">
      <c r="A38" s="13">
        <f t="shared" si="11"/>
        <v>28</v>
      </c>
      <c r="B38" s="14" t="s">
        <v>32</v>
      </c>
      <c r="C38" s="14" t="s">
        <v>4</v>
      </c>
      <c r="D38" s="15" t="s">
        <v>30</v>
      </c>
      <c r="E38" s="16">
        <v>3500000</v>
      </c>
      <c r="F38" s="16">
        <v>3500000</v>
      </c>
      <c r="G38" s="3" t="s">
        <v>289</v>
      </c>
      <c r="H38" s="3">
        <v>1.65</v>
      </c>
      <c r="I38">
        <f t="shared" si="12"/>
        <v>38</v>
      </c>
      <c r="J38" s="33">
        <v>32</v>
      </c>
      <c r="K38" s="39" t="s">
        <v>81</v>
      </c>
      <c r="L38" s="39" t="s">
        <v>4</v>
      </c>
      <c r="M38" s="40" t="s">
        <v>25</v>
      </c>
      <c r="N38" s="41">
        <f>VLOOKUP(K38,'Chi tiết_report'!$B$123:$S$175,16,FALSE)</f>
        <v>4000000</v>
      </c>
      <c r="O38" s="97">
        <f>VLOOKUP(K38,'Chi tiết_report'!$B$123:$S$175,7,FALSE)</f>
        <v>180000</v>
      </c>
      <c r="P38" s="41">
        <v>150000</v>
      </c>
      <c r="Q38" s="36">
        <f>VLOOKUP(K38,'Chi tiết_report'!$B$123:$S$175,18,FALSE)</f>
        <v>4063232</v>
      </c>
      <c r="R38" s="36">
        <f>VLOOKUP(K38,'Chi tiết_report'!$B$123:$Z$175,24,FALSE)</f>
        <v>4063232</v>
      </c>
      <c r="S38" s="3" t="s">
        <v>424</v>
      </c>
      <c r="T38" s="167"/>
      <c r="U38" s="396" t="str">
        <f t="shared" si="3"/>
        <v>gghk07.eric.zone2</v>
      </c>
      <c r="V38" t="str">
        <f>VLOOKUP(K38,idns_weight_PCSCF!A:B,2,FALSE)</f>
        <v>Ericsson</v>
      </c>
      <c r="X38" t="s">
        <v>1081</v>
      </c>
      <c r="Y38">
        <v>20</v>
      </c>
      <c r="Z38">
        <v>20</v>
      </c>
      <c r="AA38">
        <v>236</v>
      </c>
      <c r="AB38">
        <v>32774</v>
      </c>
    </row>
    <row r="39" spans="1:28">
      <c r="A39" s="13">
        <f t="shared" si="11"/>
        <v>29</v>
      </c>
      <c r="B39" s="14" t="s">
        <v>33</v>
      </c>
      <c r="C39" s="14" t="s">
        <v>4</v>
      </c>
      <c r="D39" s="15" t="s">
        <v>30</v>
      </c>
      <c r="E39" s="16">
        <v>3500000</v>
      </c>
      <c r="F39" s="16">
        <v>3500000</v>
      </c>
      <c r="G39" s="3" t="s">
        <v>289</v>
      </c>
      <c r="H39" s="3">
        <v>1.65</v>
      </c>
      <c r="I39">
        <f t="shared" si="12"/>
        <v>38</v>
      </c>
      <c r="J39" s="33">
        <v>33</v>
      </c>
      <c r="K39" s="39" t="s">
        <v>83</v>
      </c>
      <c r="L39" s="39" t="s">
        <v>4</v>
      </c>
      <c r="M39" s="40" t="s">
        <v>25</v>
      </c>
      <c r="N39" s="41">
        <f>VLOOKUP(K39,'Chi tiết_report'!$B$123:$S$175,16,FALSE)</f>
        <v>4000000</v>
      </c>
      <c r="O39" s="97">
        <f>VLOOKUP(K39,'Chi tiết_report'!$B$123:$S$175,7,FALSE)</f>
        <v>180000</v>
      </c>
      <c r="P39" s="41">
        <v>150000</v>
      </c>
      <c r="Q39" s="36">
        <f>VLOOKUP(K39,'Chi tiết_report'!$B$123:$S$175,18,FALSE)</f>
        <v>4063232</v>
      </c>
      <c r="R39" s="36">
        <f>VLOOKUP(K39,'Chi tiết_report'!$B$123:$Z$175,24,FALSE)</f>
        <v>4063232</v>
      </c>
      <c r="S39" s="3" t="s">
        <v>424</v>
      </c>
      <c r="T39" s="167"/>
      <c r="U39" s="396" t="str">
        <f t="shared" si="3"/>
        <v>gghk08.eric.zone2</v>
      </c>
      <c r="V39">
        <v>125</v>
      </c>
      <c r="X39" t="s">
        <v>1125</v>
      </c>
      <c r="Y39">
        <v>20</v>
      </c>
      <c r="Z39">
        <v>20</v>
      </c>
      <c r="AA39">
        <v>240</v>
      </c>
      <c r="AB39">
        <v>32774</v>
      </c>
    </row>
    <row r="40" spans="1:28">
      <c r="A40" s="13">
        <f t="shared" si="11"/>
        <v>30</v>
      </c>
      <c r="B40" s="14" t="s">
        <v>34</v>
      </c>
      <c r="C40" s="14" t="s">
        <v>4</v>
      </c>
      <c r="D40" s="15" t="s">
        <v>30</v>
      </c>
      <c r="E40" s="16">
        <v>3400000</v>
      </c>
      <c r="F40" s="16">
        <v>3400000</v>
      </c>
      <c r="G40" s="3" t="s">
        <v>289</v>
      </c>
      <c r="H40" s="3">
        <v>1.65</v>
      </c>
      <c r="I40">
        <f t="shared" si="12"/>
        <v>20</v>
      </c>
      <c r="J40" s="33">
        <v>34</v>
      </c>
      <c r="K40" s="39" t="s">
        <v>276</v>
      </c>
      <c r="L40" s="39" t="s">
        <v>4</v>
      </c>
      <c r="M40" s="40" t="s">
        <v>25</v>
      </c>
      <c r="N40" s="41">
        <f>VLOOKUP(K40,'Chi tiết_report'!$B$123:$S$175,16,FALSE)</f>
        <v>4000000</v>
      </c>
      <c r="O40" s="97">
        <f>VLOOKUP(K40,'Chi tiết_report'!$B$123:$S$175,7,FALSE)</f>
        <v>180000</v>
      </c>
      <c r="P40" s="41">
        <v>150000</v>
      </c>
      <c r="Q40" s="36">
        <f>31*131000</f>
        <v>4061000</v>
      </c>
      <c r="R40" s="36">
        <f>VLOOKUP(K40,'Chi tiết_report'!$B$123:$Z$175,24,FALSE)</f>
        <v>4063232</v>
      </c>
      <c r="S40" s="3" t="s">
        <v>424</v>
      </c>
      <c r="T40" s="167" t="s">
        <v>327</v>
      </c>
      <c r="U40" s="396" t="str">
        <f t="shared" si="3"/>
        <v>gghk09.eric.zone2</v>
      </c>
      <c r="V40">
        <v>125</v>
      </c>
      <c r="X40" t="s">
        <v>580</v>
      </c>
      <c r="Y40">
        <v>15</v>
      </c>
      <c r="Z40">
        <v>15</v>
      </c>
      <c r="AA40">
        <v>156</v>
      </c>
      <c r="AB40">
        <v>32774</v>
      </c>
    </row>
    <row r="41" spans="1:28">
      <c r="A41" s="13">
        <f t="shared" si="11"/>
        <v>31</v>
      </c>
      <c r="B41" s="14" t="s">
        <v>35</v>
      </c>
      <c r="C41" s="14" t="s">
        <v>4</v>
      </c>
      <c r="D41" s="15" t="s">
        <v>30</v>
      </c>
      <c r="E41" s="16">
        <v>3400000</v>
      </c>
      <c r="F41" s="16">
        <v>3400000</v>
      </c>
      <c r="G41" s="3" t="s">
        <v>295</v>
      </c>
      <c r="H41" s="168" t="s">
        <v>296</v>
      </c>
      <c r="I41">
        <f t="shared" si="12"/>
        <v>15</v>
      </c>
      <c r="J41" s="33">
        <v>35</v>
      </c>
      <c r="K41" s="34" t="s">
        <v>359</v>
      </c>
      <c r="L41" s="34" t="s">
        <v>249</v>
      </c>
      <c r="M41" s="40" t="s">
        <v>25</v>
      </c>
      <c r="N41" s="41">
        <f>VLOOKUP(K41,'Chi tiết_report'!$B$123:$S$175,16,FALSE)</f>
        <v>3500000</v>
      </c>
      <c r="O41" s="97">
        <f>VLOOKUP(K41,'Chi tiết_report'!$B$123:$S$175,7,FALSE)</f>
        <v>150000</v>
      </c>
      <c r="P41" s="41">
        <v>150000</v>
      </c>
      <c r="Q41" s="36">
        <f>VLOOKUP(K41,'Chi tiết_report'!$B$123:$S$175,18,FALSE)</f>
        <v>3500000</v>
      </c>
      <c r="R41" s="36">
        <f>VLOOKUP(K41,'Chi tiết_report'!$B$123:$Z$175,24,FALSE)</f>
        <v>0</v>
      </c>
      <c r="S41" s="3" t="s">
        <v>357</v>
      </c>
      <c r="T41" s="167"/>
      <c r="U41" s="396" t="str">
        <f t="shared" si="3"/>
        <v>gghk10.viettel.zone2</v>
      </c>
      <c r="V41" t="str">
        <f>VLOOKUP(K41,idns_weight_PCSCF!A:B,2,FALSE)</f>
        <v>Viettel</v>
      </c>
      <c r="X41" t="s">
        <v>581</v>
      </c>
      <c r="Y41">
        <v>15</v>
      </c>
      <c r="Z41">
        <v>15</v>
      </c>
      <c r="AA41">
        <v>160</v>
      </c>
      <c r="AB41">
        <v>32774</v>
      </c>
    </row>
    <row r="42" spans="1:28">
      <c r="A42" s="13">
        <f t="shared" si="11"/>
        <v>32</v>
      </c>
      <c r="B42" s="14" t="s">
        <v>131</v>
      </c>
      <c r="C42" s="14" t="s">
        <v>4</v>
      </c>
      <c r="D42" s="15" t="s">
        <v>30</v>
      </c>
      <c r="E42" s="16">
        <v>3400000</v>
      </c>
      <c r="F42" s="16">
        <v>3400000</v>
      </c>
      <c r="G42" s="3" t="s">
        <v>295</v>
      </c>
      <c r="H42" s="168" t="s">
        <v>296</v>
      </c>
      <c r="I42">
        <f t="shared" si="12"/>
        <v>15</v>
      </c>
      <c r="J42" s="33">
        <v>36</v>
      </c>
      <c r="K42" s="34" t="s">
        <v>360</v>
      </c>
      <c r="L42" s="34" t="s">
        <v>249</v>
      </c>
      <c r="M42" s="40" t="s">
        <v>25</v>
      </c>
      <c r="N42" s="41">
        <f>VLOOKUP(K42,'Chi tiết_report'!$B$123:$S$175,16,FALSE)</f>
        <v>3500000</v>
      </c>
      <c r="O42" s="97">
        <f>VLOOKUP(K42,'Chi tiết_report'!$B$123:$S$175,7,FALSE)</f>
        <v>150000</v>
      </c>
      <c r="P42" s="41">
        <v>150000</v>
      </c>
      <c r="Q42" s="36">
        <f>VLOOKUP(K42,'Chi tiết_report'!$B$123:$S$175,18,FALSE)</f>
        <v>3500000</v>
      </c>
      <c r="R42" s="36">
        <f>VLOOKUP(K42,'Chi tiết_report'!$B$123:$Z$175,24,FALSE)</f>
        <v>0</v>
      </c>
      <c r="S42" s="3" t="s">
        <v>357</v>
      </c>
      <c r="T42" s="167"/>
      <c r="U42" s="396" t="str">
        <f t="shared" si="3"/>
        <v>gghk11.viettel.zone2</v>
      </c>
      <c r="V42" t="str">
        <f>VLOOKUP(K42,idns_weight_PCSCF!A:B,2,FALSE)</f>
        <v>Viettel</v>
      </c>
      <c r="X42" t="s">
        <v>582</v>
      </c>
      <c r="Y42">
        <v>15</v>
      </c>
      <c r="Z42">
        <v>15</v>
      </c>
      <c r="AA42">
        <v>164</v>
      </c>
      <c r="AB42">
        <v>32774</v>
      </c>
    </row>
    <row r="43" spans="1:28">
      <c r="A43" s="13">
        <f t="shared" si="11"/>
        <v>33</v>
      </c>
      <c r="B43" s="14" t="s">
        <v>132</v>
      </c>
      <c r="C43" s="14" t="s">
        <v>4</v>
      </c>
      <c r="D43" s="15" t="s">
        <v>30</v>
      </c>
      <c r="E43" s="16">
        <v>3400000</v>
      </c>
      <c r="F43" s="16">
        <v>3400000</v>
      </c>
      <c r="G43" s="3" t="s">
        <v>297</v>
      </c>
      <c r="H43" s="168" t="s">
        <v>347</v>
      </c>
      <c r="J43" s="33">
        <v>37</v>
      </c>
      <c r="K43" s="34" t="s">
        <v>361</v>
      </c>
      <c r="L43" s="34" t="s">
        <v>249</v>
      </c>
      <c r="M43" s="40" t="s">
        <v>25</v>
      </c>
      <c r="N43" s="41">
        <f>VLOOKUP(K43,'Chi tiết_report'!$B$123:$S$175,16,FALSE)</f>
        <v>3500000</v>
      </c>
      <c r="O43" s="97">
        <f>VLOOKUP(K43,'Chi tiết_report'!$B$123:$S$175,7,FALSE)</f>
        <v>150000</v>
      </c>
      <c r="P43" s="41">
        <v>150000</v>
      </c>
      <c r="Q43" s="36">
        <f>VLOOKUP(K43,'Chi tiết_report'!$B$123:$S$175,18,FALSE)</f>
        <v>3500000</v>
      </c>
      <c r="R43" s="36">
        <f>VLOOKUP(K43,'Chi tiết_report'!$B$123:$Z$175,24,FALSE)</f>
        <v>0</v>
      </c>
      <c r="S43" s="3" t="s">
        <v>357</v>
      </c>
      <c r="T43" s="167"/>
      <c r="U43" s="396" t="str">
        <f t="shared" si="3"/>
        <v>gghk12.viettel.zone2</v>
      </c>
      <c r="V43" t="str">
        <f>VLOOKUP(K43,idns_weight_PCSCF!A:B,2,FALSE)</f>
        <v>Viettel</v>
      </c>
      <c r="X43" t="s">
        <v>583</v>
      </c>
      <c r="Y43">
        <v>15</v>
      </c>
      <c r="Z43">
        <v>15</v>
      </c>
      <c r="AA43">
        <v>168</v>
      </c>
      <c r="AB43">
        <v>32774</v>
      </c>
    </row>
    <row r="44" spans="1:28">
      <c r="A44" s="13">
        <f t="shared" si="11"/>
        <v>34</v>
      </c>
      <c r="B44" s="14" t="s">
        <v>336</v>
      </c>
      <c r="C44" s="14" t="s">
        <v>4</v>
      </c>
      <c r="D44" s="15" t="s">
        <v>30</v>
      </c>
      <c r="E44" s="16">
        <v>1000000</v>
      </c>
      <c r="F44" s="16">
        <v>1000000</v>
      </c>
      <c r="G44" s="3" t="s">
        <v>297</v>
      </c>
      <c r="H44" s="168" t="s">
        <v>347</v>
      </c>
      <c r="J44" s="33">
        <v>36</v>
      </c>
      <c r="K44" s="34" t="s">
        <v>886</v>
      </c>
      <c r="L44" s="34" t="s">
        <v>249</v>
      </c>
      <c r="M44" s="40" t="s">
        <v>25</v>
      </c>
      <c r="N44" s="41">
        <v>3500000</v>
      </c>
      <c r="O44" s="97">
        <v>150000</v>
      </c>
      <c r="P44" s="41">
        <v>150000</v>
      </c>
      <c r="Q44" s="36" t="e">
        <f>VLOOKUP(K44,'Chi tiết_report'!$B$123:$S$175,18,FALSE)</f>
        <v>#N/A</v>
      </c>
      <c r="R44" s="36" t="e">
        <f>VLOOKUP(K44,'Chi tiết_report'!$B$123:$Z$175,24,FALSE)</f>
        <v>#N/A</v>
      </c>
      <c r="S44" s="695" t="s">
        <v>888</v>
      </c>
      <c r="T44" s="167"/>
      <c r="U44" s="396" t="str">
        <f t="shared" si="3"/>
        <v>gghk15.viettel.zone2</v>
      </c>
      <c r="V44" s="47">
        <v>20</v>
      </c>
      <c r="W44">
        <v>2025</v>
      </c>
      <c r="X44" t="s">
        <v>689</v>
      </c>
      <c r="Y44">
        <v>20</v>
      </c>
      <c r="Z44">
        <v>20</v>
      </c>
      <c r="AA44">
        <v>144</v>
      </c>
      <c r="AB44">
        <v>32781</v>
      </c>
    </row>
    <row r="45" spans="1:28">
      <c r="A45" s="13">
        <f t="shared" si="11"/>
        <v>35</v>
      </c>
      <c r="B45" s="152" t="s">
        <v>580</v>
      </c>
      <c r="C45" s="152" t="s">
        <v>249</v>
      </c>
      <c r="D45" s="153" t="s">
        <v>30</v>
      </c>
      <c r="E45" s="154">
        <v>1500000</v>
      </c>
      <c r="F45" s="154">
        <v>1500000</v>
      </c>
      <c r="G45" s="204" t="s">
        <v>579</v>
      </c>
      <c r="H45" s="204"/>
      <c r="J45" s="33">
        <v>37</v>
      </c>
      <c r="K45" s="34" t="s">
        <v>887</v>
      </c>
      <c r="L45" s="34" t="s">
        <v>249</v>
      </c>
      <c r="M45" s="40" t="s">
        <v>25</v>
      </c>
      <c r="N45" s="41">
        <v>3500000</v>
      </c>
      <c r="O45" s="97">
        <v>150000</v>
      </c>
      <c r="P45" s="41">
        <v>150000</v>
      </c>
      <c r="Q45" s="36" t="e">
        <f>VLOOKUP(K45,'Chi tiết_report'!$B$123:$S$175,18,FALSE)</f>
        <v>#N/A</v>
      </c>
      <c r="R45" s="36" t="e">
        <f>VLOOKUP(K45,'Chi tiết_report'!$B$123:$Z$175,24,FALSE)</f>
        <v>#N/A</v>
      </c>
      <c r="S45" s="695" t="s">
        <v>888</v>
      </c>
      <c r="T45" s="167"/>
      <c r="U45" s="396" t="str">
        <f t="shared" si="3"/>
        <v>gghk16.viettel.zone2</v>
      </c>
      <c r="V45" s="47">
        <v>20</v>
      </c>
      <c r="W45">
        <v>2025</v>
      </c>
      <c r="X45" t="s">
        <v>690</v>
      </c>
      <c r="Y45">
        <v>20</v>
      </c>
      <c r="Z45">
        <v>20</v>
      </c>
      <c r="AA45">
        <v>148</v>
      </c>
      <c r="AB45">
        <v>32781</v>
      </c>
    </row>
    <row r="46" spans="1:28">
      <c r="A46" s="13">
        <f t="shared" si="11"/>
        <v>36</v>
      </c>
      <c r="B46" s="152" t="s">
        <v>581</v>
      </c>
      <c r="C46" s="152" t="s">
        <v>249</v>
      </c>
      <c r="D46" s="153" t="s">
        <v>30</v>
      </c>
      <c r="E46" s="154">
        <v>1500000</v>
      </c>
      <c r="F46" s="154">
        <v>1500000</v>
      </c>
      <c r="G46" s="204" t="s">
        <v>579</v>
      </c>
      <c r="H46" s="204"/>
      <c r="J46" s="33">
        <v>36</v>
      </c>
      <c r="K46" s="34" t="s">
        <v>882</v>
      </c>
      <c r="L46" s="34" t="s">
        <v>249</v>
      </c>
      <c r="M46" s="40" t="s">
        <v>25</v>
      </c>
      <c r="N46" s="41">
        <v>3500000</v>
      </c>
      <c r="O46" s="97">
        <v>150000</v>
      </c>
      <c r="P46" s="41">
        <v>150000</v>
      </c>
      <c r="Q46" s="36" t="e">
        <f>VLOOKUP(K46,'Chi tiết_report'!$B$123:$S$175,18,FALSE)</f>
        <v>#N/A</v>
      </c>
      <c r="R46" s="36" t="e">
        <f>VLOOKUP(K46,'Chi tiết_report'!$B$123:$Z$175,24,FALSE)</f>
        <v>#N/A</v>
      </c>
      <c r="S46" s="695" t="s">
        <v>885</v>
      </c>
      <c r="T46" s="167"/>
      <c r="U46" s="396" t="str">
        <f t="shared" ref="U46:U48" si="13">LOWER(CONCATENATE(K46,".",IF(L46="Ericsson","eric",IF(L46="VHT","viettel","cisco")),".zone",RIGHT(M46,1)))</f>
        <v>gghk17.viettel.zone2</v>
      </c>
      <c r="V46" s="47">
        <v>20</v>
      </c>
      <c r="W46">
        <v>2025</v>
      </c>
      <c r="X46" t="s">
        <v>691</v>
      </c>
      <c r="Y46">
        <v>20</v>
      </c>
      <c r="Z46">
        <v>20</v>
      </c>
      <c r="AA46">
        <v>152</v>
      </c>
      <c r="AB46">
        <v>32781</v>
      </c>
    </row>
    <row r="47" spans="1:28">
      <c r="A47" s="13">
        <f t="shared" si="11"/>
        <v>37</v>
      </c>
      <c r="B47" s="152" t="s">
        <v>582</v>
      </c>
      <c r="C47" s="152" t="s">
        <v>249</v>
      </c>
      <c r="D47" s="153" t="s">
        <v>30</v>
      </c>
      <c r="E47" s="154">
        <v>1500000</v>
      </c>
      <c r="F47" s="154">
        <v>1500000</v>
      </c>
      <c r="G47" s="204" t="s">
        <v>579</v>
      </c>
      <c r="H47" s="205"/>
      <c r="J47" s="33">
        <v>37</v>
      </c>
      <c r="K47" s="34" t="s">
        <v>883</v>
      </c>
      <c r="L47" s="34" t="s">
        <v>249</v>
      </c>
      <c r="M47" s="40" t="s">
        <v>25</v>
      </c>
      <c r="N47" s="41">
        <v>3500000</v>
      </c>
      <c r="O47" s="97">
        <v>150000</v>
      </c>
      <c r="P47" s="41">
        <v>150000</v>
      </c>
      <c r="Q47" s="36" t="e">
        <f>VLOOKUP(K47,'Chi tiết_report'!$B$123:$S$175,18,FALSE)</f>
        <v>#N/A</v>
      </c>
      <c r="R47" s="36" t="e">
        <f>VLOOKUP(K47,'Chi tiết_report'!$B$123:$Z$175,24,FALSE)</f>
        <v>#N/A</v>
      </c>
      <c r="S47" s="695" t="s">
        <v>885</v>
      </c>
      <c r="T47" s="167"/>
      <c r="U47" s="396" t="str">
        <f t="shared" ref="U47" si="14">LOWER(CONCATENATE(K47,".",IF(L47="Ericsson","eric",IF(L47="VHT","viettel","cisco")),".zone",RIGHT(M47,1)))</f>
        <v>gghk18.viettel.zone2</v>
      </c>
      <c r="V47" s="47">
        <v>20</v>
      </c>
      <c r="W47">
        <v>2025</v>
      </c>
      <c r="X47" t="s">
        <v>1111</v>
      </c>
      <c r="Y47">
        <v>20</v>
      </c>
      <c r="Z47">
        <v>20</v>
      </c>
      <c r="AA47">
        <v>208</v>
      </c>
      <c r="AB47">
        <v>32781</v>
      </c>
    </row>
    <row r="48" spans="1:28">
      <c r="A48" s="13">
        <f t="shared" si="11"/>
        <v>38</v>
      </c>
      <c r="B48" s="152" t="s">
        <v>583</v>
      </c>
      <c r="C48" s="152" t="s">
        <v>249</v>
      </c>
      <c r="D48" s="153" t="s">
        <v>30</v>
      </c>
      <c r="E48" s="154">
        <v>1500000</v>
      </c>
      <c r="F48" s="154">
        <v>1500000</v>
      </c>
      <c r="G48" s="204" t="s">
        <v>579</v>
      </c>
      <c r="H48" s="205"/>
      <c r="J48" s="33">
        <v>37</v>
      </c>
      <c r="K48" s="34" t="s">
        <v>884</v>
      </c>
      <c r="L48" s="34" t="s">
        <v>249</v>
      </c>
      <c r="M48" s="40" t="s">
        <v>25</v>
      </c>
      <c r="N48" s="41">
        <v>3500000</v>
      </c>
      <c r="O48" s="97">
        <v>150000</v>
      </c>
      <c r="P48" s="41">
        <v>150000</v>
      </c>
      <c r="Q48" s="36" t="e">
        <f>VLOOKUP(K48,'Chi tiết_report'!$B$123:$S$175,18,FALSE)</f>
        <v>#N/A</v>
      </c>
      <c r="R48" s="36" t="e">
        <f>VLOOKUP(K48,'Chi tiết_report'!$B$123:$Z$175,24,FALSE)</f>
        <v>#N/A</v>
      </c>
      <c r="S48" s="695" t="s">
        <v>885</v>
      </c>
      <c r="T48" s="167"/>
      <c r="U48" s="396" t="str">
        <f t="shared" si="13"/>
        <v>gghk19.viettel.zone2</v>
      </c>
      <c r="V48" s="47">
        <v>20</v>
      </c>
      <c r="W48">
        <v>2025</v>
      </c>
      <c r="X48" t="s">
        <v>1112</v>
      </c>
      <c r="Y48">
        <v>20</v>
      </c>
      <c r="Z48">
        <v>20</v>
      </c>
      <c r="AA48">
        <v>212</v>
      </c>
      <c r="AB48">
        <v>32781</v>
      </c>
    </row>
    <row r="49" spans="1:25">
      <c r="A49" s="13"/>
      <c r="B49" s="19" t="s">
        <v>36</v>
      </c>
      <c r="C49" s="19" t="s">
        <v>4</v>
      </c>
      <c r="D49" s="21"/>
      <c r="E49" s="22">
        <f>SUM(E36:E44)</f>
        <v>26600000</v>
      </c>
      <c r="F49" s="22">
        <f>SUM(F36:F44)</f>
        <v>27200000</v>
      </c>
      <c r="G49" s="3"/>
      <c r="H49" s="3"/>
      <c r="J49" s="33">
        <v>38</v>
      </c>
      <c r="K49" s="101" t="s">
        <v>426</v>
      </c>
      <c r="L49" s="101" t="s">
        <v>4</v>
      </c>
      <c r="M49" s="102" t="s">
        <v>25</v>
      </c>
      <c r="N49" s="41">
        <v>4500000</v>
      </c>
      <c r="O49" s="97">
        <v>150000</v>
      </c>
      <c r="P49" s="97">
        <v>150000</v>
      </c>
      <c r="Q49" s="36">
        <f>27*65530</f>
        <v>1769310</v>
      </c>
      <c r="R49" s="36" t="e">
        <f>VLOOKUP(K49,'Chi tiết_report'!$B$123:$Z$175,24,FALSE)</f>
        <v>#N/A</v>
      </c>
      <c r="S49" s="174" t="s">
        <v>578</v>
      </c>
      <c r="T49" s="436" t="s">
        <v>576</v>
      </c>
      <c r="U49" s="437" t="str">
        <f t="shared" si="3"/>
        <v>gghk13.eric.zone2</v>
      </c>
      <c r="V49" t="str">
        <f>VLOOKUP(K51,idns_weight_PCSCF!A:B,2,FALSE)</f>
        <v>Ericsson</v>
      </c>
      <c r="X49" t="s">
        <v>690</v>
      </c>
      <c r="Y49">
        <v>20</v>
      </c>
    </row>
    <row r="50" spans="1:25">
      <c r="A50" s="13"/>
      <c r="B50" s="23" t="s">
        <v>37</v>
      </c>
      <c r="C50" s="23" t="s">
        <v>38</v>
      </c>
      <c r="D50" s="24"/>
      <c r="E50" s="25">
        <f>E18+E22</f>
        <v>44400000</v>
      </c>
      <c r="F50" s="25">
        <f>SUM(F3:F17)-3300000</f>
        <v>38700000</v>
      </c>
      <c r="G50" s="3"/>
      <c r="H50" s="3"/>
      <c r="J50" s="33">
        <v>39</v>
      </c>
      <c r="K50" s="101" t="s">
        <v>1107</v>
      </c>
      <c r="L50" s="101" t="s">
        <v>4</v>
      </c>
      <c r="M50" s="102" t="s">
        <v>25</v>
      </c>
      <c r="N50" s="41">
        <v>4500000</v>
      </c>
      <c r="O50" s="97">
        <v>150000</v>
      </c>
      <c r="P50" s="97">
        <v>150000</v>
      </c>
      <c r="Q50" s="36">
        <f>27*65530</f>
        <v>1769310</v>
      </c>
      <c r="R50" s="36" t="e">
        <f>VLOOKUP(K50,'Chi tiết_report'!$B$123:$Z$175,24,FALSE)</f>
        <v>#N/A</v>
      </c>
      <c r="S50" s="174" t="s">
        <v>578</v>
      </c>
      <c r="T50" s="436" t="s">
        <v>576</v>
      </c>
      <c r="U50" s="437" t="str">
        <f t="shared" si="3"/>
        <v>gghk14.eric.zone2</v>
      </c>
      <c r="V50" t="str">
        <f>VLOOKUP(K52,idns_weight_PCSCF!A:B,2,FALSE)</f>
        <v>Ericsson</v>
      </c>
      <c r="X50" t="s">
        <v>691</v>
      </c>
      <c r="Y50">
        <v>20</v>
      </c>
    </row>
    <row r="51" spans="1:25">
      <c r="A51" s="13"/>
      <c r="B51" s="23" t="s">
        <v>39</v>
      </c>
      <c r="C51" s="23" t="s">
        <v>38</v>
      </c>
      <c r="D51" s="24"/>
      <c r="E51" s="25">
        <f>E27+E35</f>
        <v>15200000</v>
      </c>
      <c r="F51" s="25">
        <f>SUM(F23:F26)</f>
        <v>9200000</v>
      </c>
      <c r="G51" s="3"/>
      <c r="H51" s="3"/>
      <c r="J51" s="33">
        <v>40</v>
      </c>
      <c r="K51" s="42" t="s">
        <v>84</v>
      </c>
      <c r="L51" s="42" t="s">
        <v>4</v>
      </c>
      <c r="M51" s="43" t="s">
        <v>30</v>
      </c>
      <c r="N51" s="41">
        <f>VLOOKUP(K51,'Chi tiết_report'!$B$123:$S$175,16,FALSE)</f>
        <v>1500000</v>
      </c>
      <c r="O51" s="97">
        <f>VLOOKUP(K51,'Chi tiết_report'!$B$123:$S$175,7,FALSE)</f>
        <v>80000</v>
      </c>
      <c r="P51" s="41">
        <v>60000</v>
      </c>
      <c r="Q51" s="36">
        <f>VLOOKUP(K51,'Chi tiết_report'!$B$123:$S$175,18,FALSE)</f>
        <v>1690000</v>
      </c>
      <c r="R51" s="36">
        <f>VLOOKUP(K51,'Chi tiết_report'!$B$123:$Z$175,24,FALSE)</f>
        <v>0</v>
      </c>
      <c r="S51" t="s">
        <v>287</v>
      </c>
      <c r="T51" s="167" t="s">
        <v>327</v>
      </c>
      <c r="U51" s="396" t="str">
        <f t="shared" si="3"/>
        <v>gght07.eric.zone3</v>
      </c>
      <c r="V51" t="e">
        <f>VLOOKUP(K53,idns_weight_PCSCF!A:B,2,FALSE)</f>
        <v>#N/A</v>
      </c>
      <c r="X51" t="s">
        <v>1111</v>
      </c>
      <c r="Y51">
        <v>20</v>
      </c>
    </row>
    <row r="52" spans="1:25">
      <c r="A52" s="13"/>
      <c r="B52" s="23" t="s">
        <v>40</v>
      </c>
      <c r="C52" s="23" t="s">
        <v>38</v>
      </c>
      <c r="D52" s="24"/>
      <c r="E52" s="25">
        <f>E49</f>
        <v>26600000</v>
      </c>
      <c r="F52" s="25">
        <f>SUM(F36:F44)</f>
        <v>27200000</v>
      </c>
      <c r="G52" s="3"/>
      <c r="H52" s="3"/>
      <c r="J52" s="33">
        <v>41</v>
      </c>
      <c r="K52" s="42" t="s">
        <v>86</v>
      </c>
      <c r="L52" s="42" t="s">
        <v>4</v>
      </c>
      <c r="M52" s="43" t="s">
        <v>30</v>
      </c>
      <c r="N52" s="41">
        <v>1500000</v>
      </c>
      <c r="O52" s="97">
        <v>80000</v>
      </c>
      <c r="P52" s="41">
        <v>60000</v>
      </c>
      <c r="Q52" s="36">
        <f>VLOOKUP(K52,'Chi tiết_report'!$B$123:$S$175,18,FALSE)</f>
        <v>0</v>
      </c>
      <c r="R52" s="36">
        <f>VLOOKUP(K52,'Chi tiết_report'!$B$123:$Z$175,24,FALSE)</f>
        <v>0</v>
      </c>
      <c r="S52" t="s">
        <v>287</v>
      </c>
      <c r="T52" s="167" t="s">
        <v>327</v>
      </c>
      <c r="U52" s="396" t="str">
        <f t="shared" si="3"/>
        <v>gght08.eric.zone3</v>
      </c>
      <c r="V52" t="str">
        <f>VLOOKUP(K54,idns_weight_PCSCF!A:B,2,FALSE)</f>
        <v>Ericsson</v>
      </c>
      <c r="X52" t="s">
        <v>1112</v>
      </c>
      <c r="Y52">
        <v>20</v>
      </c>
    </row>
    <row r="53" spans="1:25">
      <c r="A53" s="13"/>
      <c r="B53" s="23" t="s">
        <v>41</v>
      </c>
      <c r="C53" s="23" t="s">
        <v>38</v>
      </c>
      <c r="D53" s="24"/>
      <c r="E53" s="25">
        <f>SUM(E50:E52)</f>
        <v>86200000</v>
      </c>
      <c r="F53" s="25">
        <f>SUM(F50:F52)</f>
        <v>75100000</v>
      </c>
      <c r="G53" s="3"/>
      <c r="H53" s="3"/>
      <c r="J53" s="33">
        <v>42</v>
      </c>
      <c r="K53" s="42" t="s">
        <v>87</v>
      </c>
      <c r="L53" s="42" t="s">
        <v>4</v>
      </c>
      <c r="M53" s="43" t="s">
        <v>30</v>
      </c>
      <c r="N53" s="41">
        <v>1500000</v>
      </c>
      <c r="O53" s="97">
        <v>80000</v>
      </c>
      <c r="P53" s="41">
        <v>60000</v>
      </c>
      <c r="Q53" s="36">
        <f>VLOOKUP(K53,'Chi tiết_report'!$B$123:$S$175,18,FALSE)</f>
        <v>0</v>
      </c>
      <c r="R53" s="36">
        <f>VLOOKUP(K53,'Chi tiết_report'!$B$123:$Z$175,24,FALSE)</f>
        <v>0</v>
      </c>
      <c r="S53" t="s">
        <v>287</v>
      </c>
      <c r="T53" s="167" t="s">
        <v>327</v>
      </c>
      <c r="U53" s="396" t="str">
        <f t="shared" si="3"/>
        <v>gght09.eric.zone3</v>
      </c>
      <c r="V53">
        <v>60</v>
      </c>
    </row>
    <row r="54" spans="1:25">
      <c r="J54" s="33">
        <v>43</v>
      </c>
      <c r="K54" s="42" t="s">
        <v>89</v>
      </c>
      <c r="L54" s="42" t="s">
        <v>4</v>
      </c>
      <c r="M54" s="43" t="s">
        <v>30</v>
      </c>
      <c r="N54" s="41">
        <f>VLOOKUP(K54,'Chi tiết_report'!$B$123:$S$175,16,FALSE)</f>
        <v>1500000</v>
      </c>
      <c r="O54" s="97">
        <f>VLOOKUP(K54,'Chi tiết_report'!$B$123:$S$175,7,FALSE)</f>
        <v>80000</v>
      </c>
      <c r="P54" s="41">
        <v>60000</v>
      </c>
      <c r="Q54" s="36">
        <f>VLOOKUP(K54,'Chi tiết_report'!$B$123:$S$175,18,FALSE)</f>
        <v>1690000</v>
      </c>
      <c r="R54" s="36">
        <f>VLOOKUP(K54,'Chi tiết_report'!$B$123:$Z$175,24,FALSE)</f>
        <v>1495000</v>
      </c>
      <c r="S54" t="s">
        <v>287</v>
      </c>
      <c r="T54" s="167" t="s">
        <v>327</v>
      </c>
      <c r="U54" s="396" t="str">
        <f t="shared" si="3"/>
        <v>gght10.eric.zone3</v>
      </c>
      <c r="V54">
        <v>60</v>
      </c>
    </row>
    <row r="55" spans="1:25">
      <c r="J55" s="33">
        <v>44</v>
      </c>
      <c r="K55" s="42" t="s">
        <v>90</v>
      </c>
      <c r="L55" s="42" t="s">
        <v>4</v>
      </c>
      <c r="M55" s="43" t="s">
        <v>30</v>
      </c>
      <c r="N55" s="41">
        <f>VLOOKUP(K55,'Chi tiết_report'!$B$123:$S$175,16,FALSE)</f>
        <v>2700000</v>
      </c>
      <c r="O55" s="97">
        <f>VLOOKUP(K55,'Chi tiết_report'!$B$123:$S$175,7,FALSE)</f>
        <v>150000</v>
      </c>
      <c r="P55" s="41">
        <v>130000</v>
      </c>
      <c r="Q55" s="36">
        <f>VLOOKUP(K55,'Chi tiết_report'!$B$123:$S$175,18,FALSE)</f>
        <v>2990000</v>
      </c>
      <c r="R55" s="36">
        <f>VLOOKUP(K55,'Chi tiết_report'!$B$123:$Z$175,24,FALSE)</f>
        <v>2730000</v>
      </c>
      <c r="S55" t="s">
        <v>287</v>
      </c>
      <c r="T55" s="218" t="s">
        <v>356</v>
      </c>
      <c r="U55" s="396" t="str">
        <f t="shared" si="3"/>
        <v>gght11.eric.zone3</v>
      </c>
      <c r="V55" t="str">
        <f>VLOOKUP(K57,idns_weight_PCSCF!A:B,2,FALSE)</f>
        <v>Ericsson</v>
      </c>
    </row>
    <row r="56" spans="1:25">
      <c r="J56" s="33">
        <v>45</v>
      </c>
      <c r="K56" s="42" t="s">
        <v>91</v>
      </c>
      <c r="L56" s="42" t="s">
        <v>4</v>
      </c>
      <c r="M56" s="43" t="s">
        <v>30</v>
      </c>
      <c r="N56" s="41">
        <f>VLOOKUP(K56,'Chi tiết_report'!$B$123:$S$175,16,FALSE)</f>
        <v>2500000</v>
      </c>
      <c r="O56" s="97">
        <f>VLOOKUP(K56,'Chi tiết_report'!$B$123:$S$175,7,FALSE)</f>
        <v>150000</v>
      </c>
      <c r="P56" s="41">
        <v>150000</v>
      </c>
      <c r="Q56" s="36">
        <f>VLOOKUP(K56,'Chi tiết_report'!$B$123:$S$175,18,FALSE)</f>
        <v>2470000</v>
      </c>
      <c r="R56" s="36">
        <f>VLOOKUP(K56,'Chi tiết_report'!$B$123:$Z$175,24,FALSE)</f>
        <v>2535000</v>
      </c>
      <c r="S56" t="s">
        <v>287</v>
      </c>
      <c r="T56" s="218" t="s">
        <v>356</v>
      </c>
      <c r="U56" s="396" t="str">
        <f t="shared" si="3"/>
        <v>gght12.eric.zone3</v>
      </c>
      <c r="V56">
        <v>120</v>
      </c>
    </row>
    <row r="57" spans="1:25">
      <c r="J57" s="33">
        <v>46</v>
      </c>
      <c r="K57" s="42" t="s">
        <v>93</v>
      </c>
      <c r="L57" s="42" t="s">
        <v>4</v>
      </c>
      <c r="M57" s="43" t="s">
        <v>30</v>
      </c>
      <c r="N57" s="41">
        <f>VLOOKUP(K57,'Chi tiết_report'!$B$123:$S$175,16,FALSE)</f>
        <v>2700000</v>
      </c>
      <c r="O57" s="97">
        <f>VLOOKUP(K57,'Chi tiết_report'!$B$123:$S$175,7,FALSE)</f>
        <v>150000</v>
      </c>
      <c r="P57" s="41">
        <v>130000</v>
      </c>
      <c r="Q57" s="36">
        <f>VLOOKUP(K57,'Chi tiết_report'!$B$123:$S$175,18,FALSE)</f>
        <v>2985000</v>
      </c>
      <c r="R57" s="36">
        <f>VLOOKUP(K57,'Chi tiết_report'!$B$123:$Z$175,24,FALSE)</f>
        <v>2730000</v>
      </c>
      <c r="S57" t="s">
        <v>287</v>
      </c>
      <c r="T57" s="218" t="s">
        <v>356</v>
      </c>
      <c r="U57" s="396" t="str">
        <f t="shared" si="3"/>
        <v>gght13.eric.zone3</v>
      </c>
      <c r="V57">
        <v>130</v>
      </c>
    </row>
    <row r="58" spans="1:25">
      <c r="J58" s="33">
        <v>47</v>
      </c>
      <c r="K58" s="42" t="s">
        <v>328</v>
      </c>
      <c r="L58" s="42" t="s">
        <v>4</v>
      </c>
      <c r="M58" s="43" t="s">
        <v>30</v>
      </c>
      <c r="N58" s="41">
        <v>3400000</v>
      </c>
      <c r="O58" s="97">
        <f>VLOOKUP(K58,'Chi tiết_report'!$B$123:$S$175,7,FALSE)</f>
        <v>150000</v>
      </c>
      <c r="P58" s="97">
        <v>150000</v>
      </c>
      <c r="Q58" s="36">
        <f>27*131000</f>
        <v>3537000</v>
      </c>
      <c r="R58" s="36">
        <f>VLOOKUP(K58,'Chi tiết_report'!$B$123:$Z$175,24,FALSE)</f>
        <v>0</v>
      </c>
      <c r="S58" s="3" t="s">
        <v>440</v>
      </c>
      <c r="T58" s="218" t="s">
        <v>356</v>
      </c>
      <c r="U58" s="396" t="str">
        <f>LOWER(CONCATENATE(K59,".",IF(L59="Ericsson","eric",IF(L59="VHT","viettel","cisco")),".zone",RIGHT(M59,1)))</f>
        <v>gght19.eric.zone3</v>
      </c>
      <c r="V58">
        <v>140</v>
      </c>
    </row>
    <row r="59" spans="1:25">
      <c r="J59" s="33">
        <v>47</v>
      </c>
      <c r="K59" s="42" t="s">
        <v>445</v>
      </c>
      <c r="L59" s="42" t="s">
        <v>4</v>
      </c>
      <c r="M59" s="43" t="s">
        <v>30</v>
      </c>
      <c r="N59" s="41">
        <v>4500000</v>
      </c>
      <c r="O59" s="97">
        <v>150000</v>
      </c>
      <c r="P59" s="97">
        <v>150000</v>
      </c>
      <c r="Q59" s="36">
        <f>27*131000</f>
        <v>3537000</v>
      </c>
      <c r="R59" s="36" t="e">
        <f>VLOOKUP(K59,'Chi tiết_report'!$B$123:$Z$175,24,FALSE)</f>
        <v>#N/A</v>
      </c>
      <c r="S59" s="3" t="s">
        <v>444</v>
      </c>
      <c r="T59" s="436" t="s">
        <v>576</v>
      </c>
      <c r="U59" s="437" t="str">
        <f t="shared" ref="U59:U61" si="15">LOWER(CONCATENATE(K59,".",IF(L59="Ericsson","eric",IF(L59="VHT","viettel","cisco")),".zone",RIGHT(M59,1)))</f>
        <v>gght19.eric.zone3</v>
      </c>
      <c r="V59">
        <v>120</v>
      </c>
    </row>
    <row r="60" spans="1:25">
      <c r="J60" s="33">
        <v>38</v>
      </c>
      <c r="K60" s="42" t="s">
        <v>446</v>
      </c>
      <c r="L60" s="101" t="s">
        <v>4</v>
      </c>
      <c r="M60" s="43" t="s">
        <v>30</v>
      </c>
      <c r="N60" s="41">
        <v>4500000</v>
      </c>
      <c r="O60" s="97">
        <v>150000</v>
      </c>
      <c r="P60" s="97">
        <v>150000</v>
      </c>
      <c r="Q60" s="36">
        <f>27*131000</f>
        <v>3537000</v>
      </c>
      <c r="R60" s="36" t="e">
        <f>VLOOKUP(K60,'Chi tiết_report'!$B$123:$Z$175,24,FALSE)</f>
        <v>#N/A</v>
      </c>
      <c r="S60" s="3" t="s">
        <v>444</v>
      </c>
      <c r="T60" s="436" t="s">
        <v>576</v>
      </c>
      <c r="U60" s="437" t="str">
        <f t="shared" si="15"/>
        <v>gght20.eric.zone3</v>
      </c>
      <c r="V60">
        <v>120</v>
      </c>
    </row>
    <row r="61" spans="1:25">
      <c r="J61" s="33">
        <v>39</v>
      </c>
      <c r="K61" s="42" t="s">
        <v>1110</v>
      </c>
      <c r="L61" s="101" t="s">
        <v>4</v>
      </c>
      <c r="M61" s="43" t="s">
        <v>30</v>
      </c>
      <c r="N61" s="41">
        <v>4500000</v>
      </c>
      <c r="O61" s="97">
        <v>150000</v>
      </c>
      <c r="P61" s="97">
        <v>150000</v>
      </c>
      <c r="Q61" s="36">
        <f>27*131000</f>
        <v>3537000</v>
      </c>
      <c r="R61" s="36" t="e">
        <f>VLOOKUP(K61,'Chi tiết_report'!$B$123:$Z$175,24,FALSE)</f>
        <v>#N/A</v>
      </c>
      <c r="S61" s="3" t="s">
        <v>444</v>
      </c>
      <c r="T61" s="436" t="s">
        <v>576</v>
      </c>
      <c r="U61" s="437" t="str">
        <f t="shared" si="15"/>
        <v>gght21.eric.zone3</v>
      </c>
      <c r="V61">
        <v>120</v>
      </c>
    </row>
    <row r="62" spans="1:25">
      <c r="J62" s="33">
        <v>48</v>
      </c>
      <c r="K62" s="34" t="s">
        <v>889</v>
      </c>
      <c r="L62" s="34" t="s">
        <v>249</v>
      </c>
      <c r="M62" s="43" t="s">
        <v>30</v>
      </c>
      <c r="N62" s="41">
        <v>3500000</v>
      </c>
      <c r="O62" s="97">
        <v>150000</v>
      </c>
      <c r="P62" s="97">
        <v>150000</v>
      </c>
      <c r="Q62" s="36" t="e">
        <f>VLOOKUP(K62,'Chi tiết_report'!$B$123:$S$175,18,FALSE)</f>
        <v>#N/A</v>
      </c>
      <c r="R62" s="36" t="e">
        <f>VLOOKUP(K62,'Chi tiết_report'!$B$123:$Z$175,24,FALSE)</f>
        <v>#N/A</v>
      </c>
      <c r="S62" s="695" t="s">
        <v>890</v>
      </c>
      <c r="U62" s="396"/>
      <c r="W62">
        <v>2025</v>
      </c>
    </row>
    <row r="63" spans="1:25">
      <c r="J63" s="33">
        <v>48</v>
      </c>
      <c r="K63" s="34" t="s">
        <v>891</v>
      </c>
      <c r="L63" s="34" t="s">
        <v>249</v>
      </c>
      <c r="M63" s="43" t="s">
        <v>30</v>
      </c>
      <c r="N63" s="41">
        <v>3500000</v>
      </c>
      <c r="O63" s="97">
        <v>150000</v>
      </c>
      <c r="P63" s="97">
        <v>150000</v>
      </c>
      <c r="Q63" s="36" t="e">
        <f>VLOOKUP(K63,'Chi tiết_report'!$B$123:$S$175,18,FALSE)</f>
        <v>#N/A</v>
      </c>
      <c r="R63" s="36" t="e">
        <f>VLOOKUP(K63,'Chi tiết_report'!$B$123:$Z$175,24,FALSE)</f>
        <v>#N/A</v>
      </c>
      <c r="S63" s="695" t="s">
        <v>890</v>
      </c>
      <c r="U63" s="396"/>
      <c r="W63">
        <v>2025</v>
      </c>
    </row>
    <row r="64" spans="1:25">
      <c r="J64" s="33">
        <v>48</v>
      </c>
      <c r="K64" s="34" t="s">
        <v>892</v>
      </c>
      <c r="L64" s="34" t="s">
        <v>249</v>
      </c>
      <c r="M64" s="43" t="s">
        <v>30</v>
      </c>
      <c r="N64" s="41">
        <v>3500000</v>
      </c>
      <c r="O64" s="97">
        <v>150000</v>
      </c>
      <c r="P64" s="97">
        <v>150000</v>
      </c>
      <c r="Q64" s="36" t="e">
        <f>VLOOKUP(K64,'Chi tiết_report'!$B$123:$S$175,18,FALSE)</f>
        <v>#N/A</v>
      </c>
      <c r="R64" s="36" t="e">
        <f>VLOOKUP(K64,'Chi tiết_report'!$B$123:$Z$175,24,FALSE)</f>
        <v>#N/A</v>
      </c>
      <c r="S64" s="695" t="s">
        <v>890</v>
      </c>
      <c r="U64" s="396"/>
      <c r="W64">
        <v>2025</v>
      </c>
    </row>
    <row r="65" spans="10:22">
      <c r="J65" s="33">
        <v>48</v>
      </c>
      <c r="K65" s="34" t="s">
        <v>451</v>
      </c>
      <c r="L65" s="34" t="s">
        <v>249</v>
      </c>
      <c r="M65" s="43" t="s">
        <v>30</v>
      </c>
      <c r="N65" s="41">
        <f>VLOOKUP(K65,'Chi tiết_report'!$B$123:$S$175,16,FALSE)</f>
        <v>4500000</v>
      </c>
      <c r="O65" s="97">
        <f>VLOOKUP(K65,'Chi tiết_report'!$B$123:$S$175,7,FALSE)</f>
        <v>150000</v>
      </c>
      <c r="P65" s="41">
        <v>150000</v>
      </c>
      <c r="Q65" s="36">
        <f>VLOOKUP(K65,'Chi tiết_report'!$B$123:$S$175,18,FALSE)</f>
        <v>4500000</v>
      </c>
      <c r="R65" s="36">
        <f>VLOOKUP(K65,'Chi tiết_report'!$B$123:$Z$175,24,FALSE)</f>
        <v>0</v>
      </c>
      <c r="S65" s="3" t="s">
        <v>536</v>
      </c>
      <c r="U65" s="396"/>
      <c r="V65">
        <v>120</v>
      </c>
    </row>
    <row r="66" spans="10:22">
      <c r="J66" s="33">
        <v>49</v>
      </c>
      <c r="K66" s="34" t="s">
        <v>452</v>
      </c>
      <c r="L66" s="34" t="s">
        <v>249</v>
      </c>
      <c r="M66" s="43" t="s">
        <v>30</v>
      </c>
      <c r="N66" s="41">
        <f>VLOOKUP(K66,'Chi tiết_report'!$B$123:$S$175,16,FALSE)</f>
        <v>4500000</v>
      </c>
      <c r="O66" s="97">
        <f>VLOOKUP(K66,'Chi tiết_report'!$B$123:$S$175,7,FALSE)</f>
        <v>150000</v>
      </c>
      <c r="P66" s="41">
        <v>150000</v>
      </c>
      <c r="Q66" s="36">
        <f>VLOOKUP(K66,'Chi tiết_report'!$B$123:$S$175,18,FALSE)</f>
        <v>4500000</v>
      </c>
      <c r="R66" s="36">
        <f>VLOOKUP(K66,'Chi tiết_report'!$B$123:$Z$175,24,FALSE)</f>
        <v>0</v>
      </c>
      <c r="S66" s="3" t="s">
        <v>536</v>
      </c>
      <c r="U66" s="396"/>
      <c r="V66">
        <v>120</v>
      </c>
    </row>
    <row r="67" spans="10:22">
      <c r="J67" s="33">
        <v>50</v>
      </c>
      <c r="K67" s="34" t="s">
        <v>453</v>
      </c>
      <c r="L67" s="34" t="s">
        <v>249</v>
      </c>
      <c r="M67" s="43" t="s">
        <v>30</v>
      </c>
      <c r="N67" s="41">
        <f>VLOOKUP(K67,'Chi tiết_report'!$B$123:$S$175,16,FALSE)</f>
        <v>4500000</v>
      </c>
      <c r="O67" s="97">
        <f>VLOOKUP(K67,'Chi tiết_report'!$B$123:$S$175,7,FALSE)</f>
        <v>150000</v>
      </c>
      <c r="P67" s="41">
        <v>150000</v>
      </c>
      <c r="Q67" s="36">
        <f>VLOOKUP(K67,'Chi tiết_report'!$B$123:$S$175,18,FALSE)</f>
        <v>4500000</v>
      </c>
      <c r="R67" s="36">
        <f>VLOOKUP(K67,'Chi tiết_report'!$B$123:$Z$175,24,FALSE)</f>
        <v>0</v>
      </c>
      <c r="S67" s="3" t="s">
        <v>536</v>
      </c>
      <c r="V67">
        <v>120</v>
      </c>
    </row>
    <row r="68" spans="10:22">
      <c r="J68" s="33">
        <v>51</v>
      </c>
      <c r="K68" s="34" t="s">
        <v>491</v>
      </c>
      <c r="L68" s="34" t="s">
        <v>249</v>
      </c>
      <c r="M68" s="43" t="s">
        <v>30</v>
      </c>
      <c r="N68" s="41">
        <f>VLOOKUP(K68,'Chi tiết_report'!$B$123:$S$175,16,FALSE)</f>
        <v>4500000</v>
      </c>
      <c r="O68" s="97">
        <f>VLOOKUP(K68,'Chi tiết_report'!$B$123:$S$175,7,FALSE)</f>
        <v>150000</v>
      </c>
      <c r="P68" s="41">
        <v>150000</v>
      </c>
      <c r="Q68" s="36">
        <f>VLOOKUP(K68,'Chi tiết_report'!$B$123:$S$175,18,FALSE)</f>
        <v>4500000</v>
      </c>
      <c r="R68" s="36">
        <f>VLOOKUP(K68,'Chi tiết_report'!$B$123:$Z$175,24,FALSE)</f>
        <v>0</v>
      </c>
      <c r="S68" s="3" t="s">
        <v>536</v>
      </c>
      <c r="V68">
        <v>120</v>
      </c>
    </row>
    <row r="69" spans="10:22">
      <c r="J69" s="33">
        <v>52</v>
      </c>
      <c r="K69" s="101" t="s">
        <v>250</v>
      </c>
      <c r="L69" s="101" t="s">
        <v>251</v>
      </c>
      <c r="M69" s="102" t="s">
        <v>30</v>
      </c>
      <c r="N69" s="41">
        <v>1700000</v>
      </c>
      <c r="O69" s="97">
        <v>150000</v>
      </c>
      <c r="P69" s="41">
        <v>100000</v>
      </c>
      <c r="Q69" s="36">
        <f>VLOOKUP(K69,'Chi tiết_report'!$B$123:$S$175,18,FALSE)</f>
        <v>0</v>
      </c>
      <c r="R69" s="36">
        <f>VLOOKUP(K69,'Chi tiết_report'!$B$123:$Z$175,24,FALSE)</f>
        <v>0</v>
      </c>
      <c r="S69" s="3" t="s">
        <v>434</v>
      </c>
    </row>
    <row r="70" spans="10:22">
      <c r="J70" s="33">
        <v>53</v>
      </c>
      <c r="K70" s="101" t="s">
        <v>252</v>
      </c>
      <c r="L70" s="101" t="s">
        <v>251</v>
      </c>
      <c r="M70" s="102" t="s">
        <v>30</v>
      </c>
      <c r="N70" s="41">
        <f>VLOOKUP(K70,'Chi tiết_report'!$B$123:$S$175,16,FALSE)</f>
        <v>1700000</v>
      </c>
      <c r="O70" s="97">
        <f>VLOOKUP(K70,'Chi tiết_report'!$B$123:$S$175,7,FALSE)</f>
        <v>150000</v>
      </c>
      <c r="P70" s="41">
        <v>100000</v>
      </c>
      <c r="Q70" s="36">
        <f>VLOOKUP(K70,'Chi tiết_report'!$B$123:$S$175,18,FALSE)</f>
        <v>3200000</v>
      </c>
      <c r="R70" s="36">
        <f>VLOOKUP(K70,'Chi tiết_report'!$B$123:$Z$175,24,FALSE)</f>
        <v>0</v>
      </c>
      <c r="S70" s="3" t="s">
        <v>438</v>
      </c>
    </row>
    <row r="71" spans="10:22">
      <c r="J71" s="33">
        <v>54</v>
      </c>
      <c r="K71" s="101" t="s">
        <v>253</v>
      </c>
      <c r="L71" s="101" t="s">
        <v>251</v>
      </c>
      <c r="M71" s="102" t="s">
        <v>30</v>
      </c>
      <c r="N71" s="41">
        <f>VLOOKUP(K71,'Chi tiết_report'!$B$123:$S$175,16,FALSE)</f>
        <v>1700000</v>
      </c>
      <c r="O71" s="97">
        <f>VLOOKUP(K71,'Chi tiết_report'!$B$123:$S$175,7,FALSE)</f>
        <v>150000</v>
      </c>
      <c r="P71" s="41">
        <v>100000</v>
      </c>
      <c r="Q71" s="36">
        <f>VLOOKUP(K71,'Chi tiết_report'!$B$123:$S$175,18,FALSE)</f>
        <v>3200000</v>
      </c>
      <c r="R71" s="36">
        <f>VLOOKUP(K71,'Chi tiết_report'!$B$123:$Z$175,24,FALSE)</f>
        <v>0</v>
      </c>
      <c r="S71" s="3" t="s">
        <v>438</v>
      </c>
    </row>
    <row r="72" spans="10:22">
      <c r="J72" s="33">
        <v>55</v>
      </c>
      <c r="K72" s="101" t="s">
        <v>338</v>
      </c>
      <c r="L72" s="101" t="s">
        <v>251</v>
      </c>
      <c r="M72" s="102" t="s">
        <v>30</v>
      </c>
      <c r="N72" s="41">
        <f>VLOOKUP(K72,'Chi tiết_report'!$B$123:$S$175,16,FALSE)</f>
        <v>1700000</v>
      </c>
      <c r="O72" s="97">
        <f>VLOOKUP(K72,'Chi tiết_report'!$B$123:$S$175,7,FALSE)</f>
        <v>150000</v>
      </c>
      <c r="P72" s="41">
        <v>100000</v>
      </c>
      <c r="Q72" s="36">
        <f>VLOOKUP(K72,'Chi tiết_report'!$B$123:$S$175,18,FALSE)</f>
        <v>3200000</v>
      </c>
      <c r="R72" s="36">
        <f>VLOOKUP(K72,'Chi tiết_report'!$B$123:$Z$175,24,FALSE)</f>
        <v>0</v>
      </c>
    </row>
    <row r="73" spans="10:22">
      <c r="J73" s="38"/>
      <c r="K73" s="39" t="s">
        <v>94</v>
      </c>
      <c r="L73" s="39" t="s">
        <v>38</v>
      </c>
      <c r="M73" s="40"/>
      <c r="N73" s="44">
        <f>SUMIF($M7:$M72,"KV1",N7:N72)</f>
        <v>84100000</v>
      </c>
      <c r="O73" s="44">
        <f>SUMIF($M7:$M72,"KV1",O7:O72)</f>
        <v>3610000</v>
      </c>
      <c r="P73" s="44">
        <f>SUMIF($M7:$M72,"KV1",P7:P72)</f>
        <v>3200000</v>
      </c>
      <c r="Q73" s="44">
        <f>SUMIF($M7:$M72,"KV1",Q7:Q72)</f>
        <v>82486008</v>
      </c>
      <c r="R73" s="44" t="e">
        <f>SUMIF($D3:$D52,"KV1",R7:R72)</f>
        <v>#N/A</v>
      </c>
    </row>
    <row r="74" spans="10:22">
      <c r="J74" s="38"/>
      <c r="K74" s="39" t="s">
        <v>95</v>
      </c>
      <c r="L74" s="39" t="s">
        <v>38</v>
      </c>
      <c r="M74" s="40"/>
      <c r="N74" s="44">
        <f>SUMIF($M7:$M72,"KV2",N7:N72)</f>
        <v>55800000</v>
      </c>
      <c r="O74" s="44">
        <f>SUMIF($M7:$M72,"KV2",O7:O72)</f>
        <v>2390000</v>
      </c>
      <c r="P74" s="44">
        <f>SUMIF($M7:$M72,"KV2",P7:P72)</f>
        <v>2240000</v>
      </c>
      <c r="Q74" s="44" t="e">
        <f>SUMIF($M7:$M72,"KV2",Q7:Q72)</f>
        <v>#N/A</v>
      </c>
      <c r="R74" s="44" t="e">
        <f>SUMIF($D3:$D52,"KV2",R7:R72)</f>
        <v>#N/A</v>
      </c>
    </row>
    <row r="75" spans="10:22">
      <c r="J75" s="38"/>
      <c r="K75" s="39" t="s">
        <v>96</v>
      </c>
      <c r="L75" s="39" t="s">
        <v>38</v>
      </c>
      <c r="M75" s="40"/>
      <c r="N75" s="44">
        <f>SUMIF($M7:$M72,"KV3",N7:N72)</f>
        <v>66100000</v>
      </c>
      <c r="O75" s="44">
        <f>SUMIF($M7:$M72,"KV3",O7:O72)</f>
        <v>3020000</v>
      </c>
      <c r="P75" s="44">
        <f>SUMIF($M7:$M72,"KV3",P7:P72)</f>
        <v>2700000</v>
      </c>
      <c r="Q75" s="44" t="e">
        <f>SUMIF($M7:$M72,"KV3",Q7:Q72)</f>
        <v>#N/A</v>
      </c>
      <c r="R75" s="44" t="e">
        <f>SUMIF($D3:$D52,"KV3",R7:R72)</f>
        <v>#N/A</v>
      </c>
    </row>
    <row r="76" spans="10:22">
      <c r="J76" s="38"/>
      <c r="K76" s="45" t="s">
        <v>97</v>
      </c>
      <c r="L76" s="45" t="s">
        <v>38</v>
      </c>
      <c r="M76" s="46"/>
      <c r="N76" s="44">
        <f>SUM(N73:N75)</f>
        <v>206000000</v>
      </c>
      <c r="O76" s="44">
        <f>SUM(O73:O75)</f>
        <v>9020000</v>
      </c>
      <c r="P76" s="44">
        <f>SUM(P73:P75)</f>
        <v>8140000</v>
      </c>
      <c r="Q76" s="44" t="e">
        <f>SUM(Q73:Q75)</f>
        <v>#N/A</v>
      </c>
      <c r="R76" s="44" t="e">
        <f>SUM(R73:R75)</f>
        <v>#N/A</v>
      </c>
    </row>
  </sheetData>
  <mergeCells count="2">
    <mergeCell ref="E1:F1"/>
    <mergeCell ref="N1:R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1:D7"/>
  <sheetViews>
    <sheetView workbookViewId="0">
      <selection activeCell="C19" sqref="C19"/>
    </sheetView>
  </sheetViews>
  <sheetFormatPr defaultRowHeight="15"/>
  <cols>
    <col min="2" max="2" width="81.7109375" bestFit="1" customWidth="1"/>
    <col min="3" max="3" width="24.42578125" bestFit="1" customWidth="1"/>
  </cols>
  <sheetData>
    <row r="1" spans="1:4" ht="15.75">
      <c r="A1" s="323" t="s">
        <v>455</v>
      </c>
      <c r="B1" s="323" t="s">
        <v>456</v>
      </c>
      <c r="C1" s="323" t="s">
        <v>474</v>
      </c>
      <c r="D1" s="323" t="s">
        <v>14</v>
      </c>
    </row>
    <row r="2" spans="1:4" ht="38.25" customHeight="1">
      <c r="A2" s="327">
        <v>1</v>
      </c>
      <c r="B2" s="325" t="s">
        <v>457</v>
      </c>
      <c r="C2" s="325"/>
      <c r="D2" s="323"/>
    </row>
    <row r="3" spans="1:4" ht="46.5" customHeight="1">
      <c r="A3" s="327">
        <v>2</v>
      </c>
      <c r="B3" s="325" t="s">
        <v>458</v>
      </c>
      <c r="C3" s="325"/>
      <c r="D3" s="323"/>
    </row>
    <row r="4" spans="1:4" ht="57" customHeight="1">
      <c r="A4" s="327">
        <v>3</v>
      </c>
      <c r="B4" s="325" t="s">
        <v>470</v>
      </c>
      <c r="C4" s="325"/>
      <c r="D4" s="323" t="s">
        <v>479</v>
      </c>
    </row>
    <row r="5" spans="1:4" ht="15.75">
      <c r="A5" s="921">
        <v>4</v>
      </c>
      <c r="B5" s="328" t="s">
        <v>471</v>
      </c>
      <c r="C5" s="325"/>
      <c r="D5" s="323"/>
    </row>
    <row r="6" spans="1:4" ht="15.75">
      <c r="A6" s="922"/>
      <c r="B6" s="329" t="s">
        <v>472</v>
      </c>
      <c r="C6" s="330" t="s">
        <v>477</v>
      </c>
      <c r="D6" s="323"/>
    </row>
    <row r="7" spans="1:4" ht="15.75">
      <c r="A7" s="923"/>
      <c r="B7" s="329" t="s">
        <v>473</v>
      </c>
      <c r="C7" s="330" t="s">
        <v>478</v>
      </c>
      <c r="D7" s="3"/>
    </row>
  </sheetData>
  <mergeCells count="1">
    <mergeCell ref="A5:A7"/>
  </mergeCells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Document" dvAspect="DVASPECT_ICON" shapeId="47105" r:id="rId4">
          <objectPr defaultSize="0" autoPict="0" r:id="rId5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638175</xdr:colOff>
                <xdr:row>1</xdr:row>
                <xdr:rowOff>476250</xdr:rowOff>
              </to>
            </anchor>
          </objectPr>
        </oleObject>
      </mc:Choice>
      <mc:Fallback>
        <oleObject progId="Document" dvAspect="DVASPECT_ICON" shapeId="47105" r:id="rId4"/>
      </mc:Fallback>
    </mc:AlternateContent>
    <mc:AlternateContent xmlns:mc="http://schemas.openxmlformats.org/markup-compatibility/2006">
      <mc:Choice Requires="x14">
        <oleObject progId="Document" dvAspect="DVASPECT_ICON" shapeId="47107" r:id="rId6">
          <objectPr defaultSize="0" r:id="rId7">
            <anchor moveWithCells="1">
              <from>
                <xdr:col>2</xdr:col>
                <xdr:colOff>0</xdr:colOff>
                <xdr:row>3</xdr:row>
                <xdr:rowOff>0</xdr:rowOff>
              </from>
              <to>
                <xdr:col>2</xdr:col>
                <xdr:colOff>914400</xdr:colOff>
                <xdr:row>3</xdr:row>
                <xdr:rowOff>685800</xdr:rowOff>
              </to>
            </anchor>
          </objectPr>
        </oleObject>
      </mc:Choice>
      <mc:Fallback>
        <oleObject progId="Document" dvAspect="DVASPECT_ICON" shapeId="47107" r:id="rId6"/>
      </mc:Fallback>
    </mc:AlternateContent>
    <mc:AlternateContent xmlns:mc="http://schemas.openxmlformats.org/markup-compatibility/2006">
      <mc:Choice Requires="x14">
        <oleObject progId="Document" dvAspect="DVASPECT_ICON" shapeId="47108" r:id="rId8">
          <objectPr defaultSize="0" r:id="rId9">
            <anchor moveWithCells="1">
              <from>
                <xdr:col>2</xdr:col>
                <xdr:colOff>0</xdr:colOff>
                <xdr:row>2</xdr:row>
                <xdr:rowOff>0</xdr:rowOff>
              </from>
              <to>
                <xdr:col>2</xdr:col>
                <xdr:colOff>914400</xdr:colOff>
                <xdr:row>3</xdr:row>
                <xdr:rowOff>95250</xdr:rowOff>
              </to>
            </anchor>
          </objectPr>
        </oleObject>
      </mc:Choice>
      <mc:Fallback>
        <oleObject progId="Document" dvAspect="DVASPECT_ICON" shapeId="47108" r:id="rId8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1:AK58"/>
  <sheetViews>
    <sheetView zoomScale="85" zoomScaleNormal="85" workbookViewId="0">
      <pane xSplit="7" ySplit="2" topLeftCell="N15" activePane="bottomRight" state="frozen"/>
      <selection pane="topRight" activeCell="BH1" sqref="BH1"/>
      <selection pane="bottomLeft" activeCell="A3" sqref="A3"/>
      <selection pane="bottomRight" activeCell="B38" sqref="B38"/>
    </sheetView>
  </sheetViews>
  <sheetFormatPr defaultColWidth="8.7109375" defaultRowHeight="15"/>
  <cols>
    <col min="1" max="1" width="4.42578125" style="65" bestFit="1" customWidth="1"/>
    <col min="2" max="2" width="10.7109375" style="65" customWidth="1"/>
    <col min="3" max="3" width="7.5703125" style="65" customWidth="1"/>
    <col min="4" max="4" width="6" style="65" customWidth="1"/>
    <col min="5" max="5" width="12.42578125" style="65" customWidth="1"/>
    <col min="6" max="6" width="10.28515625" style="65" customWidth="1"/>
    <col min="7" max="7" width="12.28515625" style="65" customWidth="1"/>
    <col min="8" max="8" width="12.140625" style="71" customWidth="1"/>
    <col min="9" max="9" width="12.7109375" style="71" customWidth="1"/>
    <col min="10" max="10" width="18.5703125" style="71" bestFit="1" customWidth="1"/>
    <col min="11" max="11" width="15.5703125" style="71" customWidth="1"/>
    <col min="12" max="12" width="18.5703125" style="71" bestFit="1" customWidth="1"/>
    <col min="13" max="13" width="15.5703125" style="71" customWidth="1"/>
    <col min="14" max="14" width="13.28515625" style="72" bestFit="1" customWidth="1"/>
    <col min="15" max="15" width="12.42578125" style="72" customWidth="1"/>
    <col min="16" max="16" width="14.85546875" style="145" bestFit="1" customWidth="1"/>
    <col min="17" max="17" width="14" style="145" bestFit="1" customWidth="1"/>
    <col min="18" max="18" width="9.85546875" style="145" customWidth="1"/>
    <col min="19" max="19" width="12" style="145" customWidth="1"/>
    <col min="20" max="20" width="10.5703125" style="63" bestFit="1" customWidth="1"/>
    <col min="21" max="21" width="12.42578125" style="64" customWidth="1"/>
    <col min="22" max="22" width="8.7109375" style="64" customWidth="1"/>
    <col min="23" max="23" width="12.42578125" style="64" customWidth="1"/>
    <col min="24" max="24" width="18.5703125" style="64" customWidth="1"/>
    <col min="25" max="25" width="13.85546875" style="64" customWidth="1"/>
    <col min="26" max="26" width="12" style="64" customWidth="1"/>
    <col min="27" max="27" width="12.7109375" style="64" customWidth="1"/>
    <col min="28" max="29" width="8.7109375" style="64" customWidth="1"/>
    <col min="30" max="30" width="12.42578125" style="161" customWidth="1"/>
    <col min="31" max="31" width="9.85546875" style="64" customWidth="1"/>
    <col min="32" max="32" width="9.85546875" style="64" bestFit="1" customWidth="1"/>
    <col min="33" max="33" width="9.85546875" style="71" customWidth="1"/>
    <col min="34" max="34" width="9.85546875" style="64" customWidth="1"/>
    <col min="35" max="35" width="20.85546875" style="64" bestFit="1" customWidth="1"/>
    <col min="36" max="36" width="18.5703125" style="64" customWidth="1"/>
    <col min="37" max="37" width="12.28515625" style="65" bestFit="1" customWidth="1"/>
    <col min="38" max="16384" width="8.7109375" style="65"/>
  </cols>
  <sheetData>
    <row r="1" spans="1:37" ht="27.6" customHeight="1">
      <c r="A1" s="7"/>
      <c r="B1" s="7"/>
      <c r="C1" s="7"/>
      <c r="D1" s="7"/>
      <c r="E1" s="1008" t="s">
        <v>259</v>
      </c>
      <c r="F1" s="1008"/>
      <c r="G1" s="1008"/>
      <c r="H1" s="1002" t="s">
        <v>332</v>
      </c>
      <c r="I1" s="1002"/>
      <c r="J1" s="1002" t="s">
        <v>501</v>
      </c>
      <c r="K1" s="1002"/>
      <c r="L1" s="1002" t="str">
        <f>Input_TaiNguyenNode__GGSN_Daily!A4</f>
        <v>14/08/2024</v>
      </c>
      <c r="M1" s="1002"/>
      <c r="N1" s="1009" t="s">
        <v>6</v>
      </c>
      <c r="O1" s="1009"/>
      <c r="P1" s="1001" t="s">
        <v>371</v>
      </c>
      <c r="Q1" s="1001"/>
      <c r="R1" s="1001"/>
      <c r="S1" s="1001"/>
      <c r="T1" s="73"/>
      <c r="U1" s="67"/>
      <c r="V1" s="67"/>
      <c r="W1" s="67"/>
      <c r="X1" s="67"/>
      <c r="Y1" s="67">
        <v>0.82</v>
      </c>
      <c r="Z1" s="67"/>
      <c r="AA1" s="67"/>
      <c r="AB1" s="67"/>
      <c r="AC1" s="67"/>
      <c r="AD1" s="158"/>
      <c r="AE1" s="67"/>
      <c r="AF1" s="67"/>
      <c r="AG1" s="142"/>
      <c r="AH1" s="67"/>
      <c r="AI1" s="237"/>
      <c r="AJ1" s="67"/>
    </row>
    <row r="2" spans="1:37" ht="51">
      <c r="A2" s="7" t="s">
        <v>0</v>
      </c>
      <c r="B2" s="7" t="s">
        <v>7</v>
      </c>
      <c r="C2" s="7" t="s">
        <v>43</v>
      </c>
      <c r="D2" s="7" t="s">
        <v>44</v>
      </c>
      <c r="E2" s="7" t="s">
        <v>261</v>
      </c>
      <c r="F2" s="7" t="s">
        <v>262</v>
      </c>
      <c r="G2" s="7" t="s">
        <v>47</v>
      </c>
      <c r="H2" s="9" t="s">
        <v>263</v>
      </c>
      <c r="I2" s="9" t="s">
        <v>48</v>
      </c>
      <c r="J2" s="9" t="s">
        <v>263</v>
      </c>
      <c r="K2" s="9" t="s">
        <v>48</v>
      </c>
      <c r="L2" s="9" t="s">
        <v>263</v>
      </c>
      <c r="M2" s="9" t="s">
        <v>48</v>
      </c>
      <c r="N2" s="31" t="s">
        <v>49</v>
      </c>
      <c r="O2" s="31" t="s">
        <v>50</v>
      </c>
      <c r="P2" s="9" t="s">
        <v>263</v>
      </c>
      <c r="Q2" s="9" t="s">
        <v>48</v>
      </c>
      <c r="R2" s="9" t="s">
        <v>49</v>
      </c>
      <c r="S2" s="9" t="s">
        <v>50</v>
      </c>
      <c r="T2" s="32" t="s">
        <v>51</v>
      </c>
      <c r="U2" s="6" t="s">
        <v>52</v>
      </c>
      <c r="V2" s="6" t="s">
        <v>238</v>
      </c>
      <c r="W2" s="6" t="s">
        <v>239</v>
      </c>
      <c r="X2" s="6" t="s">
        <v>53</v>
      </c>
      <c r="Y2" s="6" t="s">
        <v>54</v>
      </c>
      <c r="Z2" s="6" t="s">
        <v>55</v>
      </c>
      <c r="AA2" s="9" t="s">
        <v>316</v>
      </c>
      <c r="AB2" s="6" t="s">
        <v>57</v>
      </c>
      <c r="AC2" s="9" t="s">
        <v>258</v>
      </c>
      <c r="AD2" s="159" t="s">
        <v>476</v>
      </c>
      <c r="AE2" s="32" t="s">
        <v>266</v>
      </c>
      <c r="AF2" s="141" t="s">
        <v>268</v>
      </c>
      <c r="AG2" s="9" t="s">
        <v>269</v>
      </c>
      <c r="AH2" s="32" t="s">
        <v>318</v>
      </c>
      <c r="AI2" s="238" t="s">
        <v>370</v>
      </c>
      <c r="AJ2" s="235" t="s">
        <v>382</v>
      </c>
      <c r="AK2" s="65" t="s">
        <v>304</v>
      </c>
    </row>
    <row r="3" spans="1:37" s="199" customFormat="1">
      <c r="A3" s="110">
        <v>1</v>
      </c>
      <c r="B3" s="111" t="s">
        <v>58</v>
      </c>
      <c r="C3" s="111" t="s">
        <v>4</v>
      </c>
      <c r="D3" s="112" t="s">
        <v>15</v>
      </c>
      <c r="E3" s="16">
        <f>VLOOKUP(B3,Input_Lic_Rate_PS!K:P,4,FALSE)</f>
        <v>1500000</v>
      </c>
      <c r="F3" s="16">
        <f>VLOOKUP(B3,Input_Lic_Rate_PS!K:R,5,FALSE)</f>
        <v>80000</v>
      </c>
      <c r="G3" s="16">
        <f>VLOOKUP(B3,Input_Lic_Rate_PS!K:R,7,FALSE)</f>
        <v>1755000</v>
      </c>
      <c r="H3" s="77">
        <v>1313668</v>
      </c>
      <c r="I3" s="77">
        <v>62642.239999999998</v>
      </c>
      <c r="J3" s="77">
        <v>1440289</v>
      </c>
      <c r="K3" s="77">
        <v>62272.3</v>
      </c>
      <c r="L3" s="77">
        <f>VLOOKUP(B3,Input_TaiNguyenNode__GGSN_Daily!D:AB,13,FALSE)</f>
        <v>1484134</v>
      </c>
      <c r="M3" s="77">
        <f>VLOOKUP(B3,Input_TaiNguyenNode__GGSN_Daily!D:AB,4,FALSE)</f>
        <v>61702.46</v>
      </c>
      <c r="N3" s="195">
        <f t="shared" ref="N3:N47" si="0">L3/E3</f>
        <v>0.98942266666666667</v>
      </c>
      <c r="O3" s="195">
        <f t="shared" ref="O3:O47" si="1">M3/F3</f>
        <v>0.77128074999999996</v>
      </c>
      <c r="P3" s="77" t="e">
        <f t="shared" ref="P3:P8" si="2">(L3+(AG3/SUM($AG$3:$AG$21)-AD3/SUM($AD$3:$AD$21))*SUM($L$3:$L$21))*AF3</f>
        <v>#VALUE!</v>
      </c>
      <c r="Q3" s="196" t="e">
        <f t="shared" ref="Q3:Q8" si="3">(M3+(AG3/SUM($AG$3:$AG$21)-AD3/SUM($AD$3:$AD$21))*SUM($M$3:$M$21))*AF3</f>
        <v>#VALUE!</v>
      </c>
      <c r="R3" s="195" t="e">
        <f t="shared" ref="R3:R47" si="4">P3/E3</f>
        <v>#VALUE!</v>
      </c>
      <c r="S3" s="195" t="e">
        <f t="shared" ref="S3:S47" si="5">Q3/F3</f>
        <v>#VALUE!</v>
      </c>
      <c r="T3" s="16">
        <v>60000</v>
      </c>
      <c r="U3" s="988" t="e">
        <f>SUM(Q3:Q4)</f>
        <v>#VALUE!</v>
      </c>
      <c r="V3" s="989">
        <f>VLOOKUP($B3,Input_TaiNguyenNode__GGSN_Daily!$D:$AC,8,FALSE)+VLOOKUP($B4,Input_TaiNguyenNode__GGSN_Daily!$D:$AC,8,FALSE)</f>
        <v>67981.23000000001</v>
      </c>
      <c r="W3" s="988">
        <f>'FW CGNAT_NPMS'!L4</f>
        <v>120000</v>
      </c>
      <c r="X3" s="932" t="str">
        <f>'FW CGNAT_NPMS'!M4</f>
        <v>FWHL03/04</v>
      </c>
      <c r="Y3" s="1010" t="e">
        <f>U3*$Y$1</f>
        <v>#VALUE!</v>
      </c>
      <c r="Z3" s="988">
        <f>'FW CGNAT_NPMS'!O4</f>
        <v>120000</v>
      </c>
      <c r="AA3" s="942" t="e">
        <f>V3/U3</f>
        <v>#VALUE!</v>
      </c>
      <c r="AB3" s="942" t="e">
        <f>Y3/Z3</f>
        <v>#VALUE!</v>
      </c>
      <c r="AC3" s="942" t="e">
        <f>(Y3-V3)/Z3</f>
        <v>#VALUE!</v>
      </c>
      <c r="AD3" s="16" t="str">
        <f>VLOOKUP(B3,idns_weight_PCSCF!A:B,2,FALSE)</f>
        <v>Ericsson</v>
      </c>
      <c r="AE3" s="16" t="e">
        <f t="shared" ref="AE3:AE43" si="6">M3/(SUM($M$3:$M$21))*SUM($AD$3:$AD$21)</f>
        <v>#N/A</v>
      </c>
      <c r="AF3" s="165">
        <v>1</v>
      </c>
      <c r="AG3" s="16">
        <v>40</v>
      </c>
      <c r="AH3" s="197" t="str">
        <f>IF(AD3=AG3,"NO","YES")</f>
        <v>YES</v>
      </c>
      <c r="AI3" s="239" t="str">
        <f>VLOOKUP(B3,Input_Lic_Rate_PS!K:S,9,FALSE)</f>
        <v>SSR 8020</v>
      </c>
      <c r="AJ3" s="932" t="str">
        <f>VLOOKUP(X3,QH_CGNAT_PEPS_incl_2024!$B$26:$K$84,10,FALSE)</f>
        <v>PE_PS_03/04</v>
      </c>
      <c r="AK3" s="198" t="e">
        <f t="shared" ref="AK3:AK39" si="7">Q3-M3</f>
        <v>#VALUE!</v>
      </c>
    </row>
    <row r="4" spans="1:37" s="199" customFormat="1">
      <c r="A4" s="110">
        <v>2</v>
      </c>
      <c r="B4" s="111" t="s">
        <v>60</v>
      </c>
      <c r="C4" s="111" t="s">
        <v>4</v>
      </c>
      <c r="D4" s="112" t="s">
        <v>15</v>
      </c>
      <c r="E4" s="16">
        <f>VLOOKUP(B4,Input_Lic_Rate_PS!K:P,4,FALSE)</f>
        <v>1500000</v>
      </c>
      <c r="F4" s="16">
        <f>VLOOKUP(B4,Input_Lic_Rate_PS!K:R,5,FALSE)</f>
        <v>80000</v>
      </c>
      <c r="G4" s="16">
        <f>VLOOKUP(B4,Input_Lic_Rate_PS!K:R,7,FALSE)</f>
        <v>1703910</v>
      </c>
      <c r="H4" s="77">
        <v>1335656</v>
      </c>
      <c r="I4" s="77">
        <v>62521.71</v>
      </c>
      <c r="J4" s="77">
        <v>1446723</v>
      </c>
      <c r="K4" s="77">
        <v>62930.69</v>
      </c>
      <c r="L4" s="77">
        <f>VLOOKUP(B4,Input_TaiNguyenNode__GGSN_Daily!D:AB,13,FALSE)</f>
        <v>1493881</v>
      </c>
      <c r="M4" s="77">
        <f>VLOOKUP(B4,Input_TaiNguyenNode__GGSN_Daily!D:AB,4,FALSE)</f>
        <v>62571.8</v>
      </c>
      <c r="N4" s="195">
        <f t="shared" si="0"/>
        <v>0.99592066666666668</v>
      </c>
      <c r="O4" s="195">
        <f t="shared" si="1"/>
        <v>0.7821475</v>
      </c>
      <c r="P4" s="77" t="e">
        <f t="shared" si="2"/>
        <v>#VALUE!</v>
      </c>
      <c r="Q4" s="196" t="e">
        <f t="shared" si="3"/>
        <v>#VALUE!</v>
      </c>
      <c r="R4" s="195" t="e">
        <f t="shared" si="4"/>
        <v>#VALUE!</v>
      </c>
      <c r="S4" s="195" t="e">
        <f t="shared" si="5"/>
        <v>#VALUE!</v>
      </c>
      <c r="T4" s="16">
        <v>60000</v>
      </c>
      <c r="U4" s="988"/>
      <c r="V4" s="990"/>
      <c r="W4" s="988"/>
      <c r="X4" s="932"/>
      <c r="Y4" s="988"/>
      <c r="Z4" s="988"/>
      <c r="AA4" s="942"/>
      <c r="AB4" s="942"/>
      <c r="AC4" s="942"/>
      <c r="AD4" s="16" t="str">
        <f>VLOOKUP(B4,idns_weight_PCSCF!A:B,2,FALSE)</f>
        <v>Ericsson</v>
      </c>
      <c r="AE4" s="16" t="e">
        <f t="shared" si="6"/>
        <v>#N/A</v>
      </c>
      <c r="AF4" s="165">
        <f t="shared" ref="AF4:AF40" si="8">IF(AG4=0,0,1)</f>
        <v>1</v>
      </c>
      <c r="AG4" s="16">
        <v>40</v>
      </c>
      <c r="AH4" s="197" t="str">
        <f t="shared" ref="AH4:AH42" si="9">IF(AD4=AG4,"NO","YES")</f>
        <v>YES</v>
      </c>
      <c r="AI4" s="239" t="str">
        <f>VLOOKUP(B4,Input_Lic_Rate_PS!K:S,9,FALSE)</f>
        <v>SSR 8020</v>
      </c>
      <c r="AJ4" s="932" t="e">
        <f>VLOOKUP(X4,QH_CGNAT_PEPS_incl_2024!$B$26:$K$84,10,FALSE)</f>
        <v>#N/A</v>
      </c>
      <c r="AK4" s="198" t="e">
        <f t="shared" si="7"/>
        <v>#VALUE!</v>
      </c>
    </row>
    <row r="5" spans="1:37" s="224" customFormat="1">
      <c r="A5" s="128">
        <v>3</v>
      </c>
      <c r="B5" s="129" t="s">
        <v>61</v>
      </c>
      <c r="C5" s="129" t="s">
        <v>4</v>
      </c>
      <c r="D5" s="130" t="s">
        <v>15</v>
      </c>
      <c r="E5" s="131">
        <f>VLOOKUP(B5,Input_Lic_Rate_PS!K:P,4,FALSE)</f>
        <v>1500000</v>
      </c>
      <c r="F5" s="131">
        <f>VLOOKUP(B5,Input_Lic_Rate_PS!K:R,5,FALSE)</f>
        <v>80000</v>
      </c>
      <c r="G5" s="131">
        <f>VLOOKUP(B5,Input_Lic_Rate_PS!K:R,7,FALSE)</f>
        <v>0</v>
      </c>
      <c r="H5" s="219">
        <v>958861</v>
      </c>
      <c r="I5" s="219">
        <v>51754.36</v>
      </c>
      <c r="J5" s="219">
        <v>1362131</v>
      </c>
      <c r="K5" s="219">
        <v>55215.06</v>
      </c>
      <c r="L5" s="219">
        <f>VLOOKUP(B5,Input_TaiNguyenNode__GGSN_Daily!D:AB,13,FALSE)</f>
        <v>1400477</v>
      </c>
      <c r="M5" s="219">
        <f>VLOOKUP(B5,Input_TaiNguyenNode__GGSN_Daily!D:AB,4,FALSE)</f>
        <v>54843.18</v>
      </c>
      <c r="N5" s="220">
        <f t="shared" si="0"/>
        <v>0.93365133333333339</v>
      </c>
      <c r="O5" s="220">
        <f t="shared" si="1"/>
        <v>0.68553975</v>
      </c>
      <c r="P5" s="219" t="e">
        <f t="shared" si="2"/>
        <v>#N/A</v>
      </c>
      <c r="Q5" s="190" t="e">
        <f t="shared" si="3"/>
        <v>#N/A</v>
      </c>
      <c r="R5" s="220" t="e">
        <f t="shared" si="4"/>
        <v>#N/A</v>
      </c>
      <c r="S5" s="220" t="e">
        <f t="shared" si="5"/>
        <v>#N/A</v>
      </c>
      <c r="T5" s="131">
        <v>60000</v>
      </c>
      <c r="U5" s="933" t="e">
        <f>SUM(Q5:Q10)</f>
        <v>#N/A</v>
      </c>
      <c r="V5" s="933">
        <f>VLOOKUP($B5,Input_TaiNguyenNode__GGSN_Daily!$D:$AC,8,FALSE)+VLOOKUP($B6,Input_TaiNguyenNode__GGSN_Daily!$D:$AC,8,FALSE)+VLOOKUP($B7,Input_TaiNguyenNode__GGSN_Daily!$D:$AC,8,FALSE)+VLOOKUP($B8,Input_TaiNguyenNode__GGSN_Daily!$D:$AC,8,FALSE)+SUM(M9:M10)*0.25</f>
        <v>179482.8</v>
      </c>
      <c r="W5" s="933">
        <f>SUM(T5:T10)</f>
        <v>510000</v>
      </c>
      <c r="X5" s="933" t="s">
        <v>62</v>
      </c>
      <c r="Y5" s="1000" t="e">
        <f>U5*$Y$1</f>
        <v>#N/A</v>
      </c>
      <c r="Z5" s="933">
        <f>52*8000</f>
        <v>416000</v>
      </c>
      <c r="AA5" s="965" t="e">
        <f>V5/U5</f>
        <v>#N/A</v>
      </c>
      <c r="AB5" s="965" t="e">
        <f>Y5/Z5</f>
        <v>#N/A</v>
      </c>
      <c r="AC5" s="965" t="e">
        <f>(Y5-V5)/Z5</f>
        <v>#N/A</v>
      </c>
      <c r="AD5" s="131" t="e">
        <f>VLOOKUP(B5,idns_weight_PCSCF!A:B,2,FALSE)</f>
        <v>#N/A</v>
      </c>
      <c r="AE5" s="131" t="e">
        <f t="shared" si="6"/>
        <v>#N/A</v>
      </c>
      <c r="AF5" s="222">
        <f t="shared" si="8"/>
        <v>1</v>
      </c>
      <c r="AG5" s="131">
        <v>30</v>
      </c>
      <c r="AH5" s="292" t="e">
        <f t="shared" si="9"/>
        <v>#N/A</v>
      </c>
      <c r="AI5" s="293" t="str">
        <f>VLOOKUP(B5,Input_Lic_Rate_PS!K:S,9,FALSE)</f>
        <v>SSR 8020</v>
      </c>
      <c r="AJ5" s="933" t="str">
        <f>VLOOKUP(X5,QH_CGNAT_PEPS_incl_2024!$B$26:$K$84,10,FALSE)</f>
        <v>PEDD05/06</v>
      </c>
      <c r="AK5" s="223" t="e">
        <f t="shared" si="7"/>
        <v>#N/A</v>
      </c>
    </row>
    <row r="6" spans="1:37" s="224" customFormat="1">
      <c r="A6" s="128">
        <v>4</v>
      </c>
      <c r="B6" s="129" t="s">
        <v>63</v>
      </c>
      <c r="C6" s="129" t="s">
        <v>4</v>
      </c>
      <c r="D6" s="130" t="s">
        <v>15</v>
      </c>
      <c r="E6" s="131">
        <f>VLOOKUP(B6,Input_Lic_Rate_PS!K:P,4,FALSE)</f>
        <v>1500000</v>
      </c>
      <c r="F6" s="131">
        <f>VLOOKUP(B6,Input_Lic_Rate_PS!K:R,5,FALSE)</f>
        <v>80000</v>
      </c>
      <c r="G6" s="131">
        <f>VLOOKUP(B6,Input_Lic_Rate_PS!K:R,7,FALSE)</f>
        <v>1690000</v>
      </c>
      <c r="H6" s="219">
        <v>1246778</v>
      </c>
      <c r="I6" s="219">
        <v>54999.08</v>
      </c>
      <c r="J6" s="219">
        <v>1397821</v>
      </c>
      <c r="K6" s="219">
        <v>60632.77</v>
      </c>
      <c r="L6" s="219">
        <f>VLOOKUP(B6,Input_TaiNguyenNode__GGSN_Daily!D:AB,13,FALSE)</f>
        <v>1439348</v>
      </c>
      <c r="M6" s="219">
        <f>VLOOKUP(B6,Input_TaiNguyenNode__GGSN_Daily!D:AB,4,FALSE)</f>
        <v>61411.57</v>
      </c>
      <c r="N6" s="220">
        <f t="shared" si="0"/>
        <v>0.95956533333333338</v>
      </c>
      <c r="O6" s="220">
        <f t="shared" si="1"/>
        <v>0.76764462499999997</v>
      </c>
      <c r="P6" s="219" t="e">
        <f t="shared" si="2"/>
        <v>#VALUE!</v>
      </c>
      <c r="Q6" s="190" t="e">
        <f t="shared" si="3"/>
        <v>#VALUE!</v>
      </c>
      <c r="R6" s="220" t="e">
        <f t="shared" si="4"/>
        <v>#VALUE!</v>
      </c>
      <c r="S6" s="220" t="e">
        <f t="shared" si="5"/>
        <v>#VALUE!</v>
      </c>
      <c r="T6" s="131">
        <v>60000</v>
      </c>
      <c r="U6" s="934"/>
      <c r="V6" s="934"/>
      <c r="W6" s="934"/>
      <c r="X6" s="934"/>
      <c r="Y6" s="934"/>
      <c r="Z6" s="934"/>
      <c r="AA6" s="966"/>
      <c r="AB6" s="966"/>
      <c r="AC6" s="966"/>
      <c r="AD6" s="131" t="str">
        <f>VLOOKUP(B6,idns_weight_PCSCF!A:B,2,FALSE)</f>
        <v>Ericsson</v>
      </c>
      <c r="AE6" s="131" t="e">
        <f t="shared" si="6"/>
        <v>#N/A</v>
      </c>
      <c r="AF6" s="222">
        <f t="shared" si="8"/>
        <v>1</v>
      </c>
      <c r="AG6" s="131">
        <v>35</v>
      </c>
      <c r="AH6" s="292" t="str">
        <f t="shared" si="9"/>
        <v>YES</v>
      </c>
      <c r="AI6" s="293" t="str">
        <f>VLOOKUP(B6,Input_Lic_Rate_PS!K:S,9,FALSE)</f>
        <v>SSR 8020</v>
      </c>
      <c r="AJ6" s="934" t="e">
        <f>VLOOKUP(X6,QH_CGNAT_PEPS_incl_2024!$B$26:$K$84,10,FALSE)</f>
        <v>#N/A</v>
      </c>
      <c r="AK6" s="223" t="e">
        <f t="shared" si="7"/>
        <v>#VALUE!</v>
      </c>
    </row>
    <row r="7" spans="1:37" s="224" customFormat="1">
      <c r="A7" s="128">
        <v>5</v>
      </c>
      <c r="B7" s="129" t="s">
        <v>67</v>
      </c>
      <c r="C7" s="129" t="s">
        <v>4</v>
      </c>
      <c r="D7" s="130" t="s">
        <v>15</v>
      </c>
      <c r="E7" s="131">
        <f>VLOOKUP(B7,Input_Lic_Rate_PS!K:P,4,FALSE)</f>
        <v>2800000</v>
      </c>
      <c r="F7" s="131">
        <f>VLOOKUP(B7,Input_Lic_Rate_PS!K:R,5,FALSE)</f>
        <v>150000</v>
      </c>
      <c r="G7" s="131">
        <f>VLOOKUP(B7,Input_Lic_Rate_PS!K:R,7,FALSE)</f>
        <v>2990000</v>
      </c>
      <c r="H7" s="219">
        <v>2280094</v>
      </c>
      <c r="I7" s="219">
        <v>103611.02</v>
      </c>
      <c r="J7" s="219">
        <v>2643569</v>
      </c>
      <c r="K7" s="219">
        <v>109232.05</v>
      </c>
      <c r="L7" s="219">
        <f>VLOOKUP(B7,Input_TaiNguyenNode__GGSN_Daily!D:AB,13,FALSE)</f>
        <v>2730393</v>
      </c>
      <c r="M7" s="219">
        <f>VLOOKUP(B7,Input_TaiNguyenNode__GGSN_Daily!D:AB,4,FALSE)</f>
        <v>108911.94</v>
      </c>
      <c r="N7" s="220">
        <f t="shared" si="0"/>
        <v>0.97514035714285718</v>
      </c>
      <c r="O7" s="220">
        <f t="shared" si="1"/>
        <v>0.72607960000000005</v>
      </c>
      <c r="P7" s="219" t="e">
        <f t="shared" si="2"/>
        <v>#VALUE!</v>
      </c>
      <c r="Q7" s="190" t="e">
        <f t="shared" si="3"/>
        <v>#VALUE!</v>
      </c>
      <c r="R7" s="220" t="e">
        <f t="shared" si="4"/>
        <v>#VALUE!</v>
      </c>
      <c r="S7" s="220" t="e">
        <f t="shared" si="5"/>
        <v>#VALUE!</v>
      </c>
      <c r="T7" s="131">
        <v>135000</v>
      </c>
      <c r="U7" s="934"/>
      <c r="V7" s="934">
        <f>VLOOKUP($B7,Input_TaiNguyenNode__GGSN_Daily!$D:$AC,8,FALSE)+VLOOKUP($B8,Input_TaiNguyenNode__GGSN_Daily!$D:$AC,8,FALSE)</f>
        <v>118823.67999999999</v>
      </c>
      <c r="W7" s="934"/>
      <c r="X7" s="934"/>
      <c r="Y7" s="934"/>
      <c r="Z7" s="934"/>
      <c r="AA7" s="966"/>
      <c r="AB7" s="966"/>
      <c r="AC7" s="966"/>
      <c r="AD7" s="131" t="str">
        <f>VLOOKUP(B7,idns_weight_PCSCF!A:B,2,FALSE)</f>
        <v>Ericsson</v>
      </c>
      <c r="AE7" s="131" t="e">
        <f t="shared" si="6"/>
        <v>#N/A</v>
      </c>
      <c r="AF7" s="222">
        <f t="shared" si="8"/>
        <v>1</v>
      </c>
      <c r="AG7" s="131">
        <v>80</v>
      </c>
      <c r="AH7" s="292" t="str">
        <f t="shared" si="9"/>
        <v>YES</v>
      </c>
      <c r="AI7" s="293" t="str">
        <f>VLOOKUP(B7,Input_Lic_Rate_PS!K:S,9,FALSE)</f>
        <v>SSR 8020</v>
      </c>
      <c r="AJ7" s="934" t="e">
        <f>VLOOKUP(X7,QH_CGNAT_PEPS_incl_2024!$B$26:$K$84,10,FALSE)</f>
        <v>#N/A</v>
      </c>
      <c r="AK7" s="223" t="e">
        <f t="shared" si="7"/>
        <v>#VALUE!</v>
      </c>
    </row>
    <row r="8" spans="1:37" s="224" customFormat="1">
      <c r="A8" s="128">
        <v>6</v>
      </c>
      <c r="B8" s="129" t="s">
        <v>68</v>
      </c>
      <c r="C8" s="129" t="s">
        <v>4</v>
      </c>
      <c r="D8" s="130" t="s">
        <v>15</v>
      </c>
      <c r="E8" s="131">
        <f>VLOOKUP(B8,Input_Lic_Rate_PS!K:P,4,FALSE)</f>
        <v>2800000</v>
      </c>
      <c r="F8" s="131">
        <f>VLOOKUP(B8,Input_Lic_Rate_PS!K:R,5,FALSE)</f>
        <v>150000</v>
      </c>
      <c r="G8" s="131">
        <f>VLOOKUP(B8,Input_Lic_Rate_PS!K:R,7,FALSE)</f>
        <v>2990000</v>
      </c>
      <c r="H8" s="219">
        <v>2322234</v>
      </c>
      <c r="I8" s="219">
        <v>104864.67</v>
      </c>
      <c r="J8" s="294">
        <v>2651296</v>
      </c>
      <c r="K8" s="219">
        <v>109621.21</v>
      </c>
      <c r="L8" s="294">
        <f>VLOOKUP(B8,Input_TaiNguyenNode__GGSN_Daily!D:AB,13,FALSE)</f>
        <v>2740138</v>
      </c>
      <c r="M8" s="219">
        <f>VLOOKUP(B8,Input_TaiNguyenNode__GGSN_Daily!D:AB,4,FALSE)</f>
        <v>108850.65</v>
      </c>
      <c r="N8" s="220">
        <f t="shared" si="0"/>
        <v>0.97862071428571429</v>
      </c>
      <c r="O8" s="220">
        <f t="shared" si="1"/>
        <v>0.72567099999999995</v>
      </c>
      <c r="P8" s="219" t="e">
        <f t="shared" si="2"/>
        <v>#VALUE!</v>
      </c>
      <c r="Q8" s="190" t="e">
        <f t="shared" si="3"/>
        <v>#VALUE!</v>
      </c>
      <c r="R8" s="220" t="e">
        <f t="shared" si="4"/>
        <v>#VALUE!</v>
      </c>
      <c r="S8" s="220" t="e">
        <f t="shared" si="5"/>
        <v>#VALUE!</v>
      </c>
      <c r="T8" s="131">
        <v>135000</v>
      </c>
      <c r="U8" s="934"/>
      <c r="V8" s="934"/>
      <c r="W8" s="934"/>
      <c r="X8" s="934"/>
      <c r="Y8" s="934"/>
      <c r="Z8" s="934"/>
      <c r="AA8" s="966"/>
      <c r="AB8" s="966"/>
      <c r="AC8" s="966"/>
      <c r="AD8" s="131" t="str">
        <f>VLOOKUP(B8,idns_weight_PCSCF!A:B,2,FALSE)</f>
        <v>Ericsson</v>
      </c>
      <c r="AE8" s="131" t="e">
        <f t="shared" si="6"/>
        <v>#N/A</v>
      </c>
      <c r="AF8" s="222">
        <f t="shared" si="8"/>
        <v>1</v>
      </c>
      <c r="AG8" s="131">
        <v>80</v>
      </c>
      <c r="AH8" s="292" t="str">
        <f t="shared" si="9"/>
        <v>YES</v>
      </c>
      <c r="AI8" s="293" t="str">
        <f>VLOOKUP(B8,Input_Lic_Rate_PS!K:S,9,FALSE)</f>
        <v>SSR 8020</v>
      </c>
      <c r="AJ8" s="934" t="e">
        <f>VLOOKUP(X8,QH_CGNAT_PEPS_incl_2024!$B$26:$K$84,10,FALSE)</f>
        <v>#N/A</v>
      </c>
      <c r="AK8" s="223" t="e">
        <f t="shared" si="7"/>
        <v>#VALUE!</v>
      </c>
    </row>
    <row r="9" spans="1:37" s="224" customFormat="1">
      <c r="A9" s="128">
        <v>7</v>
      </c>
      <c r="B9" s="295" t="s">
        <v>256</v>
      </c>
      <c r="C9" s="295" t="s">
        <v>249</v>
      </c>
      <c r="D9" s="130" t="s">
        <v>15</v>
      </c>
      <c r="E9" s="131">
        <v>1500000</v>
      </c>
      <c r="F9" s="221">
        <v>60000</v>
      </c>
      <c r="G9" s="131">
        <f>VLOOKUP(B9,Input_Lic_Rate_PS!K:R,7,FALSE)</f>
        <v>1500000</v>
      </c>
      <c r="H9" s="296">
        <v>675456</v>
      </c>
      <c r="I9" s="296">
        <v>50445.35</v>
      </c>
      <c r="J9" s="296">
        <v>78051</v>
      </c>
      <c r="K9" s="296">
        <v>4343.1099999999997</v>
      </c>
      <c r="L9" s="296">
        <f>VLOOKUP(B9,Input_TaiNguyenNode__GGSN_Daily!D:AB,13,FALSE)</f>
        <v>33212</v>
      </c>
      <c r="M9" s="296">
        <f>VLOOKUP(B9,Input_TaiNguyenNode__GGSN_Daily!D:AB,4,FALSE)</f>
        <v>2071.56</v>
      </c>
      <c r="N9" s="220">
        <f t="shared" si="0"/>
        <v>2.2141333333333332E-2</v>
      </c>
      <c r="O9" s="220">
        <f t="shared" si="1"/>
        <v>3.4526000000000001E-2</v>
      </c>
      <c r="P9" s="296">
        <f>L9</f>
        <v>33212</v>
      </c>
      <c r="Q9" s="297">
        <f>M9</f>
        <v>2071.56</v>
      </c>
      <c r="R9" s="220">
        <f t="shared" si="4"/>
        <v>2.2141333333333332E-2</v>
      </c>
      <c r="S9" s="220">
        <f t="shared" si="5"/>
        <v>3.4526000000000001E-2</v>
      </c>
      <c r="T9" s="221">
        <v>60000</v>
      </c>
      <c r="U9" s="934"/>
      <c r="V9" s="934">
        <f>VLOOKUP($B9,Input_TaiNguyenNode__GGSN_Daily!$D:$AC,8,FALSE)+VLOOKUP($B10,Input_TaiNguyenNode__GGSN_Daily!$D:$AC,8,FALSE)</f>
        <v>0</v>
      </c>
      <c r="W9" s="934"/>
      <c r="X9" s="934"/>
      <c r="Y9" s="934"/>
      <c r="Z9" s="934"/>
      <c r="AA9" s="966"/>
      <c r="AB9" s="966"/>
      <c r="AC9" s="966"/>
      <c r="AD9" s="131" t="e">
        <f>VLOOKUP(B9,idns_weight_PCSCF!A:B,2,FALSE)</f>
        <v>#N/A</v>
      </c>
      <c r="AE9" s="298" t="e">
        <f t="shared" si="6"/>
        <v>#N/A</v>
      </c>
      <c r="AF9" s="222">
        <f t="shared" si="8"/>
        <v>1</v>
      </c>
      <c r="AG9" s="131">
        <v>10</v>
      </c>
      <c r="AH9" s="292" t="e">
        <f t="shared" si="9"/>
        <v>#N/A</v>
      </c>
      <c r="AI9" s="293" t="str">
        <f>VLOOKUP(B9,Input_Lic_Rate_PS!K:S,9,FALSE)</f>
        <v>VHT</v>
      </c>
      <c r="AJ9" s="934" t="e">
        <f>VLOOKUP(X9,QH_CGNAT_PEPS_incl_2024!$B$26:$K$84,10,FALSE)</f>
        <v>#N/A</v>
      </c>
      <c r="AK9" s="223">
        <f t="shared" si="7"/>
        <v>0</v>
      </c>
    </row>
    <row r="10" spans="1:37" s="224" customFormat="1">
      <c r="A10" s="128">
        <v>8</v>
      </c>
      <c r="B10" s="295" t="s">
        <v>248</v>
      </c>
      <c r="C10" s="295" t="s">
        <v>249</v>
      </c>
      <c r="D10" s="299" t="s">
        <v>15</v>
      </c>
      <c r="E10" s="131">
        <v>1500000</v>
      </c>
      <c r="F10" s="221">
        <v>60000</v>
      </c>
      <c r="G10" s="131">
        <f>VLOOKUP(B10,Input_Lic_Rate_PS!K:R,7,FALSE)</f>
        <v>1114032</v>
      </c>
      <c r="H10" s="296">
        <v>226668</v>
      </c>
      <c r="I10" s="296">
        <v>15602.85</v>
      </c>
      <c r="J10" s="296">
        <v>76800</v>
      </c>
      <c r="K10" s="296">
        <v>4941.29</v>
      </c>
      <c r="L10" s="296">
        <f>VLOOKUP(B10,Input_TaiNguyenNode__GGSN_Daily!D:AB,13,FALSE)</f>
        <v>86154</v>
      </c>
      <c r="M10" s="296">
        <f>VLOOKUP(B10,Input_TaiNguyenNode__GGSN_Daily!D:AB,4,FALSE)</f>
        <v>5797.92</v>
      </c>
      <c r="N10" s="220">
        <f t="shared" si="0"/>
        <v>5.7436000000000001E-2</v>
      </c>
      <c r="O10" s="220">
        <f t="shared" si="1"/>
        <v>9.6631999999999996E-2</v>
      </c>
      <c r="P10" s="296">
        <f>L10</f>
        <v>86154</v>
      </c>
      <c r="Q10" s="297">
        <f>M10</f>
        <v>5797.92</v>
      </c>
      <c r="R10" s="220">
        <f t="shared" si="4"/>
        <v>5.7436000000000001E-2</v>
      </c>
      <c r="S10" s="220">
        <f t="shared" si="5"/>
        <v>9.6631999999999996E-2</v>
      </c>
      <c r="T10" s="221">
        <v>60000</v>
      </c>
      <c r="U10" s="935"/>
      <c r="V10" s="935"/>
      <c r="W10" s="935"/>
      <c r="X10" s="935"/>
      <c r="Y10" s="935"/>
      <c r="Z10" s="935"/>
      <c r="AA10" s="967"/>
      <c r="AB10" s="967"/>
      <c r="AC10" s="967"/>
      <c r="AD10" s="131" t="e">
        <f>VLOOKUP(B10,idns_weight_PCSCF!A:B,2,FALSE)</f>
        <v>#N/A</v>
      </c>
      <c r="AE10" s="298" t="e">
        <f t="shared" si="6"/>
        <v>#N/A</v>
      </c>
      <c r="AF10" s="222">
        <f t="shared" si="8"/>
        <v>1</v>
      </c>
      <c r="AG10" s="131">
        <v>10</v>
      </c>
      <c r="AH10" s="292" t="e">
        <f t="shared" si="9"/>
        <v>#N/A</v>
      </c>
      <c r="AI10" s="293" t="str">
        <f>VLOOKUP(B10,Input_Lic_Rate_PS!K:S,9,FALSE)</f>
        <v>VHT</v>
      </c>
      <c r="AJ10" s="935" t="e">
        <f>VLOOKUP(X10,QH_CGNAT_PEPS_incl_2024!$B$26:$K$84,10,FALSE)</f>
        <v>#N/A</v>
      </c>
      <c r="AK10" s="223">
        <f t="shared" si="7"/>
        <v>0</v>
      </c>
    </row>
    <row r="11" spans="1:37" s="64" customFormat="1">
      <c r="A11" s="114">
        <v>9</v>
      </c>
      <c r="B11" s="115" t="s">
        <v>64</v>
      </c>
      <c r="C11" s="115" t="s">
        <v>4</v>
      </c>
      <c r="D11" s="116" t="s">
        <v>15</v>
      </c>
      <c r="E11" s="37">
        <f>VLOOKUP(B11,Input_Lic_Rate_PS!K:P,4,FALSE)</f>
        <v>2800000</v>
      </c>
      <c r="F11" s="37">
        <f>VLOOKUP(B11,Input_Lic_Rate_PS!K:R,5,FALSE)</f>
        <v>150000</v>
      </c>
      <c r="G11" s="37">
        <f>VLOOKUP(B11,Input_Lic_Rate_PS!K:R,7,FALSE)</f>
        <v>2990000</v>
      </c>
      <c r="H11" s="163">
        <v>2288537</v>
      </c>
      <c r="I11" s="163">
        <v>105245.36</v>
      </c>
      <c r="J11" s="163">
        <v>2632214</v>
      </c>
      <c r="K11" s="163">
        <v>109790.74</v>
      </c>
      <c r="L11" s="163">
        <f>VLOOKUP(B11,Input_TaiNguyenNode__GGSN_Daily!D:AB,13,FALSE)</f>
        <v>2721489</v>
      </c>
      <c r="M11" s="163">
        <f>VLOOKUP(B11,Input_TaiNguyenNode__GGSN_Daily!D:AB,4,FALSE)</f>
        <v>108445.23</v>
      </c>
      <c r="N11" s="164">
        <f t="shared" si="0"/>
        <v>0.97196035714285711</v>
      </c>
      <c r="O11" s="164">
        <f t="shared" si="1"/>
        <v>0.72296819999999995</v>
      </c>
      <c r="P11" s="163" t="e">
        <f t="shared" ref="P11:P21" si="10">(L11+(AG11/SUM($AG$3:$AG$21)-AD11/SUM($AD$3:$AD$21))*SUM($L$3:$L$21))*AF11</f>
        <v>#VALUE!</v>
      </c>
      <c r="Q11" s="207" t="e">
        <f t="shared" ref="Q11:Q21" si="11">(M11+(AG11/SUM($AG$3:$AG$21)-AD11/SUM($AD$3:$AD$21))*SUM($M$3:$M$21))*AF11</f>
        <v>#VALUE!</v>
      </c>
      <c r="R11" s="164" t="e">
        <f t="shared" si="4"/>
        <v>#VALUE!</v>
      </c>
      <c r="S11" s="164" t="e">
        <f t="shared" si="5"/>
        <v>#VALUE!</v>
      </c>
      <c r="T11" s="37">
        <v>135000</v>
      </c>
      <c r="U11" s="943" t="e">
        <f>SUM(Q11:Q13)</f>
        <v>#VALUE!</v>
      </c>
      <c r="V11" s="943">
        <f>VLOOKUP($B11,Input_TaiNguyenNode__GGSN_Daily!$D:$AC,8,FALSE)+VLOOKUP($B12,Input_TaiNguyenNode__GGSN_Daily!$D:$AC,8,FALSE)+VLOOKUP($B13,Input_TaiNguyenNode__GGSN_Daily!$D:$AC,8,FALSE)</f>
        <v>156885.14000000001</v>
      </c>
      <c r="W11" s="943">
        <f>SUM(T11:T13)</f>
        <v>370000</v>
      </c>
      <c r="X11" s="936" t="s">
        <v>460</v>
      </c>
      <c r="Y11" s="946" t="e">
        <f>U11*$Y$1</f>
        <v>#VALUE!</v>
      </c>
      <c r="Z11" s="943">
        <v>300000</v>
      </c>
      <c r="AA11" s="949" t="e">
        <f>V11/U11</f>
        <v>#VALUE!</v>
      </c>
      <c r="AB11" s="949" t="e">
        <f>Y11/Z11</f>
        <v>#VALUE!</v>
      </c>
      <c r="AC11" s="949" t="e">
        <f>(Y11-V11)/Z11</f>
        <v>#VALUE!</v>
      </c>
      <c r="AD11" s="37" t="str">
        <f>VLOOKUP(B11,idns_weight_PCSCF!A:B,2,FALSE)</f>
        <v>Ericsson</v>
      </c>
      <c r="AE11" s="37" t="e">
        <f t="shared" si="6"/>
        <v>#N/A</v>
      </c>
      <c r="AF11" s="165">
        <f t="shared" ref="AF11:AF13" si="12">IF(AG11=0,0,1)</f>
        <v>1</v>
      </c>
      <c r="AG11" s="37">
        <v>80</v>
      </c>
      <c r="AH11" s="303" t="str">
        <f t="shared" ref="AH11:AH13" si="13">IF(AD11=AG11,"NO","YES")</f>
        <v>YES</v>
      </c>
      <c r="AI11" s="304" t="str">
        <f>VLOOKUP(B11,Input_Lic_Rate_PS!K:S,9,FALSE)</f>
        <v>SSR 8020</v>
      </c>
      <c r="AJ11" s="936" t="str">
        <f>VLOOKUP(X11,QH_CGNAT_PEPS_incl_2024!$B$26:$K$84,10,FALSE)</f>
        <v>PEDD05/06</v>
      </c>
      <c r="AK11" s="305" t="e">
        <f t="shared" si="7"/>
        <v>#VALUE!</v>
      </c>
    </row>
    <row r="12" spans="1:37" s="64" customFormat="1">
      <c r="A12" s="114">
        <v>10</v>
      </c>
      <c r="B12" s="115" t="s">
        <v>65</v>
      </c>
      <c r="C12" s="115" t="s">
        <v>4</v>
      </c>
      <c r="D12" s="116" t="s">
        <v>15</v>
      </c>
      <c r="E12" s="37">
        <f>VLOOKUP(B12,Input_Lic_Rate_PS!K:P,4,FALSE)</f>
        <v>2800000</v>
      </c>
      <c r="F12" s="37">
        <f>VLOOKUP(B12,Input_Lic_Rate_PS!K:R,5,FALSE)</f>
        <v>150000</v>
      </c>
      <c r="G12" s="37">
        <f>VLOOKUP(B12,Input_Lic_Rate_PS!K:R,7,FALSE)</f>
        <v>2990000</v>
      </c>
      <c r="H12" s="163">
        <v>2305694</v>
      </c>
      <c r="I12" s="163">
        <v>105431.98</v>
      </c>
      <c r="J12" s="163">
        <v>2642290</v>
      </c>
      <c r="K12" s="163">
        <v>107814.61</v>
      </c>
      <c r="L12" s="163">
        <f>VLOOKUP(B12,Input_TaiNguyenNode__GGSN_Daily!D:AB,13,FALSE)</f>
        <v>2730753</v>
      </c>
      <c r="M12" s="163">
        <f>VLOOKUP(B12,Input_TaiNguyenNode__GGSN_Daily!D:AB,4,FALSE)</f>
        <v>106231.56</v>
      </c>
      <c r="N12" s="164">
        <f t="shared" si="0"/>
        <v>0.97526892857142855</v>
      </c>
      <c r="O12" s="164">
        <f t="shared" si="1"/>
        <v>0.70821040000000002</v>
      </c>
      <c r="P12" s="163" t="e">
        <f t="shared" si="10"/>
        <v>#VALUE!</v>
      </c>
      <c r="Q12" s="207" t="e">
        <f t="shared" si="11"/>
        <v>#VALUE!</v>
      </c>
      <c r="R12" s="164" t="e">
        <f t="shared" si="4"/>
        <v>#VALUE!</v>
      </c>
      <c r="S12" s="164" t="e">
        <f t="shared" si="5"/>
        <v>#VALUE!</v>
      </c>
      <c r="T12" s="37">
        <v>135000</v>
      </c>
      <c r="U12" s="944"/>
      <c r="V12" s="944"/>
      <c r="W12" s="944"/>
      <c r="X12" s="937"/>
      <c r="Y12" s="947"/>
      <c r="Z12" s="944"/>
      <c r="AA12" s="950"/>
      <c r="AB12" s="950"/>
      <c r="AC12" s="950"/>
      <c r="AD12" s="37" t="str">
        <f>VLOOKUP(B12,idns_weight_PCSCF!A:B,2,FALSE)</f>
        <v>Ericsson</v>
      </c>
      <c r="AE12" s="37" t="e">
        <f t="shared" si="6"/>
        <v>#N/A</v>
      </c>
      <c r="AF12" s="165">
        <f t="shared" si="12"/>
        <v>1</v>
      </c>
      <c r="AG12" s="37">
        <v>70</v>
      </c>
      <c r="AH12" s="303" t="str">
        <f t="shared" si="13"/>
        <v>YES</v>
      </c>
      <c r="AI12" s="304" t="str">
        <f>VLOOKUP(B12,Input_Lic_Rate_PS!K:S,9,FALSE)</f>
        <v>SSR 8020</v>
      </c>
      <c r="AJ12" s="937" t="e">
        <f>VLOOKUP(X12,QH_CGNAT_PEPS_incl_2024!$B$26:$K$84,10,FALSE)</f>
        <v>#N/A</v>
      </c>
      <c r="AK12" s="305" t="e">
        <f t="shared" si="7"/>
        <v>#VALUE!</v>
      </c>
    </row>
    <row r="13" spans="1:37" s="64" customFormat="1">
      <c r="A13" s="114">
        <v>11</v>
      </c>
      <c r="B13" s="115" t="s">
        <v>66</v>
      </c>
      <c r="C13" s="115" t="s">
        <v>4</v>
      </c>
      <c r="D13" s="116" t="s">
        <v>15</v>
      </c>
      <c r="E13" s="37">
        <f>VLOOKUP(B13,Input_Lic_Rate_PS!K:P,4,FALSE)</f>
        <v>2400000</v>
      </c>
      <c r="F13" s="37">
        <f>VLOOKUP(B13,Input_Lic_Rate_PS!K:R,5,FALSE)</f>
        <v>100000</v>
      </c>
      <c r="G13" s="37">
        <f>VLOOKUP(B13,Input_Lic_Rate_PS!K:R,7,FALSE)</f>
        <v>2470000</v>
      </c>
      <c r="H13" s="163">
        <v>1164871</v>
      </c>
      <c r="I13" s="163">
        <v>52095.31</v>
      </c>
      <c r="J13" s="163">
        <v>1963571</v>
      </c>
      <c r="K13" s="163">
        <v>77014.8</v>
      </c>
      <c r="L13" s="163">
        <f>VLOOKUP(B13,Input_TaiNguyenNode__GGSN_Daily!D:AB,13,FALSE)</f>
        <v>2042447</v>
      </c>
      <c r="M13" s="163">
        <f>VLOOKUP(B13,Input_TaiNguyenNode__GGSN_Daily!D:AB,4,FALSE)</f>
        <v>77001.42</v>
      </c>
      <c r="N13" s="164">
        <f t="shared" si="0"/>
        <v>0.85101958333333338</v>
      </c>
      <c r="O13" s="164">
        <f t="shared" si="1"/>
        <v>0.77001419999999998</v>
      </c>
      <c r="P13" s="163" t="e">
        <f t="shared" si="10"/>
        <v>#VALUE!</v>
      </c>
      <c r="Q13" s="207" t="e">
        <f t="shared" si="11"/>
        <v>#VALUE!</v>
      </c>
      <c r="R13" s="164" t="e">
        <f t="shared" si="4"/>
        <v>#VALUE!</v>
      </c>
      <c r="S13" s="164" t="e">
        <f t="shared" si="5"/>
        <v>#VALUE!</v>
      </c>
      <c r="T13" s="37">
        <v>100000</v>
      </c>
      <c r="U13" s="945"/>
      <c r="V13" s="945"/>
      <c r="W13" s="945"/>
      <c r="X13" s="938"/>
      <c r="Y13" s="948"/>
      <c r="Z13" s="945"/>
      <c r="AA13" s="951"/>
      <c r="AB13" s="951"/>
      <c r="AC13" s="951"/>
      <c r="AD13" s="37" t="str">
        <f>VLOOKUP(B13,idns_weight_PCSCF!A:B,2,FALSE)</f>
        <v>Ericsson</v>
      </c>
      <c r="AE13" s="37" t="e">
        <f t="shared" si="6"/>
        <v>#N/A</v>
      </c>
      <c r="AF13" s="165">
        <f t="shared" si="12"/>
        <v>1</v>
      </c>
      <c r="AG13" s="37">
        <v>70</v>
      </c>
      <c r="AH13" s="303" t="str">
        <f t="shared" si="13"/>
        <v>YES</v>
      </c>
      <c r="AI13" s="304" t="str">
        <f>VLOOKUP(B13,Input_Lic_Rate_PS!K:S,9,FALSE)</f>
        <v>SSR 8020</v>
      </c>
      <c r="AJ13" s="938" t="e">
        <f>VLOOKUP(X13,QH_CGNAT_PEPS_incl_2024!$B$26:$K$84,10,FALSE)</f>
        <v>#N/A</v>
      </c>
      <c r="AK13" s="305" t="e">
        <f t="shared" si="7"/>
        <v>#VALUE!</v>
      </c>
    </row>
    <row r="14" spans="1:37" s="318" customFormat="1">
      <c r="A14" s="306">
        <v>12</v>
      </c>
      <c r="B14" s="307" t="s">
        <v>69</v>
      </c>
      <c r="C14" s="307" t="s">
        <v>4</v>
      </c>
      <c r="D14" s="308" t="s">
        <v>15</v>
      </c>
      <c r="E14" s="309">
        <f>VLOOKUP(B14,Input_Lic_Rate_PS!K:P,4,FALSE)</f>
        <v>4000000</v>
      </c>
      <c r="F14" s="309">
        <f>VLOOKUP(B14,Input_Lic_Rate_PS!K:R,5,FALSE)</f>
        <v>180000</v>
      </c>
      <c r="G14" s="309">
        <f>VLOOKUP(B14,Input_Lic_Rate_PS!K:R,7,FALSE)</f>
        <v>4063232</v>
      </c>
      <c r="H14" s="310">
        <v>2435908</v>
      </c>
      <c r="I14" s="310">
        <v>114809.60000000001</v>
      </c>
      <c r="J14" s="310">
        <v>2940925</v>
      </c>
      <c r="K14" s="310">
        <v>126478.21</v>
      </c>
      <c r="L14" s="310">
        <f>VLOOKUP(B14,Input_TaiNguyenNode__GGSN_Daily!D:AB,13,FALSE)</f>
        <v>3031313</v>
      </c>
      <c r="M14" s="310">
        <f>VLOOKUP(B14,Input_TaiNguyenNode__GGSN_Daily!D:AB,4,FALSE)</f>
        <v>124189</v>
      </c>
      <c r="N14" s="311">
        <f t="shared" si="0"/>
        <v>0.75782824999999998</v>
      </c>
      <c r="O14" s="311">
        <f t="shared" si="1"/>
        <v>0.68993888888888888</v>
      </c>
      <c r="P14" s="310" t="e">
        <f t="shared" si="10"/>
        <v>#VALUE!</v>
      </c>
      <c r="Q14" s="312" t="e">
        <f t="shared" si="11"/>
        <v>#VALUE!</v>
      </c>
      <c r="R14" s="311" t="e">
        <f t="shared" si="4"/>
        <v>#VALUE!</v>
      </c>
      <c r="S14" s="311" t="e">
        <f t="shared" si="5"/>
        <v>#VALUE!</v>
      </c>
      <c r="T14" s="309">
        <v>200000</v>
      </c>
      <c r="U14" s="1012" t="e">
        <f>SUM(Q14:Q15)</f>
        <v>#VALUE!</v>
      </c>
      <c r="V14" s="1012">
        <f>VLOOKUP($B14,Input_TaiNguyenNode__GGSN_Daily!$D:$AC,8,FALSE)+VLOOKUP($B15,Input_TaiNguyenNode__GGSN_Daily!$D:$AC,8,FALSE)</f>
        <v>135819.70000000001</v>
      </c>
      <c r="W14" s="1013">
        <f>SUM(T14:T15)</f>
        <v>400000</v>
      </c>
      <c r="X14" s="939" t="s">
        <v>461</v>
      </c>
      <c r="Y14" s="998" t="e">
        <f>U14*$Y$1</f>
        <v>#VALUE!</v>
      </c>
      <c r="Z14" s="993">
        <v>103000</v>
      </c>
      <c r="AA14" s="995" t="e">
        <f t="shared" ref="AA14" si="14">V14/U14</f>
        <v>#VALUE!</v>
      </c>
      <c r="AB14" s="995" t="e">
        <f>Y14/Z14</f>
        <v>#VALUE!</v>
      </c>
      <c r="AC14" s="995" t="e">
        <f>(Y14-V14)/Z14</f>
        <v>#VALUE!</v>
      </c>
      <c r="AD14" s="309" t="str">
        <f>VLOOKUP(B14,idns_weight_PCSCF!A:B,2,FALSE)</f>
        <v>Ericsson</v>
      </c>
      <c r="AE14" s="309" t="e">
        <f t="shared" si="6"/>
        <v>#N/A</v>
      </c>
      <c r="AF14" s="313">
        <f t="shared" si="8"/>
        <v>1</v>
      </c>
      <c r="AG14" s="314">
        <v>100</v>
      </c>
      <c r="AH14" s="315" t="str">
        <f t="shared" si="9"/>
        <v>YES</v>
      </c>
      <c r="AI14" s="316" t="str">
        <f>VLOOKUP(B14,Input_Lic_Rate_PS!K:S,9,FALSE)</f>
        <v>TCHL01</v>
      </c>
      <c r="AJ14" s="939" t="str">
        <f>VLOOKUP(X14,QH_CGNAT_PEPS_incl_2024!$B$26:$K$84,10,FALSE)</f>
        <v>PEPS05/06</v>
      </c>
      <c r="AK14" s="317" t="e">
        <f t="shared" si="7"/>
        <v>#VALUE!</v>
      </c>
    </row>
    <row r="15" spans="1:37" s="318" customFormat="1">
      <c r="A15" s="306">
        <v>13</v>
      </c>
      <c r="B15" s="307" t="s">
        <v>74</v>
      </c>
      <c r="C15" s="307" t="s">
        <v>4</v>
      </c>
      <c r="D15" s="308" t="s">
        <v>15</v>
      </c>
      <c r="E15" s="309">
        <f>VLOOKUP(B15,Input_Lic_Rate_PS!K:P,4,FALSE)</f>
        <v>4000000</v>
      </c>
      <c r="F15" s="309">
        <f>VLOOKUP(B15,Input_Lic_Rate_PS!K:R,5,FALSE)</f>
        <v>180000</v>
      </c>
      <c r="G15" s="309">
        <f>VLOOKUP(B15,Input_Lic_Rate_PS!K:R,7,FALSE)</f>
        <v>4063232</v>
      </c>
      <c r="H15" s="310">
        <v>2602818</v>
      </c>
      <c r="I15" s="310">
        <v>114790.95</v>
      </c>
      <c r="J15" s="310">
        <v>2991961</v>
      </c>
      <c r="K15" s="310">
        <v>127138.4</v>
      </c>
      <c r="L15" s="310">
        <f>VLOOKUP(B15,Input_TaiNguyenNode__GGSN_Daily!D:AB,13,FALSE)</f>
        <v>3092211</v>
      </c>
      <c r="M15" s="310">
        <f>VLOOKUP(B15,Input_TaiNguyenNode__GGSN_Daily!D:AB,4,FALSE)</f>
        <v>126166.51</v>
      </c>
      <c r="N15" s="311">
        <f t="shared" si="0"/>
        <v>0.77305274999999996</v>
      </c>
      <c r="O15" s="311">
        <f t="shared" si="1"/>
        <v>0.70092505555555551</v>
      </c>
      <c r="P15" s="310" t="e">
        <f t="shared" si="10"/>
        <v>#VALUE!</v>
      </c>
      <c r="Q15" s="312" t="e">
        <f t="shared" si="11"/>
        <v>#VALUE!</v>
      </c>
      <c r="R15" s="311" t="e">
        <f t="shared" si="4"/>
        <v>#VALUE!</v>
      </c>
      <c r="S15" s="311" t="e">
        <f t="shared" si="5"/>
        <v>#VALUE!</v>
      </c>
      <c r="T15" s="309">
        <v>200000</v>
      </c>
      <c r="U15" s="999"/>
      <c r="V15" s="999"/>
      <c r="W15" s="1013"/>
      <c r="X15" s="940"/>
      <c r="Y15" s="999"/>
      <c r="Z15" s="994"/>
      <c r="AA15" s="995"/>
      <c r="AB15" s="995"/>
      <c r="AC15" s="995"/>
      <c r="AD15" s="309" t="str">
        <f>VLOOKUP(B15,idns_weight_PCSCF!A:B,2,FALSE)</f>
        <v>Ericsson</v>
      </c>
      <c r="AE15" s="309" t="e">
        <f t="shared" si="6"/>
        <v>#N/A</v>
      </c>
      <c r="AF15" s="313">
        <f t="shared" ref="AF15" si="15">IF(AG15=0,0,1)</f>
        <v>1</v>
      </c>
      <c r="AG15" s="314">
        <v>100</v>
      </c>
      <c r="AH15" s="315" t="str">
        <f t="shared" ref="AH15" si="16">IF(AD15=AG15,"NO","YES")</f>
        <v>YES</v>
      </c>
      <c r="AI15" s="316" t="str">
        <f>VLOOKUP(B15,Input_Lic_Rate_PS!K:S,9,FALSE)</f>
        <v>TCHL02</v>
      </c>
      <c r="AJ15" s="940" t="e">
        <f>VLOOKUP(X15,QH_CGNAT_PEPS_incl_2024!$B$26:$K$84,10,FALSE)</f>
        <v>#N/A</v>
      </c>
      <c r="AK15" s="317" t="e">
        <f t="shared" si="7"/>
        <v>#VALUE!</v>
      </c>
    </row>
    <row r="16" spans="1:37" s="64" customFormat="1">
      <c r="A16" s="114">
        <v>14</v>
      </c>
      <c r="B16" s="115" t="s">
        <v>71</v>
      </c>
      <c r="C16" s="115" t="s">
        <v>4</v>
      </c>
      <c r="D16" s="116" t="s">
        <v>15</v>
      </c>
      <c r="E16" s="37">
        <f>VLOOKUP(B16,Input_Lic_Rate_PS!K:P,4,FALSE)</f>
        <v>4000000</v>
      </c>
      <c r="F16" s="37">
        <f>VLOOKUP(B16,Input_Lic_Rate_PS!K:R,5,FALSE)</f>
        <v>180000</v>
      </c>
      <c r="G16" s="37">
        <f>VLOOKUP(B16,Input_Lic_Rate_PS!K:R,7,FALSE)</f>
        <v>4063232</v>
      </c>
      <c r="H16" s="163">
        <v>2448450</v>
      </c>
      <c r="I16" s="163">
        <v>114652.02</v>
      </c>
      <c r="J16" s="163">
        <v>2937252</v>
      </c>
      <c r="K16" s="163">
        <v>126707.14</v>
      </c>
      <c r="L16" s="163">
        <f>VLOOKUP(B16,Input_TaiNguyenNode__GGSN_Daily!D:AB,13,FALSE)</f>
        <v>3037553</v>
      </c>
      <c r="M16" s="163">
        <f>VLOOKUP(B16,Input_TaiNguyenNode__GGSN_Daily!D:AB,4,FALSE)</f>
        <v>125106.69</v>
      </c>
      <c r="N16" s="164">
        <f t="shared" si="0"/>
        <v>0.75938824999999999</v>
      </c>
      <c r="O16" s="164">
        <f t="shared" si="1"/>
        <v>0.69503716666666671</v>
      </c>
      <c r="P16" s="163" t="e">
        <f t="shared" si="10"/>
        <v>#VALUE!</v>
      </c>
      <c r="Q16" s="207" t="e">
        <f t="shared" si="11"/>
        <v>#VALUE!</v>
      </c>
      <c r="R16" s="164" t="e">
        <f t="shared" si="4"/>
        <v>#VALUE!</v>
      </c>
      <c r="S16" s="164" t="e">
        <f t="shared" si="5"/>
        <v>#VALUE!</v>
      </c>
      <c r="T16" s="37">
        <v>200000</v>
      </c>
      <c r="U16" s="943" t="e">
        <f>SUM(Q16:Q18)</f>
        <v>#VALUE!</v>
      </c>
      <c r="V16" s="943">
        <f>VLOOKUP($B16,Input_TaiNguyenNode__GGSN_Daily!$D:$AC,8,FALSE)+VLOOKUP($B17,Input_TaiNguyenNode__GGSN_Daily!$D:$AC,8,FALSE)+VLOOKUP($B18,Input_TaiNguyenNode__GGSN_Daily!$D:$AC,8,FALSE)</f>
        <v>200833.96999999997</v>
      </c>
      <c r="W16" s="943">
        <f>SUM(T16:T18)</f>
        <v>600000</v>
      </c>
      <c r="X16" s="936" t="s">
        <v>462</v>
      </c>
      <c r="Y16" s="946" t="e">
        <f>U16*$Y$1</f>
        <v>#VALUE!</v>
      </c>
      <c r="Z16" s="943">
        <v>416000</v>
      </c>
      <c r="AA16" s="949" t="e">
        <f>V16/U16</f>
        <v>#VALUE!</v>
      </c>
      <c r="AB16" s="949" t="e">
        <f>Y16/Z16</f>
        <v>#VALUE!</v>
      </c>
      <c r="AC16" s="949" t="e">
        <f>(Y16-V16)/Z16</f>
        <v>#VALUE!</v>
      </c>
      <c r="AD16" s="37" t="str">
        <f>VLOOKUP(B16,idns_weight_PCSCF!A:B,2,FALSE)</f>
        <v>Ericsson</v>
      </c>
      <c r="AE16" s="37" t="e">
        <f t="shared" si="6"/>
        <v>#N/A</v>
      </c>
      <c r="AF16" s="165">
        <f t="shared" si="8"/>
        <v>1</v>
      </c>
      <c r="AG16" s="314">
        <v>100</v>
      </c>
      <c r="AH16" s="303" t="str">
        <f t="shared" si="9"/>
        <v>YES</v>
      </c>
      <c r="AI16" s="304" t="str">
        <f>VLOOKUP(B16,Input_Lic_Rate_PS!K:S,9,FALSE)</f>
        <v>TCHL01</v>
      </c>
      <c r="AJ16" s="941" t="str">
        <f>VLOOKUP(X16,QH_CGNAT_PEPS_incl_2024!$B$26:$K$84,10,FALSE)</f>
        <v>PEPS05/06</v>
      </c>
      <c r="AK16" s="305" t="e">
        <f t="shared" si="7"/>
        <v>#VALUE!</v>
      </c>
    </row>
    <row r="17" spans="1:37" s="64" customFormat="1">
      <c r="A17" s="114">
        <v>15</v>
      </c>
      <c r="B17" s="115" t="s">
        <v>277</v>
      </c>
      <c r="C17" s="115" t="s">
        <v>4</v>
      </c>
      <c r="D17" s="116" t="s">
        <v>15</v>
      </c>
      <c r="E17" s="37">
        <f>VLOOKUP(B17,Input_Lic_Rate_PS!K:P,4,FALSE)</f>
        <v>4000000</v>
      </c>
      <c r="F17" s="37">
        <f>VLOOKUP(B17,Input_Lic_Rate_PS!K:R,5,FALSE)</f>
        <v>180000</v>
      </c>
      <c r="G17" s="37">
        <f>VLOOKUP(B17,Input_Lic_Rate_PS!K:R,7,FALSE)</f>
        <v>4063232</v>
      </c>
      <c r="H17" s="163">
        <v>2964876</v>
      </c>
      <c r="I17" s="163">
        <v>137507.43</v>
      </c>
      <c r="J17" s="163">
        <v>3046366</v>
      </c>
      <c r="K17" s="163">
        <v>121973.01</v>
      </c>
      <c r="L17" s="163">
        <f>VLOOKUP(B17,Input_TaiNguyenNode__GGSN_Daily!D:AB,13,FALSE)</f>
        <v>3139886</v>
      </c>
      <c r="M17" s="163">
        <f>VLOOKUP(B17,Input_TaiNguyenNode__GGSN_Daily!D:AB,4,FALSE)</f>
        <v>121080.75</v>
      </c>
      <c r="N17" s="164">
        <f t="shared" si="0"/>
        <v>0.78497150000000004</v>
      </c>
      <c r="O17" s="164">
        <f t="shared" si="1"/>
        <v>0.67267083333333333</v>
      </c>
      <c r="P17" s="163" t="e">
        <f t="shared" si="10"/>
        <v>#VALUE!</v>
      </c>
      <c r="Q17" s="207" t="e">
        <f t="shared" si="11"/>
        <v>#VALUE!</v>
      </c>
      <c r="R17" s="164" t="e">
        <f t="shared" si="4"/>
        <v>#VALUE!</v>
      </c>
      <c r="S17" s="164" t="e">
        <f t="shared" si="5"/>
        <v>#VALUE!</v>
      </c>
      <c r="T17" s="37">
        <v>200000</v>
      </c>
      <c r="U17" s="944"/>
      <c r="V17" s="944"/>
      <c r="W17" s="944"/>
      <c r="X17" s="996"/>
      <c r="Y17" s="947"/>
      <c r="Z17" s="944"/>
      <c r="AA17" s="950"/>
      <c r="AB17" s="950"/>
      <c r="AC17" s="950"/>
      <c r="AD17" s="37" t="str">
        <f>VLOOKUP(B17,idns_weight_PCSCF!A:B,2,FALSE)</f>
        <v>Ericsson</v>
      </c>
      <c r="AE17" s="37" t="e">
        <f t="shared" si="6"/>
        <v>#N/A</v>
      </c>
      <c r="AF17" s="165">
        <f t="shared" si="8"/>
        <v>1</v>
      </c>
      <c r="AG17" s="314">
        <v>100</v>
      </c>
      <c r="AH17" s="303" t="str">
        <f t="shared" si="9"/>
        <v>YES</v>
      </c>
      <c r="AI17" s="304" t="str">
        <f>VLOOKUP(B17,Input_Lic_Rate_PS!K:S,9,FALSE)</f>
        <v>TCHL01</v>
      </c>
      <c r="AJ17" s="937" t="e">
        <f>VLOOKUP(X17,QH_CGNAT_PEPS_incl_2024!$B$26:$K$84,10,FALSE)</f>
        <v>#N/A</v>
      </c>
      <c r="AK17" s="305" t="e">
        <f t="shared" si="7"/>
        <v>#VALUE!</v>
      </c>
    </row>
    <row r="18" spans="1:37" s="64" customFormat="1">
      <c r="A18" s="114">
        <v>16</v>
      </c>
      <c r="B18" s="115" t="s">
        <v>278</v>
      </c>
      <c r="C18" s="115" t="s">
        <v>4</v>
      </c>
      <c r="D18" s="116" t="s">
        <v>15</v>
      </c>
      <c r="E18" s="37">
        <f>VLOOKUP(B18,Input_Lic_Rate_PS!K:P,4,FALSE)</f>
        <v>4000000</v>
      </c>
      <c r="F18" s="37">
        <f>VLOOKUP(B18,Input_Lic_Rate_PS!K:R,5,FALSE)</f>
        <v>180000</v>
      </c>
      <c r="G18" s="37">
        <f>VLOOKUP(B18,Input_Lic_Rate_PS!K:R,7,FALSE)</f>
        <v>4063232</v>
      </c>
      <c r="H18" s="163">
        <v>2972228</v>
      </c>
      <c r="I18" s="163">
        <v>137082.26</v>
      </c>
      <c r="J18" s="163">
        <v>3064056</v>
      </c>
      <c r="K18" s="163">
        <v>122934.31</v>
      </c>
      <c r="L18" s="163">
        <f>VLOOKUP(B18,Input_TaiNguyenNode__GGSN_Daily!D:AB,13,FALSE)</f>
        <v>3147582</v>
      </c>
      <c r="M18" s="163">
        <f>VLOOKUP(B18,Input_TaiNguyenNode__GGSN_Daily!D:AB,4,FALSE)</f>
        <v>121152.19</v>
      </c>
      <c r="N18" s="164">
        <f t="shared" si="0"/>
        <v>0.78689549999999997</v>
      </c>
      <c r="O18" s="164">
        <f t="shared" si="1"/>
        <v>0.67306772222222222</v>
      </c>
      <c r="P18" s="163" t="e">
        <f t="shared" si="10"/>
        <v>#VALUE!</v>
      </c>
      <c r="Q18" s="207" t="e">
        <f t="shared" si="11"/>
        <v>#VALUE!</v>
      </c>
      <c r="R18" s="164" t="e">
        <f t="shared" si="4"/>
        <v>#VALUE!</v>
      </c>
      <c r="S18" s="164" t="e">
        <f t="shared" si="5"/>
        <v>#VALUE!</v>
      </c>
      <c r="T18" s="37">
        <v>200000</v>
      </c>
      <c r="U18" s="945"/>
      <c r="V18" s="945"/>
      <c r="W18" s="945"/>
      <c r="X18" s="997"/>
      <c r="Y18" s="948"/>
      <c r="Z18" s="945"/>
      <c r="AA18" s="951"/>
      <c r="AB18" s="951"/>
      <c r="AC18" s="951"/>
      <c r="AD18" s="37" t="str">
        <f>VLOOKUP(B18,idns_weight_PCSCF!A:B,2,FALSE)</f>
        <v>Ericsson</v>
      </c>
      <c r="AE18" s="37" t="e">
        <f t="shared" si="6"/>
        <v>#N/A</v>
      </c>
      <c r="AF18" s="165">
        <f t="shared" si="8"/>
        <v>1</v>
      </c>
      <c r="AG18" s="314">
        <v>100</v>
      </c>
      <c r="AH18" s="303" t="str">
        <f t="shared" si="9"/>
        <v>YES</v>
      </c>
      <c r="AI18" s="304" t="str">
        <f>VLOOKUP(B18,Input_Lic_Rate_PS!K:S,9,FALSE)</f>
        <v>TCHL01</v>
      </c>
      <c r="AJ18" s="938" t="e">
        <f>VLOOKUP(X18,QH_CGNAT_PEPS_incl_2024!$B$26:$K$84,10,FALSE)</f>
        <v>#N/A</v>
      </c>
      <c r="AK18" s="305" t="e">
        <f t="shared" si="7"/>
        <v>#VALUE!</v>
      </c>
    </row>
    <row r="19" spans="1:37" s="71" customFormat="1">
      <c r="A19" s="146">
        <v>17</v>
      </c>
      <c r="B19" s="101" t="s">
        <v>72</v>
      </c>
      <c r="C19" s="101" t="s">
        <v>4</v>
      </c>
      <c r="D19" s="102" t="s">
        <v>15</v>
      </c>
      <c r="E19" s="103">
        <f>VLOOKUP(B19,Input_Lic_Rate_PS!K:P,4,FALSE)</f>
        <v>4000000</v>
      </c>
      <c r="F19" s="103">
        <f>VLOOKUP(B19,Input_Lic_Rate_PS!K:R,5,FALSE)</f>
        <v>180000</v>
      </c>
      <c r="G19" s="103">
        <f>VLOOKUP(B19,Input_Lic_Rate_PS!K:R,7,FALSE)</f>
        <v>4063232</v>
      </c>
      <c r="H19" s="118">
        <v>2581983</v>
      </c>
      <c r="I19" s="118">
        <v>114933.86</v>
      </c>
      <c r="J19" s="118">
        <v>2960312</v>
      </c>
      <c r="K19" s="118">
        <v>126691.14</v>
      </c>
      <c r="L19" s="118">
        <f>VLOOKUP(B19,Input_TaiNguyenNode__GGSN_Daily!D:AB,13,FALSE)</f>
        <v>3058420</v>
      </c>
      <c r="M19" s="118">
        <f>VLOOKUP(B19,Input_TaiNguyenNode__GGSN_Daily!D:AB,4,FALSE)</f>
        <v>125682.64</v>
      </c>
      <c r="N19" s="132">
        <f t="shared" si="0"/>
        <v>0.76460499999999998</v>
      </c>
      <c r="O19" s="132">
        <f t="shared" si="1"/>
        <v>0.69823688888888891</v>
      </c>
      <c r="P19" s="118" t="e">
        <f t="shared" si="10"/>
        <v>#VALUE!</v>
      </c>
      <c r="Q19" s="170" t="e">
        <f t="shared" si="11"/>
        <v>#VALUE!</v>
      </c>
      <c r="R19" s="132" t="e">
        <f t="shared" si="4"/>
        <v>#VALUE!</v>
      </c>
      <c r="S19" s="132" t="e">
        <f t="shared" si="5"/>
        <v>#VALUE!</v>
      </c>
      <c r="T19" s="103">
        <v>200000</v>
      </c>
      <c r="U19" s="959" t="e">
        <f>SUM(Q19:Q21)</f>
        <v>#VALUE!</v>
      </c>
      <c r="V19" s="959">
        <f>VLOOKUP($B19,Input_TaiNguyenNode__GGSN_Daily!$D:$AC,8,FALSE)+VLOOKUP($B20,Input_TaiNguyenNode__GGSN_Daily!$D:$AC,8,FALSE)+VLOOKUP($B21,Input_TaiNguyenNode__GGSN_Daily!$D:$AC,8,FALSE)</f>
        <v>203254.69</v>
      </c>
      <c r="W19" s="959">
        <f>SUM(T19:T21)</f>
        <v>600000</v>
      </c>
      <c r="X19" s="924" t="s">
        <v>463</v>
      </c>
      <c r="Y19" s="1004" t="e">
        <f>U19*$Y$1</f>
        <v>#VALUE!</v>
      </c>
      <c r="Z19" s="959">
        <v>416000</v>
      </c>
      <c r="AA19" s="968" t="e">
        <f>V19/U19</f>
        <v>#VALUE!</v>
      </c>
      <c r="AB19" s="968" t="e">
        <f>Y19/Z19</f>
        <v>#VALUE!</v>
      </c>
      <c r="AC19" s="968" t="e">
        <f>(Y19-V19)/Z19</f>
        <v>#VALUE!</v>
      </c>
      <c r="AD19" s="103" t="str">
        <f>VLOOKUP(B19,idns_weight_PCSCF!A:B,2,FALSE)</f>
        <v>Ericsson</v>
      </c>
      <c r="AE19" s="103" t="e">
        <f t="shared" si="6"/>
        <v>#N/A</v>
      </c>
      <c r="AF19" s="319">
        <f t="shared" si="8"/>
        <v>1</v>
      </c>
      <c r="AG19" s="314">
        <v>100</v>
      </c>
      <c r="AH19" s="320" t="str">
        <f t="shared" si="9"/>
        <v>YES</v>
      </c>
      <c r="AI19" s="321" t="str">
        <f>VLOOKUP(B19,Input_Lic_Rate_PS!K:S,9,FALSE)</f>
        <v>TCHL02</v>
      </c>
      <c r="AJ19" s="928" t="str">
        <f>VLOOKUP(X19,QH_CGNAT_PEPS_incl_2024!$B$26:$K$84,10,FALSE)</f>
        <v>PEPS05/06</v>
      </c>
      <c r="AK19" s="171" t="e">
        <f t="shared" si="7"/>
        <v>#VALUE!</v>
      </c>
    </row>
    <row r="20" spans="1:37" s="71" customFormat="1">
      <c r="A20" s="146">
        <v>18</v>
      </c>
      <c r="B20" s="101" t="s">
        <v>279</v>
      </c>
      <c r="C20" s="101" t="s">
        <v>4</v>
      </c>
      <c r="D20" s="102" t="s">
        <v>15</v>
      </c>
      <c r="E20" s="103">
        <f>VLOOKUP(B20,Input_Lic_Rate_PS!K:P,4,FALSE)</f>
        <v>4000000</v>
      </c>
      <c r="F20" s="103">
        <f>VLOOKUP(B20,Input_Lic_Rate_PS!K:R,5,FALSE)</f>
        <v>180000</v>
      </c>
      <c r="G20" s="103">
        <f>VLOOKUP(B20,Input_Lic_Rate_PS!K:R,7,FALSE)</f>
        <v>4063232</v>
      </c>
      <c r="H20" s="118">
        <v>2883301</v>
      </c>
      <c r="I20" s="118">
        <v>126842.78</v>
      </c>
      <c r="J20" s="118">
        <v>3079097</v>
      </c>
      <c r="K20" s="118">
        <v>123011.64</v>
      </c>
      <c r="L20" s="118">
        <f>VLOOKUP(B20,Input_TaiNguyenNode__GGSN_Daily!D:AB,13,FALSE)</f>
        <v>3195879</v>
      </c>
      <c r="M20" s="118">
        <f>VLOOKUP(B20,Input_TaiNguyenNode__GGSN_Daily!D:AB,4,FALSE)</f>
        <v>122857.77</v>
      </c>
      <c r="N20" s="132">
        <f t="shared" si="0"/>
        <v>0.79896975000000003</v>
      </c>
      <c r="O20" s="132">
        <f t="shared" si="1"/>
        <v>0.6825431666666667</v>
      </c>
      <c r="P20" s="118" t="e">
        <f t="shared" si="10"/>
        <v>#VALUE!</v>
      </c>
      <c r="Q20" s="170" t="e">
        <f t="shared" si="11"/>
        <v>#VALUE!</v>
      </c>
      <c r="R20" s="132" t="e">
        <f t="shared" si="4"/>
        <v>#VALUE!</v>
      </c>
      <c r="S20" s="132" t="e">
        <f t="shared" si="5"/>
        <v>#VALUE!</v>
      </c>
      <c r="T20" s="103">
        <v>200000</v>
      </c>
      <c r="U20" s="960"/>
      <c r="V20" s="960"/>
      <c r="W20" s="960"/>
      <c r="X20" s="1003"/>
      <c r="Y20" s="1005"/>
      <c r="Z20" s="960"/>
      <c r="AA20" s="969"/>
      <c r="AB20" s="969"/>
      <c r="AC20" s="969"/>
      <c r="AD20" s="103" t="str">
        <f>VLOOKUP(B20,idns_weight_PCSCF!A:B,2,FALSE)</f>
        <v>Ericsson</v>
      </c>
      <c r="AE20" s="103" t="e">
        <f t="shared" si="6"/>
        <v>#N/A</v>
      </c>
      <c r="AF20" s="319">
        <f t="shared" si="8"/>
        <v>1</v>
      </c>
      <c r="AG20" s="314">
        <v>100</v>
      </c>
      <c r="AH20" s="320" t="str">
        <f t="shared" ref="AH20" si="17">IF(AD20=AG20,"NO","YES")</f>
        <v>YES</v>
      </c>
      <c r="AI20" s="321" t="str">
        <f>VLOOKUP(B20,Input_Lic_Rate_PS!K:S,9,FALSE)</f>
        <v>TCHL02</v>
      </c>
      <c r="AJ20" s="925" t="e">
        <f>VLOOKUP(X20,QH_CGNAT_PEPS_incl_2024!$B$26:$K$84,10,FALSE)</f>
        <v>#N/A</v>
      </c>
      <c r="AK20" s="171" t="e">
        <f t="shared" si="7"/>
        <v>#VALUE!</v>
      </c>
    </row>
    <row r="21" spans="1:37" s="71" customFormat="1">
      <c r="A21" s="146">
        <v>19</v>
      </c>
      <c r="B21" s="101" t="s">
        <v>337</v>
      </c>
      <c r="C21" s="101" t="s">
        <v>4</v>
      </c>
      <c r="D21" s="102" t="s">
        <v>15</v>
      </c>
      <c r="E21" s="103">
        <f>VLOOKUP(B21,Input_Lic_Rate_PS!K:P,4,FALSE)</f>
        <v>4000000</v>
      </c>
      <c r="F21" s="103">
        <f>VLOOKUP(B21,Input_Lic_Rate_PS!K:R,5,FALSE)</f>
        <v>180000</v>
      </c>
      <c r="G21" s="103">
        <f>VLOOKUP(B21,Input_Lic_Rate_PS!K:R,7,FALSE)</f>
        <v>3538890</v>
      </c>
      <c r="H21" s="118"/>
      <c r="I21" s="118"/>
      <c r="J21" s="118">
        <v>3103122</v>
      </c>
      <c r="K21" s="118">
        <v>123399.43</v>
      </c>
      <c r="L21" s="118">
        <f>VLOOKUP(B21,Input_TaiNguyenNode__GGSN_Daily!D:AB,13,FALSE)</f>
        <v>3189850</v>
      </c>
      <c r="M21" s="118">
        <f>VLOOKUP(B21,Input_TaiNguyenNode__GGSN_Daily!D:AB,4,FALSE)</f>
        <v>121311.25</v>
      </c>
      <c r="N21" s="132">
        <f t="shared" si="0"/>
        <v>0.79746249999999996</v>
      </c>
      <c r="O21" s="132">
        <f t="shared" si="1"/>
        <v>0.67395138888888884</v>
      </c>
      <c r="P21" s="118" t="e">
        <f t="shared" si="10"/>
        <v>#VALUE!</v>
      </c>
      <c r="Q21" s="170" t="e">
        <f t="shared" si="11"/>
        <v>#VALUE!</v>
      </c>
      <c r="R21" s="132" t="e">
        <f t="shared" si="4"/>
        <v>#VALUE!</v>
      </c>
      <c r="S21" s="132" t="e">
        <f t="shared" si="5"/>
        <v>#VALUE!</v>
      </c>
      <c r="T21" s="103">
        <v>200000</v>
      </c>
      <c r="U21" s="961"/>
      <c r="V21" s="961"/>
      <c r="W21" s="961"/>
      <c r="X21" s="992"/>
      <c r="Y21" s="1006"/>
      <c r="Z21" s="961"/>
      <c r="AA21" s="970"/>
      <c r="AB21" s="970"/>
      <c r="AC21" s="970"/>
      <c r="AD21" s="103" t="str">
        <f>VLOOKUP(B21,idns_weight_PCSCF!A:B,2,FALSE)</f>
        <v>Ericsson</v>
      </c>
      <c r="AE21" s="103" t="e">
        <f t="shared" si="6"/>
        <v>#N/A</v>
      </c>
      <c r="AF21" s="319">
        <f t="shared" si="8"/>
        <v>1</v>
      </c>
      <c r="AG21" s="314">
        <v>100</v>
      </c>
      <c r="AH21" s="320" t="str">
        <f t="shared" si="9"/>
        <v>YES</v>
      </c>
      <c r="AI21" s="321" t="str">
        <f>VLOOKUP(B21,Input_Lic_Rate_PS!K:S,9,FALSE)</f>
        <v>TCHL02</v>
      </c>
      <c r="AJ21" s="926" t="e">
        <f>VLOOKUP(X21,QH_CGNAT_PEPS_incl_2024!$B$26:$K$84,10,FALSE)</f>
        <v>#N/A</v>
      </c>
      <c r="AK21" s="171" t="e">
        <f t="shared" si="7"/>
        <v>#VALUE!</v>
      </c>
    </row>
    <row r="22" spans="1:37" s="64" customFormat="1">
      <c r="A22" s="114">
        <v>20</v>
      </c>
      <c r="B22" s="115" t="s">
        <v>75</v>
      </c>
      <c r="C22" s="115" t="s">
        <v>4</v>
      </c>
      <c r="D22" s="116" t="s">
        <v>25</v>
      </c>
      <c r="E22" s="37">
        <f>VLOOKUP(B22,Input_Lic_Rate_PS!K:P,4,FALSE)</f>
        <v>1500000</v>
      </c>
      <c r="F22" s="37">
        <f>VLOOKUP(B22,Input_Lic_Rate_PS!K:R,5,FALSE)</f>
        <v>80000</v>
      </c>
      <c r="G22" s="37">
        <f>VLOOKUP(B22,Input_Lic_Rate_PS!K:R,7,FALSE)</f>
        <v>1690000</v>
      </c>
      <c r="H22" s="163">
        <v>1212168</v>
      </c>
      <c r="I22" s="163">
        <v>70665.740000000005</v>
      </c>
      <c r="J22" s="163">
        <v>1092436</v>
      </c>
      <c r="K22" s="163">
        <v>51276.49</v>
      </c>
      <c r="L22" s="163">
        <f>VLOOKUP(B22,Input_TaiNguyenNode__GGSN_Daily!D:AB,13,FALSE)</f>
        <v>1077283</v>
      </c>
      <c r="M22" s="163">
        <f>VLOOKUP(B22,Input_TaiNguyenNode__GGSN_Daily!D:AB,4,FALSE)</f>
        <v>49123.78</v>
      </c>
      <c r="N22" s="164">
        <f t="shared" si="0"/>
        <v>0.7181886666666667</v>
      </c>
      <c r="O22" s="164">
        <f t="shared" si="1"/>
        <v>0.61404724999999993</v>
      </c>
      <c r="P22" s="163" t="e">
        <f t="shared" ref="P22:P28" si="18">(L22+(AG22/SUM($AG$22:$AG$28)-AD22/SUM($AD$22:$AD$28))*SUM($L$22:$L$28))*AF22</f>
        <v>#VALUE!</v>
      </c>
      <c r="Q22" s="55" t="e">
        <f t="shared" ref="Q22:Q28" si="19">(M22+(AG22/SUM($AG$22:$AG$28)-AD22/SUM($AD$22:$AD$28))*SUM($M$22:$M$28))*AF22</f>
        <v>#VALUE!</v>
      </c>
      <c r="R22" s="164" t="e">
        <f t="shared" si="4"/>
        <v>#VALUE!</v>
      </c>
      <c r="S22" s="164" t="e">
        <f t="shared" si="5"/>
        <v>#VALUE!</v>
      </c>
      <c r="T22" s="37">
        <v>60000</v>
      </c>
      <c r="U22" s="943" t="e">
        <f>SUM(Q22:Q23)</f>
        <v>#VALUE!</v>
      </c>
      <c r="V22" s="943">
        <f>VLOOKUP($B22,Input_TaiNguyenNode__GGSN_Daily!$D:$AC,8,FALSE)+VLOOKUP($B23,Input_TaiNguyenNode__GGSN_Daily!$D:$AC,8,FALSE)</f>
        <v>20201.96</v>
      </c>
      <c r="W22" s="952">
        <f>SUM(T22:T23)</f>
        <v>120000</v>
      </c>
      <c r="X22" s="941" t="s">
        <v>76</v>
      </c>
      <c r="Y22" s="953" t="e">
        <f>U22*$Y$1</f>
        <v>#VALUE!</v>
      </c>
      <c r="Z22" s="954">
        <v>103000</v>
      </c>
      <c r="AA22" s="956" t="e">
        <f t="shared" ref="AA22" si="20">V22/U22</f>
        <v>#VALUE!</v>
      </c>
      <c r="AB22" s="956" t="e">
        <f>Y22/Z22</f>
        <v>#VALUE!</v>
      </c>
      <c r="AC22" s="956" t="e">
        <f>(Y22-V22)/Z22</f>
        <v>#VALUE!</v>
      </c>
      <c r="AD22" s="37" t="str">
        <f>VLOOKUP(B22,idns_weight_PCSCF!A:B,2,FALSE)</f>
        <v>Ericsson</v>
      </c>
      <c r="AE22" s="37" t="e">
        <f t="shared" si="6"/>
        <v>#N/A</v>
      </c>
      <c r="AF22" s="165">
        <f t="shared" si="8"/>
        <v>1</v>
      </c>
      <c r="AG22" s="37">
        <v>50</v>
      </c>
      <c r="AH22" s="37" t="str">
        <f t="shared" si="9"/>
        <v>YES</v>
      </c>
      <c r="AI22" s="304" t="str">
        <f>VLOOKUP(B22,Input_Lic_Rate_PS!K:S,9,FALSE)</f>
        <v>SSR 8020</v>
      </c>
      <c r="AJ22" s="941" t="str">
        <f>VLOOKUP(X22,QH_CGNAT_PEPS_incl_2024!$B$26:$K$84,10,FALSE)</f>
        <v>PEPS01/02</v>
      </c>
      <c r="AK22" s="305" t="e">
        <f t="shared" si="7"/>
        <v>#VALUE!</v>
      </c>
    </row>
    <row r="23" spans="1:37" s="64" customFormat="1">
      <c r="A23" s="114">
        <v>21</v>
      </c>
      <c r="B23" s="115" t="s">
        <v>77</v>
      </c>
      <c r="C23" s="115" t="s">
        <v>4</v>
      </c>
      <c r="D23" s="116" t="s">
        <v>25</v>
      </c>
      <c r="E23" s="37">
        <f>VLOOKUP(B23,Input_Lic_Rate_PS!K:P,4,FALSE)</f>
        <v>1500000</v>
      </c>
      <c r="F23" s="37">
        <f>VLOOKUP(B23,Input_Lic_Rate_PS!K:R,5,FALSE)</f>
        <v>80000</v>
      </c>
      <c r="G23" s="37">
        <f>VLOOKUP(B23,Input_Lic_Rate_PS!K:R,7,FALSE)</f>
        <v>1690000</v>
      </c>
      <c r="H23" s="163">
        <v>1219065</v>
      </c>
      <c r="I23" s="163">
        <v>70959.58</v>
      </c>
      <c r="J23" s="163">
        <v>1094784</v>
      </c>
      <c r="K23" s="163">
        <v>51915.12</v>
      </c>
      <c r="L23" s="163">
        <f>VLOOKUP(B23,Input_TaiNguyenNode__GGSN_Daily!D:AB,13,FALSE)</f>
        <v>1085302</v>
      </c>
      <c r="M23" s="163">
        <f>VLOOKUP(B23,Input_TaiNguyenNode__GGSN_Daily!D:AB,4,FALSE)</f>
        <v>45596.81</v>
      </c>
      <c r="N23" s="164">
        <f t="shared" si="0"/>
        <v>0.72353466666666666</v>
      </c>
      <c r="O23" s="164">
        <f t="shared" si="1"/>
        <v>0.56996012499999993</v>
      </c>
      <c r="P23" s="163" t="e">
        <f t="shared" si="18"/>
        <v>#VALUE!</v>
      </c>
      <c r="Q23" s="55" t="e">
        <f t="shared" si="19"/>
        <v>#VALUE!</v>
      </c>
      <c r="R23" s="164" t="e">
        <f t="shared" si="4"/>
        <v>#VALUE!</v>
      </c>
      <c r="S23" s="164" t="e">
        <f t="shared" si="5"/>
        <v>#VALUE!</v>
      </c>
      <c r="T23" s="37">
        <v>60000</v>
      </c>
      <c r="U23" s="945"/>
      <c r="V23" s="945"/>
      <c r="W23" s="952"/>
      <c r="X23" s="938"/>
      <c r="Y23" s="945"/>
      <c r="Z23" s="948"/>
      <c r="AA23" s="956"/>
      <c r="AB23" s="956"/>
      <c r="AC23" s="956"/>
      <c r="AD23" s="37" t="str">
        <f>VLOOKUP(B23,idns_weight_PCSCF!A:B,2,FALSE)</f>
        <v>Ericsson</v>
      </c>
      <c r="AE23" s="37" t="e">
        <f t="shared" si="6"/>
        <v>#N/A</v>
      </c>
      <c r="AF23" s="165">
        <f t="shared" si="8"/>
        <v>1</v>
      </c>
      <c r="AG23" s="37">
        <v>50</v>
      </c>
      <c r="AH23" s="37" t="str">
        <f t="shared" si="9"/>
        <v>YES</v>
      </c>
      <c r="AI23" s="304" t="str">
        <f>VLOOKUP(B23,Input_Lic_Rate_PS!K:S,9,FALSE)</f>
        <v>SSR 8020</v>
      </c>
      <c r="AJ23" s="938" t="e">
        <f>VLOOKUP(X23,QH_CGNAT_PEPS_incl_2024!$B$26:$K$84,10,FALSE)</f>
        <v>#N/A</v>
      </c>
      <c r="AK23" s="305" t="e">
        <f t="shared" si="7"/>
        <v>#VALUE!</v>
      </c>
    </row>
    <row r="24" spans="1:37" s="157" customFormat="1">
      <c r="A24" s="151">
        <v>22</v>
      </c>
      <c r="B24" s="152" t="s">
        <v>78</v>
      </c>
      <c r="C24" s="152" t="s">
        <v>4</v>
      </c>
      <c r="D24" s="153" t="s">
        <v>25</v>
      </c>
      <c r="E24" s="154">
        <f>VLOOKUP(B24,Input_Lic_Rate_PS!K:P,4,FALSE)</f>
        <v>2000000</v>
      </c>
      <c r="F24" s="154">
        <v>80000</v>
      </c>
      <c r="G24" s="154">
        <f>VLOOKUP(B24,Input_Lic_Rate_PS!K:R,7,FALSE)</f>
        <v>2148216</v>
      </c>
      <c r="H24" s="185">
        <v>1540102</v>
      </c>
      <c r="I24" s="185">
        <v>89885.55</v>
      </c>
      <c r="J24" s="185">
        <v>1455659</v>
      </c>
      <c r="K24" s="185">
        <v>71386.94</v>
      </c>
      <c r="L24" s="185">
        <f>VLOOKUP(B24,Input_TaiNguyenNode__GGSN_Daily!D:AB,13,FALSE)</f>
        <v>1462473</v>
      </c>
      <c r="M24" s="185">
        <f>VLOOKUP(B24,Input_TaiNguyenNode__GGSN_Daily!D:AB,4,FALSE)</f>
        <v>69718.570000000007</v>
      </c>
      <c r="N24" s="155">
        <f t="shared" si="0"/>
        <v>0.73123649999999996</v>
      </c>
      <c r="O24" s="155">
        <f t="shared" si="1"/>
        <v>0.87148212500000011</v>
      </c>
      <c r="P24" s="185" t="e">
        <f t="shared" si="18"/>
        <v>#VALUE!</v>
      </c>
      <c r="Q24" s="156" t="e">
        <f t="shared" si="19"/>
        <v>#VALUE!</v>
      </c>
      <c r="R24" s="155" t="e">
        <f t="shared" si="4"/>
        <v>#VALUE!</v>
      </c>
      <c r="S24" s="155" t="e">
        <f t="shared" si="5"/>
        <v>#VALUE!</v>
      </c>
      <c r="T24" s="154">
        <v>70000</v>
      </c>
      <c r="U24" s="957" t="e">
        <f>SUM(Q24:Q25)</f>
        <v>#VALUE!</v>
      </c>
      <c r="V24" s="957">
        <f>VLOOKUP($B24,Input_TaiNguyenNode__GGSN_Daily!$D:$AC,8,FALSE)+VLOOKUP($B25,Input_TaiNguyenNode__GGSN_Daily!$D:$AC,8,FALSE)</f>
        <v>70317.820000000007</v>
      </c>
      <c r="W24" s="1011">
        <f>SUM(T24:T25)</f>
        <v>160000</v>
      </c>
      <c r="X24" s="929" t="s">
        <v>79</v>
      </c>
      <c r="Y24" s="974" t="e">
        <f>U24*$Y$1</f>
        <v>#VALUE!</v>
      </c>
      <c r="Z24" s="957">
        <v>208000</v>
      </c>
      <c r="AA24" s="955" t="e">
        <f t="shared" ref="AA24" si="21">V24/U24</f>
        <v>#VALUE!</v>
      </c>
      <c r="AB24" s="955" t="e">
        <f>Y24/Z24</f>
        <v>#VALUE!</v>
      </c>
      <c r="AC24" s="955" t="e">
        <f>(Y24-V24)/Z24</f>
        <v>#VALUE!</v>
      </c>
      <c r="AD24" s="154" t="str">
        <f>VLOOKUP(B24,idns_weight_PCSCF!A:B,2,FALSE)</f>
        <v>Ericsson</v>
      </c>
      <c r="AE24" s="154" t="e">
        <f t="shared" si="6"/>
        <v>#N/A</v>
      </c>
      <c r="AF24" s="300">
        <f t="shared" si="8"/>
        <v>1</v>
      </c>
      <c r="AG24" s="154">
        <v>70</v>
      </c>
      <c r="AH24" s="154" t="str">
        <f t="shared" si="9"/>
        <v>YES</v>
      </c>
      <c r="AI24" s="301" t="str">
        <f>VLOOKUP(B24,Input_Lic_Rate_PS!K:S,9,FALSE)</f>
        <v>SSR 8020</v>
      </c>
      <c r="AJ24" s="929" t="str">
        <f>VLOOKUP(X24,QH_CGNAT_PEPS_incl_2024!$B$26:$K$84,10,FALSE)</f>
        <v>PE_DĐ_03/04</v>
      </c>
      <c r="AK24" s="302" t="e">
        <f t="shared" si="7"/>
        <v>#VALUE!</v>
      </c>
    </row>
    <row r="25" spans="1:37" s="157" customFormat="1">
      <c r="A25" s="151">
        <v>23</v>
      </c>
      <c r="B25" s="152" t="s">
        <v>80</v>
      </c>
      <c r="C25" s="152" t="s">
        <v>4</v>
      </c>
      <c r="D25" s="153" t="s">
        <v>25</v>
      </c>
      <c r="E25" s="154">
        <f>VLOOKUP(B25,Input_Lic_Rate_PS!K:P,4,FALSE)</f>
        <v>1800000</v>
      </c>
      <c r="F25" s="154">
        <v>100000</v>
      </c>
      <c r="G25" s="154">
        <f>VLOOKUP(B25,Input_Lic_Rate_PS!K:R,7,FALSE)</f>
        <v>2015000</v>
      </c>
      <c r="H25" s="185">
        <v>1555977</v>
      </c>
      <c r="I25" s="185">
        <v>91582.03</v>
      </c>
      <c r="J25" s="185">
        <v>1355034</v>
      </c>
      <c r="K25" s="185">
        <v>66646.100000000006</v>
      </c>
      <c r="L25" s="185">
        <f>VLOOKUP(B25,Input_TaiNguyenNode__GGSN_Daily!D:AB,13,FALSE)</f>
        <v>1376458</v>
      </c>
      <c r="M25" s="185">
        <f>VLOOKUP(B25,Input_TaiNguyenNode__GGSN_Daily!D:AB,4,FALSE)</f>
        <v>65891.429999999993</v>
      </c>
      <c r="N25" s="155">
        <f t="shared" si="0"/>
        <v>0.76469888888888893</v>
      </c>
      <c r="O25" s="155">
        <f t="shared" si="1"/>
        <v>0.65891429999999995</v>
      </c>
      <c r="P25" s="185" t="e">
        <f t="shared" si="18"/>
        <v>#VALUE!</v>
      </c>
      <c r="Q25" s="156" t="e">
        <f t="shared" si="19"/>
        <v>#VALUE!</v>
      </c>
      <c r="R25" s="155" t="e">
        <f t="shared" si="4"/>
        <v>#VALUE!</v>
      </c>
      <c r="S25" s="155" t="e">
        <f t="shared" si="5"/>
        <v>#VALUE!</v>
      </c>
      <c r="T25" s="154">
        <v>90000</v>
      </c>
      <c r="U25" s="958"/>
      <c r="V25" s="958"/>
      <c r="W25" s="1011"/>
      <c r="X25" s="931"/>
      <c r="Y25" s="973"/>
      <c r="Z25" s="958"/>
      <c r="AA25" s="955"/>
      <c r="AB25" s="955"/>
      <c r="AC25" s="955"/>
      <c r="AD25" s="154" t="str">
        <f>VLOOKUP(B25,idns_weight_PCSCF!A:B,2,FALSE)</f>
        <v>Ericsson</v>
      </c>
      <c r="AE25" s="154" t="e">
        <f t="shared" si="6"/>
        <v>#N/A</v>
      </c>
      <c r="AF25" s="300">
        <f t="shared" si="8"/>
        <v>1</v>
      </c>
      <c r="AG25" s="154">
        <v>65</v>
      </c>
      <c r="AH25" s="154" t="str">
        <f t="shared" si="9"/>
        <v>YES</v>
      </c>
      <c r="AI25" s="301" t="str">
        <f>VLOOKUP(B25,Input_Lic_Rate_PS!K:S,9,FALSE)</f>
        <v>SSR 8020</v>
      </c>
      <c r="AJ25" s="931" t="e">
        <f>VLOOKUP(X25,QH_CGNAT_PEPS_incl_2024!$B$26:$K$84,10,FALSE)</f>
        <v>#N/A</v>
      </c>
      <c r="AK25" s="302" t="e">
        <f t="shared" si="7"/>
        <v>#VALUE!</v>
      </c>
    </row>
    <row r="26" spans="1:37" s="64" customFormat="1">
      <c r="A26" s="110">
        <v>24</v>
      </c>
      <c r="B26" s="115" t="s">
        <v>81</v>
      </c>
      <c r="C26" s="111" t="s">
        <v>4</v>
      </c>
      <c r="D26" s="116" t="s">
        <v>25</v>
      </c>
      <c r="E26" s="37">
        <f>VLOOKUP(B26,Input_Lic_Rate_PS!K:P,4,FALSE)</f>
        <v>4000000</v>
      </c>
      <c r="F26" s="36">
        <f>VLOOKUP(B26,Input_Lic_Rate_PS!K:R,5,FALSE)</f>
        <v>180000</v>
      </c>
      <c r="G26" s="36">
        <f>VLOOKUP(B26,Input_Lic_Rate_PS!K:R,7,FALSE)</f>
        <v>4063232</v>
      </c>
      <c r="H26" s="163">
        <v>1417571.9985027993</v>
      </c>
      <c r="I26" s="163">
        <v>92384.25</v>
      </c>
      <c r="J26" s="163">
        <v>2348007</v>
      </c>
      <c r="K26" s="163">
        <v>115041.35</v>
      </c>
      <c r="L26" s="163">
        <f>VLOOKUP(B26,Input_TaiNguyenNode__GGSN_Daily!D:AB,13,FALSE)</f>
        <v>2372152</v>
      </c>
      <c r="M26" s="163">
        <f>VLOOKUP(B26,Input_TaiNguyenNode__GGSN_Daily!D:AB,4,FALSE)</f>
        <v>112474.37</v>
      </c>
      <c r="N26" s="164">
        <f t="shared" si="0"/>
        <v>0.59303799999999995</v>
      </c>
      <c r="O26" s="164">
        <f t="shared" si="1"/>
        <v>0.62485761111111104</v>
      </c>
      <c r="P26" s="77" t="e">
        <f t="shared" si="18"/>
        <v>#VALUE!</v>
      </c>
      <c r="Q26" s="117" t="e">
        <f t="shared" si="19"/>
        <v>#VALUE!</v>
      </c>
      <c r="R26" s="164" t="e">
        <f t="shared" si="4"/>
        <v>#VALUE!</v>
      </c>
      <c r="S26" s="164" t="e">
        <f t="shared" si="5"/>
        <v>#VALUE!</v>
      </c>
      <c r="T26" s="37">
        <v>200000</v>
      </c>
      <c r="U26" s="989" t="e">
        <f>SUM(Q26:Q27)</f>
        <v>#VALUE!</v>
      </c>
      <c r="V26" s="989">
        <f>VLOOKUP($B26,Input_TaiNguyenNode__GGSN_Daily!$D:$AC,8,FALSE)+VLOOKUP($B27,Input_TaiNguyenNode__GGSN_Daily!$D:$AC,8,FALSE)</f>
        <v>115808.15</v>
      </c>
      <c r="W26" s="988">
        <f>SUM(T26:T27)</f>
        <v>400000</v>
      </c>
      <c r="X26" s="924" t="s">
        <v>459</v>
      </c>
      <c r="Y26" s="985" t="e">
        <f>U26*$Y$1</f>
        <v>#VALUE!</v>
      </c>
      <c r="Z26" s="989">
        <v>260000</v>
      </c>
      <c r="AA26" s="942" t="e">
        <f t="shared" ref="AA26" si="22">V26/U26</f>
        <v>#VALUE!</v>
      </c>
      <c r="AB26" s="942" t="e">
        <f>Y26/Z26</f>
        <v>#VALUE!</v>
      </c>
      <c r="AC26" s="942" t="e">
        <f>(Y26-V26)/Z26</f>
        <v>#VALUE!</v>
      </c>
      <c r="AD26" s="166" t="str">
        <f>VLOOKUP(B26,idns_weight_PCSCF!A:B,2,FALSE)</f>
        <v>Ericsson</v>
      </c>
      <c r="AE26" s="16" t="e">
        <f t="shared" si="6"/>
        <v>#N/A</v>
      </c>
      <c r="AF26" s="165">
        <f t="shared" si="8"/>
        <v>1</v>
      </c>
      <c r="AG26" s="166">
        <v>115</v>
      </c>
      <c r="AH26" s="37" t="str">
        <f t="shared" si="9"/>
        <v>YES</v>
      </c>
      <c r="AI26" s="239" t="str">
        <f>VLOOKUP(B26,Input_Lic_Rate_PS!K:S,9,FALSE)</f>
        <v>TCHK01</v>
      </c>
      <c r="AJ26" s="928" t="str">
        <f>VLOOKUP(X26,QH_CGNAT_PEPS_incl_2024!$B$26:$K$84,10,FALSE)</f>
        <v>PEPS03/04</v>
      </c>
      <c r="AK26" s="180" t="e">
        <f t="shared" si="7"/>
        <v>#VALUE!</v>
      </c>
    </row>
    <row r="27" spans="1:37" s="64" customFormat="1">
      <c r="A27" s="110">
        <v>25</v>
      </c>
      <c r="B27" s="115" t="s">
        <v>83</v>
      </c>
      <c r="C27" s="111" t="s">
        <v>4</v>
      </c>
      <c r="D27" s="116" t="s">
        <v>25</v>
      </c>
      <c r="E27" s="37">
        <f>VLOOKUP(B27,Input_Lic_Rate_PS!K:P,4,FALSE)</f>
        <v>4000000</v>
      </c>
      <c r="F27" s="36">
        <f>VLOOKUP(B27,Input_Lic_Rate_PS!K:R,5,FALSE)</f>
        <v>180000</v>
      </c>
      <c r="G27" s="36">
        <f>VLOOKUP(B27,Input_Lic_Rate_PS!K:R,7,FALSE)</f>
        <v>4063232</v>
      </c>
      <c r="H27" s="163">
        <v>1940355.6672849234</v>
      </c>
      <c r="I27" s="163">
        <v>124661.54</v>
      </c>
      <c r="J27" s="163">
        <v>2332031</v>
      </c>
      <c r="K27" s="163">
        <v>112938.26</v>
      </c>
      <c r="L27" s="163">
        <f>VLOOKUP(B27,Input_TaiNguyenNode__GGSN_Daily!D:AB,13,FALSE)</f>
        <v>2382211</v>
      </c>
      <c r="M27" s="163">
        <f>VLOOKUP(B27,Input_TaiNguyenNode__GGSN_Daily!D:AB,4,FALSE)</f>
        <v>112075.64</v>
      </c>
      <c r="N27" s="164">
        <f t="shared" si="0"/>
        <v>0.59555274999999996</v>
      </c>
      <c r="O27" s="164">
        <f t="shared" si="1"/>
        <v>0.62264244444444439</v>
      </c>
      <c r="P27" s="77" t="e">
        <f t="shared" si="18"/>
        <v>#VALUE!</v>
      </c>
      <c r="Q27" s="117" t="e">
        <f t="shared" si="19"/>
        <v>#VALUE!</v>
      </c>
      <c r="R27" s="164" t="e">
        <f t="shared" si="4"/>
        <v>#VALUE!</v>
      </c>
      <c r="S27" s="164" t="e">
        <f t="shared" si="5"/>
        <v>#VALUE!</v>
      </c>
      <c r="T27" s="37">
        <v>200000</v>
      </c>
      <c r="U27" s="990"/>
      <c r="V27" s="990"/>
      <c r="W27" s="988"/>
      <c r="X27" s="992"/>
      <c r="Y27" s="986"/>
      <c r="Z27" s="990"/>
      <c r="AA27" s="942"/>
      <c r="AB27" s="942"/>
      <c r="AC27" s="942"/>
      <c r="AD27" s="166" t="str">
        <f>VLOOKUP(B27,idns_weight_PCSCF!A:B,2,FALSE)</f>
        <v>Ericsson</v>
      </c>
      <c r="AE27" s="16" t="e">
        <f t="shared" si="6"/>
        <v>#N/A</v>
      </c>
      <c r="AF27" s="165">
        <f t="shared" si="8"/>
        <v>1</v>
      </c>
      <c r="AG27" s="166">
        <v>115</v>
      </c>
      <c r="AH27" s="37" t="str">
        <f t="shared" si="9"/>
        <v>YES</v>
      </c>
      <c r="AI27" s="239" t="str">
        <f>VLOOKUP(B27,Input_Lic_Rate_PS!K:S,9,FALSE)</f>
        <v>TCHK01</v>
      </c>
      <c r="AJ27" s="926" t="e">
        <f>VLOOKUP(X27,QH_CGNAT_PEPS_incl_2024!$B$26:$K$84,10,FALSE)</f>
        <v>#N/A</v>
      </c>
      <c r="AK27" s="180" t="e">
        <f t="shared" si="7"/>
        <v>#VALUE!</v>
      </c>
    </row>
    <row r="28" spans="1:37" s="64" customFormat="1" ht="30">
      <c r="A28" s="110">
        <v>26</v>
      </c>
      <c r="B28" s="115" t="s">
        <v>276</v>
      </c>
      <c r="C28" s="111" t="s">
        <v>4</v>
      </c>
      <c r="D28" s="116" t="s">
        <v>25</v>
      </c>
      <c r="E28" s="37">
        <f>VLOOKUP(B28,Input_Lic_Rate_PS!K:P,4,FALSE)</f>
        <v>4000000</v>
      </c>
      <c r="F28" s="36">
        <f>VLOOKUP(B28,Input_Lic_Rate_PS!K:R,5,FALSE)</f>
        <v>180000</v>
      </c>
      <c r="G28" s="36">
        <f>VLOOKUP(B28,Input_Lic_Rate_PS!K:R,7,FALSE)</f>
        <v>4061000</v>
      </c>
      <c r="H28" s="163">
        <v>1454594.8430100041</v>
      </c>
      <c r="I28" s="163">
        <v>92580.27</v>
      </c>
      <c r="J28" s="163">
        <v>2348029</v>
      </c>
      <c r="K28" s="163">
        <v>113836.46</v>
      </c>
      <c r="L28" s="163">
        <f>VLOOKUP(B28,Input_TaiNguyenNode__GGSN_Daily!D:AB,13,FALSE)</f>
        <v>2369770</v>
      </c>
      <c r="M28" s="163">
        <f>VLOOKUP(B28,Input_TaiNguyenNode__GGSN_Daily!D:AB,4,FALSE)</f>
        <v>111270.06</v>
      </c>
      <c r="N28" s="164">
        <f t="shared" si="0"/>
        <v>0.59244249999999998</v>
      </c>
      <c r="O28" s="164">
        <f t="shared" si="1"/>
        <v>0.61816700000000002</v>
      </c>
      <c r="P28" s="77" t="e">
        <f t="shared" si="18"/>
        <v>#VALUE!</v>
      </c>
      <c r="Q28" s="117" t="e">
        <f t="shared" si="19"/>
        <v>#VALUE!</v>
      </c>
      <c r="R28" s="164" t="e">
        <f t="shared" si="4"/>
        <v>#VALUE!</v>
      </c>
      <c r="S28" s="164" t="e">
        <f t="shared" si="5"/>
        <v>#VALUE!</v>
      </c>
      <c r="T28" s="37">
        <v>200000</v>
      </c>
      <c r="U28" s="225" t="e">
        <f>SUM(Q28:Q28)</f>
        <v>#VALUE!</v>
      </c>
      <c r="V28" s="225">
        <f>VLOOKUP($B28,Input_TaiNguyenNode__GGSN_Daily!$D:$AC,8,FALSE)</f>
        <v>56847.99</v>
      </c>
      <c r="W28" s="225">
        <f>SUM(T28:T31)</f>
        <v>380000</v>
      </c>
      <c r="X28" s="233" t="s">
        <v>466</v>
      </c>
      <c r="Y28" s="226" t="e">
        <f>U28*$Y$1</f>
        <v>#VALUE!</v>
      </c>
      <c r="Z28" s="225">
        <v>300000</v>
      </c>
      <c r="AA28" s="227" t="e">
        <f>V28/U28</f>
        <v>#VALUE!</v>
      </c>
      <c r="AB28" s="228" t="e">
        <f t="shared" ref="AB28" si="23">Y28/Z28</f>
        <v>#VALUE!</v>
      </c>
      <c r="AC28" s="228" t="e">
        <f t="shared" ref="AC28" si="24">(Y28-V28)/Z28</f>
        <v>#VALUE!</v>
      </c>
      <c r="AD28" s="166" t="str">
        <f>VLOOKUP(B28,idns_weight_PCSCF!A:B,2,FALSE)</f>
        <v>Ericsson</v>
      </c>
      <c r="AE28" s="16" t="e">
        <f t="shared" si="6"/>
        <v>#N/A</v>
      </c>
      <c r="AF28" s="165">
        <f t="shared" si="8"/>
        <v>1</v>
      </c>
      <c r="AG28" s="166">
        <v>115</v>
      </c>
      <c r="AH28" s="37" t="str">
        <f t="shared" si="9"/>
        <v>YES</v>
      </c>
      <c r="AI28" s="239" t="str">
        <f>VLOOKUP(B28,Input_Lic_Rate_PS!K:S,9,FALSE)</f>
        <v>TCHK01</v>
      </c>
      <c r="AJ28" s="234" t="str">
        <f>VLOOKUP(X28,QH_CGNAT_PEPS_incl_2024!$B$26:$K$84,10,FALSE)</f>
        <v>PEPS03/04</v>
      </c>
      <c r="AK28" s="180" t="e">
        <f t="shared" si="7"/>
        <v>#VALUE!</v>
      </c>
    </row>
    <row r="29" spans="1:37" s="224" customFormat="1">
      <c r="A29" s="110">
        <v>27</v>
      </c>
      <c r="B29" s="129" t="s">
        <v>359</v>
      </c>
      <c r="C29" s="129" t="s">
        <v>249</v>
      </c>
      <c r="D29" s="130" t="s">
        <v>25</v>
      </c>
      <c r="E29" s="131">
        <f>VLOOKUP(B29,Input_Lic_Rate_PS!K:P,4,FALSE)</f>
        <v>3500000</v>
      </c>
      <c r="F29" s="131">
        <f>VLOOKUP(B29,Input_Lic_Rate_PS!K:R,5,FALSE)</f>
        <v>150000</v>
      </c>
      <c r="G29" s="131">
        <f>VLOOKUP(B29,Input_Lic_Rate_PS!K:R,7,FALSE)</f>
        <v>3500000</v>
      </c>
      <c r="H29" s="219">
        <v>1417571.9985027993</v>
      </c>
      <c r="I29" s="219">
        <v>92384.25</v>
      </c>
      <c r="J29" s="219">
        <v>892162</v>
      </c>
      <c r="K29" s="219">
        <v>56286.720000000001</v>
      </c>
      <c r="L29" s="219">
        <f>_xlfn.IFNA(VLOOKUP(B29,Input_TaiNguyenNode__GGSN_Daily!D:AB,13,FALSE),0)</f>
        <v>889891</v>
      </c>
      <c r="M29" s="219">
        <f>_xlfn.IFNA(VLOOKUP(B29,Input_TaiNguyenNode__GGSN_Daily!D:AB,4,FALSE),0)</f>
        <v>55125.56</v>
      </c>
      <c r="N29" s="220">
        <f t="shared" si="0"/>
        <v>0.25425457142857144</v>
      </c>
      <c r="O29" s="220">
        <f t="shared" si="1"/>
        <v>0.3675037333333333</v>
      </c>
      <c r="P29" s="219">
        <f>L29</f>
        <v>889891</v>
      </c>
      <c r="Q29" s="194">
        <f>M29</f>
        <v>55125.56</v>
      </c>
      <c r="R29" s="220">
        <f t="shared" si="4"/>
        <v>0.25425457142857144</v>
      </c>
      <c r="S29" s="220">
        <f t="shared" si="5"/>
        <v>0.3675037333333333</v>
      </c>
      <c r="T29" s="131">
        <v>60000</v>
      </c>
      <c r="U29" s="933">
        <f>SUM(Q29:Q31)</f>
        <v>72989.64</v>
      </c>
      <c r="V29" s="933">
        <f>0.3*SUM(M29:M31)</f>
        <v>21896.892</v>
      </c>
      <c r="W29" s="933">
        <f>SUM(T29:T31)</f>
        <v>180000</v>
      </c>
      <c r="X29" s="924" t="s">
        <v>467</v>
      </c>
      <c r="Y29" s="962">
        <f>U29*$Y$1</f>
        <v>59851.504799999995</v>
      </c>
      <c r="Z29" s="933">
        <v>300000</v>
      </c>
      <c r="AA29" s="965">
        <f>V29/U29</f>
        <v>0.3</v>
      </c>
      <c r="AB29" s="965">
        <f>Y29/Z29</f>
        <v>0.19950501599999998</v>
      </c>
      <c r="AC29" s="965">
        <f>(Y29-V29)/Z29</f>
        <v>0.12651537599999998</v>
      </c>
      <c r="AD29" s="221" t="str">
        <f>VLOOKUP(B29,idns_weight_PCSCF!A:B,2,FALSE)</f>
        <v>Viettel</v>
      </c>
      <c r="AE29" s="16" t="e">
        <f t="shared" si="6"/>
        <v>#N/A</v>
      </c>
      <c r="AF29" s="222">
        <f t="shared" ref="AF29:AF31" si="25">IF(AG29=0,0,1)</f>
        <v>1</v>
      </c>
      <c r="AG29" s="221">
        <v>10</v>
      </c>
      <c r="AH29" s="131" t="str">
        <f t="shared" ref="AH29:AH31" si="26">IF(AD29=AG29,"NO","YES")</f>
        <v>YES</v>
      </c>
      <c r="AI29" s="239" t="str">
        <f>VLOOKUP(B29,Input_Lic_Rate_PS!K:S,9,FALSE)</f>
        <v>TCHK02</v>
      </c>
      <c r="AJ29" s="924" t="str">
        <f>VLOOKUP(X29,QH_CGNAT_PEPS_incl_2024!$B$26:$K$84,10,FALSE)</f>
        <v>PEPS03/04</v>
      </c>
      <c r="AK29" s="223">
        <f t="shared" si="7"/>
        <v>0</v>
      </c>
    </row>
    <row r="30" spans="1:37" s="224" customFormat="1">
      <c r="A30" s="110">
        <v>28</v>
      </c>
      <c r="B30" s="129" t="s">
        <v>360</v>
      </c>
      <c r="C30" s="129" t="s">
        <v>249</v>
      </c>
      <c r="D30" s="130" t="s">
        <v>25</v>
      </c>
      <c r="E30" s="131">
        <f>VLOOKUP(B30,Input_Lic_Rate_PS!K:P,4,FALSE)</f>
        <v>3500000</v>
      </c>
      <c r="F30" s="131">
        <f>VLOOKUP(B30,Input_Lic_Rate_PS!K:R,5,FALSE)</f>
        <v>150000</v>
      </c>
      <c r="G30" s="131">
        <f>VLOOKUP(B30,Input_Lic_Rate_PS!K:R,7,FALSE)</f>
        <v>3500000</v>
      </c>
      <c r="H30" s="219">
        <v>1940355.6672849234</v>
      </c>
      <c r="I30" s="219">
        <v>124661.54</v>
      </c>
      <c r="J30" s="219">
        <v>892162</v>
      </c>
      <c r="K30" s="219">
        <v>56286.720000000001</v>
      </c>
      <c r="L30" s="219">
        <f>_xlfn.IFNA(VLOOKUP(B30,Input_TaiNguyenNode__GGSN_Daily!D:AB,13,FALSE),0)</f>
        <v>0</v>
      </c>
      <c r="M30" s="219">
        <f>_xlfn.IFNA(VLOOKUP(B30,Input_TaiNguyenNode__GGSN_Daily!D:AB,4,FALSE),0)</f>
        <v>0</v>
      </c>
      <c r="N30" s="220">
        <f t="shared" si="0"/>
        <v>0</v>
      </c>
      <c r="O30" s="220">
        <f t="shared" si="1"/>
        <v>0</v>
      </c>
      <c r="P30" s="219">
        <f t="shared" ref="P30:P31" si="27">L30</f>
        <v>0</v>
      </c>
      <c r="Q30" s="194">
        <f t="shared" ref="Q30:Q31" si="28">M30</f>
        <v>0</v>
      </c>
      <c r="R30" s="220">
        <f t="shared" si="4"/>
        <v>0</v>
      </c>
      <c r="S30" s="220">
        <f t="shared" si="5"/>
        <v>0</v>
      </c>
      <c r="T30" s="131">
        <v>60000</v>
      </c>
      <c r="U30" s="934"/>
      <c r="V30" s="934">
        <f>0.2*SUM(M30:M30)</f>
        <v>0</v>
      </c>
      <c r="W30" s="934"/>
      <c r="X30" s="925"/>
      <c r="Y30" s="963"/>
      <c r="Z30" s="934"/>
      <c r="AA30" s="966"/>
      <c r="AB30" s="966"/>
      <c r="AC30" s="966"/>
      <c r="AD30" s="221" t="str">
        <f>VLOOKUP(B30,idns_weight_PCSCF!A:B,2,FALSE)</f>
        <v>Viettel</v>
      </c>
      <c r="AE30" s="16" t="e">
        <f t="shared" si="6"/>
        <v>#N/A</v>
      </c>
      <c r="AF30" s="222">
        <f t="shared" si="25"/>
        <v>1</v>
      </c>
      <c r="AG30" s="221">
        <v>10</v>
      </c>
      <c r="AH30" s="131" t="str">
        <f t="shared" si="26"/>
        <v>YES</v>
      </c>
      <c r="AI30" s="239" t="str">
        <f>VLOOKUP(B30,Input_Lic_Rate_PS!K:S,9,FALSE)</f>
        <v>TCHK02</v>
      </c>
      <c r="AJ30" s="925" t="e">
        <f>VLOOKUP(X30,QH_CGNAT_PEPS_incl_2024!$B$26:$K$84,10,FALSE)</f>
        <v>#N/A</v>
      </c>
      <c r="AK30" s="223">
        <f t="shared" si="7"/>
        <v>0</v>
      </c>
    </row>
    <row r="31" spans="1:37" s="224" customFormat="1">
      <c r="A31" s="110">
        <v>29</v>
      </c>
      <c r="B31" s="129" t="s">
        <v>361</v>
      </c>
      <c r="C31" s="129" t="s">
        <v>249</v>
      </c>
      <c r="D31" s="130" t="s">
        <v>25</v>
      </c>
      <c r="E31" s="131">
        <f>VLOOKUP(B31,Input_Lic_Rate_PS!K:P,4,FALSE)</f>
        <v>3500000</v>
      </c>
      <c r="F31" s="131">
        <f>VLOOKUP(B31,Input_Lic_Rate_PS!K:R,5,FALSE)</f>
        <v>150000</v>
      </c>
      <c r="G31" s="131">
        <f>VLOOKUP(B31,Input_Lic_Rate_PS!K:R,7,FALSE)</f>
        <v>3500000</v>
      </c>
      <c r="H31" s="219">
        <v>1454594.8430100041</v>
      </c>
      <c r="I31" s="219">
        <v>92580.27</v>
      </c>
      <c r="J31" s="219">
        <v>224356</v>
      </c>
      <c r="K31" s="219">
        <v>13566.3</v>
      </c>
      <c r="L31" s="219">
        <f>_xlfn.IFNA(VLOOKUP(B31,Input_TaiNguyenNode__GGSN_Daily!D:AB,13,FALSE),0)</f>
        <v>149475</v>
      </c>
      <c r="M31" s="219">
        <f>_xlfn.IFNA(VLOOKUP(B31,Input_TaiNguyenNode__GGSN_Daily!D:AB,4,FALSE),0)</f>
        <v>17864.080000000002</v>
      </c>
      <c r="N31" s="220">
        <f t="shared" si="0"/>
        <v>4.270714285714286E-2</v>
      </c>
      <c r="O31" s="220">
        <f t="shared" si="1"/>
        <v>0.11909386666666667</v>
      </c>
      <c r="P31" s="219">
        <f t="shared" si="27"/>
        <v>149475</v>
      </c>
      <c r="Q31" s="194">
        <f t="shared" si="28"/>
        <v>17864.080000000002</v>
      </c>
      <c r="R31" s="220">
        <f t="shared" si="4"/>
        <v>4.270714285714286E-2</v>
      </c>
      <c r="S31" s="220">
        <f t="shared" si="5"/>
        <v>0.11909386666666667</v>
      </c>
      <c r="T31" s="131">
        <v>60000</v>
      </c>
      <c r="U31" s="935"/>
      <c r="V31" s="935">
        <f>0.2*SUM(M31:M31)</f>
        <v>3572.8160000000007</v>
      </c>
      <c r="W31" s="935"/>
      <c r="X31" s="926"/>
      <c r="Y31" s="964"/>
      <c r="Z31" s="935"/>
      <c r="AA31" s="967"/>
      <c r="AB31" s="967"/>
      <c r="AC31" s="967"/>
      <c r="AD31" s="221" t="str">
        <f>VLOOKUP(B31,idns_weight_PCSCF!A:B,2,FALSE)</f>
        <v>Viettel</v>
      </c>
      <c r="AE31" s="16" t="e">
        <f t="shared" si="6"/>
        <v>#N/A</v>
      </c>
      <c r="AF31" s="222">
        <f t="shared" si="25"/>
        <v>1</v>
      </c>
      <c r="AG31" s="221">
        <v>10</v>
      </c>
      <c r="AH31" s="131" t="str">
        <f t="shared" si="26"/>
        <v>YES</v>
      </c>
      <c r="AI31" s="239" t="str">
        <f>VLOOKUP(B31,Input_Lic_Rate_PS!K:S,9,FALSE)</f>
        <v>TCHK02</v>
      </c>
      <c r="AJ31" s="926" t="e">
        <f>VLOOKUP(X31,QH_CGNAT_PEPS_incl_2024!$B$26:$K$84,10,FALSE)</f>
        <v>#N/A</v>
      </c>
      <c r="AK31" s="223">
        <f t="shared" si="7"/>
        <v>0</v>
      </c>
    </row>
    <row r="32" spans="1:37" s="199" customFormat="1">
      <c r="A32" s="110">
        <v>30</v>
      </c>
      <c r="B32" s="111" t="s">
        <v>84</v>
      </c>
      <c r="C32" s="111" t="s">
        <v>4</v>
      </c>
      <c r="D32" s="112" t="s">
        <v>30</v>
      </c>
      <c r="E32" s="16">
        <f>VLOOKUP(B32,Input_Lic_Rate_PS!K:P,4,FALSE)</f>
        <v>1500000</v>
      </c>
      <c r="F32" s="16">
        <f>VLOOKUP(B32,Input_Lic_Rate_PS!K:R,5,FALSE)</f>
        <v>80000</v>
      </c>
      <c r="G32" s="16">
        <f>VLOOKUP(B32,Input_Lic_Rate_PS!K:R,7,FALSE)</f>
        <v>1690000</v>
      </c>
      <c r="H32" s="77">
        <v>1093866</v>
      </c>
      <c r="I32" s="77">
        <v>50185.3</v>
      </c>
      <c r="J32" s="77">
        <v>1172578</v>
      </c>
      <c r="K32" s="77">
        <v>47722.16</v>
      </c>
      <c r="L32" s="77">
        <f>VLOOKUP(B32,Input_TaiNguyenNode__GGSN_Daily!D:AB,13,FALSE)</f>
        <v>1192404</v>
      </c>
      <c r="M32" s="77">
        <f>VLOOKUP(B32,Input_TaiNguyenNode__GGSN_Daily!D:AB,4,FALSE)</f>
        <v>47490.99</v>
      </c>
      <c r="N32" s="195">
        <f t="shared" si="0"/>
        <v>0.79493599999999998</v>
      </c>
      <c r="O32" s="195">
        <f t="shared" si="1"/>
        <v>0.59363737500000002</v>
      </c>
      <c r="P32" s="77" t="e">
        <f t="shared" ref="P32:P39" si="29">(L32+(AG32/SUM($AG$32:$AG$39)-AD32/SUM($AD$32:$AD$39))*SUM($L$32:$L$39))*AF32</f>
        <v>#VALUE!</v>
      </c>
      <c r="Q32" s="117" t="e">
        <f t="shared" ref="Q32:Q39" si="30">(M32+(AG32/SUM($AG$32:$AG$39)-AD32/SUM($AD$32:$AD$39))*SUM($M$32:$M$39))*AF32</f>
        <v>#VALUE!</v>
      </c>
      <c r="R32" s="195" t="e">
        <f t="shared" si="4"/>
        <v>#VALUE!</v>
      </c>
      <c r="S32" s="195" t="e">
        <f t="shared" si="5"/>
        <v>#VALUE!</v>
      </c>
      <c r="T32" s="16">
        <v>60000</v>
      </c>
      <c r="U32" s="989" t="e">
        <f>SUM(Q32:Q33)</f>
        <v>#VALUE!</v>
      </c>
      <c r="V32" s="989">
        <f>VLOOKUP($B32,Input_TaiNguyenNode__GGSN_Daily!$D:$AC,8,FALSE)+VLOOKUP($B33,Input_TaiNguyenNode__GGSN_Daily!$D:$AC,8,FALSE)</f>
        <v>54093.17</v>
      </c>
      <c r="W32" s="988">
        <f>SUM(T32:T33)</f>
        <v>120000</v>
      </c>
      <c r="X32" s="927" t="s">
        <v>85</v>
      </c>
      <c r="Y32" s="985" t="e">
        <f>U32*$Y$1</f>
        <v>#VALUE!</v>
      </c>
      <c r="Z32" s="987">
        <v>103000</v>
      </c>
      <c r="AA32" s="942" t="e">
        <f>V32/U32</f>
        <v>#VALUE!</v>
      </c>
      <c r="AB32" s="942" t="e">
        <f>Y32/Z32</f>
        <v>#VALUE!</v>
      </c>
      <c r="AC32" s="942" t="e">
        <f>(Y32-V32)/Z32</f>
        <v>#VALUE!</v>
      </c>
      <c r="AD32" s="17" t="str">
        <f>VLOOKUP(B32,idns_weight_PCSCF!A:B,2,FALSE)</f>
        <v>Ericsson</v>
      </c>
      <c r="AE32" s="16" t="e">
        <f t="shared" si="6"/>
        <v>#N/A</v>
      </c>
      <c r="AF32" s="165">
        <f t="shared" si="8"/>
        <v>1</v>
      </c>
      <c r="AG32" s="17">
        <v>60</v>
      </c>
      <c r="AH32" s="16" t="str">
        <f t="shared" si="9"/>
        <v>YES</v>
      </c>
      <c r="AI32" s="239" t="str">
        <f>VLOOKUP(B32,Input_Lic_Rate_PS!K:S,9,FALSE)</f>
        <v>SSR 8020</v>
      </c>
      <c r="AJ32" s="927" t="str">
        <f>VLOOKUP(X32,QH_CGNAT_PEPS_incl_2024!$B$26:$K$84,10,FALSE)</f>
        <v>PEPS01/02</v>
      </c>
      <c r="AK32" s="198" t="e">
        <f t="shared" si="7"/>
        <v>#VALUE!</v>
      </c>
    </row>
    <row r="33" spans="1:37" s="199" customFormat="1">
      <c r="A33" s="110">
        <v>31</v>
      </c>
      <c r="B33" s="111" t="s">
        <v>86</v>
      </c>
      <c r="C33" s="111" t="s">
        <v>4</v>
      </c>
      <c r="D33" s="112" t="s">
        <v>30</v>
      </c>
      <c r="E33" s="16">
        <f>VLOOKUP(B33,Input_Lic_Rate_PS!K:P,4,FALSE)</f>
        <v>1500000</v>
      </c>
      <c r="F33" s="16">
        <f>VLOOKUP(B33,Input_Lic_Rate_PS!K:R,5,FALSE)</f>
        <v>80000</v>
      </c>
      <c r="G33" s="16">
        <f>VLOOKUP(B33,Input_Lic_Rate_PS!K:R,7,FALSE)</f>
        <v>0</v>
      </c>
      <c r="H33" s="77">
        <v>1093866</v>
      </c>
      <c r="I33" s="77">
        <v>50185.3</v>
      </c>
      <c r="J33" s="77">
        <v>1141752</v>
      </c>
      <c r="K33" s="77">
        <v>54546.14</v>
      </c>
      <c r="L33" s="77">
        <f>VLOOKUP(B33,Input_TaiNguyenNode__GGSN_Daily!D:AB,13,FALSE)</f>
        <v>1193615</v>
      </c>
      <c r="M33" s="77">
        <f>VLOOKUP(B33,Input_TaiNguyenNode__GGSN_Daily!D:AB,4,FALSE)</f>
        <v>57317.29</v>
      </c>
      <c r="N33" s="195">
        <f t="shared" si="0"/>
        <v>0.79574333333333336</v>
      </c>
      <c r="O33" s="195">
        <f t="shared" si="1"/>
        <v>0.71646612500000006</v>
      </c>
      <c r="P33" s="77" t="e">
        <f t="shared" si="29"/>
        <v>#VALUE!</v>
      </c>
      <c r="Q33" s="117" t="e">
        <f t="shared" si="30"/>
        <v>#VALUE!</v>
      </c>
      <c r="R33" s="195" t="e">
        <f t="shared" si="4"/>
        <v>#VALUE!</v>
      </c>
      <c r="S33" s="195" t="e">
        <f t="shared" si="5"/>
        <v>#VALUE!</v>
      </c>
      <c r="T33" s="16">
        <v>60000</v>
      </c>
      <c r="U33" s="990"/>
      <c r="V33" s="990"/>
      <c r="W33" s="988"/>
      <c r="X33" s="927"/>
      <c r="Y33" s="986"/>
      <c r="Z33" s="986"/>
      <c r="AA33" s="942"/>
      <c r="AB33" s="942"/>
      <c r="AC33" s="942"/>
      <c r="AD33" s="17" t="str">
        <f>VLOOKUP(B33,idns_weight_PCSCF!A:B,2,FALSE)</f>
        <v>Ericsson</v>
      </c>
      <c r="AE33" s="16" t="e">
        <f t="shared" si="6"/>
        <v>#N/A</v>
      </c>
      <c r="AF33" s="165">
        <f t="shared" si="8"/>
        <v>1</v>
      </c>
      <c r="AG33" s="17">
        <v>60</v>
      </c>
      <c r="AH33" s="16" t="str">
        <f t="shared" si="9"/>
        <v>YES</v>
      </c>
      <c r="AI33" s="239" t="str">
        <f>VLOOKUP(B33,Input_Lic_Rate_PS!K:S,9,FALSE)</f>
        <v>SSR 8020</v>
      </c>
      <c r="AJ33" s="927" t="e">
        <f>VLOOKUP(X33,QH_CGNAT_PEPS_incl_2024!$B$26:$K$84,10,FALSE)</f>
        <v>#N/A</v>
      </c>
      <c r="AK33" s="198" t="e">
        <f t="shared" si="7"/>
        <v>#VALUE!</v>
      </c>
    </row>
    <row r="34" spans="1:37" s="199" customFormat="1">
      <c r="A34" s="110">
        <v>32</v>
      </c>
      <c r="B34" s="111" t="s">
        <v>89</v>
      </c>
      <c r="C34" s="111" t="s">
        <v>4</v>
      </c>
      <c r="D34" s="112" t="s">
        <v>30</v>
      </c>
      <c r="E34" s="16">
        <f>VLOOKUP(B34,Input_Lic_Rate_PS!K:P,4,FALSE)</f>
        <v>1500000</v>
      </c>
      <c r="F34" s="16">
        <f>VLOOKUP(B34,Input_Lic_Rate_PS!K:R,5,FALSE)</f>
        <v>80000</v>
      </c>
      <c r="G34" s="16">
        <f>VLOOKUP(B34,Input_Lic_Rate_PS!K:R,7,FALSE)</f>
        <v>1690000</v>
      </c>
      <c r="H34" s="77">
        <v>1188130</v>
      </c>
      <c r="I34" s="77">
        <v>50620.11</v>
      </c>
      <c r="J34" s="77">
        <v>1257454</v>
      </c>
      <c r="K34" s="77">
        <v>57773.03</v>
      </c>
      <c r="L34" s="77">
        <f>VLOOKUP(B34,Input_TaiNguyenNode__GGSN_Daily!D:AB,13,FALSE)</f>
        <v>1282307</v>
      </c>
      <c r="M34" s="77">
        <f>VLOOKUP(B34,Input_TaiNguyenNode__GGSN_Daily!D:AB,4,FALSE)</f>
        <v>57738.41</v>
      </c>
      <c r="N34" s="195">
        <f t="shared" si="0"/>
        <v>0.85487133333333332</v>
      </c>
      <c r="O34" s="195">
        <f t="shared" si="1"/>
        <v>0.721730125</v>
      </c>
      <c r="P34" s="77" t="e">
        <f t="shared" si="29"/>
        <v>#VALUE!</v>
      </c>
      <c r="Q34" s="117" t="e">
        <f t="shared" si="30"/>
        <v>#VALUE!</v>
      </c>
      <c r="R34" s="195" t="e">
        <f t="shared" si="4"/>
        <v>#VALUE!</v>
      </c>
      <c r="S34" s="195" t="e">
        <f t="shared" si="5"/>
        <v>#VALUE!</v>
      </c>
      <c r="T34" s="16">
        <v>60000</v>
      </c>
      <c r="U34" s="989" t="e">
        <f>SUM(Q34:Q35)</f>
        <v>#VALUE!</v>
      </c>
      <c r="V34" s="989">
        <f>VLOOKUP($B34,Input_TaiNguyenNode__GGSN_Daily!$D:$AC,8,FALSE)+VLOOKUP($B35,Input_TaiNguyenNode__GGSN_Daily!$D:$AC,8,FALSE)</f>
        <v>87395.38</v>
      </c>
      <c r="W34" s="988">
        <f>SUM(T34:T35)</f>
        <v>190000</v>
      </c>
      <c r="X34" s="991" t="s">
        <v>431</v>
      </c>
      <c r="Y34" s="985" t="e">
        <f>U34*$Y$1</f>
        <v>#VALUE!</v>
      </c>
      <c r="Z34" s="987">
        <v>260000</v>
      </c>
      <c r="AA34" s="942" t="e">
        <f>V34/U34</f>
        <v>#VALUE!</v>
      </c>
      <c r="AB34" s="942" t="e">
        <f>Y34/Z34</f>
        <v>#VALUE!</v>
      </c>
      <c r="AC34" s="942" t="e">
        <f>(Y34-V34)/Z34</f>
        <v>#VALUE!</v>
      </c>
      <c r="AD34" s="17" t="str">
        <f>VLOOKUP(B34,idns_weight_PCSCF!A:B,2,FALSE)</f>
        <v>Ericsson</v>
      </c>
      <c r="AE34" s="16" t="e">
        <f t="shared" si="6"/>
        <v>#N/A</v>
      </c>
      <c r="AF34" s="165">
        <f t="shared" si="8"/>
        <v>1</v>
      </c>
      <c r="AG34" s="17">
        <v>60</v>
      </c>
      <c r="AH34" s="16" t="str">
        <f t="shared" si="9"/>
        <v>YES</v>
      </c>
      <c r="AI34" s="239" t="str">
        <f>VLOOKUP(B34,Input_Lic_Rate_PS!K:S,9,FALSE)</f>
        <v>SSR 8020</v>
      </c>
      <c r="AJ34" s="927" t="str">
        <f>VLOOKUP(X34,QH_CGNAT_PEPS_incl_2024!$B$26:$K$84,10,FALSE)</f>
        <v>PEDĐ01/02</v>
      </c>
      <c r="AK34" s="198" t="e">
        <f t="shared" si="7"/>
        <v>#VALUE!</v>
      </c>
    </row>
    <row r="35" spans="1:37" s="199" customFormat="1">
      <c r="A35" s="110">
        <v>33</v>
      </c>
      <c r="B35" s="111" t="s">
        <v>90</v>
      </c>
      <c r="C35" s="111" t="s">
        <v>4</v>
      </c>
      <c r="D35" s="112" t="s">
        <v>30</v>
      </c>
      <c r="E35" s="16">
        <f>VLOOKUP(B35,Input_Lic_Rate_PS!K:P,4,FALSE)</f>
        <v>2700000</v>
      </c>
      <c r="F35" s="16">
        <f>VLOOKUP(B35,Input_Lic_Rate_PS!K:R,5,FALSE)</f>
        <v>150000</v>
      </c>
      <c r="G35" s="16">
        <f>VLOOKUP(B35,Input_Lic_Rate_PS!K:R,7,FALSE)</f>
        <v>2990000</v>
      </c>
      <c r="H35" s="77">
        <v>2047716</v>
      </c>
      <c r="I35" s="77">
        <v>98864.34</v>
      </c>
      <c r="J35" s="77">
        <v>2443236</v>
      </c>
      <c r="K35" s="77">
        <v>114737.34</v>
      </c>
      <c r="L35" s="77">
        <f>VLOOKUP(B35,Input_TaiNguyenNode__GGSN_Daily!D:AB,13,FALSE)</f>
        <v>2496796</v>
      </c>
      <c r="M35" s="77">
        <f>VLOOKUP(B35,Input_TaiNguyenNode__GGSN_Daily!D:AB,4,FALSE)</f>
        <v>114652.33</v>
      </c>
      <c r="N35" s="195">
        <f t="shared" si="0"/>
        <v>0.92473925925925926</v>
      </c>
      <c r="O35" s="195">
        <f t="shared" si="1"/>
        <v>0.76434886666666668</v>
      </c>
      <c r="P35" s="77" t="e">
        <f t="shared" si="29"/>
        <v>#VALUE!</v>
      </c>
      <c r="Q35" s="117" t="e">
        <f t="shared" si="30"/>
        <v>#VALUE!</v>
      </c>
      <c r="R35" s="195" t="e">
        <f t="shared" si="4"/>
        <v>#VALUE!</v>
      </c>
      <c r="S35" s="195" t="e">
        <f t="shared" si="5"/>
        <v>#VALUE!</v>
      </c>
      <c r="T35" s="16">
        <v>130000</v>
      </c>
      <c r="U35" s="990"/>
      <c r="V35" s="990"/>
      <c r="W35" s="988"/>
      <c r="X35" s="991"/>
      <c r="Y35" s="986"/>
      <c r="Z35" s="986"/>
      <c r="AA35" s="942"/>
      <c r="AB35" s="942"/>
      <c r="AC35" s="942"/>
      <c r="AD35" s="16" t="str">
        <f>VLOOKUP(B35,idns_weight_PCSCF!A:B,2,FALSE)</f>
        <v>Ericsson</v>
      </c>
      <c r="AE35" s="16" t="e">
        <f t="shared" si="6"/>
        <v>#N/A</v>
      </c>
      <c r="AF35" s="165">
        <f t="shared" si="8"/>
        <v>1</v>
      </c>
      <c r="AG35" s="16">
        <v>130</v>
      </c>
      <c r="AH35" s="16" t="str">
        <f t="shared" si="9"/>
        <v>YES</v>
      </c>
      <c r="AI35" s="239" t="str">
        <f>VLOOKUP(B35,Input_Lic_Rate_PS!K:S,9,FALSE)</f>
        <v>SSR 8020</v>
      </c>
      <c r="AJ35" s="927" t="e">
        <f>VLOOKUP(X35,QH_CGNAT_PEPS_incl_2024!$B$26:$K$84,10,FALSE)</f>
        <v>#N/A</v>
      </c>
      <c r="AK35" s="198" t="e">
        <f t="shared" si="7"/>
        <v>#VALUE!</v>
      </c>
    </row>
    <row r="36" spans="1:37" s="199" customFormat="1">
      <c r="A36" s="110">
        <v>34</v>
      </c>
      <c r="B36" s="111" t="s">
        <v>87</v>
      </c>
      <c r="C36" s="111" t="s">
        <v>4</v>
      </c>
      <c r="D36" s="112" t="s">
        <v>30</v>
      </c>
      <c r="E36" s="16">
        <f>VLOOKUP(B36,Input_Lic_Rate_PS!K:P,4,FALSE)</f>
        <v>1500000</v>
      </c>
      <c r="F36" s="16">
        <f>VLOOKUP(B36,Input_Lic_Rate_PS!K:R,5,FALSE)</f>
        <v>80000</v>
      </c>
      <c r="G36" s="16">
        <f>VLOOKUP(B36,Input_Lic_Rate_PS!K:R,7,FALSE)</f>
        <v>0</v>
      </c>
      <c r="H36" s="77">
        <v>805218</v>
      </c>
      <c r="I36" s="77">
        <v>47401.63</v>
      </c>
      <c r="J36" s="77">
        <v>1356055</v>
      </c>
      <c r="K36" s="77">
        <v>57656.51</v>
      </c>
      <c r="L36" s="77">
        <f>VLOOKUP(B36,Input_TaiNguyenNode__GGSN_Daily!D:AB,13,FALSE)</f>
        <v>1390480</v>
      </c>
      <c r="M36" s="77">
        <f>VLOOKUP(B36,Input_TaiNguyenNode__GGSN_Daily!D:AB,4,FALSE)</f>
        <v>57626.65</v>
      </c>
      <c r="N36" s="195">
        <f t="shared" si="0"/>
        <v>0.92698666666666663</v>
      </c>
      <c r="O36" s="195">
        <f t="shared" si="1"/>
        <v>0.72033312500000002</v>
      </c>
      <c r="P36" s="77" t="e">
        <f t="shared" si="29"/>
        <v>#N/A</v>
      </c>
      <c r="Q36" s="117" t="e">
        <f t="shared" si="30"/>
        <v>#N/A</v>
      </c>
      <c r="R36" s="195" t="e">
        <f t="shared" si="4"/>
        <v>#N/A</v>
      </c>
      <c r="S36" s="195" t="e">
        <f t="shared" si="5"/>
        <v>#N/A</v>
      </c>
      <c r="T36" s="16">
        <v>60000</v>
      </c>
      <c r="U36" s="933" t="e">
        <f>SUM(Q36:Q38)</f>
        <v>#N/A</v>
      </c>
      <c r="V36" s="933">
        <f>VLOOKUP($B36,Input_TaiNguyenNode__GGSN_Daily!$D:$AC,8,FALSE)+VLOOKUP($B37,Input_TaiNguyenNode__GGSN_Daily!$D:$AC,8,FALSE)+VLOOKUP($B38,Input_TaiNguyenNode__GGSN_Daily!$D:$AC,8,FALSE)</f>
        <v>144323.5</v>
      </c>
      <c r="W36" s="933">
        <f>SUM(T36:T38)</f>
        <v>310000</v>
      </c>
      <c r="X36" s="928" t="s">
        <v>88</v>
      </c>
      <c r="Y36" s="962" t="e">
        <f>U36*$Y$1</f>
        <v>#N/A</v>
      </c>
      <c r="Z36" s="933">
        <v>364000</v>
      </c>
      <c r="AA36" s="965" t="e">
        <f>V36/U36</f>
        <v>#N/A</v>
      </c>
      <c r="AB36" s="968" t="e">
        <f>Y36/Z36</f>
        <v>#N/A</v>
      </c>
      <c r="AC36" s="965" t="e">
        <f>(Y36-V36)/Z36</f>
        <v>#N/A</v>
      </c>
      <c r="AD36" s="17" t="e">
        <f>VLOOKUP(B36,idns_weight_PCSCF!A:B,2,FALSE)</f>
        <v>#N/A</v>
      </c>
      <c r="AE36" s="16" t="e">
        <f t="shared" si="6"/>
        <v>#N/A</v>
      </c>
      <c r="AF36" s="165">
        <f t="shared" si="8"/>
        <v>1</v>
      </c>
      <c r="AG36" s="17">
        <v>60</v>
      </c>
      <c r="AH36" s="16" t="e">
        <f t="shared" ref="AH36:AH37" si="31">IF(AD36=AG36,"NO","YES")</f>
        <v>#N/A</v>
      </c>
      <c r="AI36" s="239" t="str">
        <f>VLOOKUP(B36,Input_Lic_Rate_PS!K:S,9,FALSE)</f>
        <v>SSR 8020</v>
      </c>
      <c r="AJ36" s="928" t="str">
        <f>VLOOKUP(X36,QH_CGNAT_PEPS_incl_2024!$B$26:$K$84,10,FALSE)</f>
        <v>PEDĐ01/02</v>
      </c>
      <c r="AK36" s="198" t="e">
        <f t="shared" si="7"/>
        <v>#N/A</v>
      </c>
    </row>
    <row r="37" spans="1:37" s="199" customFormat="1" ht="15" customHeight="1">
      <c r="A37" s="110">
        <v>35</v>
      </c>
      <c r="B37" s="111" t="s">
        <v>91</v>
      </c>
      <c r="C37" s="111" t="s">
        <v>4</v>
      </c>
      <c r="D37" s="112" t="s">
        <v>30</v>
      </c>
      <c r="E37" s="16">
        <f>VLOOKUP(B37,Input_Lic_Rate_PS!K:P,4,FALSE)</f>
        <v>2500000</v>
      </c>
      <c r="F37" s="16">
        <f>VLOOKUP(B37,Input_Lic_Rate_PS!K:R,5,FALSE)</f>
        <v>150000</v>
      </c>
      <c r="G37" s="16">
        <f>VLOOKUP(B37,Input_Lic_Rate_PS!K:R,7,FALSE)</f>
        <v>2470000</v>
      </c>
      <c r="H37" s="77">
        <v>1918650</v>
      </c>
      <c r="I37" s="77">
        <v>91526.2</v>
      </c>
      <c r="J37" s="77">
        <v>2275079</v>
      </c>
      <c r="K37" s="77">
        <v>106866.05</v>
      </c>
      <c r="L37" s="77">
        <f>VLOOKUP(B37,Input_TaiNguyenNode__GGSN_Daily!D:AB,13,FALSE)</f>
        <v>2356373</v>
      </c>
      <c r="M37" s="77">
        <f>VLOOKUP(B37,Input_TaiNguyenNode__GGSN_Daily!D:AB,4,FALSE)</f>
        <v>109166.62</v>
      </c>
      <c r="N37" s="195">
        <f t="shared" si="0"/>
        <v>0.94254919999999998</v>
      </c>
      <c r="O37" s="195">
        <f t="shared" si="1"/>
        <v>0.72777746666666665</v>
      </c>
      <c r="P37" s="77" t="e">
        <f t="shared" si="29"/>
        <v>#VALUE!</v>
      </c>
      <c r="Q37" s="117" t="e">
        <f t="shared" si="30"/>
        <v>#VALUE!</v>
      </c>
      <c r="R37" s="195" t="e">
        <f t="shared" si="4"/>
        <v>#VALUE!</v>
      </c>
      <c r="S37" s="195" t="e">
        <f t="shared" si="5"/>
        <v>#VALUE!</v>
      </c>
      <c r="T37" s="16">
        <v>120000</v>
      </c>
      <c r="U37" s="934"/>
      <c r="V37" s="934"/>
      <c r="W37" s="934"/>
      <c r="X37" s="925"/>
      <c r="Y37" s="963"/>
      <c r="Z37" s="934"/>
      <c r="AA37" s="966"/>
      <c r="AB37" s="969"/>
      <c r="AC37" s="966"/>
      <c r="AD37" s="16" t="str">
        <f>VLOOKUP(B37,idns_weight_PCSCF!A:B,2,FALSE)</f>
        <v>Ericsson</v>
      </c>
      <c r="AE37" s="16" t="e">
        <f t="shared" si="6"/>
        <v>#N/A</v>
      </c>
      <c r="AF37" s="165">
        <f t="shared" si="8"/>
        <v>1</v>
      </c>
      <c r="AG37" s="16">
        <v>120</v>
      </c>
      <c r="AH37" s="16" t="str">
        <f t="shared" si="31"/>
        <v>YES</v>
      </c>
      <c r="AI37" s="239" t="str">
        <f>VLOOKUP(B37,Input_Lic_Rate_PS!K:S,9,FALSE)</f>
        <v>SSR 8020</v>
      </c>
      <c r="AJ37" s="925" t="e">
        <f>VLOOKUP(X37,QH_CGNAT_PEPS_incl_2024!$B$26:$K$84,10,FALSE)</f>
        <v>#N/A</v>
      </c>
      <c r="AK37" s="198" t="e">
        <f t="shared" si="7"/>
        <v>#VALUE!</v>
      </c>
    </row>
    <row r="38" spans="1:37" s="199" customFormat="1">
      <c r="A38" s="110">
        <v>36</v>
      </c>
      <c r="B38" s="111" t="s">
        <v>93</v>
      </c>
      <c r="C38" s="111" t="s">
        <v>4</v>
      </c>
      <c r="D38" s="112" t="s">
        <v>30</v>
      </c>
      <c r="E38" s="16">
        <f>VLOOKUP(B38,Input_Lic_Rate_PS!K:P,4,FALSE)</f>
        <v>2700000</v>
      </c>
      <c r="F38" s="16">
        <f>VLOOKUP(B38,Input_Lic_Rate_PS!K:R,5,FALSE)</f>
        <v>150000</v>
      </c>
      <c r="G38" s="16">
        <f>VLOOKUP(B38,Input_Lic_Rate_PS!K:R,7,FALSE)</f>
        <v>2985000</v>
      </c>
      <c r="H38" s="77">
        <v>2075600</v>
      </c>
      <c r="I38" s="77">
        <v>97800.33</v>
      </c>
      <c r="J38" s="77">
        <v>2463242</v>
      </c>
      <c r="K38" s="77">
        <v>114977.79</v>
      </c>
      <c r="L38" s="77">
        <f>VLOOKUP(B38,Input_TaiNguyenNode__GGSN_Daily!D:AB,13,FALSE)</f>
        <v>2540179</v>
      </c>
      <c r="M38" s="77">
        <f>VLOOKUP(B38,Input_TaiNguyenNode__GGSN_Daily!D:AB,4,FALSE)</f>
        <v>116864.74</v>
      </c>
      <c r="N38" s="195">
        <f t="shared" si="0"/>
        <v>0.94080703703703705</v>
      </c>
      <c r="O38" s="195">
        <f t="shared" si="1"/>
        <v>0.77909826666666671</v>
      </c>
      <c r="P38" s="77" t="e">
        <f t="shared" si="29"/>
        <v>#VALUE!</v>
      </c>
      <c r="Q38" s="117" t="e">
        <f t="shared" si="30"/>
        <v>#VALUE!</v>
      </c>
      <c r="R38" s="195" t="e">
        <f t="shared" si="4"/>
        <v>#VALUE!</v>
      </c>
      <c r="S38" s="195" t="e">
        <f t="shared" si="5"/>
        <v>#VALUE!</v>
      </c>
      <c r="T38" s="16">
        <v>130000</v>
      </c>
      <c r="U38" s="935"/>
      <c r="V38" s="935"/>
      <c r="W38" s="935"/>
      <c r="X38" s="926"/>
      <c r="Y38" s="964"/>
      <c r="Z38" s="935"/>
      <c r="AA38" s="967"/>
      <c r="AB38" s="970"/>
      <c r="AC38" s="967"/>
      <c r="AD38" s="16" t="str">
        <f>VLOOKUP(B38,idns_weight_PCSCF!A:B,2,FALSE)</f>
        <v>Ericsson</v>
      </c>
      <c r="AE38" s="16" t="e">
        <f t="shared" si="6"/>
        <v>#N/A</v>
      </c>
      <c r="AF38" s="165">
        <f t="shared" si="8"/>
        <v>1</v>
      </c>
      <c r="AG38" s="16">
        <v>130</v>
      </c>
      <c r="AH38" s="16" t="str">
        <f t="shared" si="9"/>
        <v>YES</v>
      </c>
      <c r="AI38" s="239" t="str">
        <f>VLOOKUP(B38,Input_Lic_Rate_PS!K:S,9,FALSE)</f>
        <v>SSR 8020</v>
      </c>
      <c r="AJ38" s="926" t="e">
        <f>VLOOKUP(X38,QH_CGNAT_PEPS_incl_2024!$B$26:$K$84,10,FALSE)</f>
        <v>#N/A</v>
      </c>
      <c r="AK38" s="198" t="e">
        <f t="shared" si="7"/>
        <v>#VALUE!</v>
      </c>
    </row>
    <row r="39" spans="1:37" s="71" customFormat="1">
      <c r="A39" s="110">
        <v>37</v>
      </c>
      <c r="B39" s="101" t="s">
        <v>328</v>
      </c>
      <c r="C39" s="101" t="s">
        <v>4</v>
      </c>
      <c r="D39" s="102" t="s">
        <v>30</v>
      </c>
      <c r="E39" s="103">
        <f>VLOOKUP(B39,Input_Lic_Rate_PS!K:P,4,FALSE)</f>
        <v>3400000</v>
      </c>
      <c r="F39" s="36">
        <f>VLOOKUP(B39,Input_Lic_Rate_PS!K:R,5,FALSE)</f>
        <v>150000</v>
      </c>
      <c r="G39" s="36">
        <f>VLOOKUP(B39,Input_Lic_Rate_PS!K:R,7,FALSE)</f>
        <v>3537000</v>
      </c>
      <c r="H39" s="118">
        <v>2083414</v>
      </c>
      <c r="I39" s="118">
        <v>74440.66</v>
      </c>
      <c r="J39" s="118">
        <v>2650867</v>
      </c>
      <c r="K39" s="118">
        <v>120948.71</v>
      </c>
      <c r="L39" s="118">
        <f>VLOOKUP(B39,Input_TaiNguyenNode__GGSN_Daily!D:AB,13,FALSE)</f>
        <v>2715246</v>
      </c>
      <c r="M39" s="118">
        <f>VLOOKUP(B39,Input_TaiNguyenNode__GGSN_Daily!D:AB,4,FALSE)</f>
        <v>122064.15</v>
      </c>
      <c r="N39" s="132">
        <f t="shared" si="0"/>
        <v>0.7986017647058824</v>
      </c>
      <c r="O39" s="132">
        <f t="shared" si="1"/>
        <v>0.81376099999999996</v>
      </c>
      <c r="P39" s="77" t="e">
        <f t="shared" si="29"/>
        <v>#VALUE!</v>
      </c>
      <c r="Q39" s="117" t="e">
        <f t="shared" si="30"/>
        <v>#VALUE!</v>
      </c>
      <c r="R39" s="132" t="e">
        <f t="shared" si="4"/>
        <v>#VALUE!</v>
      </c>
      <c r="S39" s="132" t="e">
        <f t="shared" si="5"/>
        <v>#VALUE!</v>
      </c>
      <c r="T39" s="103">
        <v>130000</v>
      </c>
      <c r="U39" s="957" t="e">
        <f>SUM(Q39:Q42)</f>
        <v>#VALUE!</v>
      </c>
      <c r="V39" s="957">
        <f>VLOOKUP($B39,Input_TaiNguyenNode__GGSN_Daily!$D:$AC,8,FALSE)+SUM(Q40:Q42)*0.35</f>
        <v>61342.39</v>
      </c>
      <c r="W39" s="957">
        <f>SUM(T39:T42)</f>
        <v>580000</v>
      </c>
      <c r="X39" s="975" t="s">
        <v>433</v>
      </c>
      <c r="Y39" s="974" t="e">
        <f>U39*$Y$1</f>
        <v>#VALUE!</v>
      </c>
      <c r="Z39" s="971">
        <v>312000</v>
      </c>
      <c r="AA39" s="979" t="e">
        <f>V39/U39</f>
        <v>#VALUE!</v>
      </c>
      <c r="AB39" s="982" t="e">
        <f t="shared" ref="AB39" si="32">Y39/Z39</f>
        <v>#VALUE!</v>
      </c>
      <c r="AC39" s="982" t="e">
        <f t="shared" ref="AC39" si="33">(Y39-V39)/Z39</f>
        <v>#VALUE!</v>
      </c>
      <c r="AD39" s="103" t="str">
        <f>VLOOKUP(B39,idns_weight_PCSCF!A:B,2,FALSE)</f>
        <v>Ericsson</v>
      </c>
      <c r="AE39" s="16" t="e">
        <f t="shared" si="6"/>
        <v>#N/A</v>
      </c>
      <c r="AF39" s="165">
        <f t="shared" si="8"/>
        <v>1</v>
      </c>
      <c r="AG39" s="103">
        <v>140</v>
      </c>
      <c r="AH39" s="103" t="str">
        <f t="shared" ref="AH39" si="34">IF(AD39=AG39,"NO","YES")</f>
        <v>YES</v>
      </c>
      <c r="AI39" s="239" t="str">
        <f>VLOOKUP(B39,Input_Lic_Rate_PS!K:S,9,FALSE)</f>
        <v>TCHT01</v>
      </c>
      <c r="AJ39" s="929" t="str">
        <f>VLOOKUP(X39,QH_CGNAT_PEPS_incl_2024!$B$26:$K$84,10,FALSE)</f>
        <v>PEPS03/04</v>
      </c>
      <c r="AK39" s="180" t="e">
        <f t="shared" si="7"/>
        <v>#VALUE!</v>
      </c>
    </row>
    <row r="40" spans="1:37" s="157" customFormat="1">
      <c r="A40" s="110">
        <v>38</v>
      </c>
      <c r="B40" s="152" t="s">
        <v>250</v>
      </c>
      <c r="C40" s="152" t="s">
        <v>251</v>
      </c>
      <c r="D40" s="153" t="s">
        <v>30</v>
      </c>
      <c r="E40" s="154">
        <v>2000000</v>
      </c>
      <c r="F40" s="154">
        <v>100000</v>
      </c>
      <c r="G40" s="154">
        <f>VLOOKUP(B40,Input_Lic_Rate_PS!K:R,7,FALSE)</f>
        <v>0</v>
      </c>
      <c r="H40" s="185">
        <v>947700</v>
      </c>
      <c r="I40" s="185">
        <v>71884.3</v>
      </c>
      <c r="J40" s="185">
        <v>0</v>
      </c>
      <c r="K40" s="185">
        <v>0</v>
      </c>
      <c r="L40" s="185">
        <f>VLOOKUP(B40,'Bear&amp;pdp_daily_crosstab_cisco'!B:E,4,FALSE)</f>
        <v>0</v>
      </c>
      <c r="M40" s="185">
        <f>VLOOKUP(B40,Throughput_hour_crosstab_cisco!C:D,2,FALSE)</f>
        <v>0</v>
      </c>
      <c r="N40" s="155">
        <f t="shared" si="0"/>
        <v>0</v>
      </c>
      <c r="O40" s="155">
        <f t="shared" si="1"/>
        <v>0</v>
      </c>
      <c r="P40" s="185">
        <f>L40</f>
        <v>0</v>
      </c>
      <c r="Q40" s="156">
        <f>M40</f>
        <v>0</v>
      </c>
      <c r="R40" s="155">
        <f t="shared" si="4"/>
        <v>0</v>
      </c>
      <c r="S40" s="155">
        <f t="shared" si="5"/>
        <v>0</v>
      </c>
      <c r="T40" s="154">
        <v>150000</v>
      </c>
      <c r="U40" s="978"/>
      <c r="V40" s="978"/>
      <c r="W40" s="978"/>
      <c r="X40" s="976"/>
      <c r="Y40" s="972"/>
      <c r="Z40" s="972"/>
      <c r="AA40" s="980"/>
      <c r="AB40" s="983"/>
      <c r="AC40" s="983"/>
      <c r="AD40" s="154">
        <v>10</v>
      </c>
      <c r="AE40" s="16" t="e">
        <f t="shared" si="6"/>
        <v>#N/A</v>
      </c>
      <c r="AF40" s="165">
        <f t="shared" si="8"/>
        <v>1</v>
      </c>
      <c r="AG40" s="154">
        <v>10</v>
      </c>
      <c r="AH40" s="154" t="str">
        <f t="shared" si="9"/>
        <v>NO</v>
      </c>
      <c r="AI40" s="239" t="str">
        <f>VLOOKUP(B40,Input_Lic_Rate_PS!K:S,9,FALSE)</f>
        <v>TCHT02</v>
      </c>
      <c r="AJ40" s="930" t="e">
        <f>VLOOKUP(X40,QH_CGNAT_PEPS_incl_2024!$B$26:$K$84,10,FALSE)</f>
        <v>#N/A</v>
      </c>
    </row>
    <row r="41" spans="1:37" s="157" customFormat="1" ht="15" customHeight="1">
      <c r="A41" s="110">
        <v>39</v>
      </c>
      <c r="B41" s="152" t="s">
        <v>252</v>
      </c>
      <c r="C41" s="152" t="s">
        <v>251</v>
      </c>
      <c r="D41" s="153" t="s">
        <v>30</v>
      </c>
      <c r="E41" s="154">
        <v>2000000</v>
      </c>
      <c r="F41" s="154">
        <v>100000</v>
      </c>
      <c r="G41" s="154">
        <f>VLOOKUP(B41,Input_Lic_Rate_PS!K:R,7,FALSE)</f>
        <v>3200000</v>
      </c>
      <c r="H41" s="185">
        <v>946804</v>
      </c>
      <c r="I41" s="185">
        <v>71343.34</v>
      </c>
      <c r="J41" s="185">
        <v>0</v>
      </c>
      <c r="K41" s="185">
        <v>0</v>
      </c>
      <c r="L41" s="185">
        <f>VLOOKUP(B41,'Bear&amp;pdp_daily_crosstab_cisco'!B:E,4,FALSE)</f>
        <v>0</v>
      </c>
      <c r="M41" s="185">
        <f>VLOOKUP(B41,Throughput_hour_crosstab_cisco!C:D,2,FALSE)</f>
        <v>0</v>
      </c>
      <c r="N41" s="155">
        <f t="shared" si="0"/>
        <v>0</v>
      </c>
      <c r="O41" s="155">
        <f t="shared" si="1"/>
        <v>0</v>
      </c>
      <c r="P41" s="185">
        <f t="shared" ref="P41:P42" si="35">L41</f>
        <v>0</v>
      </c>
      <c r="Q41" s="156">
        <f t="shared" ref="Q41:Q42" si="36">M41</f>
        <v>0</v>
      </c>
      <c r="R41" s="155">
        <f t="shared" si="4"/>
        <v>0</v>
      </c>
      <c r="S41" s="155">
        <f t="shared" si="5"/>
        <v>0</v>
      </c>
      <c r="T41" s="154">
        <v>150000</v>
      </c>
      <c r="U41" s="978"/>
      <c r="V41" s="978"/>
      <c r="W41" s="978"/>
      <c r="X41" s="976"/>
      <c r="Y41" s="972"/>
      <c r="Z41" s="972"/>
      <c r="AA41" s="980"/>
      <c r="AB41" s="983"/>
      <c r="AC41" s="983"/>
      <c r="AD41" s="154">
        <v>10</v>
      </c>
      <c r="AE41" s="16" t="e">
        <f t="shared" si="6"/>
        <v>#N/A</v>
      </c>
      <c r="AF41" s="165"/>
      <c r="AG41" s="154">
        <v>10</v>
      </c>
      <c r="AH41" s="154" t="str">
        <f t="shared" si="9"/>
        <v>NO</v>
      </c>
      <c r="AI41" s="239" t="str">
        <f>VLOOKUP(B41,Input_Lic_Rate_PS!K:S,9,FALSE)</f>
        <v>TCHT03</v>
      </c>
      <c r="AJ41" s="930" t="e">
        <f>VLOOKUP(X41,QH_CGNAT_PEPS_incl_2024!$B$26:$K$84,10,FALSE)</f>
        <v>#N/A</v>
      </c>
    </row>
    <row r="42" spans="1:37" s="157" customFormat="1">
      <c r="A42" s="110">
        <v>40</v>
      </c>
      <c r="B42" s="152" t="s">
        <v>253</v>
      </c>
      <c r="C42" s="152" t="s">
        <v>251</v>
      </c>
      <c r="D42" s="153" t="s">
        <v>30</v>
      </c>
      <c r="E42" s="154">
        <v>2000000</v>
      </c>
      <c r="F42" s="154">
        <v>100000</v>
      </c>
      <c r="G42" s="154">
        <f>VLOOKUP(B42,Input_Lic_Rate_PS!K:R,7,FALSE)</f>
        <v>3200000</v>
      </c>
      <c r="H42" s="185">
        <v>939099</v>
      </c>
      <c r="I42" s="185">
        <v>67514.39</v>
      </c>
      <c r="J42" s="185">
        <v>0</v>
      </c>
      <c r="K42" s="185">
        <v>0</v>
      </c>
      <c r="L42" s="185">
        <f>VLOOKUP(B42,'Bear&amp;pdp_daily_crosstab_cisco'!B:E,4,FALSE)</f>
        <v>0</v>
      </c>
      <c r="M42" s="185">
        <f>VLOOKUP(B42,Throughput_hour_crosstab_cisco!C:D,2,FALSE)</f>
        <v>0</v>
      </c>
      <c r="N42" s="155">
        <f t="shared" si="0"/>
        <v>0</v>
      </c>
      <c r="O42" s="155">
        <f t="shared" si="1"/>
        <v>0</v>
      </c>
      <c r="P42" s="185">
        <f t="shared" si="35"/>
        <v>0</v>
      </c>
      <c r="Q42" s="156">
        <f t="shared" si="36"/>
        <v>0</v>
      </c>
      <c r="R42" s="155">
        <f t="shared" si="4"/>
        <v>0</v>
      </c>
      <c r="S42" s="155">
        <f t="shared" si="5"/>
        <v>0</v>
      </c>
      <c r="T42" s="154">
        <v>150000</v>
      </c>
      <c r="U42" s="958"/>
      <c r="V42" s="958"/>
      <c r="W42" s="958"/>
      <c r="X42" s="977"/>
      <c r="Y42" s="973"/>
      <c r="Z42" s="973"/>
      <c r="AA42" s="981"/>
      <c r="AB42" s="984"/>
      <c r="AC42" s="984"/>
      <c r="AD42" s="154">
        <v>10</v>
      </c>
      <c r="AE42" s="16" t="e">
        <f t="shared" si="6"/>
        <v>#N/A</v>
      </c>
      <c r="AF42" s="165"/>
      <c r="AG42" s="154">
        <v>10</v>
      </c>
      <c r="AH42" s="154" t="str">
        <f t="shared" si="9"/>
        <v>NO</v>
      </c>
      <c r="AI42" s="239" t="str">
        <f>VLOOKUP(B42,Input_Lic_Rate_PS!K:S,9,FALSE)</f>
        <v>TCHT03</v>
      </c>
      <c r="AJ42" s="931" t="e">
        <f>VLOOKUP(X42,QH_CGNAT_PEPS_incl_2024!$B$26:$K$84,10,FALSE)</f>
        <v>#N/A</v>
      </c>
    </row>
    <row r="43" spans="1:37" s="157" customFormat="1" ht="30">
      <c r="A43" s="110">
        <v>41</v>
      </c>
      <c r="B43" s="152" t="s">
        <v>338</v>
      </c>
      <c r="C43" s="152" t="s">
        <v>251</v>
      </c>
      <c r="D43" s="153" t="s">
        <v>30</v>
      </c>
      <c r="E43" s="154">
        <v>2000000</v>
      </c>
      <c r="F43" s="154">
        <v>100000</v>
      </c>
      <c r="G43" s="154">
        <f>VLOOKUP(B43,Input_Lic_Rate_PS!K:R,7,FALSE)</f>
        <v>3200000</v>
      </c>
      <c r="H43" s="185">
        <v>939099</v>
      </c>
      <c r="I43" s="185">
        <v>67514.39</v>
      </c>
      <c r="J43" s="185">
        <v>0</v>
      </c>
      <c r="K43" s="185">
        <v>0</v>
      </c>
      <c r="L43" s="185">
        <f>VLOOKUP(B43,'Bear&amp;pdp_daily_crosstab_cisco'!B:E,4,FALSE)</f>
        <v>0</v>
      </c>
      <c r="M43" s="185">
        <f>VLOOKUP(B43,Throughput_hour_crosstab_cisco!C:D,2,FALSE)</f>
        <v>0</v>
      </c>
      <c r="N43" s="155">
        <f t="shared" si="0"/>
        <v>0</v>
      </c>
      <c r="O43" s="155">
        <f t="shared" si="1"/>
        <v>0</v>
      </c>
      <c r="P43" s="185">
        <f t="shared" ref="P43" si="37">L43</f>
        <v>0</v>
      </c>
      <c r="Q43" s="156">
        <f t="shared" ref="Q43" si="38">M43</f>
        <v>0</v>
      </c>
      <c r="R43" s="155">
        <f t="shared" si="4"/>
        <v>0</v>
      </c>
      <c r="S43" s="155">
        <f t="shared" si="5"/>
        <v>0</v>
      </c>
      <c r="T43" s="154">
        <v>150000</v>
      </c>
      <c r="U43" s="214">
        <f>SUM(Q43:Q43)</f>
        <v>0</v>
      </c>
      <c r="V43" s="214">
        <f>0.2*SUM(M43:M43)</f>
        <v>0</v>
      </c>
      <c r="W43" s="214">
        <f>SUM(T43:T43)</f>
        <v>150000</v>
      </c>
      <c r="X43" s="229" t="s">
        <v>442</v>
      </c>
      <c r="Y43" s="215">
        <f>U43*$Y$1</f>
        <v>0</v>
      </c>
      <c r="Z43" s="215">
        <v>312000</v>
      </c>
      <c r="AA43" s="216" t="e">
        <f>V43/U43</f>
        <v>#DIV/0!</v>
      </c>
      <c r="AB43" s="217">
        <f>Y43/Z43</f>
        <v>0</v>
      </c>
      <c r="AC43" s="217">
        <f>(Y43-V43)/Z43</f>
        <v>0</v>
      </c>
      <c r="AD43" s="154">
        <v>10</v>
      </c>
      <c r="AE43" s="16" t="e">
        <f t="shared" si="6"/>
        <v>#N/A</v>
      </c>
      <c r="AF43" s="165"/>
      <c r="AG43" s="154">
        <v>10</v>
      </c>
      <c r="AH43" s="154" t="str">
        <f t="shared" ref="AH43" si="39">IF(AD43=AG43,"NO","YES")</f>
        <v>NO</v>
      </c>
      <c r="AI43" s="239">
        <f>VLOOKUP(B43,Input_Lic_Rate_PS!K:S,9,FALSE)</f>
        <v>0</v>
      </c>
      <c r="AJ43" s="229" t="str">
        <f>VLOOKUP(X43,QH_CGNAT_PEPS_incl_2024!$B$26:$K$84,10,FALSE)</f>
        <v>PEPS03/04</v>
      </c>
    </row>
    <row r="44" spans="1:37">
      <c r="A44" s="38"/>
      <c r="B44" s="39" t="s">
        <v>94</v>
      </c>
      <c r="C44" s="39" t="s">
        <v>38</v>
      </c>
      <c r="D44" s="40"/>
      <c r="E44" s="44">
        <f>SUMIF($D3:$D38,"KV1",E3:E38)</f>
        <v>54600000</v>
      </c>
      <c r="F44" s="36">
        <f>VLOOKUP(B44,Input_Lic_Rate_PS!K:R,5,FALSE)</f>
        <v>3610000</v>
      </c>
      <c r="G44" s="36">
        <f>VLOOKUP(B44,Input_Lic_Rate_PS!K:R,7,FALSE)</f>
        <v>82486008</v>
      </c>
      <c r="H44" s="44">
        <f>SUMIF($D3:$D$42,"KV1",H$3:H$42)</f>
        <v>35008081</v>
      </c>
      <c r="I44" s="44">
        <f>SUMIF($D3:$D$42,"KV1",I$3:I$42)</f>
        <v>1629832.8299999998</v>
      </c>
      <c r="J44" s="44">
        <v>42457846</v>
      </c>
      <c r="K44" s="44">
        <v>1762141.9099999997</v>
      </c>
      <c r="L44" s="44">
        <f>SUMIF($D3:$D$43,"KV1",L$3:L$43)</f>
        <v>43795120</v>
      </c>
      <c r="M44" s="44">
        <f>SUMIF($D3:$D$43,"KV1",M$3:M$43)</f>
        <v>1745386.0899999999</v>
      </c>
      <c r="N44" s="66">
        <f t="shared" si="0"/>
        <v>0.80210842490842493</v>
      </c>
      <c r="O44" s="66">
        <f t="shared" si="1"/>
        <v>0.48348645152354569</v>
      </c>
      <c r="P44" s="44" t="e">
        <f>SUMIF($D3:$D$43,"KV1",P$3:P$43)</f>
        <v>#VALUE!</v>
      </c>
      <c r="Q44" s="44" t="e">
        <f>SUMIF($D3:$D38,"KV1",Q3:Q38)</f>
        <v>#VALUE!</v>
      </c>
      <c r="R44" s="66" t="e">
        <f t="shared" si="4"/>
        <v>#VALUE!</v>
      </c>
      <c r="S44" s="66" t="e">
        <f t="shared" si="5"/>
        <v>#VALUE!</v>
      </c>
      <c r="T44" s="44">
        <f>SUMIF($D3:$D38,"KV1",T3:T38)</f>
        <v>2600000</v>
      </c>
      <c r="U44" s="182"/>
      <c r="V44" s="182"/>
      <c r="W44" s="182"/>
      <c r="X44" s="58"/>
      <c r="Y44" s="183"/>
      <c r="Z44" s="183"/>
      <c r="AA44" s="183"/>
      <c r="AB44" s="184"/>
      <c r="AC44" s="184"/>
      <c r="AD44" s="160" t="e">
        <f>SUMIF($D3:$D39,"KV1",AD3:AD39)</f>
        <v>#N/A</v>
      </c>
      <c r="AE44" s="67"/>
      <c r="AF44" s="67"/>
      <c r="AG44" s="143">
        <f>SUMIF($D3:$D39,"KV1",AG3:AG39)</f>
        <v>1345</v>
      </c>
      <c r="AH44" s="67"/>
      <c r="AI44" s="237"/>
      <c r="AJ44" s="58"/>
    </row>
    <row r="45" spans="1:37">
      <c r="A45" s="38"/>
      <c r="B45" s="39" t="s">
        <v>95</v>
      </c>
      <c r="C45" s="39" t="s">
        <v>38</v>
      </c>
      <c r="D45" s="40"/>
      <c r="E45" s="44">
        <f>SUMIF($D3:$D38,"KV2",E3:E38)</f>
        <v>29300000</v>
      </c>
      <c r="F45" s="36">
        <f>VLOOKUP(B45,Input_Lic_Rate_PS!K:R,5,FALSE)</f>
        <v>2390000</v>
      </c>
      <c r="G45" s="36" t="e">
        <f>VLOOKUP(B45,Input_Lic_Rate_PS!K:R,7,FALSE)</f>
        <v>#N/A</v>
      </c>
      <c r="H45" s="44">
        <f>SUMIF($D4:$D$42,"KV2",H$3:H$42)</f>
        <v>13697762.174585449</v>
      </c>
      <c r="I45" s="44">
        <f>SUMIF($D4:$D$42,"KV2",I$3:I$42)</f>
        <v>849764.75000000012</v>
      </c>
      <c r="J45" s="44">
        <v>14034660</v>
      </c>
      <c r="K45" s="44">
        <v>709180.46</v>
      </c>
      <c r="L45" s="44">
        <f>SUMIF($D3:$D$43,"KV2",L$3:L$43)</f>
        <v>13165015</v>
      </c>
      <c r="M45" s="44">
        <f>SUMIF($D3:$D$43,"KV2",M$3:M$43)</f>
        <v>639140.29999999993</v>
      </c>
      <c r="N45" s="66">
        <f t="shared" si="0"/>
        <v>0.44931791808873722</v>
      </c>
      <c r="O45" s="66">
        <f t="shared" si="1"/>
        <v>0.26742271966527192</v>
      </c>
      <c r="P45" s="44" t="e">
        <f>SUMIF($D3:$D38,"KV2",P3:P38)</f>
        <v>#VALUE!</v>
      </c>
      <c r="Q45" s="44" t="e">
        <f>SUMIF($D3:$D38,"KV2",Q3:Q38)</f>
        <v>#VALUE!</v>
      </c>
      <c r="R45" s="66" t="e">
        <f t="shared" si="4"/>
        <v>#VALUE!</v>
      </c>
      <c r="S45" s="66" t="e">
        <f t="shared" si="5"/>
        <v>#VALUE!</v>
      </c>
      <c r="T45" s="44">
        <f>SUMIF($D3:$D38,"KV2",T3:T38)</f>
        <v>1060000</v>
      </c>
      <c r="U45" s="182"/>
      <c r="V45" s="182"/>
      <c r="W45" s="182"/>
      <c r="X45" s="58"/>
      <c r="Y45" s="183"/>
      <c r="Z45" s="183"/>
      <c r="AA45" s="183"/>
      <c r="AB45" s="184"/>
      <c r="AC45" s="184"/>
      <c r="AD45" s="160">
        <f>SUMIF($D3:$D38,"KV2",AD3:AD38)</f>
        <v>0</v>
      </c>
      <c r="AE45" s="67"/>
      <c r="AF45" s="67"/>
      <c r="AG45" s="143">
        <f>SUMIF($D3:$D38,"KV2",AG3:AG38)</f>
        <v>610</v>
      </c>
      <c r="AH45" s="67"/>
      <c r="AI45" s="237"/>
      <c r="AJ45" s="58"/>
    </row>
    <row r="46" spans="1:37">
      <c r="A46" s="38"/>
      <c r="B46" s="39" t="s">
        <v>96</v>
      </c>
      <c r="C46" s="39" t="s">
        <v>38</v>
      </c>
      <c r="D46" s="40"/>
      <c r="E46" s="44">
        <f>SUMIF($D3:$D42,"KV3",E3:E42)</f>
        <v>23300000</v>
      </c>
      <c r="F46" s="36">
        <f>VLOOKUP(B46,Input_Lic_Rate_PS!K:R,5,FALSE)</f>
        <v>3020000</v>
      </c>
      <c r="G46" s="36" t="e">
        <f>VLOOKUP(B46,Input_Lic_Rate_PS!K:R,7,FALSE)</f>
        <v>#N/A</v>
      </c>
      <c r="H46" s="44">
        <f>SUMIF($D5:$D$42,"KV3",H$3:H$42)</f>
        <v>16649110.510294927</v>
      </c>
      <c r="I46" s="44">
        <f>SUMIF($D5:$D$42,"KV3",I$3:I$42)</f>
        <v>850149.98</v>
      </c>
      <c r="J46" s="44">
        <v>14760263</v>
      </c>
      <c r="K46" s="44">
        <v>675227.73</v>
      </c>
      <c r="L46" s="44">
        <f>SUMIF($D3:$D$43,"KV3",L$3:L$43)</f>
        <v>15167400</v>
      </c>
      <c r="M46" s="44">
        <f>SUMIF($D3:$D$43,"KV3",M$3:M$43)</f>
        <v>682921.18</v>
      </c>
      <c r="N46" s="66">
        <f t="shared" si="0"/>
        <v>0.65096137339055793</v>
      </c>
      <c r="O46" s="66">
        <f t="shared" si="1"/>
        <v>0.22613284105960266</v>
      </c>
      <c r="P46" s="44" t="e">
        <f>SUMIF($D3:$D43,"KV3",P3:P43)</f>
        <v>#VALUE!</v>
      </c>
      <c r="Q46" s="44" t="e">
        <f>SUMIF($D3:$D43,"KV3",Q3:Q43)</f>
        <v>#VALUE!</v>
      </c>
      <c r="R46" s="66" t="e">
        <f t="shared" si="4"/>
        <v>#VALUE!</v>
      </c>
      <c r="S46" s="66" t="e">
        <f t="shared" si="5"/>
        <v>#VALUE!</v>
      </c>
      <c r="T46" s="44">
        <f>SUMIF($D3:$D39,"KV3",T3:T39)</f>
        <v>750000</v>
      </c>
      <c r="U46" s="104"/>
      <c r="V46" s="104"/>
      <c r="W46" s="104"/>
      <c r="X46" s="105"/>
      <c r="Y46" s="104"/>
      <c r="Z46" s="104"/>
      <c r="AA46" s="126"/>
      <c r="AB46" s="106"/>
      <c r="AC46" s="120"/>
      <c r="AD46" s="44" t="e">
        <f>SUMIF($D3:$D39,"KV3",AD3:AD39)</f>
        <v>#N/A</v>
      </c>
      <c r="AE46" s="67"/>
      <c r="AF46" s="67"/>
      <c r="AG46" s="44">
        <f>SUMIF($D3:$D39,"KV3",AG3:AG39)</f>
        <v>760</v>
      </c>
      <c r="AH46" s="67"/>
      <c r="AI46" s="237"/>
      <c r="AJ46" s="105"/>
    </row>
    <row r="47" spans="1:37">
      <c r="A47" s="38"/>
      <c r="B47" s="45" t="s">
        <v>97</v>
      </c>
      <c r="C47" s="45" t="s">
        <v>38</v>
      </c>
      <c r="D47" s="46"/>
      <c r="E47" s="44">
        <f>SUM(E44:E46)</f>
        <v>107200000</v>
      </c>
      <c r="F47" s="36">
        <f>VLOOKUP(B47,Input_Lic_Rate_PS!K:R,5,FALSE)</f>
        <v>9020000</v>
      </c>
      <c r="G47" s="36" t="e">
        <f>VLOOKUP(B47,Input_Lic_Rate_PS!K:R,7,FALSE)</f>
        <v>#N/A</v>
      </c>
      <c r="H47" s="44">
        <f>SUM(H44:H46)</f>
        <v>65354953.684880376</v>
      </c>
      <c r="I47" s="44">
        <f>SUM(I44:I46)</f>
        <v>3329747.56</v>
      </c>
      <c r="J47" s="44">
        <v>71252769</v>
      </c>
      <c r="K47" s="44">
        <v>3146550.0999999996</v>
      </c>
      <c r="L47" s="44">
        <f>SUM(L44:L46)</f>
        <v>72127535</v>
      </c>
      <c r="M47" s="44">
        <f>SUM(M44:M46)</f>
        <v>3067447.57</v>
      </c>
      <c r="N47" s="66">
        <f t="shared" si="0"/>
        <v>0.67283148320895525</v>
      </c>
      <c r="O47" s="66">
        <f t="shared" si="1"/>
        <v>0.34007179268292681</v>
      </c>
      <c r="P47" s="44" t="e">
        <f>SUM(P44:P46)</f>
        <v>#VALUE!</v>
      </c>
      <c r="Q47" s="44" t="e">
        <f>SUM(Q44:Q46)</f>
        <v>#VALUE!</v>
      </c>
      <c r="R47" s="66" t="e">
        <f t="shared" si="4"/>
        <v>#VALUE!</v>
      </c>
      <c r="S47" s="66" t="e">
        <f t="shared" si="5"/>
        <v>#VALUE!</v>
      </c>
      <c r="T47" s="44">
        <f>SUM(T44:T46)</f>
        <v>4410000</v>
      </c>
      <c r="U47" s="213" t="e">
        <f>SUM(U3:U46)</f>
        <v>#VALUE!</v>
      </c>
      <c r="V47" s="67"/>
      <c r="W47" s="67"/>
      <c r="X47" s="67"/>
      <c r="Y47" s="213" t="e">
        <f>SUM(Y3:Y46)</f>
        <v>#VALUE!</v>
      </c>
      <c r="Z47" s="213">
        <f>SUM(Z3:Z46)</f>
        <v>4293000</v>
      </c>
      <c r="AA47" s="67"/>
      <c r="AB47" s="67"/>
      <c r="AC47" s="67"/>
      <c r="AD47" s="160" t="e">
        <f>SUM(AD44:AD46)</f>
        <v>#N/A</v>
      </c>
      <c r="AE47" s="67"/>
      <c r="AF47" s="67"/>
      <c r="AG47" s="143">
        <f>SUM(AG44:AG46)</f>
        <v>2715</v>
      </c>
      <c r="AH47" s="67"/>
      <c r="AI47" s="237"/>
      <c r="AJ47" s="67"/>
    </row>
    <row r="48" spans="1:37">
      <c r="T48" s="63">
        <v>120000</v>
      </c>
    </row>
    <row r="49" spans="2:36" s="69" customFormat="1">
      <c r="B49" s="68" t="s">
        <v>42</v>
      </c>
      <c r="P49" s="144"/>
      <c r="Q49" s="144"/>
      <c r="R49" s="144"/>
      <c r="S49" s="144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162"/>
      <c r="AE49" s="70"/>
      <c r="AF49" s="70"/>
      <c r="AG49" s="144"/>
      <c r="AH49" s="70"/>
      <c r="AI49" s="70"/>
      <c r="AJ49" s="70"/>
    </row>
    <row r="50" spans="2:36" ht="15" customHeight="1">
      <c r="J50" s="1007" t="s">
        <v>271</v>
      </c>
      <c r="K50" s="147" t="s">
        <v>103</v>
      </c>
      <c r="L50" s="1007" t="s">
        <v>271</v>
      </c>
      <c r="M50" s="147" t="s">
        <v>103</v>
      </c>
      <c r="N50" s="148" t="s">
        <v>270</v>
      </c>
      <c r="O50" s="148" t="s">
        <v>264</v>
      </c>
      <c r="P50" s="148" t="s">
        <v>45</v>
      </c>
      <c r="Q50" s="148" t="s">
        <v>46</v>
      </c>
      <c r="R50" s="174" t="s">
        <v>299</v>
      </c>
      <c r="S50" s="174" t="s">
        <v>300</v>
      </c>
      <c r="T50" s="174" t="s">
        <v>301</v>
      </c>
      <c r="U50" s="175" t="s">
        <v>302</v>
      </c>
      <c r="V50" s="175"/>
      <c r="AD50" s="161" t="s">
        <v>3</v>
      </c>
    </row>
    <row r="51" spans="2:36">
      <c r="J51" s="1007"/>
      <c r="K51" s="147" t="s">
        <v>15</v>
      </c>
      <c r="L51" s="1007"/>
      <c r="M51" s="147" t="s">
        <v>15</v>
      </c>
      <c r="N51" s="148" t="s">
        <v>72</v>
      </c>
      <c r="O51" s="148">
        <v>110</v>
      </c>
      <c r="P51" s="149" t="e">
        <f>VLOOKUP(N51,B:S,67,FALSE)</f>
        <v>#REF!</v>
      </c>
      <c r="Q51" s="150" t="e">
        <f>VLOOKUP(N51,B:M,62,FALSE)</f>
        <v>#REF!</v>
      </c>
      <c r="R51" s="178" t="s">
        <v>303</v>
      </c>
      <c r="S51" s="4"/>
      <c r="T51" s="4"/>
      <c r="U51" s="177"/>
      <c r="V51" s="176"/>
      <c r="AD51" s="179">
        <f>SUM(S51:T51)</f>
        <v>0</v>
      </c>
    </row>
    <row r="52" spans="2:36">
      <c r="J52" s="1007"/>
      <c r="K52" s="147" t="s">
        <v>25</v>
      </c>
      <c r="L52" s="1007"/>
      <c r="M52" s="147" t="s">
        <v>25</v>
      </c>
      <c r="N52" s="148" t="s">
        <v>83</v>
      </c>
      <c r="O52" s="148">
        <v>110</v>
      </c>
      <c r="P52" s="149" t="e">
        <f>VLOOKUP(N52,B:S,67,FALSE)</f>
        <v>#REF!</v>
      </c>
      <c r="Q52" s="150" t="e">
        <f>VLOOKUP(N52,B:M,62,FALSE)</f>
        <v>#REF!</v>
      </c>
    </row>
    <row r="53" spans="2:36">
      <c r="J53" s="1007"/>
      <c r="K53" s="147" t="s">
        <v>30</v>
      </c>
      <c r="L53" s="1007"/>
      <c r="M53" s="147" t="s">
        <v>30</v>
      </c>
      <c r="N53" s="148" t="s">
        <v>328</v>
      </c>
      <c r="O53" s="148">
        <v>130</v>
      </c>
      <c r="P53" s="149" t="e">
        <f>VLOOKUP(N53,B:S,67,FALSE)</f>
        <v>#REF!</v>
      </c>
      <c r="Q53" s="150" t="e">
        <f>VLOOKUP(N53,B:M,62,FALSE)</f>
        <v>#REF!</v>
      </c>
    </row>
    <row r="56" spans="2:36">
      <c r="J56" s="71" t="s">
        <v>298</v>
      </c>
      <c r="K56" s="169">
        <v>1930000</v>
      </c>
      <c r="L56" s="71" t="s">
        <v>298</v>
      </c>
      <c r="M56" s="169">
        <v>1930000</v>
      </c>
      <c r="N56" s="172">
        <v>0</v>
      </c>
    </row>
    <row r="58" spans="2:36">
      <c r="K58" s="171" t="e">
        <f>((1/3)*$M$56*(AE3/SUM($AG$3:$AG$21)))</f>
        <v>#N/A</v>
      </c>
      <c r="M58" s="171">
        <f>((1/3)*$M$56*(AG3/SUM($AG$3:$AG$21)))</f>
        <v>19132.589838909538</v>
      </c>
    </row>
  </sheetData>
  <mergeCells count="148">
    <mergeCell ref="J50:J53"/>
    <mergeCell ref="AC29:AC31"/>
    <mergeCell ref="L50:L53"/>
    <mergeCell ref="E1:G1"/>
    <mergeCell ref="L1:M1"/>
    <mergeCell ref="N1:O1"/>
    <mergeCell ref="U3:U4"/>
    <mergeCell ref="V3:V4"/>
    <mergeCell ref="W3:W4"/>
    <mergeCell ref="X3:X4"/>
    <mergeCell ref="Y3:Y4"/>
    <mergeCell ref="U24:U25"/>
    <mergeCell ref="V24:V25"/>
    <mergeCell ref="W24:W25"/>
    <mergeCell ref="X24:X25"/>
    <mergeCell ref="Y24:Y25"/>
    <mergeCell ref="V39:V42"/>
    <mergeCell ref="U39:U42"/>
    <mergeCell ref="U32:U33"/>
    <mergeCell ref="V32:V33"/>
    <mergeCell ref="U14:U15"/>
    <mergeCell ref="V14:V15"/>
    <mergeCell ref="W14:W15"/>
    <mergeCell ref="X14:X15"/>
    <mergeCell ref="Y14:Y15"/>
    <mergeCell ref="V5:V10"/>
    <mergeCell ref="W5:W10"/>
    <mergeCell ref="X5:X10"/>
    <mergeCell ref="Y5:Y10"/>
    <mergeCell ref="U5:U10"/>
    <mergeCell ref="P1:S1"/>
    <mergeCell ref="H1:I1"/>
    <mergeCell ref="V19:V21"/>
    <mergeCell ref="W19:W21"/>
    <mergeCell ref="X19:X21"/>
    <mergeCell ref="Y19:Y21"/>
    <mergeCell ref="J1:K1"/>
    <mergeCell ref="Z19:Z21"/>
    <mergeCell ref="AA19:AA21"/>
    <mergeCell ref="AB19:AB21"/>
    <mergeCell ref="AC19:AC21"/>
    <mergeCell ref="U16:U18"/>
    <mergeCell ref="V16:V18"/>
    <mergeCell ref="W16:W18"/>
    <mergeCell ref="X16:X18"/>
    <mergeCell ref="Y16:Y18"/>
    <mergeCell ref="Z3:Z4"/>
    <mergeCell ref="AA3:AA4"/>
    <mergeCell ref="AB3:AB4"/>
    <mergeCell ref="AC3:AC4"/>
    <mergeCell ref="AB5:AB10"/>
    <mergeCell ref="AC5:AC10"/>
    <mergeCell ref="AA5:AA10"/>
    <mergeCell ref="Z16:Z18"/>
    <mergeCell ref="AA16:AA18"/>
    <mergeCell ref="AB16:AB18"/>
    <mergeCell ref="AC16:AC18"/>
    <mergeCell ref="Z14:Z15"/>
    <mergeCell ref="AA14:AA15"/>
    <mergeCell ref="AB14:AB15"/>
    <mergeCell ref="AC14:AC15"/>
    <mergeCell ref="Z5:Z10"/>
    <mergeCell ref="U34:U35"/>
    <mergeCell ref="V34:V35"/>
    <mergeCell ref="W34:W35"/>
    <mergeCell ref="X34:X35"/>
    <mergeCell ref="Y34:Y35"/>
    <mergeCell ref="Z34:Z35"/>
    <mergeCell ref="AA34:AA35"/>
    <mergeCell ref="AB34:AB35"/>
    <mergeCell ref="U26:U27"/>
    <mergeCell ref="V26:V27"/>
    <mergeCell ref="W26:W27"/>
    <mergeCell ref="X26:X27"/>
    <mergeCell ref="Y26:Y27"/>
    <mergeCell ref="Z26:Z27"/>
    <mergeCell ref="AA26:AA27"/>
    <mergeCell ref="AB26:AB27"/>
    <mergeCell ref="U29:U31"/>
    <mergeCell ref="V29:V31"/>
    <mergeCell ref="W29:W31"/>
    <mergeCell ref="X29:X31"/>
    <mergeCell ref="Y29:Y31"/>
    <mergeCell ref="Z29:Z31"/>
    <mergeCell ref="AA29:AA31"/>
    <mergeCell ref="AB29:AB31"/>
    <mergeCell ref="AC34:AC35"/>
    <mergeCell ref="Z39:Z42"/>
    <mergeCell ref="Y39:Y42"/>
    <mergeCell ref="X39:X42"/>
    <mergeCell ref="W39:W42"/>
    <mergeCell ref="AA39:AA42"/>
    <mergeCell ref="AB39:AB42"/>
    <mergeCell ref="AC39:AC42"/>
    <mergeCell ref="AA32:AA33"/>
    <mergeCell ref="AB32:AB33"/>
    <mergeCell ref="AC32:AC33"/>
    <mergeCell ref="Y32:Y33"/>
    <mergeCell ref="Z32:Z33"/>
    <mergeCell ref="W32:W33"/>
    <mergeCell ref="X32:X33"/>
    <mergeCell ref="U36:U38"/>
    <mergeCell ref="V36:V38"/>
    <mergeCell ref="W36:W38"/>
    <mergeCell ref="X36:X38"/>
    <mergeCell ref="Y36:Y38"/>
    <mergeCell ref="Z36:Z38"/>
    <mergeCell ref="AA36:AA38"/>
    <mergeCell ref="AB36:AB38"/>
    <mergeCell ref="AC36:AC38"/>
    <mergeCell ref="AC26:AC27"/>
    <mergeCell ref="U11:U13"/>
    <mergeCell ref="V11:V13"/>
    <mergeCell ref="W11:W13"/>
    <mergeCell ref="X11:X13"/>
    <mergeCell ref="Y11:Y13"/>
    <mergeCell ref="Z11:Z13"/>
    <mergeCell ref="AA11:AA13"/>
    <mergeCell ref="AB11:AB13"/>
    <mergeCell ref="AC11:AC13"/>
    <mergeCell ref="U22:U23"/>
    <mergeCell ref="V22:V23"/>
    <mergeCell ref="W22:W23"/>
    <mergeCell ref="X22:X23"/>
    <mergeCell ref="Y22:Y23"/>
    <mergeCell ref="Z22:Z23"/>
    <mergeCell ref="AA24:AA25"/>
    <mergeCell ref="AB24:AB25"/>
    <mergeCell ref="AC24:AC25"/>
    <mergeCell ref="AA22:AA23"/>
    <mergeCell ref="AB22:AB23"/>
    <mergeCell ref="AC22:AC23"/>
    <mergeCell ref="Z24:Z25"/>
    <mergeCell ref="U19:U21"/>
    <mergeCell ref="AJ29:AJ31"/>
    <mergeCell ref="AJ32:AJ33"/>
    <mergeCell ref="AJ34:AJ35"/>
    <mergeCell ref="AJ36:AJ38"/>
    <mergeCell ref="AJ39:AJ42"/>
    <mergeCell ref="AJ3:AJ4"/>
    <mergeCell ref="AJ5:AJ10"/>
    <mergeCell ref="AJ11:AJ13"/>
    <mergeCell ref="AJ14:AJ15"/>
    <mergeCell ref="AJ16:AJ18"/>
    <mergeCell ref="AJ19:AJ21"/>
    <mergeCell ref="AJ22:AJ23"/>
    <mergeCell ref="AJ24:AJ25"/>
    <mergeCell ref="AJ26:AJ27"/>
  </mergeCells>
  <conditionalFormatting sqref="N38:O42 N21:O28 R21:S28 N44:O1048576 R32:S35 N32:O35 N14:O14 N1:O10 R1:S10 N16:O19">
    <cfRule type="cellIs" dxfId="366" priority="37" operator="greaterThan">
      <formula>0.9</formula>
    </cfRule>
  </conditionalFormatting>
  <conditionalFormatting sqref="R14:S14 R38:S1048576 R16:S19">
    <cfRule type="cellIs" dxfId="365" priority="36" operator="greaterThan">
      <formula>0.9</formula>
    </cfRule>
  </conditionalFormatting>
  <conditionalFormatting sqref="N20:O20">
    <cfRule type="cellIs" dxfId="364" priority="31" operator="greaterThan">
      <formula>0.9</formula>
    </cfRule>
  </conditionalFormatting>
  <conditionalFormatting sqref="R20:S20">
    <cfRule type="cellIs" dxfId="363" priority="30" operator="greaterThan">
      <formula>0.9</formula>
    </cfRule>
  </conditionalFormatting>
  <conditionalFormatting sqref="N36:O36">
    <cfRule type="cellIs" dxfId="362" priority="28" operator="greaterThan">
      <formula>0.9</formula>
    </cfRule>
  </conditionalFormatting>
  <conditionalFormatting sqref="R36:S36">
    <cfRule type="cellIs" dxfId="361" priority="27" operator="greaterThan">
      <formula>0.9</formula>
    </cfRule>
  </conditionalFormatting>
  <conditionalFormatting sqref="N37:O37">
    <cfRule type="cellIs" dxfId="360" priority="25" operator="greaterThan">
      <formula>0.9</formula>
    </cfRule>
  </conditionalFormatting>
  <conditionalFormatting sqref="R37:S37">
    <cfRule type="cellIs" dxfId="359" priority="24" operator="greaterThan">
      <formula>0.9</formula>
    </cfRule>
  </conditionalFormatting>
  <conditionalFormatting sqref="N43:O43">
    <cfRule type="cellIs" dxfId="358" priority="22" operator="greaterThan">
      <formula>0.9</formula>
    </cfRule>
  </conditionalFormatting>
  <conditionalFormatting sqref="R29:S31">
    <cfRule type="cellIs" dxfId="357" priority="17" operator="greaterThan">
      <formula>0.9</formula>
    </cfRule>
  </conditionalFormatting>
  <conditionalFormatting sqref="N29:O31">
    <cfRule type="cellIs" dxfId="356" priority="19" operator="greaterThan">
      <formula>0.9</formula>
    </cfRule>
  </conditionalFormatting>
  <conditionalFormatting sqref="N11:O13">
    <cfRule type="cellIs" dxfId="355" priority="15" operator="greaterThan">
      <formula>0.9</formula>
    </cfRule>
  </conditionalFormatting>
  <conditionalFormatting sqref="R11:S13">
    <cfRule type="cellIs" dxfId="354" priority="14" operator="greaterThan">
      <formula>0.9</formula>
    </cfRule>
  </conditionalFormatting>
  <conditionalFormatting sqref="X1:X14 X29:X1048576 X16:X25">
    <cfRule type="containsText" dxfId="353" priority="12" operator="containsText" text="new">
      <formula>NOT(ISERROR(SEARCH("new",X1)))</formula>
    </cfRule>
  </conditionalFormatting>
  <conditionalFormatting sqref="X26:X27">
    <cfRule type="containsText" dxfId="352" priority="11" operator="containsText" text="new">
      <formula>NOT(ISERROR(SEARCH("new",X26)))</formula>
    </cfRule>
  </conditionalFormatting>
  <conditionalFormatting sqref="X28">
    <cfRule type="containsText" dxfId="351" priority="10" operator="containsText" text="new">
      <formula>NOT(ISERROR(SEARCH("new",X28)))</formula>
    </cfRule>
  </conditionalFormatting>
  <conditionalFormatting sqref="N15:O15">
    <cfRule type="cellIs" dxfId="350" priority="9" operator="greaterThan">
      <formula>0.9</formula>
    </cfRule>
  </conditionalFormatting>
  <conditionalFormatting sqref="R15:S15">
    <cfRule type="cellIs" dxfId="349" priority="8" operator="greaterThan">
      <formula>0.9</formula>
    </cfRule>
  </conditionalFormatting>
  <conditionalFormatting sqref="X1:X1048576">
    <cfRule type="duplicateValues" dxfId="348" priority="5"/>
  </conditionalFormatting>
  <conditionalFormatting sqref="AJ1:AJ14 AJ29:AJ1048576 AJ16:AJ25">
    <cfRule type="containsText" dxfId="347" priority="4" operator="containsText" text="new">
      <formula>NOT(ISERROR(SEARCH("new",AJ1)))</formula>
    </cfRule>
  </conditionalFormatting>
  <conditionalFormatting sqref="AJ26:AJ27">
    <cfRule type="containsText" dxfId="346" priority="3" operator="containsText" text="new">
      <formula>NOT(ISERROR(SEARCH("new",AJ26)))</formula>
    </cfRule>
  </conditionalFormatting>
  <conditionalFormatting sqref="AJ28">
    <cfRule type="containsText" dxfId="345" priority="2" operator="containsText" text="new">
      <formula>NOT(ISERROR(SEARCH("new",AJ28)))</formula>
    </cfRule>
  </conditionalFormatting>
  <conditionalFormatting sqref="AJ1:AJ1048576">
    <cfRule type="duplicateValues" dxfId="344" priority="1"/>
  </conditionalFormatting>
  <hyperlinks>
    <hyperlink ref="B49" location="'Gioi Thieu Tai lieu'!A1" display="'Gioi Thieu Tai lieu'!A1"/>
  </hyperlinks>
  <pageMargins left="0.7" right="0.7" top="0.75" bottom="0.75" header="0.3" footer="0.3"/>
  <pageSetup orientation="portrait" horizontalDpi="1200" verticalDpi="120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50"/>
  <sheetViews>
    <sheetView zoomScale="85" zoomScaleNormal="85" workbookViewId="0">
      <pane xSplit="7" ySplit="2" topLeftCell="L9" activePane="bottomRight" state="frozen"/>
      <selection pane="topRight" activeCell="H1" sqref="H1"/>
      <selection pane="bottomLeft" activeCell="A3" sqref="A3"/>
      <selection pane="bottomRight" activeCell="N25" sqref="N25"/>
    </sheetView>
  </sheetViews>
  <sheetFormatPr defaultRowHeight="15"/>
  <cols>
    <col min="1" max="1" width="4.42578125" bestFit="1" customWidth="1"/>
    <col min="2" max="2" width="10.42578125" bestFit="1" customWidth="1"/>
    <col min="3" max="3" width="9.85546875" customWidth="1"/>
    <col min="4" max="4" width="7.42578125" bestFit="1" customWidth="1"/>
    <col min="5" max="6" width="11.7109375" bestFit="1" customWidth="1"/>
    <col min="7" max="7" width="15.140625" customWidth="1"/>
    <col min="8" max="9" width="13.5703125" hidden="1" customWidth="1"/>
    <col min="10" max="11" width="15.28515625" hidden="1" customWidth="1"/>
    <col min="12" max="13" width="13.5703125" bestFit="1" customWidth="1"/>
    <col min="14" max="15" width="15.28515625" bestFit="1" customWidth="1"/>
    <col min="16" max="16" width="12.42578125" customWidth="1"/>
    <col min="17" max="18" width="16" style="137" customWidth="1"/>
    <col min="19" max="20" width="19.42578125" style="137" customWidth="1"/>
    <col min="21" max="21" width="19.28515625" customWidth="1"/>
    <col min="22" max="25" width="16.140625" customWidth="1"/>
    <col min="26" max="26" width="19.140625" bestFit="1" customWidth="1"/>
    <col min="27" max="27" width="10.5703125" bestFit="1" customWidth="1"/>
  </cols>
  <sheetData>
    <row r="1" spans="1:26" ht="15" customHeight="1">
      <c r="A1" s="1016" t="s">
        <v>0</v>
      </c>
      <c r="B1" s="1016" t="s">
        <v>7</v>
      </c>
      <c r="C1" s="1016" t="s">
        <v>43</v>
      </c>
      <c r="D1" s="1016" t="s">
        <v>103</v>
      </c>
      <c r="E1" s="1015" t="s">
        <v>5</v>
      </c>
      <c r="F1" s="1015"/>
      <c r="G1" s="1015"/>
      <c r="H1" s="1016" t="s">
        <v>367</v>
      </c>
      <c r="I1" s="1016"/>
      <c r="J1" s="1016"/>
      <c r="K1" s="1016"/>
      <c r="L1" s="1002" t="str">
        <f>Input_TaiNguyenPeak_SGSN_Daily!A2</f>
        <v>16/07/2024</v>
      </c>
      <c r="M1" s="1002"/>
      <c r="N1" s="1002"/>
      <c r="O1" s="1002"/>
      <c r="P1" s="232" t="s">
        <v>6</v>
      </c>
      <c r="Q1" s="1014" t="s">
        <v>325</v>
      </c>
      <c r="R1" s="1014"/>
      <c r="S1" s="1014"/>
      <c r="T1" s="1014"/>
      <c r="U1" s="202"/>
      <c r="V1" s="3"/>
      <c r="W1" s="3"/>
      <c r="X1" s="3"/>
      <c r="Y1" s="3"/>
      <c r="Z1" s="3"/>
    </row>
    <row r="2" spans="1:26" ht="38.25">
      <c r="A2" s="1016"/>
      <c r="B2" s="1016"/>
      <c r="C2" s="1016"/>
      <c r="D2" s="1016"/>
      <c r="E2" s="8" t="s">
        <v>10</v>
      </c>
      <c r="F2" s="9" t="s">
        <v>11</v>
      </c>
      <c r="G2" s="186" t="s">
        <v>322</v>
      </c>
      <c r="H2" s="10" t="s">
        <v>109</v>
      </c>
      <c r="I2" s="11" t="s">
        <v>110</v>
      </c>
      <c r="J2" s="12" t="s">
        <v>111</v>
      </c>
      <c r="K2" s="12" t="s">
        <v>112</v>
      </c>
      <c r="L2" s="10" t="s">
        <v>109</v>
      </c>
      <c r="M2" s="11" t="s">
        <v>110</v>
      </c>
      <c r="N2" s="12" t="s">
        <v>111</v>
      </c>
      <c r="O2" s="12" t="s">
        <v>112</v>
      </c>
      <c r="P2" s="11" t="s">
        <v>13</v>
      </c>
      <c r="Q2" s="187" t="s">
        <v>320</v>
      </c>
      <c r="R2" s="187" t="s">
        <v>321</v>
      </c>
      <c r="S2" s="188" t="s">
        <v>323</v>
      </c>
      <c r="T2" s="188" t="s">
        <v>324</v>
      </c>
      <c r="U2" s="11" t="s">
        <v>268</v>
      </c>
      <c r="V2" s="7" t="s">
        <v>468</v>
      </c>
      <c r="W2" s="7" t="s">
        <v>469</v>
      </c>
      <c r="X2" s="7" t="s">
        <v>354</v>
      </c>
      <c r="Y2" s="7" t="s">
        <v>355</v>
      </c>
      <c r="Z2" s="7" t="s">
        <v>14</v>
      </c>
    </row>
    <row r="3" spans="1:26">
      <c r="A3" s="13">
        <v>1</v>
      </c>
      <c r="B3" s="14" t="s">
        <v>16</v>
      </c>
      <c r="C3" s="14" t="s">
        <v>4</v>
      </c>
      <c r="D3" s="15" t="s">
        <v>15</v>
      </c>
      <c r="E3" s="16">
        <f>VLOOKUP(B3,Input_Lic_Rate_PS!B:H,4,FALSE)</f>
        <v>2500000</v>
      </c>
      <c r="F3" s="16">
        <f>VLOOKUP(B3,Input_Lic_Rate_PS!B:H,5,FALSE)</f>
        <v>2800000</v>
      </c>
      <c r="G3" s="16">
        <v>2800000</v>
      </c>
      <c r="H3" s="16">
        <v>1880042</v>
      </c>
      <c r="I3" s="16">
        <v>2098944</v>
      </c>
      <c r="J3" s="4">
        <v>2393643</v>
      </c>
      <c r="K3" s="4">
        <v>2499063</v>
      </c>
      <c r="L3" s="16">
        <f>VLOOKUP($B3,Input_TaiNguyenPeak_SGSN_Daily!E:AA,6,FALSE)</f>
        <v>1875244</v>
      </c>
      <c r="M3" s="16">
        <f>VLOOKUP($B3,Input_TaiNguyenPeak_SGSN_Daily!$E:AA,7,FALSE)</f>
        <v>2092100</v>
      </c>
      <c r="N3" s="4">
        <f>VLOOKUP($B3,Input_TaiNguyenPeak_SGSN_Daily!$E:AA,14,FALSE)</f>
        <v>2494637</v>
      </c>
      <c r="O3" s="4">
        <f>VLOOKUP($B3,Input_TaiNguyenPeak_SGSN_Daily!$E:AB,15,FALSE)</f>
        <v>2599535</v>
      </c>
      <c r="P3" s="18">
        <f t="shared" ref="P3:P42" si="0">M3/F3</f>
        <v>0.74717857142857147</v>
      </c>
      <c r="Q3" s="194">
        <f>VLOOKUP(B3,Input_Lic_Rate_PS!B:I,8,FALSE)</f>
        <v>18</v>
      </c>
      <c r="R3" s="194">
        <v>22</v>
      </c>
      <c r="S3" s="190">
        <f t="shared" ref="S3:S14" si="1">IF(U3=0,0,M3+($M$15-$U$15)*R3/SUM($R$3:$R$14))</f>
        <v>2092100</v>
      </c>
      <c r="T3" s="191">
        <f t="shared" ref="T3:T14" si="2">S3/G3</f>
        <v>0.74717857142857147</v>
      </c>
      <c r="U3" s="4">
        <f t="shared" ref="U3:U14" si="3">IF(R3=0,0,1)*M3</f>
        <v>2092100</v>
      </c>
      <c r="V3" s="212">
        <f>S3+R3/$R$15*$M$19</f>
        <v>2164292.6030927836</v>
      </c>
      <c r="W3" s="203">
        <f>V3/G3</f>
        <v>0.77296164396170841</v>
      </c>
      <c r="X3" s="190">
        <f t="shared" ref="X3:X14" si="4">$M$15*R3/$R$15</f>
        <v>1561775.5206185568</v>
      </c>
      <c r="Y3" s="191">
        <f t="shared" ref="Y3:Y14" si="5">X3/G3</f>
        <v>0.55777697164948459</v>
      </c>
      <c r="Z3" s="15" t="str">
        <f>VLOOKUP(B3,Input_Lic_Rate_PS!B:G,6,FALSE)</f>
        <v>MkVIII</v>
      </c>
    </row>
    <row r="4" spans="1:26">
      <c r="A4" s="13">
        <f>COUNTA(A2,0,0)</f>
        <v>2</v>
      </c>
      <c r="B4" s="14" t="s">
        <v>17</v>
      </c>
      <c r="C4" s="14" t="s">
        <v>4</v>
      </c>
      <c r="D4" s="15" t="s">
        <v>15</v>
      </c>
      <c r="E4" s="16">
        <f>VLOOKUP(B4,Input_Lic_Rate_PS!B:H,4,FALSE)</f>
        <v>2500000</v>
      </c>
      <c r="F4" s="16">
        <f>VLOOKUP(B4,Input_Lic_Rate_PS!B:H,5,FALSE)</f>
        <v>2800000</v>
      </c>
      <c r="G4" s="16">
        <v>2800000</v>
      </c>
      <c r="H4" s="16">
        <v>1910138</v>
      </c>
      <c r="I4" s="16">
        <v>2121770</v>
      </c>
      <c r="J4" s="4">
        <v>2493101</v>
      </c>
      <c r="K4" s="4">
        <v>2597983</v>
      </c>
      <c r="L4" s="16">
        <f>VLOOKUP(B4,Input_TaiNguyenPeak_SGSN_Daily!E:AA,6,FALSE)</f>
        <v>1990929</v>
      </c>
      <c r="M4" s="16">
        <f>VLOOKUP($B4,Input_TaiNguyenPeak_SGSN_Daily!E:AA,7,FALSE)</f>
        <v>2207777</v>
      </c>
      <c r="N4" s="4">
        <f>VLOOKUP($B4,Input_TaiNguyenPeak_SGSN_Daily!$E:AA,14,FALSE)</f>
        <v>2679111</v>
      </c>
      <c r="O4" s="4">
        <f>VLOOKUP($B4,Input_TaiNguyenPeak_SGSN_Daily!$E:AB,15,FALSE)</f>
        <v>2784486</v>
      </c>
      <c r="P4" s="18">
        <f t="shared" si="0"/>
        <v>0.78849178571428569</v>
      </c>
      <c r="Q4" s="194">
        <f>VLOOKUP(B4,Input_Lic_Rate_PS!B:I,8,FALSE)</f>
        <v>18</v>
      </c>
      <c r="R4" s="194">
        <v>22</v>
      </c>
      <c r="S4" s="190">
        <f t="shared" si="1"/>
        <v>2207777</v>
      </c>
      <c r="T4" s="191">
        <f t="shared" si="2"/>
        <v>0.78849178571428569</v>
      </c>
      <c r="U4" s="4">
        <f t="shared" si="3"/>
        <v>2207777</v>
      </c>
      <c r="V4" s="212">
        <f t="shared" ref="V4:V14" si="6">S4+R4/$R$15*$M$19</f>
        <v>2279969.6030927836</v>
      </c>
      <c r="W4" s="203">
        <f t="shared" ref="W4:W14" si="7">V4/G4</f>
        <v>0.81427485824742274</v>
      </c>
      <c r="X4" s="190">
        <f t="shared" si="4"/>
        <v>1561775.5206185568</v>
      </c>
      <c r="Y4" s="191">
        <f t="shared" si="5"/>
        <v>0.55777697164948459</v>
      </c>
      <c r="Z4" s="15" t="str">
        <f>VLOOKUP(B4,Input_Lic_Rate_PS!B:G,6,FALSE)</f>
        <v>MkVIII</v>
      </c>
    </row>
    <row r="5" spans="1:26">
      <c r="A5" s="13">
        <v>3</v>
      </c>
      <c r="B5" s="14" t="s">
        <v>18</v>
      </c>
      <c r="C5" s="14" t="s">
        <v>4</v>
      </c>
      <c r="D5" s="15" t="s">
        <v>15</v>
      </c>
      <c r="E5" s="16">
        <f>VLOOKUP(B5,Input_Lic_Rate_PS!B:H,4,FALSE)</f>
        <v>3300000</v>
      </c>
      <c r="F5" s="16">
        <f>VLOOKUP(B5,Input_Lic_Rate_PS!B:H,5,FALSE)</f>
        <v>3300000</v>
      </c>
      <c r="G5" s="16">
        <v>4000000</v>
      </c>
      <c r="H5" s="16">
        <v>2507064</v>
      </c>
      <c r="I5" s="16">
        <v>2752760</v>
      </c>
      <c r="J5" s="4">
        <v>3245860</v>
      </c>
      <c r="K5" s="4">
        <v>3367108</v>
      </c>
      <c r="L5" s="16">
        <f>VLOOKUP(B5,Input_TaiNguyenPeak_SGSN_Daily!E:AA,6,FALSE)</f>
        <v>2705179</v>
      </c>
      <c r="M5" s="16">
        <f>VLOOKUP($B5,Input_TaiNguyenPeak_SGSN_Daily!E:AA,7,FALSE)</f>
        <v>2956438</v>
      </c>
      <c r="N5" s="4">
        <f>VLOOKUP($B5,Input_TaiNguyenPeak_SGSN_Daily!$E:AA,14,FALSE)</f>
        <v>3648430</v>
      </c>
      <c r="O5" s="4">
        <f>VLOOKUP($B5,Input_TaiNguyenPeak_SGSN_Daily!$E:AB,15,FALSE)</f>
        <v>3777165</v>
      </c>
      <c r="P5" s="18">
        <f t="shared" si="0"/>
        <v>0.89589030303030304</v>
      </c>
      <c r="Q5" s="194">
        <f>VLOOKUP(B5,Input_Lic_Rate_PS!B:I,8,FALSE)</f>
        <v>38</v>
      </c>
      <c r="R5" s="194">
        <v>38</v>
      </c>
      <c r="S5" s="190">
        <f t="shared" si="1"/>
        <v>2956438</v>
      </c>
      <c r="T5" s="191">
        <f t="shared" si="2"/>
        <v>0.73910949999999997</v>
      </c>
      <c r="U5" s="4">
        <f t="shared" si="3"/>
        <v>2956438</v>
      </c>
      <c r="V5" s="212">
        <f t="shared" si="6"/>
        <v>3081134.3144329898</v>
      </c>
      <c r="W5" s="203">
        <f t="shared" si="7"/>
        <v>0.77028357860824748</v>
      </c>
      <c r="X5" s="190">
        <f t="shared" si="4"/>
        <v>2697612.2628865978</v>
      </c>
      <c r="Y5" s="191">
        <f t="shared" si="5"/>
        <v>0.67440306572164943</v>
      </c>
      <c r="Z5" s="15" t="str">
        <f>VLOOKUP(B5,Input_Lic_Rate_PS!B:G,6,FALSE)</f>
        <v>MkX</v>
      </c>
    </row>
    <row r="6" spans="1:26">
      <c r="A6" s="13">
        <v>4</v>
      </c>
      <c r="B6" s="14" t="s">
        <v>19</v>
      </c>
      <c r="C6" s="14" t="s">
        <v>4</v>
      </c>
      <c r="D6" s="15" t="s">
        <v>15</v>
      </c>
      <c r="E6" s="16">
        <f>VLOOKUP(B6,Input_Lic_Rate_PS!B:H,4,FALSE)</f>
        <v>3300000</v>
      </c>
      <c r="F6" s="16">
        <f>VLOOKUP(B6,Input_Lic_Rate_PS!B:H,5,FALSE)</f>
        <v>3300000</v>
      </c>
      <c r="G6" s="16">
        <v>4000000</v>
      </c>
      <c r="H6" s="16">
        <v>3111589</v>
      </c>
      <c r="I6" s="16">
        <v>3374497</v>
      </c>
      <c r="J6" s="4">
        <v>4041047</v>
      </c>
      <c r="K6" s="4">
        <v>4175969</v>
      </c>
      <c r="L6" s="16">
        <f>VLOOKUP(B6,Input_TaiNguyenPeak_SGSN_Daily!E:AA,6,FALSE)</f>
        <v>2924572</v>
      </c>
      <c r="M6" s="16">
        <f>VLOOKUP($B6,Input_TaiNguyenPeak_SGSN_Daily!E:AA,7,FALSE)</f>
        <v>3186825</v>
      </c>
      <c r="N6" s="4">
        <f>VLOOKUP($B6,Input_TaiNguyenPeak_SGSN_Daily!$E:AA,14,FALSE)</f>
        <v>3926213</v>
      </c>
      <c r="O6" s="4">
        <f>VLOOKUP($B6,Input_TaiNguyenPeak_SGSN_Daily!$E:AB,15,FALSE)</f>
        <v>4058378</v>
      </c>
      <c r="P6" s="18">
        <f t="shared" si="0"/>
        <v>0.96570454545454543</v>
      </c>
      <c r="Q6" s="194">
        <f>VLOOKUP(B6,Input_Lic_Rate_PS!B:I,8,FALSE)</f>
        <v>38</v>
      </c>
      <c r="R6" s="194">
        <v>38</v>
      </c>
      <c r="S6" s="190">
        <f t="shared" si="1"/>
        <v>3186825</v>
      </c>
      <c r="T6" s="191">
        <f t="shared" si="2"/>
        <v>0.79670624999999995</v>
      </c>
      <c r="U6" s="4">
        <f t="shared" si="3"/>
        <v>3186825</v>
      </c>
      <c r="V6" s="212">
        <f t="shared" si="6"/>
        <v>3311521.3144329898</v>
      </c>
      <c r="W6" s="203">
        <f t="shared" si="7"/>
        <v>0.82788032860824745</v>
      </c>
      <c r="X6" s="190">
        <f t="shared" si="4"/>
        <v>2697612.2628865978</v>
      </c>
      <c r="Y6" s="191">
        <f t="shared" si="5"/>
        <v>0.67440306572164943</v>
      </c>
      <c r="Z6" s="15" t="str">
        <f>VLOOKUP(B6,Input_Lic_Rate_PS!B:G,6,FALSE)</f>
        <v>MkX</v>
      </c>
    </row>
    <row r="7" spans="1:26">
      <c r="A7" s="13">
        <v>5</v>
      </c>
      <c r="B7" s="14" t="s">
        <v>20</v>
      </c>
      <c r="C7" s="14" t="s">
        <v>4</v>
      </c>
      <c r="D7" s="15" t="s">
        <v>15</v>
      </c>
      <c r="E7" s="16">
        <f>VLOOKUP(B7,Input_Lic_Rate_PS!B:H,4,FALSE)</f>
        <v>3300000</v>
      </c>
      <c r="F7" s="16">
        <f>VLOOKUP(B7,Input_Lic_Rate_PS!B:H,5,FALSE)</f>
        <v>3300000</v>
      </c>
      <c r="G7" s="16">
        <v>4000000</v>
      </c>
      <c r="H7" s="16">
        <v>2868864</v>
      </c>
      <c r="I7" s="16">
        <v>3113308</v>
      </c>
      <c r="J7" s="4">
        <v>3699111</v>
      </c>
      <c r="K7" s="4">
        <v>3826792</v>
      </c>
      <c r="L7" s="16">
        <f>VLOOKUP(B7,Input_TaiNguyenPeak_SGSN_Daily!E:AA,6,FALSE)</f>
        <v>3388966</v>
      </c>
      <c r="M7" s="16">
        <f>VLOOKUP($B7,Input_TaiNguyenPeak_SGSN_Daily!E:AA,7,FALSE)</f>
        <v>3656272</v>
      </c>
      <c r="N7" s="4">
        <f>VLOOKUP($B7,Input_TaiNguyenPeak_SGSN_Daily!$E:AA,14,FALSE)</f>
        <v>4641262</v>
      </c>
      <c r="O7" s="4">
        <f>VLOOKUP($B7,Input_TaiNguyenPeak_SGSN_Daily!$E:AB,15,FALSE)</f>
        <v>4784180</v>
      </c>
      <c r="P7" s="18">
        <f t="shared" si="0"/>
        <v>1.1079612121212121</v>
      </c>
      <c r="Q7" s="194">
        <f>VLOOKUP(B7,Input_Lic_Rate_PS!B:I,8,FALSE)</f>
        <v>38</v>
      </c>
      <c r="R7" s="194">
        <v>38</v>
      </c>
      <c r="S7" s="190">
        <f t="shared" si="1"/>
        <v>3656272</v>
      </c>
      <c r="T7" s="191">
        <f t="shared" si="2"/>
        <v>0.91406799999999999</v>
      </c>
      <c r="U7" s="4">
        <f t="shared" si="3"/>
        <v>3656272</v>
      </c>
      <c r="V7" s="212">
        <f t="shared" si="6"/>
        <v>3780968.3144329898</v>
      </c>
      <c r="W7" s="203">
        <f t="shared" si="7"/>
        <v>0.94524207860824749</v>
      </c>
      <c r="X7" s="190">
        <f t="shared" si="4"/>
        <v>2697612.2628865978</v>
      </c>
      <c r="Y7" s="191">
        <f t="shared" si="5"/>
        <v>0.67440306572164943</v>
      </c>
      <c r="Z7" s="15" t="str">
        <f>VLOOKUP(B7,Input_Lic_Rate_PS!B:G,6,FALSE)</f>
        <v>MkX</v>
      </c>
    </row>
    <row r="8" spans="1:26">
      <c r="A8" s="13">
        <v>6</v>
      </c>
      <c r="B8" s="14" t="s">
        <v>21</v>
      </c>
      <c r="C8" s="14" t="s">
        <v>4</v>
      </c>
      <c r="D8" s="15" t="s">
        <v>15</v>
      </c>
      <c r="E8" s="16">
        <f>VLOOKUP(B8,Input_Lic_Rate_PS!B:H,4,FALSE)</f>
        <v>3300000</v>
      </c>
      <c r="F8" s="16">
        <f>VLOOKUP(B8,Input_Lic_Rate_PS!B:H,5,FALSE)</f>
        <v>3300000</v>
      </c>
      <c r="G8" s="16">
        <v>4000000</v>
      </c>
      <c r="H8" s="16">
        <v>2634618</v>
      </c>
      <c r="I8" s="16">
        <v>2887747</v>
      </c>
      <c r="J8" s="4">
        <v>3385159</v>
      </c>
      <c r="K8" s="4">
        <v>3513538</v>
      </c>
      <c r="L8" s="16">
        <f>VLOOKUP(B8,Input_TaiNguyenPeak_SGSN_Daily!E:AA,6,FALSE)</f>
        <v>2774384</v>
      </c>
      <c r="M8" s="16">
        <f>VLOOKUP($B8,Input_TaiNguyenPeak_SGSN_Daily!E:AA,7,FALSE)</f>
        <v>3033753</v>
      </c>
      <c r="N8" s="4">
        <f>VLOOKUP($B8,Input_TaiNguyenPeak_SGSN_Daily!$E:AA,14,FALSE)</f>
        <v>3722698</v>
      </c>
      <c r="O8" s="4">
        <f>VLOOKUP($B8,Input_TaiNguyenPeak_SGSN_Daily!$E:AB,15,FALSE)</f>
        <v>3855198</v>
      </c>
      <c r="P8" s="18">
        <f t="shared" si="0"/>
        <v>0.91931909090909092</v>
      </c>
      <c r="Q8" s="194">
        <f>VLOOKUP(B8,Input_Lic_Rate_PS!B:I,8,FALSE)</f>
        <v>38</v>
      </c>
      <c r="R8" s="194">
        <v>38</v>
      </c>
      <c r="S8" s="190">
        <f t="shared" si="1"/>
        <v>3033753</v>
      </c>
      <c r="T8" s="191">
        <f t="shared" si="2"/>
        <v>0.75843824999999998</v>
      </c>
      <c r="U8" s="4">
        <f t="shared" si="3"/>
        <v>3033753</v>
      </c>
      <c r="V8" s="212">
        <f t="shared" si="6"/>
        <v>3158449.3144329898</v>
      </c>
      <c r="W8" s="203">
        <f t="shared" si="7"/>
        <v>0.78961232860824748</v>
      </c>
      <c r="X8" s="190">
        <f t="shared" si="4"/>
        <v>2697612.2628865978</v>
      </c>
      <c r="Y8" s="191">
        <f t="shared" si="5"/>
        <v>0.67440306572164943</v>
      </c>
      <c r="Z8" s="15" t="str">
        <f>VLOOKUP(B8,Input_Lic_Rate_PS!B:G,6,FALSE)</f>
        <v>MkX</v>
      </c>
    </row>
    <row r="9" spans="1:26" ht="34.5" customHeight="1">
      <c r="A9" s="13">
        <v>7</v>
      </c>
      <c r="B9" s="14" t="s">
        <v>22</v>
      </c>
      <c r="C9" s="14" t="s">
        <v>4</v>
      </c>
      <c r="D9" s="15" t="s">
        <v>15</v>
      </c>
      <c r="E9" s="16">
        <f>VLOOKUP(B9,Input_Lic_Rate_PS!B:H,4,FALSE)</f>
        <v>3300000</v>
      </c>
      <c r="F9" s="16">
        <f>VLOOKUP(B9,Input_Lic_Rate_PS!B:H,5,FALSE)</f>
        <v>3300000</v>
      </c>
      <c r="G9" s="16">
        <v>4000000</v>
      </c>
      <c r="H9" s="16">
        <v>2244354</v>
      </c>
      <c r="I9" s="16">
        <v>2388784</v>
      </c>
      <c r="J9" s="4">
        <v>2854518</v>
      </c>
      <c r="K9" s="4">
        <v>2937736</v>
      </c>
      <c r="L9" s="16">
        <f>VLOOKUP(B9,Input_TaiNguyenPeak_SGSN_Daily!E:AA,6,FALSE)</f>
        <v>2001731</v>
      </c>
      <c r="M9" s="16">
        <f>VLOOKUP($B9,Input_TaiNguyenPeak_SGSN_Daily!E:AA,7,FALSE)</f>
        <v>2149015</v>
      </c>
      <c r="N9" s="4">
        <f>VLOOKUP($B9,Input_TaiNguyenPeak_SGSN_Daily!$E:AA,14,FALSE)</f>
        <v>2671990</v>
      </c>
      <c r="O9" s="4">
        <f>VLOOKUP($B9,Input_TaiNguyenPeak_SGSN_Daily!$E:AB,15,FALSE)</f>
        <v>2754767</v>
      </c>
      <c r="P9" s="18">
        <f t="shared" si="0"/>
        <v>0.65121666666666667</v>
      </c>
      <c r="Q9" s="194">
        <f>VLOOKUP(B9,Input_Lic_Rate_PS!B:I,8,FALSE)</f>
        <v>10</v>
      </c>
      <c r="R9" s="156">
        <v>38</v>
      </c>
      <c r="S9" s="190">
        <f t="shared" si="1"/>
        <v>2149015</v>
      </c>
      <c r="T9" s="191">
        <f t="shared" si="2"/>
        <v>0.53725374999999997</v>
      </c>
      <c r="U9" s="4">
        <f t="shared" si="3"/>
        <v>2149015</v>
      </c>
      <c r="V9" s="212">
        <f t="shared" si="6"/>
        <v>2273711.3144329898</v>
      </c>
      <c r="W9" s="203">
        <f t="shared" si="7"/>
        <v>0.56842782860824748</v>
      </c>
      <c r="X9" s="190">
        <f t="shared" si="4"/>
        <v>2697612.2628865978</v>
      </c>
      <c r="Y9" s="191">
        <f t="shared" si="5"/>
        <v>0.67440306572164943</v>
      </c>
      <c r="Z9" s="15" t="str">
        <f>VLOOKUP(B9,Input_Lic_Rate_PS!B:G,6,FALSE)</f>
        <v>Cloud-TCHL01</v>
      </c>
    </row>
    <row r="10" spans="1:26" ht="34.5" customHeight="1">
      <c r="A10" s="13">
        <v>8</v>
      </c>
      <c r="B10" s="14" t="s">
        <v>106</v>
      </c>
      <c r="C10" s="14" t="s">
        <v>4</v>
      </c>
      <c r="D10" s="15" t="s">
        <v>25</v>
      </c>
      <c r="E10" s="16">
        <f>VLOOKUP(B10,Input_Lic_Rate_PS!B:H,4,FALSE)</f>
        <v>3300000</v>
      </c>
      <c r="F10" s="16">
        <f>VLOOKUP(B10,Input_Lic_Rate_PS!B:H,5,FALSE)</f>
        <v>3300000</v>
      </c>
      <c r="G10" s="16">
        <v>4000000</v>
      </c>
      <c r="H10" s="16">
        <v>2333271</v>
      </c>
      <c r="I10" s="16">
        <v>2506624</v>
      </c>
      <c r="J10" s="4">
        <v>2970772</v>
      </c>
      <c r="K10" s="4">
        <v>3065080</v>
      </c>
      <c r="L10" s="16">
        <f>VLOOKUP(B10,Input_TaiNguyenPeak_SGSN_Daily!E:AA,6,FALSE)</f>
        <v>2131857</v>
      </c>
      <c r="M10" s="16">
        <f>VLOOKUP($B10,Input_TaiNguyenPeak_SGSN_Daily!E:AA,7,FALSE)</f>
        <v>2302813</v>
      </c>
      <c r="N10" s="4">
        <f>VLOOKUP($B10,Input_TaiNguyenPeak_SGSN_Daily!$E:AA,14,FALSE)</f>
        <v>2857403</v>
      </c>
      <c r="O10" s="4">
        <f>VLOOKUP($B10,Input_TaiNguyenPeak_SGSN_Daily!$E:AB,15,FALSE)</f>
        <v>2952581</v>
      </c>
      <c r="P10" s="18">
        <f t="shared" si="0"/>
        <v>0.69782212121212117</v>
      </c>
      <c r="Q10" s="194">
        <f>VLOOKUP(B10,Input_Lic_Rate_PS!B:I,8,FALSE)</f>
        <v>10</v>
      </c>
      <c r="R10" s="156">
        <v>38</v>
      </c>
      <c r="S10" s="190">
        <f t="shared" si="1"/>
        <v>2302813</v>
      </c>
      <c r="T10" s="191">
        <f t="shared" si="2"/>
        <v>0.57570325</v>
      </c>
      <c r="U10" s="4">
        <f t="shared" si="3"/>
        <v>2302813</v>
      </c>
      <c r="V10" s="212">
        <f t="shared" si="6"/>
        <v>2427509.3144329898</v>
      </c>
      <c r="W10" s="203">
        <f t="shared" si="7"/>
        <v>0.6068773286082475</v>
      </c>
      <c r="X10" s="190">
        <f t="shared" si="4"/>
        <v>2697612.2628865978</v>
      </c>
      <c r="Y10" s="191">
        <f t="shared" si="5"/>
        <v>0.67440306572164943</v>
      </c>
      <c r="Z10" s="15" t="str">
        <f>VLOOKUP(B10,Input_Lic_Rate_PS!B:G,6,FALSE)</f>
        <v>Cloud-TCHL01</v>
      </c>
    </row>
    <row r="11" spans="1:26" ht="34.5" customHeight="1">
      <c r="A11" s="13">
        <v>9</v>
      </c>
      <c r="B11" s="14" t="s">
        <v>107</v>
      </c>
      <c r="C11" s="14" t="s">
        <v>4</v>
      </c>
      <c r="D11" s="15" t="s">
        <v>30</v>
      </c>
      <c r="E11" s="16">
        <f>VLOOKUP(B11,Input_Lic_Rate_PS!B:H,4,FALSE)</f>
        <v>3300000</v>
      </c>
      <c r="F11" s="16">
        <f>VLOOKUP(B11,Input_Lic_Rate_PS!B:H,5,FALSE)</f>
        <v>3300000</v>
      </c>
      <c r="G11" s="16">
        <v>4000000</v>
      </c>
      <c r="H11" s="16">
        <v>2367997</v>
      </c>
      <c r="I11" s="16">
        <v>2538623</v>
      </c>
      <c r="J11" s="4">
        <v>3045666</v>
      </c>
      <c r="K11" s="4">
        <v>3142954</v>
      </c>
      <c r="L11" s="16">
        <f>VLOOKUP(B11,Input_TaiNguyenPeak_SGSN_Daily!E:AA,6,FALSE)</f>
        <v>2238958</v>
      </c>
      <c r="M11" s="16">
        <f>VLOOKUP($B11,Input_TaiNguyenPeak_SGSN_Daily!E:AA,7,FALSE)</f>
        <v>2411283</v>
      </c>
      <c r="N11" s="4">
        <f>VLOOKUP($B11,Input_TaiNguyenPeak_SGSN_Daily!$E:AA,14,FALSE)</f>
        <v>3033047</v>
      </c>
      <c r="O11" s="4">
        <f>VLOOKUP($B11,Input_TaiNguyenPeak_SGSN_Daily!$E:AB,15,FALSE)</f>
        <v>3130502</v>
      </c>
      <c r="P11" s="18">
        <f t="shared" si="0"/>
        <v>0.73069181818181816</v>
      </c>
      <c r="Q11" s="194">
        <f>VLOOKUP(B11,Input_Lic_Rate_PS!B:I,8,FALSE)</f>
        <v>38</v>
      </c>
      <c r="R11" s="194">
        <v>38</v>
      </c>
      <c r="S11" s="190">
        <f t="shared" si="1"/>
        <v>2411283</v>
      </c>
      <c r="T11" s="191">
        <f t="shared" si="2"/>
        <v>0.60282075000000002</v>
      </c>
      <c r="U11" s="4">
        <f t="shared" si="3"/>
        <v>2411283</v>
      </c>
      <c r="V11" s="212">
        <f t="shared" si="6"/>
        <v>2535979.3144329898</v>
      </c>
      <c r="W11" s="203">
        <f t="shared" si="7"/>
        <v>0.63399482860824741</v>
      </c>
      <c r="X11" s="190">
        <f t="shared" si="4"/>
        <v>2697612.2628865978</v>
      </c>
      <c r="Y11" s="191">
        <f t="shared" si="5"/>
        <v>0.67440306572164943</v>
      </c>
      <c r="Z11" s="15" t="str">
        <f>VLOOKUP(B11,Input_Lic_Rate_PS!B:G,6,FALSE)</f>
        <v>Cloud-TCHL02</v>
      </c>
    </row>
    <row r="12" spans="1:26" ht="34.5" customHeight="1">
      <c r="A12" s="13">
        <v>10</v>
      </c>
      <c r="B12" s="14" t="s">
        <v>108</v>
      </c>
      <c r="C12" s="14" t="s">
        <v>4</v>
      </c>
      <c r="D12" s="15" t="s">
        <v>30</v>
      </c>
      <c r="E12" s="16">
        <f>VLOOKUP(B12,Input_Lic_Rate_PS!B:H,4,FALSE)</f>
        <v>3300000</v>
      </c>
      <c r="F12" s="16">
        <f>VLOOKUP(B12,Input_Lic_Rate_PS!B:H,5,FALSE)</f>
        <v>3300000</v>
      </c>
      <c r="G12" s="16">
        <v>4000000</v>
      </c>
      <c r="H12" s="16">
        <v>2337447</v>
      </c>
      <c r="I12" s="16">
        <v>2505430</v>
      </c>
      <c r="J12" s="4">
        <v>3006648</v>
      </c>
      <c r="K12" s="4">
        <v>3102592</v>
      </c>
      <c r="L12" s="16">
        <f>VLOOKUP(B12,Input_TaiNguyenPeak_SGSN_Daily!E:AA,6,FALSE)</f>
        <v>2228714</v>
      </c>
      <c r="M12" s="16">
        <f>VLOOKUP($B12,Input_TaiNguyenPeak_SGSN_Daily!E:AA,7,FALSE)</f>
        <v>2398830</v>
      </c>
      <c r="N12" s="4">
        <f>VLOOKUP($B12,Input_TaiNguyenPeak_SGSN_Daily!$E:AA,14,FALSE)</f>
        <v>3019333</v>
      </c>
      <c r="O12" s="4">
        <f>VLOOKUP($B12,Input_TaiNguyenPeak_SGSN_Daily!$E:AB,15,FALSE)</f>
        <v>3116025</v>
      </c>
      <c r="P12" s="18">
        <f t="shared" si="0"/>
        <v>0.7269181818181818</v>
      </c>
      <c r="Q12" s="194">
        <f>VLOOKUP(B12,Input_Lic_Rate_PS!B:I,8,FALSE)</f>
        <v>38</v>
      </c>
      <c r="R12" s="194">
        <v>38</v>
      </c>
      <c r="S12" s="190">
        <f t="shared" si="1"/>
        <v>2398830</v>
      </c>
      <c r="T12" s="191">
        <f t="shared" si="2"/>
        <v>0.59970749999999995</v>
      </c>
      <c r="U12" s="4">
        <f t="shared" si="3"/>
        <v>2398830</v>
      </c>
      <c r="V12" s="212">
        <f t="shared" si="6"/>
        <v>2523526.3144329898</v>
      </c>
      <c r="W12" s="203">
        <f t="shared" si="7"/>
        <v>0.63088157860824745</v>
      </c>
      <c r="X12" s="190">
        <f t="shared" si="4"/>
        <v>2697612.2628865978</v>
      </c>
      <c r="Y12" s="191">
        <f t="shared" si="5"/>
        <v>0.67440306572164943</v>
      </c>
      <c r="Z12" s="15" t="str">
        <f>VLOOKUP(B12,Input_Lic_Rate_PS!B:G,6,FALSE)</f>
        <v>Cloud-TCHL02</v>
      </c>
    </row>
    <row r="13" spans="1:26" ht="34.5" customHeight="1">
      <c r="A13" s="13">
        <v>11</v>
      </c>
      <c r="B13" s="14" t="s">
        <v>345</v>
      </c>
      <c r="C13" s="14" t="s">
        <v>4</v>
      </c>
      <c r="D13" s="15" t="s">
        <v>30</v>
      </c>
      <c r="E13" s="16">
        <f>VLOOKUP(B13,Input_Lic_Rate_PS!B:H,4,FALSE)</f>
        <v>2000000</v>
      </c>
      <c r="F13" s="16">
        <f>VLOOKUP(B13,Input_Lic_Rate_PS!B:H,5,FALSE)</f>
        <v>2000000</v>
      </c>
      <c r="G13" s="16">
        <v>4000000</v>
      </c>
      <c r="H13" s="16">
        <v>245885</v>
      </c>
      <c r="I13" s="16">
        <v>266847</v>
      </c>
      <c r="J13" s="4">
        <v>314783</v>
      </c>
      <c r="K13" s="4">
        <v>326462</v>
      </c>
      <c r="L13" s="16">
        <f>VLOOKUP(B13,Input_TaiNguyenPeak_SGSN_Daily!E:AA,6,FALSE)</f>
        <v>597203</v>
      </c>
      <c r="M13" s="16">
        <f>VLOOKUP($B13,Input_TaiNguyenPeak_SGSN_Daily!E:AA,7,FALSE)</f>
        <v>627602</v>
      </c>
      <c r="N13" s="4">
        <f>VLOOKUP($B13,Input_TaiNguyenPeak_SGSN_Daily!$E:AA,14,FALSE)</f>
        <v>876462</v>
      </c>
      <c r="O13" s="4">
        <f>VLOOKUP($B13,Input_TaiNguyenPeak_SGSN_Daily!$E:AB,15,FALSE)</f>
        <v>893741</v>
      </c>
      <c r="P13" s="18">
        <f t="shared" si="0"/>
        <v>0.313801</v>
      </c>
      <c r="Q13" s="194">
        <f>VLOOKUP(B13,Input_Lic_Rate_PS!B:I,8,FALSE)</f>
        <v>10</v>
      </c>
      <c r="R13" s="156">
        <v>20</v>
      </c>
      <c r="S13" s="190">
        <f t="shared" si="1"/>
        <v>627602</v>
      </c>
      <c r="T13" s="191">
        <f t="shared" si="2"/>
        <v>0.1569005</v>
      </c>
      <c r="U13" s="4">
        <f t="shared" si="3"/>
        <v>627602</v>
      </c>
      <c r="V13" s="212">
        <f t="shared" si="6"/>
        <v>693231.63917525776</v>
      </c>
      <c r="W13" s="203">
        <f t="shared" si="7"/>
        <v>0.17330790979381444</v>
      </c>
      <c r="X13" s="190">
        <f t="shared" si="4"/>
        <v>1419795.9278350514</v>
      </c>
      <c r="Y13" s="191">
        <f t="shared" si="5"/>
        <v>0.35494898195876284</v>
      </c>
      <c r="Z13" s="15" t="str">
        <f>VLOOKUP(B13,Input_Lic_Rate_PS!B:G,6,FALSE)</f>
        <v>Cloud-TCHL01</v>
      </c>
    </row>
    <row r="14" spans="1:26" ht="34.5" customHeight="1">
      <c r="A14" s="13">
        <v>12</v>
      </c>
      <c r="B14" s="14" t="s">
        <v>346</v>
      </c>
      <c r="C14" s="14" t="s">
        <v>4</v>
      </c>
      <c r="D14" s="15" t="s">
        <v>30</v>
      </c>
      <c r="E14" s="16">
        <f>VLOOKUP(B14,Input_Lic_Rate_PS!B:H,4,FALSE)</f>
        <v>2000000</v>
      </c>
      <c r="F14" s="16">
        <f>VLOOKUP(B14,Input_Lic_Rate_PS!B:H,5,FALSE)</f>
        <v>2000000</v>
      </c>
      <c r="G14" s="16">
        <v>4000000</v>
      </c>
      <c r="H14" s="16">
        <v>290215</v>
      </c>
      <c r="I14" s="16">
        <v>312153</v>
      </c>
      <c r="J14" s="4">
        <v>364595</v>
      </c>
      <c r="K14" s="4">
        <v>376408</v>
      </c>
      <c r="L14" s="16">
        <f>VLOOKUP(B14,Input_TaiNguyenPeak_SGSN_Daily!E:AA,6,FALSE)</f>
        <v>493012</v>
      </c>
      <c r="M14" s="16">
        <f>VLOOKUP($B14,Input_TaiNguyenPeak_SGSN_Daily!E:AA,7,FALSE)</f>
        <v>521333</v>
      </c>
      <c r="N14" s="4">
        <f>VLOOKUP($B14,Input_TaiNguyenPeak_SGSN_Daily!$E:AA,14,FALSE)</f>
        <v>693958</v>
      </c>
      <c r="O14" s="4">
        <f>VLOOKUP($B14,Input_TaiNguyenPeak_SGSN_Daily!$E:AB,15,FALSE)</f>
        <v>709766</v>
      </c>
      <c r="P14" s="18">
        <f t="shared" si="0"/>
        <v>0.26066650000000002</v>
      </c>
      <c r="Q14" s="194">
        <f>VLOOKUP(B14,Input_Lic_Rate_PS!B:I,8,FALSE)</f>
        <v>30</v>
      </c>
      <c r="R14" s="194">
        <v>20</v>
      </c>
      <c r="S14" s="190">
        <f t="shared" si="1"/>
        <v>521333</v>
      </c>
      <c r="T14" s="191">
        <f t="shared" si="2"/>
        <v>0.13033325000000001</v>
      </c>
      <c r="U14" s="4">
        <f t="shared" si="3"/>
        <v>521333</v>
      </c>
      <c r="V14" s="212">
        <f t="shared" si="6"/>
        <v>586962.63917525776</v>
      </c>
      <c r="W14" s="203">
        <f t="shared" si="7"/>
        <v>0.14674065979381445</v>
      </c>
      <c r="X14" s="190">
        <f t="shared" si="4"/>
        <v>1419795.9278350514</v>
      </c>
      <c r="Y14" s="191">
        <f t="shared" si="5"/>
        <v>0.35494898195876284</v>
      </c>
      <c r="Z14" s="15" t="str">
        <f>VLOOKUP(B14,Input_Lic_Rate_PS!B:G,6,FALSE)</f>
        <v>Cloud-TCHL02</v>
      </c>
    </row>
    <row r="15" spans="1:26">
      <c r="A15" s="62"/>
      <c r="B15" s="62" t="s">
        <v>23</v>
      </c>
      <c r="C15" s="62" t="s">
        <v>4</v>
      </c>
      <c r="D15" s="62"/>
      <c r="E15" s="181">
        <f>SUM(E3:E14)</f>
        <v>35400000</v>
      </c>
      <c r="F15" s="181">
        <f>SUM(F3:F14)</f>
        <v>36000000</v>
      </c>
      <c r="G15" s="181">
        <f>SUM(G3:G14)</f>
        <v>45600000</v>
      </c>
      <c r="H15" s="181">
        <v>24731484</v>
      </c>
      <c r="I15" s="181">
        <v>26867487</v>
      </c>
      <c r="J15" s="181">
        <v>31814903</v>
      </c>
      <c r="K15" s="181">
        <v>32931685</v>
      </c>
      <c r="L15" s="181">
        <f>SUM(L3:L14)</f>
        <v>25350749</v>
      </c>
      <c r="M15" s="181">
        <f>SUM(M3:M14)</f>
        <v>27544041</v>
      </c>
      <c r="N15" s="181">
        <f>SUM(N3:N14)</f>
        <v>34264544</v>
      </c>
      <c r="O15" s="181">
        <f>SUM(O3:O14)</f>
        <v>35416324</v>
      </c>
      <c r="P15" s="74">
        <f t="shared" si="0"/>
        <v>0.76511225000000005</v>
      </c>
      <c r="Q15" s="192">
        <f>SUM(Q3:Q14)</f>
        <v>324</v>
      </c>
      <c r="R15" s="192">
        <f>SUM(R3:R14)</f>
        <v>388</v>
      </c>
      <c r="S15" s="193"/>
      <c r="T15" s="193"/>
      <c r="U15" s="181">
        <f>SUM(U3:U14)</f>
        <v>27544041</v>
      </c>
      <c r="V15" s="212"/>
      <c r="W15" s="203"/>
      <c r="X15" s="211">
        <f>SUM(X3:X14)</f>
        <v>27544041.000000004</v>
      </c>
      <c r="Y15" s="211"/>
      <c r="Z15" s="62"/>
    </row>
    <row r="16" spans="1:26" s="30" customFormat="1">
      <c r="A16" s="114">
        <v>13</v>
      </c>
      <c r="B16" s="115" t="s">
        <v>351</v>
      </c>
      <c r="C16" s="115" t="s">
        <v>249</v>
      </c>
      <c r="D16" s="116" t="s">
        <v>30</v>
      </c>
      <c r="E16" s="37">
        <f>VLOOKUP(B16,Input_Lic_Rate_PS!B:H,4,FALSE)</f>
        <v>1000000</v>
      </c>
      <c r="F16" s="37">
        <f>VLOOKUP(B16,Input_Lic_Rate_PS!B:H,5,FALSE)</f>
        <v>1000000</v>
      </c>
      <c r="G16" s="37">
        <v>1000000</v>
      </c>
      <c r="H16" s="37">
        <v>535064</v>
      </c>
      <c r="I16" s="37">
        <v>535064</v>
      </c>
      <c r="J16" s="55">
        <v>662731</v>
      </c>
      <c r="K16" s="55">
        <v>662731</v>
      </c>
      <c r="L16" s="37">
        <f>VLOOKUP(B16,Input_TaiNguyenPeak_SGSN_Daily!E:AA,6,FALSE)</f>
        <v>665007</v>
      </c>
      <c r="M16" s="37">
        <f>VLOOKUP($B16,Input_TaiNguyenPeak_SGSN_Daily!E:AA,7,FALSE)</f>
        <v>665007</v>
      </c>
      <c r="N16" s="55">
        <f>VLOOKUP($B16,Input_TaiNguyenPeak_SGSN_Daily!$E:AA,14,FALSE)</f>
        <v>832256</v>
      </c>
      <c r="O16" s="55">
        <f>VLOOKUP($B16,Input_TaiNguyenPeak_SGSN_Daily!$E:AB,15,FALSE)</f>
        <v>832256</v>
      </c>
      <c r="P16" s="206">
        <f t="shared" si="0"/>
        <v>0.66500700000000001</v>
      </c>
      <c r="Q16" s="55"/>
      <c r="R16" s="55"/>
      <c r="S16" s="207"/>
      <c r="T16" s="206"/>
      <c r="U16" s="55"/>
      <c r="V16" s="116"/>
      <c r="W16" s="116"/>
      <c r="X16" s="116"/>
      <c r="Y16" s="116"/>
      <c r="Z16" s="116"/>
    </row>
    <row r="17" spans="1:27" s="30" customFormat="1">
      <c r="A17" s="114">
        <v>14</v>
      </c>
      <c r="B17" s="115" t="s">
        <v>352</v>
      </c>
      <c r="C17" s="115" t="s">
        <v>249</v>
      </c>
      <c r="D17" s="116" t="s">
        <v>30</v>
      </c>
      <c r="E17" s="37">
        <f>VLOOKUP(B17,Input_Lic_Rate_PS!B:H,4,FALSE)</f>
        <v>1000000</v>
      </c>
      <c r="F17" s="37">
        <f>VLOOKUP(B17,Input_Lic_Rate_PS!B:H,5,FALSE)</f>
        <v>1000000</v>
      </c>
      <c r="G17" s="37">
        <v>1000000</v>
      </c>
      <c r="H17" s="37">
        <v>353206</v>
      </c>
      <c r="I17" s="37">
        <v>353206</v>
      </c>
      <c r="J17" s="55">
        <v>690245</v>
      </c>
      <c r="K17" s="55">
        <v>690245</v>
      </c>
      <c r="L17" s="37">
        <f>VLOOKUP(B17,Input_TaiNguyenPeak_SGSN_Daily!E:AA,6,FALSE)</f>
        <v>224214</v>
      </c>
      <c r="M17" s="37">
        <f>VLOOKUP($B17,Input_TaiNguyenPeak_SGSN_Daily!E:AA,7,FALSE)</f>
        <v>224214</v>
      </c>
      <c r="N17" s="55">
        <f>VLOOKUP($B17,Input_TaiNguyenPeak_SGSN_Daily!$E:AA,14,FALSE)</f>
        <v>350092</v>
      </c>
      <c r="O17" s="55">
        <f>VLOOKUP($B17,Input_TaiNguyenPeak_SGSN_Daily!$E:AB,15,FALSE)</f>
        <v>350092</v>
      </c>
      <c r="P17" s="206">
        <f t="shared" si="0"/>
        <v>0.224214</v>
      </c>
      <c r="Q17" s="55"/>
      <c r="R17" s="55"/>
      <c r="S17" s="207"/>
      <c r="T17" s="206"/>
      <c r="U17" s="55"/>
      <c r="V17" s="116"/>
      <c r="W17" s="116"/>
      <c r="X17" s="116"/>
      <c r="Y17" s="116"/>
      <c r="Z17" s="116"/>
    </row>
    <row r="18" spans="1:27" s="30" customFormat="1">
      <c r="A18" s="114">
        <v>15</v>
      </c>
      <c r="B18" s="115" t="s">
        <v>353</v>
      </c>
      <c r="C18" s="115" t="s">
        <v>249</v>
      </c>
      <c r="D18" s="116" t="s">
        <v>30</v>
      </c>
      <c r="E18" s="37">
        <f>VLOOKUP(B18,Input_Lic_Rate_PS!B:H,4,FALSE)</f>
        <v>1000000</v>
      </c>
      <c r="F18" s="37">
        <f>VLOOKUP(B18,Input_Lic_Rate_PS!B:H,5,FALSE)</f>
        <v>1000000</v>
      </c>
      <c r="G18" s="37">
        <v>1000000</v>
      </c>
      <c r="H18" s="37">
        <v>316719</v>
      </c>
      <c r="I18" s="37">
        <v>316719</v>
      </c>
      <c r="J18" s="55">
        <v>377609</v>
      </c>
      <c r="K18" s="55">
        <v>377609</v>
      </c>
      <c r="L18" s="37">
        <f>VLOOKUP(B18,Input_TaiNguyenPeak_SGSN_Daily!E:AA,6,FALSE)</f>
        <v>383994</v>
      </c>
      <c r="M18" s="37">
        <f>VLOOKUP($B18,Input_TaiNguyenPeak_SGSN_Daily!E:AA,7,FALSE)</f>
        <v>383994</v>
      </c>
      <c r="N18" s="55">
        <f>VLOOKUP($B18,Input_TaiNguyenPeak_SGSN_Daily!$E:AA,14,FALSE)</f>
        <v>522685</v>
      </c>
      <c r="O18" s="55">
        <f>VLOOKUP($B18,Input_TaiNguyenPeak_SGSN_Daily!$E:AB,15,FALSE)</f>
        <v>522685</v>
      </c>
      <c r="P18" s="206">
        <f t="shared" si="0"/>
        <v>0.383994</v>
      </c>
      <c r="Q18" s="55"/>
      <c r="R18" s="55"/>
      <c r="S18" s="207"/>
      <c r="T18" s="206"/>
      <c r="U18" s="55"/>
      <c r="V18" s="116"/>
      <c r="W18" s="116"/>
      <c r="X18" s="116"/>
      <c r="Y18" s="116"/>
      <c r="Z18" s="116"/>
    </row>
    <row r="19" spans="1:27">
      <c r="A19" s="62"/>
      <c r="B19" s="62" t="s">
        <v>23</v>
      </c>
      <c r="C19" s="62" t="s">
        <v>249</v>
      </c>
      <c r="D19" s="62"/>
      <c r="E19" s="62"/>
      <c r="F19" s="181">
        <f>SUM(F16:F18)</f>
        <v>3000000</v>
      </c>
      <c r="G19" s="181">
        <f>SUM(G16:G18)</f>
        <v>3000000</v>
      </c>
      <c r="H19" s="181">
        <v>1204989</v>
      </c>
      <c r="I19" s="181">
        <v>1204989</v>
      </c>
      <c r="J19" s="181">
        <v>1730585</v>
      </c>
      <c r="K19" s="181">
        <v>1730585</v>
      </c>
      <c r="L19" s="181">
        <f>SUM(L16:L18)</f>
        <v>1273215</v>
      </c>
      <c r="M19" s="181">
        <f t="shared" ref="M19:O19" si="8">SUM(M16:M18)</f>
        <v>1273215</v>
      </c>
      <c r="N19" s="181">
        <f t="shared" si="8"/>
        <v>1705033</v>
      </c>
      <c r="O19" s="181">
        <f t="shared" si="8"/>
        <v>1705033</v>
      </c>
      <c r="P19" s="74">
        <f t="shared" si="0"/>
        <v>0.42440499999999998</v>
      </c>
      <c r="Q19" s="192"/>
      <c r="R19" s="192"/>
      <c r="S19" s="193"/>
      <c r="T19" s="193"/>
      <c r="U19" s="181"/>
      <c r="V19" s="62"/>
      <c r="W19" s="62"/>
      <c r="X19" s="62"/>
      <c r="Y19" s="62"/>
      <c r="Z19" s="62"/>
    </row>
    <row r="20" spans="1:27">
      <c r="A20" s="13">
        <v>15</v>
      </c>
      <c r="B20" s="14" t="s">
        <v>24</v>
      </c>
      <c r="C20" s="14" t="s">
        <v>4</v>
      </c>
      <c r="D20" s="15" t="s">
        <v>25</v>
      </c>
      <c r="E20" s="16">
        <f>VLOOKUP(B20,Input_Lic_Rate_PS!B:H,4,FALSE)</f>
        <v>2300000</v>
      </c>
      <c r="F20" s="16">
        <f>VLOOKUP(B20,Input_Lic_Rate_PS!B:H,5,FALSE)</f>
        <v>2300000</v>
      </c>
      <c r="G20" s="16">
        <v>2500000</v>
      </c>
      <c r="H20" s="16">
        <v>1330058</v>
      </c>
      <c r="I20" s="16">
        <v>1438659</v>
      </c>
      <c r="J20" s="4">
        <v>1634083</v>
      </c>
      <c r="K20" s="4">
        <v>1685476</v>
      </c>
      <c r="L20" s="16">
        <f>VLOOKUP(B20,Input_TaiNguyenPeak_SGSN_Daily!E:AA,6,FALSE)</f>
        <v>1463609</v>
      </c>
      <c r="M20" s="16">
        <f>VLOOKUP($B20,Input_TaiNguyenPeak_SGSN_Daily!E:AA,7,FALSE)</f>
        <v>1570197</v>
      </c>
      <c r="N20" s="4">
        <f>VLOOKUP($B20,Input_TaiNguyenPeak_SGSN_Daily!$E:AA,14,FALSE)</f>
        <v>1818528</v>
      </c>
      <c r="O20" s="4">
        <f>VLOOKUP($B20,Input_TaiNguyenPeak_SGSN_Daily!$E:AB,15,FALSE)</f>
        <v>1870229</v>
      </c>
      <c r="P20" s="18">
        <f t="shared" si="0"/>
        <v>0.68269434782608696</v>
      </c>
      <c r="Q20" s="194">
        <f>VLOOKUP(B20,Input_Lic_Rate_PS!B:I,8,FALSE)</f>
        <v>25</v>
      </c>
      <c r="R20" s="194">
        <v>25</v>
      </c>
      <c r="S20" s="190">
        <f>IF(U20=0,0,M20+($M$24-$U$24)*R20/SUM($R$20:$R$23))</f>
        <v>1570197</v>
      </c>
      <c r="T20" s="191">
        <f>S20/G20</f>
        <v>0.62807880000000005</v>
      </c>
      <c r="U20" s="4">
        <f>IF(R20=0,0,1)*M20</f>
        <v>1570197</v>
      </c>
      <c r="V20" s="212">
        <f>S20+R20/SUM($R$20:$R$23)*$M$28</f>
        <v>2147541</v>
      </c>
      <c r="W20" s="203">
        <f>V20/G20</f>
        <v>0.85901640000000001</v>
      </c>
      <c r="X20" s="212">
        <f>S20+R20/SUM($R$20:$R$23)*$AA$20</f>
        <v>1570197</v>
      </c>
      <c r="Y20" s="191">
        <f>X20/G20</f>
        <v>0.62807880000000005</v>
      </c>
      <c r="Z20" s="15" t="str">
        <f>VLOOKUP(B20,Input_Lic_Rate_PS!B:G,6,FALSE)</f>
        <v>MkVIII</v>
      </c>
      <c r="AA20" s="54"/>
    </row>
    <row r="21" spans="1:27">
      <c r="A21" s="13">
        <v>12</v>
      </c>
      <c r="B21" s="14" t="s">
        <v>26</v>
      </c>
      <c r="C21" s="14" t="s">
        <v>4</v>
      </c>
      <c r="D21" s="15" t="s">
        <v>25</v>
      </c>
      <c r="E21" s="16">
        <f>VLOOKUP(B21,Input_Lic_Rate_PS!B:H,4,FALSE)</f>
        <v>2300000</v>
      </c>
      <c r="F21" s="16">
        <f>VLOOKUP(B21,Input_Lic_Rate_PS!B:H,5,FALSE)</f>
        <v>2300000</v>
      </c>
      <c r="G21" s="16">
        <v>2500000</v>
      </c>
      <c r="H21" s="16">
        <v>1337091</v>
      </c>
      <c r="I21" s="16">
        <v>1455903</v>
      </c>
      <c r="J21" s="4">
        <v>1627394</v>
      </c>
      <c r="K21" s="4">
        <v>1679776</v>
      </c>
      <c r="L21" s="16">
        <f>VLOOKUP(B21,Input_TaiNguyenPeak_SGSN_Daily!E:AA,6,FALSE)</f>
        <v>1469883</v>
      </c>
      <c r="M21" s="16">
        <f>VLOOKUP($B21,Input_TaiNguyenPeak_SGSN_Daily!E:AA,7,FALSE)</f>
        <v>1584620</v>
      </c>
      <c r="N21" s="4">
        <f>VLOOKUP($B21,Input_TaiNguyenPeak_SGSN_Daily!$E:AA,14,FALSE)</f>
        <v>1809404</v>
      </c>
      <c r="O21" s="4">
        <f>VLOOKUP($B21,Input_TaiNguyenPeak_SGSN_Daily!$E:AB,15,FALSE)</f>
        <v>1860164</v>
      </c>
      <c r="P21" s="18">
        <f t="shared" si="0"/>
        <v>0.68896521739130434</v>
      </c>
      <c r="Q21" s="194">
        <f>VLOOKUP(B21,Input_Lic_Rate_PS!B:I,8,FALSE)</f>
        <v>25</v>
      </c>
      <c r="R21" s="194">
        <v>25</v>
      </c>
      <c r="S21" s="190">
        <f>IF(U21=0,0,M21+($M$24-$U$24)*R21/SUM($R$20:$R$23))</f>
        <v>1584620</v>
      </c>
      <c r="T21" s="191">
        <f>S21/G21</f>
        <v>0.63384799999999997</v>
      </c>
      <c r="U21" s="4">
        <f>IF(R21=0,0,1)*M21</f>
        <v>1584620</v>
      </c>
      <c r="V21" s="212">
        <f t="shared" ref="V21:V23" si="9">S21+R21/SUM($R$20:$R$23)*$M$28</f>
        <v>2161964</v>
      </c>
      <c r="W21" s="203">
        <f t="shared" ref="W21:W23" si="10">V21/G21</f>
        <v>0.86478560000000004</v>
      </c>
      <c r="X21" s="212">
        <f>S21+R21/SUM($R$20:$R$23)*$AA$20</f>
        <v>1584620</v>
      </c>
      <c r="Y21" s="191">
        <f>X21/G21</f>
        <v>0.63384799999999997</v>
      </c>
      <c r="Z21" s="15" t="str">
        <f>VLOOKUP(B21,Input_Lic_Rate_PS!B:G,6,FALSE)</f>
        <v>MkVIII</v>
      </c>
    </row>
    <row r="22" spans="1:27">
      <c r="A22" s="13">
        <v>13</v>
      </c>
      <c r="B22" s="14" t="s">
        <v>27</v>
      </c>
      <c r="C22" s="14" t="s">
        <v>4</v>
      </c>
      <c r="D22" s="15" t="s">
        <v>25</v>
      </c>
      <c r="E22" s="16">
        <f>VLOOKUP(B22,Input_Lic_Rate_PS!B:H,4,FALSE)</f>
        <v>2300000</v>
      </c>
      <c r="F22" s="16">
        <f>VLOOKUP(B22,Input_Lic_Rate_PS!B:H,5,FALSE)</f>
        <v>2300000</v>
      </c>
      <c r="G22" s="16">
        <v>2500000</v>
      </c>
      <c r="H22" s="16">
        <v>1329393</v>
      </c>
      <c r="I22" s="16">
        <v>1438011</v>
      </c>
      <c r="J22" s="4">
        <v>1618518</v>
      </c>
      <c r="K22" s="4">
        <v>1668620</v>
      </c>
      <c r="L22" s="16">
        <f>VLOOKUP(B22,Input_TaiNguyenPeak_SGSN_Daily!E:AA,6,FALSE)</f>
        <v>1472282</v>
      </c>
      <c r="M22" s="16">
        <f>VLOOKUP($B22,Input_TaiNguyenPeak_SGSN_Daily!E:AA,7,FALSE)</f>
        <v>1580068</v>
      </c>
      <c r="N22" s="4">
        <f>VLOOKUP($B22,Input_TaiNguyenPeak_SGSN_Daily!$E:AA,14,FALSE)</f>
        <v>1813821</v>
      </c>
      <c r="O22" s="4">
        <f>VLOOKUP($B22,Input_TaiNguyenPeak_SGSN_Daily!$E:AB,15,FALSE)</f>
        <v>1863475</v>
      </c>
      <c r="P22" s="18">
        <f t="shared" si="0"/>
        <v>0.68698608695652175</v>
      </c>
      <c r="Q22" s="194">
        <f>VLOOKUP(B22,Input_Lic_Rate_PS!B:I,8,FALSE)</f>
        <v>25</v>
      </c>
      <c r="R22" s="194">
        <v>25</v>
      </c>
      <c r="S22" s="190">
        <f>IF(U22=0,0,M22+($M$24-$U$24)*R22/SUM($R$20:$R$23))</f>
        <v>1580068</v>
      </c>
      <c r="T22" s="191">
        <f>S22/G22</f>
        <v>0.63202720000000001</v>
      </c>
      <c r="U22" s="4">
        <f>IF(R22=0,0,1)*M22</f>
        <v>1580068</v>
      </c>
      <c r="V22" s="212">
        <f t="shared" si="9"/>
        <v>2157412</v>
      </c>
      <c r="W22" s="203">
        <f t="shared" si="10"/>
        <v>0.86296479999999998</v>
      </c>
      <c r="X22" s="212">
        <f>S22+R22/SUM($R$20:$R$23)*$AA$20</f>
        <v>1580068</v>
      </c>
      <c r="Y22" s="191">
        <f>X22/G22</f>
        <v>0.63202720000000001</v>
      </c>
      <c r="Z22" s="15" t="str">
        <f>VLOOKUP(B22,Input_Lic_Rate_PS!B:G,6,FALSE)</f>
        <v>MkX</v>
      </c>
    </row>
    <row r="23" spans="1:27">
      <c r="A23" s="13">
        <v>14</v>
      </c>
      <c r="B23" s="14" t="s">
        <v>105</v>
      </c>
      <c r="C23" s="14" t="s">
        <v>4</v>
      </c>
      <c r="D23" s="15" t="s">
        <v>25</v>
      </c>
      <c r="E23" s="16">
        <f>VLOOKUP(B23,Input_Lic_Rate_PS!B:H,4,FALSE)</f>
        <v>2300000</v>
      </c>
      <c r="F23" s="16">
        <f>VLOOKUP(B23,Input_Lic_Rate_PS!B:H,5,FALSE)</f>
        <v>2300000</v>
      </c>
      <c r="G23" s="16">
        <v>3000000</v>
      </c>
      <c r="H23" s="16">
        <v>1632987</v>
      </c>
      <c r="I23" s="16">
        <v>1751568</v>
      </c>
      <c r="J23" s="4">
        <v>2027002</v>
      </c>
      <c r="K23" s="4">
        <v>2080650</v>
      </c>
      <c r="L23" s="16">
        <f>VLOOKUP(B23,Input_TaiNguyenPeak_SGSN_Daily!E:AA,6,FALSE)</f>
        <v>1788005</v>
      </c>
      <c r="M23" s="16">
        <f>VLOOKUP($B23,Input_TaiNguyenPeak_SGSN_Daily!E:AA,7,FALSE)</f>
        <v>1902898</v>
      </c>
      <c r="N23" s="4">
        <f>VLOOKUP($B23,Input_TaiNguyenPeak_SGSN_Daily!$E:AA,14,FALSE)</f>
        <v>2242563</v>
      </c>
      <c r="O23" s="4">
        <f>VLOOKUP($B23,Input_TaiNguyenPeak_SGSN_Daily!$E:AB,15,FALSE)</f>
        <v>2294846</v>
      </c>
      <c r="P23" s="18">
        <f t="shared" si="0"/>
        <v>0.82734695652173917</v>
      </c>
      <c r="Q23" s="194">
        <f>VLOOKUP(B23,Input_Lic_Rate_PS!B:I,8,FALSE)</f>
        <v>25</v>
      </c>
      <c r="R23" s="194">
        <v>25</v>
      </c>
      <c r="S23" s="190">
        <f>IF(U23=0,0,M23+($M$24-$U$24)*R23/SUM($R$20:$R$23))</f>
        <v>1902898</v>
      </c>
      <c r="T23" s="191">
        <f>S23/G23</f>
        <v>0.63429933333333333</v>
      </c>
      <c r="U23" s="4">
        <f>IF(R23=0,0,1)*M23</f>
        <v>1902898</v>
      </c>
      <c r="V23" s="212">
        <f t="shared" si="9"/>
        <v>2480242</v>
      </c>
      <c r="W23" s="203">
        <f t="shared" si="10"/>
        <v>0.82674733333333328</v>
      </c>
      <c r="X23" s="212">
        <f>S23+R23/SUM($R$20:$R$23)*$AA$20</f>
        <v>1902898</v>
      </c>
      <c r="Y23" s="191">
        <f>X23/G23</f>
        <v>0.63429933333333333</v>
      </c>
      <c r="Z23" s="15" t="str">
        <f>VLOOKUP(B23,Input_Lic_Rate_PS!B:G,6,FALSE)</f>
        <v>Cloud-TCHK01</v>
      </c>
    </row>
    <row r="24" spans="1:27">
      <c r="A24" s="62"/>
      <c r="B24" s="62" t="s">
        <v>28</v>
      </c>
      <c r="C24" s="62" t="s">
        <v>4</v>
      </c>
      <c r="D24" s="62"/>
      <c r="E24" s="62"/>
      <c r="F24" s="76">
        <f>SUM(F20:F23)</f>
        <v>9200000</v>
      </c>
      <c r="G24" s="76">
        <f>SUM(G20:G23)</f>
        <v>10500000</v>
      </c>
      <c r="H24" s="181">
        <v>5629529</v>
      </c>
      <c r="I24" s="181">
        <v>6084141</v>
      </c>
      <c r="J24" s="181">
        <v>6906997</v>
      </c>
      <c r="K24" s="181">
        <v>7114522</v>
      </c>
      <c r="L24" s="181">
        <f>SUM(L20:L23)</f>
        <v>6193779</v>
      </c>
      <c r="M24" s="181">
        <f t="shared" ref="M24:O24" si="11">SUM(M20:M23)</f>
        <v>6637783</v>
      </c>
      <c r="N24" s="181">
        <f t="shared" si="11"/>
        <v>7684316</v>
      </c>
      <c r="O24" s="181">
        <f t="shared" si="11"/>
        <v>7888714</v>
      </c>
      <c r="P24" s="74">
        <f t="shared" si="0"/>
        <v>0.721498152173913</v>
      </c>
      <c r="Q24" s="193">
        <f>SUM(Q20:Q23)</f>
        <v>100</v>
      </c>
      <c r="R24" s="193">
        <f>SUM(R20:R23)</f>
        <v>100</v>
      </c>
      <c r="S24" s="193"/>
      <c r="T24" s="193"/>
      <c r="U24" s="181">
        <f>SUM(U20:U23)</f>
        <v>6637783</v>
      </c>
      <c r="V24" s="62"/>
      <c r="W24" s="62"/>
      <c r="X24" s="62"/>
      <c r="Y24" s="62"/>
      <c r="Z24" s="62"/>
    </row>
    <row r="25" spans="1:27" s="30" customFormat="1">
      <c r="A25" s="114">
        <v>15</v>
      </c>
      <c r="B25" s="115" t="s">
        <v>348</v>
      </c>
      <c r="C25" s="115" t="s">
        <v>249</v>
      </c>
      <c r="D25" s="116" t="s">
        <v>25</v>
      </c>
      <c r="E25" s="37">
        <f>VLOOKUP(B25,Input_Lic_Rate_PS!B:H,4,FALSE)</f>
        <v>1500000</v>
      </c>
      <c r="F25" s="37">
        <f>VLOOKUP(B25,Input_Lic_Rate_PS!B:H,5,FALSE)</f>
        <v>1500000</v>
      </c>
      <c r="G25" s="37">
        <v>1000000</v>
      </c>
      <c r="H25" s="37">
        <v>813615</v>
      </c>
      <c r="I25" s="37">
        <v>813615</v>
      </c>
      <c r="J25" s="55">
        <v>1292858</v>
      </c>
      <c r="K25" s="55">
        <v>1292858</v>
      </c>
      <c r="L25" s="37">
        <f>VLOOKUP(B25,Input_TaiNguyenPeak_SGSN_Daily!E:AA,6,FALSE)</f>
        <v>775147</v>
      </c>
      <c r="M25" s="37">
        <f>VLOOKUP($B25,Input_TaiNguyenPeak_SGSN_Daily!E:AA,7,FALSE)</f>
        <v>775147</v>
      </c>
      <c r="N25" s="55">
        <f>VLOOKUP($B25,Input_TaiNguyenPeak_SGSN_Daily!$E:AA,14,FALSE)</f>
        <v>970096</v>
      </c>
      <c r="O25" s="55">
        <f>VLOOKUP($B25,Input_TaiNguyenPeak_SGSN_Daily!$E:AB,15,FALSE)</f>
        <v>970096</v>
      </c>
      <c r="P25" s="206">
        <f t="shared" si="0"/>
        <v>0.51676466666666665</v>
      </c>
      <c r="Q25" s="55"/>
      <c r="R25" s="55"/>
      <c r="S25" s="207"/>
      <c r="T25" s="206"/>
      <c r="U25" s="55"/>
      <c r="V25" s="116"/>
      <c r="W25" s="116"/>
      <c r="X25" s="116"/>
      <c r="Y25" s="116"/>
      <c r="Z25" s="116"/>
    </row>
    <row r="26" spans="1:27" s="30" customFormat="1">
      <c r="A26" s="114">
        <v>16</v>
      </c>
      <c r="B26" s="115" t="s">
        <v>349</v>
      </c>
      <c r="C26" s="115" t="s">
        <v>249</v>
      </c>
      <c r="D26" s="116" t="s">
        <v>25</v>
      </c>
      <c r="E26" s="37">
        <f>VLOOKUP(B26,Input_Lic_Rate_PS!B:H,4,FALSE)</f>
        <v>1500000</v>
      </c>
      <c r="F26" s="37">
        <f>VLOOKUP(B26,Input_Lic_Rate_PS!B:H,5,FALSE)</f>
        <v>1500000</v>
      </c>
      <c r="G26" s="37">
        <v>1000000</v>
      </c>
      <c r="H26" s="37">
        <v>805596</v>
      </c>
      <c r="I26" s="37">
        <v>805596</v>
      </c>
      <c r="J26" s="55">
        <v>1104361</v>
      </c>
      <c r="K26" s="55">
        <v>1104361</v>
      </c>
      <c r="L26" s="37">
        <f>VLOOKUP(B26,Input_TaiNguyenPeak_SGSN_Daily!E:AA,6,FALSE)</f>
        <v>268609</v>
      </c>
      <c r="M26" s="37">
        <f>VLOOKUP($B26,Input_TaiNguyenPeak_SGSN_Daily!E:AA,7,FALSE)</f>
        <v>268609</v>
      </c>
      <c r="N26" s="55">
        <f>VLOOKUP($B26,Input_TaiNguyenPeak_SGSN_Daily!$E:AA,14,FALSE)</f>
        <v>336164</v>
      </c>
      <c r="O26" s="55">
        <f>VLOOKUP($B26,Input_TaiNguyenPeak_SGSN_Daily!$E:AB,15,FALSE)</f>
        <v>336164</v>
      </c>
      <c r="P26" s="206">
        <f t="shared" si="0"/>
        <v>0.17907266666666666</v>
      </c>
      <c r="Q26" s="55"/>
      <c r="R26" s="55"/>
      <c r="S26" s="207"/>
      <c r="T26" s="206"/>
      <c r="U26" s="55"/>
      <c r="V26" s="116"/>
      <c r="W26" s="116"/>
      <c r="X26" s="116"/>
      <c r="Y26" s="116"/>
      <c r="Z26" s="116"/>
    </row>
    <row r="27" spans="1:27" s="30" customFormat="1">
      <c r="A27" s="114">
        <v>17</v>
      </c>
      <c r="B27" s="115" t="s">
        <v>350</v>
      </c>
      <c r="C27" s="115" t="s">
        <v>249</v>
      </c>
      <c r="D27" s="116" t="s">
        <v>25</v>
      </c>
      <c r="E27" s="37">
        <f>VLOOKUP(B27,Input_Lic_Rate_PS!B:H,4,FALSE)</f>
        <v>1500000</v>
      </c>
      <c r="F27" s="37">
        <f>VLOOKUP(B27,Input_Lic_Rate_PS!B:H,5,FALSE)</f>
        <v>1500000</v>
      </c>
      <c r="G27" s="37">
        <v>1000000</v>
      </c>
      <c r="H27" s="37">
        <v>810481</v>
      </c>
      <c r="I27" s="37">
        <v>810481</v>
      </c>
      <c r="J27" s="55">
        <v>1077008</v>
      </c>
      <c r="K27" s="55">
        <v>1077008</v>
      </c>
      <c r="L27" s="37">
        <f>VLOOKUP(B27,Input_TaiNguyenPeak_SGSN_Daily!E:AA,6,FALSE)</f>
        <v>1265620</v>
      </c>
      <c r="M27" s="37">
        <f>VLOOKUP($B27,Input_TaiNguyenPeak_SGSN_Daily!E:AA,7,FALSE)</f>
        <v>1265620</v>
      </c>
      <c r="N27" s="55">
        <f>VLOOKUP($B27,Input_TaiNguyenPeak_SGSN_Daily!$E:AA,14,FALSE)</f>
        <v>1583922</v>
      </c>
      <c r="O27" s="55">
        <f>VLOOKUP($B27,Input_TaiNguyenPeak_SGSN_Daily!$E:AB,15,FALSE)</f>
        <v>1583922</v>
      </c>
      <c r="P27" s="206">
        <f t="shared" si="0"/>
        <v>0.84374666666666664</v>
      </c>
      <c r="Q27" s="55"/>
      <c r="R27" s="55"/>
      <c r="S27" s="207"/>
      <c r="T27" s="206"/>
      <c r="U27" s="55"/>
      <c r="V27" s="116"/>
      <c r="W27" s="116"/>
      <c r="X27" s="116"/>
      <c r="Y27" s="116"/>
      <c r="Z27" s="116"/>
    </row>
    <row r="28" spans="1:27">
      <c r="A28" s="62"/>
      <c r="B28" s="62" t="s">
        <v>28</v>
      </c>
      <c r="C28" s="62" t="s">
        <v>249</v>
      </c>
      <c r="D28" s="62"/>
      <c r="E28" s="62"/>
      <c r="F28" s="76">
        <f>SUM(F24:F27)</f>
        <v>13700000</v>
      </c>
      <c r="G28" s="76">
        <f>SUM(G25:G27)</f>
        <v>3000000</v>
      </c>
      <c r="H28" s="181">
        <v>2429692</v>
      </c>
      <c r="I28" s="181">
        <v>2429692</v>
      </c>
      <c r="J28" s="181">
        <v>3474227</v>
      </c>
      <c r="K28" s="181">
        <v>3474227</v>
      </c>
      <c r="L28" s="181">
        <f>SUM(L25:L27)</f>
        <v>2309376</v>
      </c>
      <c r="M28" s="181">
        <f t="shared" ref="M28:O28" si="12">SUM(M25:M27)</f>
        <v>2309376</v>
      </c>
      <c r="N28" s="181">
        <f t="shared" si="12"/>
        <v>2890182</v>
      </c>
      <c r="O28" s="181">
        <f t="shared" si="12"/>
        <v>2890182</v>
      </c>
      <c r="P28" s="74">
        <f t="shared" si="0"/>
        <v>0.16856759124087592</v>
      </c>
      <c r="Q28" s="193"/>
      <c r="R28" s="193"/>
      <c r="S28" s="193"/>
      <c r="T28" s="193"/>
      <c r="U28" s="181"/>
      <c r="V28" s="62"/>
      <c r="W28" s="62"/>
      <c r="X28" s="62"/>
      <c r="Y28" s="62"/>
      <c r="Z28" s="62"/>
    </row>
    <row r="29" spans="1:27">
      <c r="A29" s="13">
        <v>18</v>
      </c>
      <c r="B29" s="14" t="s">
        <v>29</v>
      </c>
      <c r="C29" s="14" t="s">
        <v>4</v>
      </c>
      <c r="D29" s="15" t="s">
        <v>30</v>
      </c>
      <c r="E29" s="16">
        <f>VLOOKUP(B29,Input_Lic_Rate_PS!B:H,4,FALSE)</f>
        <v>2500000</v>
      </c>
      <c r="F29" s="16">
        <f>VLOOKUP(B29,Input_Lic_Rate_PS!B:H,5,FALSE)</f>
        <v>2800000</v>
      </c>
      <c r="G29" s="16">
        <v>2800000</v>
      </c>
      <c r="H29" s="16">
        <v>972693</v>
      </c>
      <c r="I29" s="16">
        <v>1082847</v>
      </c>
      <c r="J29" s="4">
        <v>1223482</v>
      </c>
      <c r="K29" s="4">
        <v>1266346</v>
      </c>
      <c r="L29" s="16">
        <f>VLOOKUP(B29,Input_TaiNguyenPeak_SGSN_Daily!E:AA,6,FALSE)</f>
        <v>1131577</v>
      </c>
      <c r="M29" s="16">
        <f>VLOOKUP($B29,Input_TaiNguyenPeak_SGSN_Daily!E:AA,7,FALSE)</f>
        <v>1229631</v>
      </c>
      <c r="N29" s="4">
        <f>VLOOKUP($B29,Input_TaiNguyenPeak_SGSN_Daily!$E:AA,14,FALSE)</f>
        <v>1455783</v>
      </c>
      <c r="O29" s="4">
        <f>VLOOKUP($B29,Input_TaiNguyenPeak_SGSN_Daily!$E:AB,15,FALSE)</f>
        <v>1495417</v>
      </c>
      <c r="P29" s="18">
        <f t="shared" si="0"/>
        <v>0.4391539285714286</v>
      </c>
      <c r="Q29" s="194">
        <v>18</v>
      </c>
      <c r="R29" s="194">
        <v>18</v>
      </c>
      <c r="S29" s="190">
        <f t="shared" ref="S29:S37" si="13">IF(U29=0,0,M29+($M$38-$U$38)*R29/SUM($R$29:$R$36))</f>
        <v>1239753.2727272727</v>
      </c>
      <c r="T29" s="191">
        <f t="shared" ref="T29:T37" si="14">S29/G29</f>
        <v>0.44276902597402595</v>
      </c>
      <c r="U29" s="4">
        <f t="shared" ref="U29:U37" si="15">IF(R29=0,0,1)*M29</f>
        <v>1229631</v>
      </c>
      <c r="V29" s="203"/>
      <c r="W29" s="203"/>
      <c r="X29" s="203">
        <f>Y29/G29</f>
        <v>0.36407937434827947</v>
      </c>
      <c r="Y29" s="190">
        <f t="shared" ref="Y29:Y37" si="16">(($M$38-$Y$45)*R29/$R$38)</f>
        <v>1019422.2481751825</v>
      </c>
      <c r="Z29" s="15" t="str">
        <f>VLOOKUP(B29,Input_Lic_Rate_PS!B:G,6,FALSE)</f>
        <v>MkVIII</v>
      </c>
    </row>
    <row r="30" spans="1:27">
      <c r="A30" s="13">
        <v>19</v>
      </c>
      <c r="B30" s="14" t="s">
        <v>31</v>
      </c>
      <c r="C30" s="14" t="s">
        <v>4</v>
      </c>
      <c r="D30" s="15" t="s">
        <v>30</v>
      </c>
      <c r="E30" s="16">
        <f>VLOOKUP(B30,Input_Lic_Rate_PS!B:H,4,FALSE)</f>
        <v>2500000</v>
      </c>
      <c r="F30" s="16">
        <f>VLOOKUP(B30,Input_Lic_Rate_PS!B:H,5,FALSE)</f>
        <v>2800000</v>
      </c>
      <c r="G30" s="16">
        <v>2800000</v>
      </c>
      <c r="H30" s="16">
        <v>1289285</v>
      </c>
      <c r="I30" s="16">
        <v>1401746</v>
      </c>
      <c r="J30" s="4">
        <v>1667083</v>
      </c>
      <c r="K30" s="4">
        <v>1711047</v>
      </c>
      <c r="L30" s="16">
        <f>VLOOKUP(B30,Input_TaiNguyenPeak_SGSN_Daily!E:AA,6,FALSE)</f>
        <v>1522303</v>
      </c>
      <c r="M30" s="16">
        <f>VLOOKUP($B30,Input_TaiNguyenPeak_SGSN_Daily!E:AA,7,FALSE)</f>
        <v>1622395</v>
      </c>
      <c r="N30" s="4">
        <f>VLOOKUP($B30,Input_TaiNguyenPeak_SGSN_Daily!$E:AA,14,FALSE)</f>
        <v>2020559</v>
      </c>
      <c r="O30" s="4">
        <f>VLOOKUP($B30,Input_TaiNguyenPeak_SGSN_Daily!$E:AB,15,FALSE)</f>
        <v>2061631</v>
      </c>
      <c r="P30" s="18">
        <f t="shared" si="0"/>
        <v>0.57942678571428574</v>
      </c>
      <c r="Q30" s="194">
        <v>18</v>
      </c>
      <c r="R30" s="194">
        <v>18</v>
      </c>
      <c r="S30" s="190">
        <f t="shared" si="13"/>
        <v>1632517.2727272727</v>
      </c>
      <c r="T30" s="191">
        <f t="shared" si="14"/>
        <v>0.5830418831168831</v>
      </c>
      <c r="U30" s="4">
        <f t="shared" si="15"/>
        <v>1622395</v>
      </c>
      <c r="V30" s="203"/>
      <c r="W30" s="203"/>
      <c r="X30" s="203">
        <f>(S30-$X$43*R30/SUM($R$29:$R$33))/G30</f>
        <v>0.54093251168831169</v>
      </c>
      <c r="Y30" s="190">
        <f t="shared" si="16"/>
        <v>1019422.2481751825</v>
      </c>
      <c r="Z30" s="15" t="str">
        <f>VLOOKUP(B30,Input_Lic_Rate_PS!B:G,6,FALSE)</f>
        <v>MkVIII</v>
      </c>
    </row>
    <row r="31" spans="1:27">
      <c r="A31" s="13">
        <v>20</v>
      </c>
      <c r="B31" s="14" t="s">
        <v>32</v>
      </c>
      <c r="C31" s="14" t="s">
        <v>4</v>
      </c>
      <c r="D31" s="15" t="s">
        <v>30</v>
      </c>
      <c r="E31" s="16">
        <f>VLOOKUP(B31,Input_Lic_Rate_PS!B:H,4,FALSE)</f>
        <v>3500000</v>
      </c>
      <c r="F31" s="16">
        <f>VLOOKUP(B31,Input_Lic_Rate_PS!B:H,5,FALSE)</f>
        <v>3500000</v>
      </c>
      <c r="G31" s="16">
        <v>4200000</v>
      </c>
      <c r="H31" s="16">
        <v>2206522</v>
      </c>
      <c r="I31" s="16">
        <v>2301371</v>
      </c>
      <c r="J31" s="4">
        <v>2826249</v>
      </c>
      <c r="K31" s="4">
        <v>2869680</v>
      </c>
      <c r="L31" s="16">
        <f>VLOOKUP(B31,Input_TaiNguyenPeak_SGSN_Daily!E:AA,6,FALSE)</f>
        <v>2278355</v>
      </c>
      <c r="M31" s="16">
        <f>VLOOKUP($B31,Input_TaiNguyenPeak_SGSN_Daily!E:AA,7,FALSE)</f>
        <v>2378245</v>
      </c>
      <c r="N31" s="4">
        <f>VLOOKUP($B31,Input_TaiNguyenPeak_SGSN_Daily!$E:AA,14,FALSE)</f>
        <v>2966047</v>
      </c>
      <c r="O31" s="4">
        <f>VLOOKUP($B31,Input_TaiNguyenPeak_SGSN_Daily!$E:AB,15,FALSE)</f>
        <v>3012427</v>
      </c>
      <c r="P31" s="18">
        <f t="shared" si="0"/>
        <v>0.6794985714285714</v>
      </c>
      <c r="Q31" s="194">
        <f>VLOOKUP(B31,Input_Lic_Rate_PS!B:I,8,FALSE)</f>
        <v>38</v>
      </c>
      <c r="R31" s="194">
        <v>38</v>
      </c>
      <c r="S31" s="190">
        <f t="shared" si="13"/>
        <v>2399614.2424242422</v>
      </c>
      <c r="T31" s="191">
        <f t="shared" si="14"/>
        <v>0.57133672438672434</v>
      </c>
      <c r="U31" s="4">
        <f t="shared" si="15"/>
        <v>2378245</v>
      </c>
      <c r="V31" s="203"/>
      <c r="W31" s="203"/>
      <c r="X31" s="203">
        <f>(S31-$X$43*R31/SUM($R$29:$R$33))/G31</f>
        <v>0.51207168311688311</v>
      </c>
      <c r="Y31" s="190">
        <f t="shared" si="16"/>
        <v>2152113.6350364964</v>
      </c>
      <c r="Z31" s="15" t="str">
        <f>VLOOKUP(B31,Input_Lic_Rate_PS!B:G,6,FALSE)</f>
        <v>MkX</v>
      </c>
    </row>
    <row r="32" spans="1:27">
      <c r="A32" s="13">
        <v>21</v>
      </c>
      <c r="B32" s="14" t="s">
        <v>33</v>
      </c>
      <c r="C32" s="14" t="s">
        <v>4</v>
      </c>
      <c r="D32" s="15" t="s">
        <v>30</v>
      </c>
      <c r="E32" s="16">
        <f>VLOOKUP(B32,Input_Lic_Rate_PS!B:H,4,FALSE)</f>
        <v>3500000</v>
      </c>
      <c r="F32" s="16">
        <f>VLOOKUP(B32,Input_Lic_Rate_PS!B:H,5,FALSE)</f>
        <v>3500000</v>
      </c>
      <c r="G32" s="16">
        <v>4200000</v>
      </c>
      <c r="H32" s="16">
        <v>2234990</v>
      </c>
      <c r="I32" s="16">
        <v>2378587</v>
      </c>
      <c r="J32" s="4">
        <v>2846083</v>
      </c>
      <c r="K32" s="4">
        <v>2905875</v>
      </c>
      <c r="L32" s="16">
        <f>VLOOKUP(B32,Input_TaiNguyenPeak_SGSN_Daily!E:AA,6,FALSE)</f>
        <v>2334401</v>
      </c>
      <c r="M32" s="16">
        <f>VLOOKUP($B32,Input_TaiNguyenPeak_SGSN_Daily!E:AA,7,FALSE)</f>
        <v>2464651</v>
      </c>
      <c r="N32" s="4">
        <f>VLOOKUP($B32,Input_TaiNguyenPeak_SGSN_Daily!$E:AA,14,FALSE)</f>
        <v>3029835</v>
      </c>
      <c r="O32" s="4">
        <f>VLOOKUP($B32,Input_TaiNguyenPeak_SGSN_Daily!$E:AB,15,FALSE)</f>
        <v>3085766</v>
      </c>
      <c r="P32" s="18">
        <f t="shared" si="0"/>
        <v>0.70418599999999998</v>
      </c>
      <c r="Q32" s="194">
        <f>VLOOKUP(B32,Input_Lic_Rate_PS!B:I,8,FALSE)</f>
        <v>38</v>
      </c>
      <c r="R32" s="194">
        <v>38</v>
      </c>
      <c r="S32" s="190">
        <f t="shared" si="13"/>
        <v>2486020.2424242422</v>
      </c>
      <c r="T32" s="191">
        <f t="shared" si="14"/>
        <v>0.59190958152958151</v>
      </c>
      <c r="U32" s="4">
        <f t="shared" si="15"/>
        <v>2464651</v>
      </c>
      <c r="V32" s="203"/>
      <c r="W32" s="203"/>
      <c r="X32" s="203">
        <f>(S32-$X$43*R32/SUM($R$29:$R$33))/G32</f>
        <v>0.53264454025974017</v>
      </c>
      <c r="Y32" s="190">
        <f t="shared" si="16"/>
        <v>2152113.6350364964</v>
      </c>
      <c r="Z32" s="15" t="str">
        <f>VLOOKUP(B32,Input_Lic_Rate_PS!B:G,6,FALSE)</f>
        <v>MkX</v>
      </c>
    </row>
    <row r="33" spans="1:26">
      <c r="A33" s="13">
        <v>22</v>
      </c>
      <c r="B33" s="14" t="s">
        <v>34</v>
      </c>
      <c r="C33" s="14" t="s">
        <v>4</v>
      </c>
      <c r="D33" s="15" t="s">
        <v>30</v>
      </c>
      <c r="E33" s="16">
        <f>VLOOKUP(B33,Input_Lic_Rate_PS!B:H,4,FALSE)</f>
        <v>3400000</v>
      </c>
      <c r="F33" s="16">
        <f>VLOOKUP(B33,Input_Lic_Rate_PS!B:H,5,FALSE)</f>
        <v>3400000</v>
      </c>
      <c r="G33" s="16">
        <v>4200000</v>
      </c>
      <c r="H33" s="16">
        <v>2195911</v>
      </c>
      <c r="I33" s="16">
        <v>2309023</v>
      </c>
      <c r="J33" s="4">
        <v>2802230</v>
      </c>
      <c r="K33" s="4">
        <v>2850327</v>
      </c>
      <c r="L33" s="16">
        <f>VLOOKUP(B33,Input_TaiNguyenPeak_SGSN_Daily!E:AA,6,FALSE)</f>
        <v>2295470</v>
      </c>
      <c r="M33" s="16">
        <f>VLOOKUP($B33,Input_TaiNguyenPeak_SGSN_Daily!E:AA,7,FALSE)</f>
        <v>2403065</v>
      </c>
      <c r="N33" s="4">
        <f>VLOOKUP($B33,Input_TaiNguyenPeak_SGSN_Daily!$E:AA,14,FALSE)</f>
        <v>2981093</v>
      </c>
      <c r="O33" s="4">
        <f>VLOOKUP($B33,Input_TaiNguyenPeak_SGSN_Daily!$E:AB,15,FALSE)</f>
        <v>3029300</v>
      </c>
      <c r="P33" s="18">
        <f t="shared" si="0"/>
        <v>0.70678382352941171</v>
      </c>
      <c r="Q33" s="194">
        <f>VLOOKUP(B33,Input_Lic_Rate_PS!B:I,8,FALSE)</f>
        <v>20</v>
      </c>
      <c r="R33" s="194">
        <v>38</v>
      </c>
      <c r="S33" s="190">
        <f t="shared" si="13"/>
        <v>2424434.2424242422</v>
      </c>
      <c r="T33" s="191">
        <f t="shared" si="14"/>
        <v>0.57724624819624815</v>
      </c>
      <c r="U33" s="4">
        <f t="shared" si="15"/>
        <v>2403065</v>
      </c>
      <c r="V33" s="203"/>
      <c r="W33" s="203"/>
      <c r="X33" s="203">
        <f>(S33-$X$43*R33/SUM($R$29:$R$33))/G33</f>
        <v>0.51798120692640692</v>
      </c>
      <c r="Y33" s="190">
        <f t="shared" si="16"/>
        <v>2152113.6350364964</v>
      </c>
      <c r="Z33" s="15" t="str">
        <f>VLOOKUP(B33,Input_Lic_Rate_PS!B:G,6,FALSE)</f>
        <v>MkX</v>
      </c>
    </row>
    <row r="34" spans="1:26">
      <c r="A34" s="13">
        <v>23</v>
      </c>
      <c r="B34" s="14" t="s">
        <v>35</v>
      </c>
      <c r="C34" s="14" t="s">
        <v>4</v>
      </c>
      <c r="D34" s="15" t="s">
        <v>30</v>
      </c>
      <c r="E34" s="16">
        <f>VLOOKUP(B34,Input_Lic_Rate_PS!B:H,4,FALSE)</f>
        <v>3400000</v>
      </c>
      <c r="F34" s="16">
        <f>VLOOKUP(B34,Input_Lic_Rate_PS!B:H,5,FALSE)</f>
        <v>3400000</v>
      </c>
      <c r="G34" s="16">
        <v>5000000</v>
      </c>
      <c r="H34" s="16">
        <v>2559888</v>
      </c>
      <c r="I34" s="16">
        <v>2670174</v>
      </c>
      <c r="J34" s="4">
        <v>3354194</v>
      </c>
      <c r="K34" s="4">
        <v>3399511</v>
      </c>
      <c r="L34" s="16">
        <f>VLOOKUP(B34,Input_TaiNguyenPeak_SGSN_Daily!E:AA,6,FALSE)</f>
        <v>2562412</v>
      </c>
      <c r="M34" s="16">
        <f>VLOOKUP($B34,Input_TaiNguyenPeak_SGSN_Daily!E:AA,7,FALSE)</f>
        <v>2665682</v>
      </c>
      <c r="N34" s="4">
        <f>VLOOKUP($B34,Input_TaiNguyenPeak_SGSN_Daily!$E:AA,14,FALSE)</f>
        <v>3400621</v>
      </c>
      <c r="O34" s="4">
        <f>VLOOKUP($B34,Input_TaiNguyenPeak_SGSN_Daily!$E:AB,15,FALSE)</f>
        <v>3447549</v>
      </c>
      <c r="P34" s="18">
        <f t="shared" si="0"/>
        <v>0.78402411764705882</v>
      </c>
      <c r="Q34" s="194">
        <f>VLOOKUP(B34,Input_Lic_Rate_PS!B:I,8,FALSE)</f>
        <v>15</v>
      </c>
      <c r="R34" s="194">
        <v>38</v>
      </c>
      <c r="S34" s="190">
        <f t="shared" si="13"/>
        <v>2687051.2424242422</v>
      </c>
      <c r="T34" s="191">
        <f t="shared" si="14"/>
        <v>0.53741024848484842</v>
      </c>
      <c r="U34" s="4">
        <f t="shared" si="15"/>
        <v>2665682</v>
      </c>
      <c r="V34" s="15"/>
      <c r="W34" s="15"/>
      <c r="X34" s="15"/>
      <c r="Y34" s="190">
        <f t="shared" si="16"/>
        <v>2152113.6350364964</v>
      </c>
      <c r="Z34" s="15" t="str">
        <f>VLOOKUP(B34,Input_Lic_Rate_PS!B:G,6,FALSE)</f>
        <v>Cloud-TCHT01</v>
      </c>
    </row>
    <row r="35" spans="1:26">
      <c r="A35" s="13">
        <v>24</v>
      </c>
      <c r="B35" s="14" t="s">
        <v>131</v>
      </c>
      <c r="C35" s="14" t="s">
        <v>4</v>
      </c>
      <c r="D35" s="15" t="s">
        <v>30</v>
      </c>
      <c r="E35" s="16">
        <f>VLOOKUP(B35,Input_Lic_Rate_PS!B:H,4,FALSE)</f>
        <v>3400000</v>
      </c>
      <c r="F35" s="16">
        <f>VLOOKUP(B35,Input_Lic_Rate_PS!B:H,5,FALSE)</f>
        <v>3400000</v>
      </c>
      <c r="G35" s="16">
        <v>5000000</v>
      </c>
      <c r="H35" s="16">
        <v>2641435</v>
      </c>
      <c r="I35" s="16">
        <v>2764139</v>
      </c>
      <c r="J35" s="4">
        <v>3437124</v>
      </c>
      <c r="K35" s="4">
        <v>3487493</v>
      </c>
      <c r="L35" s="16">
        <f>VLOOKUP(B35,Input_TaiNguyenPeak_SGSN_Daily!E:AA,6,FALSE)</f>
        <v>2647169</v>
      </c>
      <c r="M35" s="16">
        <f>VLOOKUP($B35,Input_TaiNguyenPeak_SGSN_Daily!E:AA,7,FALSE)</f>
        <v>2763591</v>
      </c>
      <c r="N35" s="4">
        <f>VLOOKUP($B35,Input_TaiNguyenPeak_SGSN_Daily!$E:AA,14,FALSE)</f>
        <v>3503276</v>
      </c>
      <c r="O35" s="4">
        <f>VLOOKUP($B35,Input_TaiNguyenPeak_SGSN_Daily!$E:AB,15,FALSE)</f>
        <v>3554199</v>
      </c>
      <c r="P35" s="18">
        <f t="shared" si="0"/>
        <v>0.81282088235294114</v>
      </c>
      <c r="Q35" s="194">
        <f>VLOOKUP(B35,Input_Lic_Rate_PS!B:I,8,FALSE)</f>
        <v>15</v>
      </c>
      <c r="R35" s="194">
        <v>38</v>
      </c>
      <c r="S35" s="190">
        <f t="shared" si="13"/>
        <v>2784960.2424242422</v>
      </c>
      <c r="T35" s="191">
        <f t="shared" si="14"/>
        <v>0.5569920484848484</v>
      </c>
      <c r="U35" s="4">
        <f t="shared" si="15"/>
        <v>2763591</v>
      </c>
      <c r="V35" s="15"/>
      <c r="W35" s="15"/>
      <c r="X35" s="15"/>
      <c r="Y35" s="190">
        <f t="shared" si="16"/>
        <v>2152113.6350364964</v>
      </c>
      <c r="Z35" s="15" t="str">
        <f>VLOOKUP(B35,Input_Lic_Rate_PS!B:G,6,FALSE)</f>
        <v>Cloud-TCHT01</v>
      </c>
    </row>
    <row r="36" spans="1:26">
      <c r="A36" s="13">
        <v>25</v>
      </c>
      <c r="B36" s="14" t="s">
        <v>132</v>
      </c>
      <c r="C36" s="14" t="s">
        <v>4</v>
      </c>
      <c r="D36" s="15" t="s">
        <v>30</v>
      </c>
      <c r="E36" s="16">
        <f>VLOOKUP(B36,Input_Lic_Rate_PS!B:H,4,FALSE)</f>
        <v>3400000</v>
      </c>
      <c r="F36" s="16">
        <f>VLOOKUP(B36,Input_Lic_Rate_PS!B:H,5,FALSE)</f>
        <v>3400000</v>
      </c>
      <c r="G36" s="16">
        <v>5000000</v>
      </c>
      <c r="H36" s="16">
        <v>2882119</v>
      </c>
      <c r="I36" s="16">
        <v>3005619</v>
      </c>
      <c r="J36" s="4">
        <v>3747575</v>
      </c>
      <c r="K36" s="4">
        <v>3797489</v>
      </c>
      <c r="L36" s="16">
        <f>VLOOKUP(B36,Input_TaiNguyenPeak_SGSN_Daily!E:AA,6,FALSE)</f>
        <v>2726049</v>
      </c>
      <c r="M36" s="16">
        <f>VLOOKUP($B36,Input_TaiNguyenPeak_SGSN_Daily!E:AA,7,FALSE)</f>
        <v>2842152</v>
      </c>
      <c r="N36" s="4">
        <f>VLOOKUP($B36,Input_TaiNguyenPeak_SGSN_Daily!$E:AA,14,FALSE)</f>
        <v>3604434</v>
      </c>
      <c r="O36" s="4">
        <f>VLOOKUP($B36,Input_TaiNguyenPeak_SGSN_Daily!$E:AB,15,FALSE)</f>
        <v>3654418</v>
      </c>
      <c r="P36" s="18">
        <f t="shared" si="0"/>
        <v>0.83592705882352936</v>
      </c>
      <c r="Q36" s="194">
        <f>VLOOKUP(B36,Input_Lic_Rate_PS!B:I,8,FALSE)</f>
        <v>0</v>
      </c>
      <c r="R36" s="194">
        <v>38</v>
      </c>
      <c r="S36" s="190">
        <f t="shared" si="13"/>
        <v>2863521.2424242422</v>
      </c>
      <c r="T36" s="191">
        <f t="shared" si="14"/>
        <v>0.57270424848484847</v>
      </c>
      <c r="U36" s="4">
        <f t="shared" si="15"/>
        <v>2842152</v>
      </c>
      <c r="V36" s="15"/>
      <c r="W36" s="15"/>
      <c r="X36" s="15"/>
      <c r="Y36" s="190">
        <f t="shared" si="16"/>
        <v>2152113.6350364964</v>
      </c>
      <c r="Z36" s="15" t="str">
        <f>VLOOKUP(B36,Input_Lic_Rate_PS!B:G,6,FALSE)</f>
        <v>Cloud-TCHT01-NFVI02</v>
      </c>
    </row>
    <row r="37" spans="1:26">
      <c r="A37" s="13">
        <v>26</v>
      </c>
      <c r="B37" s="14" t="s">
        <v>336</v>
      </c>
      <c r="C37" s="14" t="s">
        <v>4</v>
      </c>
      <c r="D37" s="15" t="s">
        <v>30</v>
      </c>
      <c r="E37" s="16">
        <f>VLOOKUP(B37,Input_Lic_Rate_PS!B:H,4,FALSE)</f>
        <v>1000000</v>
      </c>
      <c r="F37" s="16">
        <f>VLOOKUP(B37,Input_Lic_Rate_PS!B:H,5,FALSE)</f>
        <v>1000000</v>
      </c>
      <c r="G37" s="16">
        <v>2000000</v>
      </c>
      <c r="H37" s="16">
        <v>185284</v>
      </c>
      <c r="I37" s="16">
        <v>188497</v>
      </c>
      <c r="J37" s="4">
        <v>240233</v>
      </c>
      <c r="K37" s="4">
        <v>242214</v>
      </c>
      <c r="L37" s="16">
        <f>VLOOKUP(B37,Input_TaiNguyenPeak_SGSN_Daily!E:AA,6,FALSE)</f>
        <v>145349</v>
      </c>
      <c r="M37" s="16">
        <f>VLOOKUP($B37,Input_TaiNguyenPeak_SGSN_Daily!E:AA,7,FALSE)</f>
        <v>148460</v>
      </c>
      <c r="N37" s="4">
        <f>VLOOKUP($B37,Input_TaiNguyenPeak_SGSN_Daily!$E:AA,14,FALSE)</f>
        <v>191861</v>
      </c>
      <c r="O37" s="4">
        <f>VLOOKUP($B37,Input_TaiNguyenPeak_SGSN_Daily!$E:AB,15,FALSE)</f>
        <v>193738</v>
      </c>
      <c r="P37" s="18">
        <f t="shared" si="0"/>
        <v>0.14846000000000001</v>
      </c>
      <c r="Q37" s="194">
        <f>VLOOKUP(B37,Input_Lic_Rate_PS!B:I,8,FALSE)</f>
        <v>0</v>
      </c>
      <c r="R37" s="194">
        <v>10</v>
      </c>
      <c r="S37" s="190">
        <f t="shared" si="13"/>
        <v>154083.48484848486</v>
      </c>
      <c r="T37" s="191">
        <f t="shared" si="14"/>
        <v>7.7041742424242429E-2</v>
      </c>
      <c r="U37" s="4">
        <f t="shared" si="15"/>
        <v>148460</v>
      </c>
      <c r="V37" s="15"/>
      <c r="W37" s="15"/>
      <c r="X37" s="15"/>
      <c r="Y37" s="190">
        <f t="shared" si="16"/>
        <v>566345.69343065692</v>
      </c>
      <c r="Z37" s="15" t="str">
        <f>VLOOKUP(B37,Input_Lic_Rate_PS!B:G,6,FALSE)</f>
        <v>Cloud-TCHT01-NFVI02</v>
      </c>
    </row>
    <row r="38" spans="1:26">
      <c r="A38" s="13">
        <v>23</v>
      </c>
      <c r="B38" s="59" t="s">
        <v>36</v>
      </c>
      <c r="C38" s="59" t="s">
        <v>4</v>
      </c>
      <c r="D38" s="60"/>
      <c r="E38" s="61">
        <f>SUM(E29:E37)</f>
        <v>26600000</v>
      </c>
      <c r="F38" s="61">
        <f>SUM(F29:F36)</f>
        <v>26200000</v>
      </c>
      <c r="G38" s="61"/>
      <c r="H38" s="61">
        <v>17168127</v>
      </c>
      <c r="I38" s="61">
        <v>18102003</v>
      </c>
      <c r="J38" s="61">
        <v>22144253</v>
      </c>
      <c r="K38" s="61">
        <v>22529982</v>
      </c>
      <c r="L38" s="61">
        <f>SUM(L29:L37)</f>
        <v>17643085</v>
      </c>
      <c r="M38" s="61">
        <f t="shared" ref="M38:O38" si="17">SUM(M29:M37)</f>
        <v>18517872</v>
      </c>
      <c r="N38" s="61">
        <f t="shared" si="17"/>
        <v>23153509</v>
      </c>
      <c r="O38" s="61">
        <f t="shared" si="17"/>
        <v>23534445</v>
      </c>
      <c r="P38" s="74">
        <f t="shared" si="0"/>
        <v>0.70678900763358776</v>
      </c>
      <c r="Q38" s="201">
        <f>SUM(Q29:Q37)</f>
        <v>162</v>
      </c>
      <c r="R38" s="201">
        <f>SUM(R29:R37)</f>
        <v>274</v>
      </c>
      <c r="S38" s="193"/>
      <c r="T38" s="193"/>
      <c r="U38" s="181">
        <f>SUM(U29:U36)</f>
        <v>18369412</v>
      </c>
      <c r="V38" s="62"/>
      <c r="W38" s="62"/>
      <c r="X38" s="62"/>
      <c r="Y38" s="62"/>
      <c r="Z38" s="62"/>
    </row>
    <row r="39" spans="1:26">
      <c r="A39" s="13" t="s">
        <v>15</v>
      </c>
      <c r="B39" s="23" t="s">
        <v>37</v>
      </c>
      <c r="C39" s="23" t="s">
        <v>38</v>
      </c>
      <c r="D39" s="24"/>
      <c r="E39" s="25">
        <f>SUM(E3:E9)</f>
        <v>21500000</v>
      </c>
      <c r="F39" s="25">
        <f>SUM(F3:F9)</f>
        <v>22100000</v>
      </c>
      <c r="G39" s="25"/>
      <c r="H39" s="25">
        <v>25936473</v>
      </c>
      <c r="I39" s="25">
        <v>28072476</v>
      </c>
      <c r="J39" s="25">
        <v>33545488</v>
      </c>
      <c r="K39" s="25">
        <v>34662270</v>
      </c>
      <c r="L39" s="25">
        <f>L15+L19</f>
        <v>26623964</v>
      </c>
      <c r="M39" s="25">
        <f>M15+M19</f>
        <v>28817256</v>
      </c>
      <c r="N39" s="25">
        <f>N15+N19</f>
        <v>35969577</v>
      </c>
      <c r="O39" s="25">
        <f>O15+O19</f>
        <v>37121357</v>
      </c>
      <c r="P39" s="18">
        <f t="shared" si="0"/>
        <v>1.3039482352941176</v>
      </c>
      <c r="Q39" s="189"/>
      <c r="R39" s="189"/>
      <c r="S39" s="189"/>
      <c r="T39" s="189"/>
      <c r="U39" s="3"/>
      <c r="V39" s="24"/>
      <c r="W39" s="24"/>
      <c r="X39" s="24"/>
      <c r="Y39" s="24"/>
      <c r="Z39" s="24"/>
    </row>
    <row r="40" spans="1:26">
      <c r="A40" s="13" t="s">
        <v>25</v>
      </c>
      <c r="B40" s="23" t="s">
        <v>39</v>
      </c>
      <c r="C40" s="23" t="s">
        <v>38</v>
      </c>
      <c r="D40" s="24"/>
      <c r="E40" s="25">
        <f>SUM(E20:E24)</f>
        <v>9200000</v>
      </c>
      <c r="F40" s="25">
        <f>SUM(F20:F24)</f>
        <v>18400000</v>
      </c>
      <c r="G40" s="25"/>
      <c r="H40" s="25">
        <v>8059221</v>
      </c>
      <c r="I40" s="25">
        <v>8513833</v>
      </c>
      <c r="J40" s="25">
        <v>10381224</v>
      </c>
      <c r="K40" s="25">
        <v>10588749</v>
      </c>
      <c r="L40" s="25">
        <f>L24+L28</f>
        <v>8503155</v>
      </c>
      <c r="M40" s="25">
        <f>M24+M28</f>
        <v>8947159</v>
      </c>
      <c r="N40" s="25">
        <f>N24+N28</f>
        <v>10574498</v>
      </c>
      <c r="O40" s="25">
        <f>O24+O28</f>
        <v>10778896</v>
      </c>
      <c r="P40" s="18">
        <f t="shared" si="0"/>
        <v>0.48625864130434782</v>
      </c>
      <c r="Q40" s="189"/>
      <c r="R40" s="189"/>
      <c r="S40" s="189"/>
      <c r="T40" s="189"/>
      <c r="U40" s="3"/>
      <c r="V40" s="24"/>
      <c r="W40" s="24"/>
      <c r="X40" s="24"/>
      <c r="Y40" s="24"/>
      <c r="Z40" s="24"/>
    </row>
    <row r="41" spans="1:26">
      <c r="A41" s="13" t="s">
        <v>30</v>
      </c>
      <c r="B41" s="23" t="s">
        <v>40</v>
      </c>
      <c r="C41" s="23" t="s">
        <v>38</v>
      </c>
      <c r="D41" s="24"/>
      <c r="E41" s="25">
        <f t="shared" ref="E41:F41" si="18">SUM(E29:E36)</f>
        <v>25600000</v>
      </c>
      <c r="F41" s="25">
        <f t="shared" si="18"/>
        <v>26200000</v>
      </c>
      <c r="G41" s="25"/>
      <c r="H41" s="25">
        <v>17168127</v>
      </c>
      <c r="I41" s="25">
        <v>18102003</v>
      </c>
      <c r="J41" s="25">
        <v>22144253</v>
      </c>
      <c r="K41" s="25">
        <v>22529982</v>
      </c>
      <c r="L41" s="25">
        <f>L38</f>
        <v>17643085</v>
      </c>
      <c r="M41" s="25">
        <f>M38</f>
        <v>18517872</v>
      </c>
      <c r="N41" s="25">
        <f>N38</f>
        <v>23153509</v>
      </c>
      <c r="O41" s="25">
        <f>O38</f>
        <v>23534445</v>
      </c>
      <c r="P41" s="18">
        <f t="shared" si="0"/>
        <v>0.70678900763358776</v>
      </c>
      <c r="Q41" s="189"/>
      <c r="R41" s="189"/>
      <c r="S41" s="189"/>
      <c r="T41" s="189"/>
      <c r="U41" s="3"/>
      <c r="V41" s="24"/>
      <c r="W41" s="24"/>
      <c r="X41" s="24"/>
      <c r="Y41" s="24"/>
      <c r="Z41" s="24"/>
    </row>
    <row r="42" spans="1:26">
      <c r="A42" s="13" t="s">
        <v>104</v>
      </c>
      <c r="B42" s="23" t="s">
        <v>41</v>
      </c>
      <c r="C42" s="23" t="s">
        <v>38</v>
      </c>
      <c r="D42" s="24"/>
      <c r="E42" s="25">
        <f t="shared" ref="E42:F42" si="19">SUM(E39:E41)</f>
        <v>56300000</v>
      </c>
      <c r="F42" s="25">
        <f t="shared" si="19"/>
        <v>66700000</v>
      </c>
      <c r="G42" s="25"/>
      <c r="H42" s="25">
        <v>51163821</v>
      </c>
      <c r="I42" s="25">
        <v>54688312</v>
      </c>
      <c r="J42" s="25">
        <v>66070965</v>
      </c>
      <c r="K42" s="25">
        <v>67781001</v>
      </c>
      <c r="L42" s="25">
        <f>SUM(L39:L41)</f>
        <v>52770204</v>
      </c>
      <c r="M42" s="25">
        <f>SUM(M39:M41)</f>
        <v>56282287</v>
      </c>
      <c r="N42" s="25">
        <f>SUM(N39:N41)</f>
        <v>69697584</v>
      </c>
      <c r="O42" s="25">
        <f>SUM(O39:O41)</f>
        <v>71434698</v>
      </c>
      <c r="P42" s="18">
        <f t="shared" si="0"/>
        <v>0.84381239880059966</v>
      </c>
      <c r="Q42" s="189"/>
      <c r="R42" s="189"/>
      <c r="S42" s="189"/>
      <c r="T42" s="189"/>
      <c r="U42" s="3"/>
      <c r="V42" s="24"/>
      <c r="W42" s="24"/>
      <c r="X42" s="24"/>
      <c r="Y42" s="24"/>
      <c r="Z42" s="24"/>
    </row>
    <row r="43" spans="1:2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189"/>
      <c r="R43" s="189"/>
      <c r="S43" s="189"/>
      <c r="T43" s="189"/>
      <c r="U43" s="3"/>
      <c r="V43" s="3"/>
      <c r="W43" s="3"/>
      <c r="X43" s="3">
        <v>982552</v>
      </c>
      <c r="Y43" s="3"/>
      <c r="Z43" s="3"/>
    </row>
    <row r="44" spans="1:26" s="26" customFormat="1">
      <c r="A44" s="208"/>
      <c r="B44" s="209" t="s">
        <v>42</v>
      </c>
      <c r="C44" s="208"/>
      <c r="D44" s="208"/>
      <c r="E44" s="208"/>
      <c r="F44" s="208"/>
      <c r="G44" s="208"/>
      <c r="H44" s="208"/>
      <c r="I44" s="208"/>
      <c r="J44" s="208"/>
      <c r="K44" s="208"/>
      <c r="L44" s="208"/>
      <c r="M44" s="208"/>
      <c r="N44" s="208"/>
      <c r="O44" s="208"/>
      <c r="P44" s="208"/>
      <c r="Q44" s="210"/>
      <c r="R44" s="210"/>
      <c r="S44" s="210"/>
      <c r="T44" s="210"/>
      <c r="U44" s="208"/>
      <c r="V44" s="208"/>
      <c r="W44" s="208"/>
      <c r="X44" s="208"/>
      <c r="Y44" s="208"/>
      <c r="Z44" s="208"/>
    </row>
    <row r="45" spans="1:26">
      <c r="Y45" s="190">
        <v>3000000</v>
      </c>
    </row>
    <row r="50" spans="5:5">
      <c r="E50">
        <f>SUM(E34:E37)/E38</f>
        <v>0.42105263157894735</v>
      </c>
    </row>
  </sheetData>
  <mergeCells count="8">
    <mergeCell ref="Q1:T1"/>
    <mergeCell ref="E1:G1"/>
    <mergeCell ref="H1:K1"/>
    <mergeCell ref="A1:A2"/>
    <mergeCell ref="B1:B2"/>
    <mergeCell ref="C1:C2"/>
    <mergeCell ref="D1:D2"/>
    <mergeCell ref="L1:O1"/>
  </mergeCells>
  <hyperlinks>
    <hyperlink ref="B44" location="'Gioi Thieu Tai lieu'!A1" display="'Gioi Thieu Tai lieu'!A1"/>
  </hyperlink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2060"/>
  </sheetPr>
  <dimension ref="A1:AB73"/>
  <sheetViews>
    <sheetView zoomScale="85" zoomScaleNormal="85" workbookViewId="0">
      <pane xSplit="7" ySplit="2" topLeftCell="H3" activePane="bottomRight" state="frozen"/>
      <selection activeCell="K56" sqref="K56"/>
      <selection pane="topRight" activeCell="K56" sqref="K56"/>
      <selection pane="bottomLeft" activeCell="K56" sqref="K56"/>
      <selection pane="bottomRight" activeCell="R7" sqref="R7"/>
    </sheetView>
  </sheetViews>
  <sheetFormatPr defaultColWidth="8.7109375" defaultRowHeight="15"/>
  <cols>
    <col min="1" max="1" width="4.42578125" style="65" bestFit="1" customWidth="1"/>
    <col min="2" max="2" width="12.140625" style="65" customWidth="1"/>
    <col min="3" max="3" width="12.85546875" style="65" bestFit="1" customWidth="1"/>
    <col min="4" max="4" width="6" style="65" customWidth="1"/>
    <col min="5" max="5" width="14.140625" style="65" customWidth="1"/>
    <col min="6" max="6" width="10.28515625" style="65" customWidth="1"/>
    <col min="7" max="7" width="12.28515625" style="65" customWidth="1"/>
    <col min="8" max="8" width="12.140625" style="71" customWidth="1"/>
    <col min="9" max="9" width="12.7109375" style="71" customWidth="1"/>
    <col min="10" max="10" width="12.140625" style="71" bestFit="1" customWidth="1"/>
    <col min="11" max="11" width="14.5703125" style="71" customWidth="1"/>
    <col min="12" max="12" width="13.28515625" style="72" bestFit="1" customWidth="1"/>
    <col min="13" max="13" width="12.42578125" style="72" customWidth="1"/>
    <col min="14" max="14" width="16.140625" style="145" bestFit="1" customWidth="1"/>
    <col min="15" max="15" width="13.28515625" style="145" bestFit="1" customWidth="1"/>
    <col min="16" max="16" width="9.85546875" style="145" customWidth="1"/>
    <col min="17" max="17" width="14.140625" style="145" customWidth="1"/>
    <col min="18" max="18" width="8.42578125" style="145" bestFit="1" customWidth="1"/>
    <col min="19" max="19" width="13.28515625" style="145" bestFit="1" customWidth="1"/>
    <col min="20" max="20" width="20.7109375" style="63" customWidth="1"/>
    <col min="21" max="21" width="12.42578125" style="161" customWidth="1"/>
    <col min="22" max="22" width="9.85546875" style="64" customWidth="1"/>
    <col min="23" max="23" width="9.85546875" style="64" bestFit="1" customWidth="1"/>
    <col min="24" max="24" width="9.85546875" style="71" customWidth="1"/>
    <col min="25" max="25" width="9.85546875" style="64" customWidth="1"/>
    <col min="26" max="26" width="20.85546875" style="64" bestFit="1" customWidth="1"/>
    <col min="27" max="27" width="12.28515625" style="65" bestFit="1" customWidth="1"/>
    <col min="28" max="16384" width="8.7109375" style="65"/>
  </cols>
  <sheetData>
    <row r="1" spans="1:28" ht="27.6" customHeight="1">
      <c r="A1" s="343"/>
      <c r="B1" s="665"/>
      <c r="C1" s="665"/>
      <c r="D1" s="665"/>
      <c r="E1" s="1019" t="s">
        <v>259</v>
      </c>
      <c r="F1" s="1019"/>
      <c r="G1" s="1019"/>
      <c r="H1" s="1020">
        <v>45718.871527777781</v>
      </c>
      <c r="I1" s="1021"/>
      <c r="J1" s="1020">
        <f>Input_NOCPRO_GGSN!B2</f>
        <v>46203.875</v>
      </c>
      <c r="K1" s="1021"/>
      <c r="L1" s="1022" t="s">
        <v>6</v>
      </c>
      <c r="M1" s="1022"/>
      <c r="N1" s="1017" t="s">
        <v>371</v>
      </c>
      <c r="O1" s="1017"/>
      <c r="P1" s="1017"/>
      <c r="Q1" s="1017"/>
      <c r="R1" s="666"/>
      <c r="S1" s="666"/>
      <c r="T1" s="344"/>
      <c r="U1" s="345"/>
      <c r="V1" s="344"/>
      <c r="W1" s="344"/>
      <c r="X1" s="346"/>
      <c r="Y1" s="344"/>
      <c r="Z1" s="347"/>
      <c r="AA1" s="348"/>
    </row>
    <row r="2" spans="1:28" ht="51">
      <c r="A2" s="332" t="s">
        <v>0</v>
      </c>
      <c r="B2" s="332" t="s">
        <v>7</v>
      </c>
      <c r="C2" s="332" t="s">
        <v>43</v>
      </c>
      <c r="D2" s="332" t="s">
        <v>44</v>
      </c>
      <c r="E2" s="332" t="s">
        <v>490</v>
      </c>
      <c r="F2" s="332" t="s">
        <v>262</v>
      </c>
      <c r="G2" s="332" t="s">
        <v>47</v>
      </c>
      <c r="H2" s="333" t="s">
        <v>263</v>
      </c>
      <c r="I2" s="333" t="s">
        <v>48</v>
      </c>
      <c r="J2" s="333" t="s">
        <v>263</v>
      </c>
      <c r="K2" s="333" t="s">
        <v>48</v>
      </c>
      <c r="L2" s="334" t="s">
        <v>49</v>
      </c>
      <c r="M2" s="334" t="s">
        <v>50</v>
      </c>
      <c r="N2" s="333" t="s">
        <v>263</v>
      </c>
      <c r="O2" s="333" t="s">
        <v>48</v>
      </c>
      <c r="P2" s="333" t="s">
        <v>49</v>
      </c>
      <c r="Q2" s="333" t="s">
        <v>50</v>
      </c>
      <c r="R2" s="333" t="s">
        <v>831</v>
      </c>
      <c r="S2" s="333" t="s">
        <v>878</v>
      </c>
      <c r="T2" s="335" t="s">
        <v>51</v>
      </c>
      <c r="U2" s="336" t="s">
        <v>264</v>
      </c>
      <c r="V2" s="335" t="s">
        <v>266</v>
      </c>
      <c r="W2" s="337" t="s">
        <v>268</v>
      </c>
      <c r="X2" s="333" t="s">
        <v>269</v>
      </c>
      <c r="Y2" s="335" t="s">
        <v>318</v>
      </c>
      <c r="Z2" s="338" t="s">
        <v>370</v>
      </c>
      <c r="AA2" s="348" t="s">
        <v>304</v>
      </c>
    </row>
    <row r="3" spans="1:28" s="199" customFormat="1">
      <c r="A3" s="417">
        <v>1</v>
      </c>
      <c r="B3" s="417" t="s">
        <v>497</v>
      </c>
      <c r="C3" s="356" t="s">
        <v>249</v>
      </c>
      <c r="D3" s="417" t="s">
        <v>15</v>
      </c>
      <c r="E3" s="418">
        <f>VLOOKUP(B3,Input_Lic_Rate_PS!K:P,4,FALSE)</f>
        <v>4500000</v>
      </c>
      <c r="F3" s="418">
        <f>VLOOKUP(B3,Input_Lic_Rate_PS!K:R,5,FALSE)</f>
        <v>150000</v>
      </c>
      <c r="G3" s="418">
        <f>VLOOKUP(B3,Input_Lic_Rate_PS!K:R,7,FALSE)</f>
        <v>4500000</v>
      </c>
      <c r="H3" s="419">
        <v>1597798</v>
      </c>
      <c r="I3" s="419">
        <v>67891.11</v>
      </c>
      <c r="J3" s="419">
        <f>_xlfn.IFNA(VLOOKUP(B3,Input_NOCPRO_GGSN!C:G,4,FALSE),0)</f>
        <v>1716536</v>
      </c>
      <c r="K3" s="419">
        <f>_xlfn.IFNA(VLOOKUP(B3,Input_NOCPRO_GGSN!C:G,5,FALSE),0)</f>
        <v>73947.31</v>
      </c>
      <c r="L3" s="420">
        <f t="shared" ref="L3:M16" si="0">J3/E3</f>
        <v>0.38145244444444443</v>
      </c>
      <c r="M3" s="420">
        <f t="shared" si="0"/>
        <v>0.49298206666666666</v>
      </c>
      <c r="N3" s="421">
        <f t="shared" ref="N3:N27" si="1">(J3+(X3/SUM($X$3:$X$27)-U3/SUM($U$3:$U$27))*SUM($J$7:$J$27))*W3</f>
        <v>-3831426357.0928383</v>
      </c>
      <c r="O3" s="422">
        <f t="shared" ref="O3:O27" si="2">(K3+(X3/SUM($X$3:$X$27)-U3/SUM($U$3:$U$27))*SUM($K$7:$K$27))*W3</f>
        <v>-160645596.10907018</v>
      </c>
      <c r="P3" s="420">
        <f t="shared" ref="P3:Q16" si="3">N3/E3</f>
        <v>-851.42807935396411</v>
      </c>
      <c r="Q3" s="420">
        <f t="shared" si="3"/>
        <v>-1070.9706407271347</v>
      </c>
      <c r="R3" s="420" t="s">
        <v>833</v>
      </c>
      <c r="S3" s="421">
        <f>N3*7/17</f>
        <v>-1577646147.0382276</v>
      </c>
      <c r="T3" s="418">
        <v>60000</v>
      </c>
      <c r="U3" s="256" t="str">
        <f>VLOOKUP(B3,idns_weight_PCSCF!A:I,6,)</f>
        <v>90</v>
      </c>
      <c r="V3" s="256">
        <f t="shared" ref="V3:V34" si="4">K3/(SUM($K$7:$K$27))*SUM($U$7:$U$27)</f>
        <v>4.1387171203318536E-2</v>
      </c>
      <c r="W3" s="352">
        <f t="shared" ref="W3:W54" si="5">IF(X3=0,0,1)</f>
        <v>1</v>
      </c>
      <c r="X3" s="256">
        <v>90</v>
      </c>
      <c r="Y3" s="353" t="str">
        <f>IF(U3=X3,"NO","YES")</f>
        <v>YES</v>
      </c>
      <c r="Z3" s="354" t="str">
        <f>VLOOKUP(B3,Input_Lic_Rate_PS!K:S,9,FALSE)</f>
        <v>TCPD07</v>
      </c>
      <c r="AA3" s="355">
        <f t="shared" ref="AA3:AA32" si="6">O3-K3</f>
        <v>-160719543.41907018</v>
      </c>
    </row>
    <row r="4" spans="1:28" s="199" customFormat="1">
      <c r="A4" s="417">
        <v>2</v>
      </c>
      <c r="B4" s="417" t="s">
        <v>496</v>
      </c>
      <c r="C4" s="356" t="s">
        <v>249</v>
      </c>
      <c r="D4" s="417" t="s">
        <v>15</v>
      </c>
      <c r="E4" s="418">
        <f>VLOOKUP(B4,Input_Lic_Rate_PS!K:P,4,FALSE)</f>
        <v>4500000</v>
      </c>
      <c r="F4" s="418">
        <f>VLOOKUP(B4,Input_Lic_Rate_PS!K:R,5,FALSE)</f>
        <v>150000</v>
      </c>
      <c r="G4" s="418">
        <f>VLOOKUP(B4,Input_Lic_Rate_PS!K:R,7,FALSE)</f>
        <v>4500000</v>
      </c>
      <c r="H4" s="419">
        <v>1604318</v>
      </c>
      <c r="I4" s="419">
        <v>68651.42</v>
      </c>
      <c r="J4" s="419">
        <f>_xlfn.IFNA(VLOOKUP(B4,Input_NOCPRO_GGSN!C:G,4,FALSE),0)</f>
        <v>1719128</v>
      </c>
      <c r="K4" s="419">
        <f>_xlfn.IFNA(VLOOKUP(B4,Input_NOCPRO_GGSN!C:G,5,FALSE),0)</f>
        <v>73989.91</v>
      </c>
      <c r="L4" s="420">
        <f t="shared" si="0"/>
        <v>0.38202844444444445</v>
      </c>
      <c r="M4" s="420">
        <f t="shared" si="0"/>
        <v>0.49326606666666667</v>
      </c>
      <c r="N4" s="421">
        <f t="shared" si="1"/>
        <v>-3831423765.0928383</v>
      </c>
      <c r="O4" s="422">
        <f t="shared" si="2"/>
        <v>-160645553.50907019</v>
      </c>
      <c r="P4" s="420">
        <f t="shared" si="3"/>
        <v>-851.42750335396408</v>
      </c>
      <c r="Q4" s="420">
        <f t="shared" si="3"/>
        <v>-1070.9703567271347</v>
      </c>
      <c r="R4" s="420" t="s">
        <v>834</v>
      </c>
      <c r="S4" s="421">
        <f t="shared" ref="S4:S54" si="7">N4*7/17</f>
        <v>-1577645079.7441099</v>
      </c>
      <c r="T4" s="418">
        <v>60000</v>
      </c>
      <c r="U4" s="256" t="str">
        <f>VLOOKUP(B4,idns_weight_PCSCF!A:I,6,)</f>
        <v>90</v>
      </c>
      <c r="V4" s="256">
        <f t="shared" si="4"/>
        <v>4.1411013767615489E-2</v>
      </c>
      <c r="W4" s="352">
        <f t="shared" si="5"/>
        <v>1</v>
      </c>
      <c r="X4" s="256">
        <v>90</v>
      </c>
      <c r="Y4" s="353" t="str">
        <f t="shared" ref="Y4" si="8">IF(U4=X4,"NO","YES")</f>
        <v>YES</v>
      </c>
      <c r="Z4" s="354" t="str">
        <f>VLOOKUP(B4,Input_Lic_Rate_PS!K:S,9,FALSE)</f>
        <v>TCPD07</v>
      </c>
      <c r="AA4" s="355">
        <f t="shared" si="6"/>
        <v>-160719543.41907018</v>
      </c>
    </row>
    <row r="5" spans="1:28" s="199" customFormat="1">
      <c r="A5" s="417">
        <v>3</v>
      </c>
      <c r="B5" s="417" t="s">
        <v>498</v>
      </c>
      <c r="C5" s="356" t="s">
        <v>249</v>
      </c>
      <c r="D5" s="417" t="s">
        <v>15</v>
      </c>
      <c r="E5" s="418">
        <f>VLOOKUP(B5,Input_Lic_Rate_PS!K:P,4,FALSE)</f>
        <v>4500000</v>
      </c>
      <c r="F5" s="418">
        <f>VLOOKUP(B5,Input_Lic_Rate_PS!K:R,5,FALSE)</f>
        <v>150000</v>
      </c>
      <c r="G5" s="418">
        <f>VLOOKUP(B5,Input_Lic_Rate_PS!K:R,7,FALSE)</f>
        <v>4500000</v>
      </c>
      <c r="H5" s="419">
        <v>1597834</v>
      </c>
      <c r="I5" s="419">
        <v>66561.98</v>
      </c>
      <c r="J5" s="419">
        <f>_xlfn.IFNA(VLOOKUP(B5,Input_NOCPRO_GGSN!C:G,4,FALSE),0)</f>
        <v>2292961</v>
      </c>
      <c r="K5" s="419">
        <f>_xlfn.IFNA(VLOOKUP(B5,Input_NOCPRO_GGSN!C:G,5,FALSE),0)</f>
        <v>98606.04</v>
      </c>
      <c r="L5" s="420">
        <f t="shared" si="0"/>
        <v>0.50954688888888888</v>
      </c>
      <c r="M5" s="420">
        <f t="shared" si="0"/>
        <v>0.6573736</v>
      </c>
      <c r="N5" s="421">
        <f t="shared" si="1"/>
        <v>-5109242422.0928383</v>
      </c>
      <c r="O5" s="422">
        <f t="shared" si="2"/>
        <v>-214222554.38985351</v>
      </c>
      <c r="P5" s="420">
        <f t="shared" si="3"/>
        <v>-1135.3872049095196</v>
      </c>
      <c r="Q5" s="420">
        <f t="shared" si="3"/>
        <v>-1428.1503625990233</v>
      </c>
      <c r="R5" s="420" t="s">
        <v>835</v>
      </c>
      <c r="S5" s="421">
        <f t="shared" si="7"/>
        <v>-2103805703.2146983</v>
      </c>
      <c r="T5" s="418">
        <v>60000</v>
      </c>
      <c r="U5" s="256" t="str">
        <f>VLOOKUP(B5,idns_weight_PCSCF!A:I,6,)</f>
        <v>120</v>
      </c>
      <c r="V5" s="256">
        <f t="shared" si="4"/>
        <v>5.5188282834916856E-2</v>
      </c>
      <c r="W5" s="352">
        <f t="shared" si="5"/>
        <v>1</v>
      </c>
      <c r="X5" s="256">
        <v>90</v>
      </c>
      <c r="Y5" s="353" t="str">
        <f>IF(U5=X5,"NO","YES")</f>
        <v>YES</v>
      </c>
      <c r="Z5" s="354" t="str">
        <f>VLOOKUP(B5,Input_Lic_Rate_PS!K:S,9,FALSE)</f>
        <v>TCPD07</v>
      </c>
      <c r="AA5" s="355">
        <f t="shared" si="6"/>
        <v>-214321160.4298535</v>
      </c>
    </row>
    <row r="6" spans="1:28" s="199" customFormat="1">
      <c r="A6" s="417">
        <v>4</v>
      </c>
      <c r="B6" s="417" t="s">
        <v>492</v>
      </c>
      <c r="C6" s="356" t="s">
        <v>249</v>
      </c>
      <c r="D6" s="417" t="s">
        <v>15</v>
      </c>
      <c r="E6" s="418">
        <f>VLOOKUP(B6,Input_Lic_Rate_PS!K:P,4,FALSE)</f>
        <v>4500000</v>
      </c>
      <c r="F6" s="418">
        <f>VLOOKUP(B6,Input_Lic_Rate_PS!K:R,5,FALSE)</f>
        <v>150000</v>
      </c>
      <c r="G6" s="418">
        <f>VLOOKUP(B6,Input_Lic_Rate_PS!K:R,7,FALSE)</f>
        <v>4500000</v>
      </c>
      <c r="H6" s="419">
        <v>1613654</v>
      </c>
      <c r="I6" s="419">
        <v>68632.88</v>
      </c>
      <c r="J6" s="419">
        <f>_xlfn.IFNA(VLOOKUP(B6,Input_NOCPRO_GGSN!C:G,4,FALSE),0)</f>
        <v>2289918</v>
      </c>
      <c r="K6" s="419">
        <f>_xlfn.IFNA(VLOOKUP(B6,Input_NOCPRO_GGSN!C:G,5,FALSE),0)</f>
        <v>98143.07</v>
      </c>
      <c r="L6" s="420">
        <f t="shared" si="0"/>
        <v>0.50887066666666669</v>
      </c>
      <c r="M6" s="420">
        <f t="shared" si="0"/>
        <v>0.65428713333333333</v>
      </c>
      <c r="N6" s="421">
        <f t="shared" si="1"/>
        <v>-5109245465.0928383</v>
      </c>
      <c r="O6" s="422">
        <f t="shared" si="2"/>
        <v>-214223017.35985351</v>
      </c>
      <c r="P6" s="420">
        <f t="shared" si="3"/>
        <v>-1135.3878811317418</v>
      </c>
      <c r="Q6" s="420">
        <f t="shared" si="3"/>
        <v>-1428.15344906569</v>
      </c>
      <c r="R6" s="420" t="s">
        <v>836</v>
      </c>
      <c r="S6" s="421">
        <f t="shared" si="7"/>
        <v>-2103806956.2146983</v>
      </c>
      <c r="T6" s="418">
        <v>60000</v>
      </c>
      <c r="U6" s="256" t="str">
        <f>VLOOKUP(B6,idns_weight_PCSCF!A:I,6,)</f>
        <v>120</v>
      </c>
      <c r="V6" s="256">
        <f t="shared" si="4"/>
        <v>5.4929165651992962E-2</v>
      </c>
      <c r="W6" s="352">
        <f t="shared" si="5"/>
        <v>1</v>
      </c>
      <c r="X6" s="256">
        <v>90</v>
      </c>
      <c r="Y6" s="353" t="str">
        <f t="shared" ref="Y6" si="9">IF(U6=X6,"NO","YES")</f>
        <v>YES</v>
      </c>
      <c r="Z6" s="354" t="str">
        <f>VLOOKUP(B6,Input_Lic_Rate_PS!K:S,9,FALSE)</f>
        <v>TCPD07</v>
      </c>
      <c r="AA6" s="355">
        <f t="shared" si="6"/>
        <v>-214321160.4298535</v>
      </c>
    </row>
    <row r="7" spans="1:28" s="199" customFormat="1">
      <c r="A7" s="417">
        <v>5</v>
      </c>
      <c r="B7" s="423" t="s">
        <v>58</v>
      </c>
      <c r="C7" s="423" t="s">
        <v>4</v>
      </c>
      <c r="D7" s="423" t="s">
        <v>15</v>
      </c>
      <c r="E7" s="424">
        <f>VLOOKUP(B7,Input_Lic_Rate_PS!K:P,4,FALSE)</f>
        <v>1500000</v>
      </c>
      <c r="F7" s="424">
        <f>VLOOKUP(B7,Input_Lic_Rate_PS!K:R,5,FALSE)</f>
        <v>80000</v>
      </c>
      <c r="G7" s="424">
        <f>VLOOKUP(B7,Input_Lic_Rate_PS!K:R,7,FALSE)</f>
        <v>1755000</v>
      </c>
      <c r="H7" s="425">
        <v>1077968</v>
      </c>
      <c r="I7" s="425">
        <v>36817.49</v>
      </c>
      <c r="J7" s="425">
        <f>_xlfn.IFNA(VLOOKUP(B7,Input_NOCPRO_GGSN!C:G,4,FALSE),0)</f>
        <v>826207</v>
      </c>
      <c r="K7" s="425">
        <f>_xlfn.IFNA(VLOOKUP(B7,Input_NOCPRO_GGSN!C:G,5,FALSE),0)</f>
        <v>35174.75</v>
      </c>
      <c r="L7" s="426">
        <f t="shared" si="0"/>
        <v>0.55080466666666672</v>
      </c>
      <c r="M7" s="426">
        <f t="shared" si="0"/>
        <v>0.43968437500000002</v>
      </c>
      <c r="N7" s="421">
        <f t="shared" si="1"/>
        <v>-1276775058.6472149</v>
      </c>
      <c r="O7" s="422">
        <f t="shared" si="2"/>
        <v>-53533267.077841178</v>
      </c>
      <c r="P7" s="426">
        <f t="shared" si="3"/>
        <v>-851.18337243147664</v>
      </c>
      <c r="Q7" s="426">
        <f t="shared" si="3"/>
        <v>-669.16583847301467</v>
      </c>
      <c r="R7" s="420" t="e">
        <f>VLOOKUP(B7,IMS!A:B,4,FALSE)</f>
        <v>#REF!</v>
      </c>
      <c r="S7" s="421">
        <f t="shared" si="7"/>
        <v>-525730906.50179434</v>
      </c>
      <c r="T7" s="424">
        <v>60000</v>
      </c>
      <c r="U7" s="256" t="str">
        <f>VLOOKUP(B7,idns_weight_PCSCF!A:I,6,)</f>
        <v>30</v>
      </c>
      <c r="V7" s="256">
        <f t="shared" si="4"/>
        <v>1.9686766162067677E-2</v>
      </c>
      <c r="W7" s="352">
        <f t="shared" si="5"/>
        <v>1</v>
      </c>
      <c r="X7" s="256">
        <v>35</v>
      </c>
      <c r="Y7" s="353" t="str">
        <f>IF(U7=X7,"NO","YES")</f>
        <v>YES</v>
      </c>
      <c r="Z7" s="354" t="str">
        <f>VLOOKUP(B7,Input_Lic_Rate_PS!K:S,9,FALSE)</f>
        <v>SSR 8020</v>
      </c>
      <c r="AA7" s="355">
        <f t="shared" si="6"/>
        <v>-53568441.827841178</v>
      </c>
    </row>
    <row r="8" spans="1:28" s="199" customFormat="1">
      <c r="A8" s="417">
        <v>6</v>
      </c>
      <c r="B8" s="423" t="s">
        <v>60</v>
      </c>
      <c r="C8" s="423" t="s">
        <v>4</v>
      </c>
      <c r="D8" s="423" t="s">
        <v>15</v>
      </c>
      <c r="E8" s="424">
        <f>VLOOKUP(B8,Input_Lic_Rate_PS!K:P,4,FALSE)</f>
        <v>1500000</v>
      </c>
      <c r="F8" s="424">
        <f>VLOOKUP(B8,Input_Lic_Rate_PS!K:R,5,FALSE)</f>
        <v>80000</v>
      </c>
      <c r="G8" s="424">
        <v>1755000</v>
      </c>
      <c r="H8" s="425">
        <v>1084516</v>
      </c>
      <c r="I8" s="425">
        <v>37535.53</v>
      </c>
      <c r="J8" s="425">
        <f>_xlfn.IFNA(VLOOKUP(B8,Input_NOCPRO_GGSN!C:G,4,FALSE),0)</f>
        <v>830618</v>
      </c>
      <c r="K8" s="425">
        <f>_xlfn.IFNA(VLOOKUP(B8,Input_NOCPRO_GGSN!C:G,5,FALSE),0)</f>
        <v>35866.589999999997</v>
      </c>
      <c r="L8" s="426">
        <f t="shared" si="0"/>
        <v>0.55374533333333331</v>
      </c>
      <c r="M8" s="426">
        <f t="shared" si="0"/>
        <v>0.44833237499999995</v>
      </c>
      <c r="N8" s="421">
        <f t="shared" si="1"/>
        <v>-1276770647.6472149</v>
      </c>
      <c r="O8" s="422">
        <f t="shared" si="2"/>
        <v>-53532575.237841174</v>
      </c>
      <c r="P8" s="426">
        <f t="shared" si="3"/>
        <v>-851.1804317648099</v>
      </c>
      <c r="Q8" s="426">
        <f t="shared" si="3"/>
        <v>-669.15719047301468</v>
      </c>
      <c r="R8" s="420" t="e">
        <f>VLOOKUP(B8,IMS!A:B,4,FALSE)</f>
        <v>#REF!</v>
      </c>
      <c r="S8" s="421">
        <f t="shared" si="7"/>
        <v>-525729090.20767671</v>
      </c>
      <c r="T8" s="424">
        <v>60000</v>
      </c>
      <c r="U8" s="256" t="str">
        <f>VLOOKUP(B8,idns_weight_PCSCF!A:I,6,)</f>
        <v>30</v>
      </c>
      <c r="V8" s="256">
        <f t="shared" si="4"/>
        <v>2.007397836120384E-2</v>
      </c>
      <c r="W8" s="352">
        <f t="shared" si="5"/>
        <v>1</v>
      </c>
      <c r="X8" s="256">
        <v>35</v>
      </c>
      <c r="Y8" s="353" t="str">
        <f t="shared" ref="Y8:Y58" si="10">IF(U8=X8,"NO","YES")</f>
        <v>YES</v>
      </c>
      <c r="Z8" s="354" t="str">
        <f>VLOOKUP(B8,Input_Lic_Rate_PS!K:S,9,FALSE)</f>
        <v>SSR 8020</v>
      </c>
      <c r="AA8" s="355">
        <f t="shared" si="6"/>
        <v>-53568441.827841178</v>
      </c>
    </row>
    <row r="9" spans="1:28" s="199" customFormat="1">
      <c r="A9" s="417">
        <v>7</v>
      </c>
      <c r="B9" s="423" t="s">
        <v>61</v>
      </c>
      <c r="C9" s="423" t="s">
        <v>4</v>
      </c>
      <c r="D9" s="423" t="s">
        <v>15</v>
      </c>
      <c r="E9" s="424">
        <f>VLOOKUP(B9,Input_Lic_Rate_PS!K:P,4,FALSE)</f>
        <v>1500000</v>
      </c>
      <c r="F9" s="424">
        <f>VLOOKUP(B9,Input_Lic_Rate_PS!K:R,5,FALSE)</f>
        <v>80000</v>
      </c>
      <c r="G9" s="424">
        <v>1755000</v>
      </c>
      <c r="H9" s="425">
        <v>1223070</v>
      </c>
      <c r="I9" s="425">
        <v>39391.839999999997</v>
      </c>
      <c r="J9" s="425">
        <f>_xlfn.IFNA(VLOOKUP(B9,Input_NOCPRO_GGSN!C:G,4,FALSE),0)</f>
        <v>415446</v>
      </c>
      <c r="K9" s="425">
        <f>_xlfn.IFNA(VLOOKUP(B9,Input_NOCPRO_GGSN!C:G,5,FALSE),0)</f>
        <v>1240.67</v>
      </c>
      <c r="L9" s="426">
        <f t="shared" si="0"/>
        <v>0.27696399999999999</v>
      </c>
      <c r="M9" s="426">
        <f t="shared" si="0"/>
        <v>1.5508375000000001E-2</v>
      </c>
      <c r="N9" s="421">
        <f t="shared" si="1"/>
        <v>-41519444.697612733</v>
      </c>
      <c r="O9" s="422">
        <f t="shared" si="2"/>
        <v>-1757044.0259328568</v>
      </c>
      <c r="P9" s="426">
        <f t="shared" si="3"/>
        <v>-27.679629798408488</v>
      </c>
      <c r="Q9" s="426">
        <f t="shared" si="3"/>
        <v>-21.963050324160712</v>
      </c>
      <c r="R9" s="420" t="e">
        <f>VLOOKUP(B9,IMS!A:B,4,FALSE)</f>
        <v>#REF!</v>
      </c>
      <c r="S9" s="421">
        <f t="shared" si="7"/>
        <v>-17096241.934311122</v>
      </c>
      <c r="T9" s="424">
        <v>60000</v>
      </c>
      <c r="U9" s="256">
        <v>1</v>
      </c>
      <c r="V9" s="256">
        <f t="shared" si="4"/>
        <v>6.9438390249518484E-4</v>
      </c>
      <c r="W9" s="352">
        <f t="shared" si="5"/>
        <v>1</v>
      </c>
      <c r="X9" s="256">
        <v>30</v>
      </c>
      <c r="Y9" s="353" t="str">
        <f t="shared" si="10"/>
        <v>YES</v>
      </c>
      <c r="Z9" s="354" t="str">
        <f>VLOOKUP(B9,Input_Lic_Rate_PS!K:S,9,FALSE)</f>
        <v>SSR 8020</v>
      </c>
      <c r="AA9" s="355">
        <f t="shared" si="6"/>
        <v>-1758284.6959328568</v>
      </c>
    </row>
    <row r="10" spans="1:28" s="199" customFormat="1">
      <c r="A10" s="417">
        <v>8</v>
      </c>
      <c r="B10" s="423" t="s">
        <v>63</v>
      </c>
      <c r="C10" s="423" t="s">
        <v>4</v>
      </c>
      <c r="D10" s="423" t="s">
        <v>15</v>
      </c>
      <c r="E10" s="424">
        <f>VLOOKUP(B10,Input_Lic_Rate_PS!K:P,4,FALSE)</f>
        <v>1500000</v>
      </c>
      <c r="F10" s="424">
        <f>VLOOKUP(B10,Input_Lic_Rate_PS!K:R,5,FALSE)</f>
        <v>80000</v>
      </c>
      <c r="G10" s="424">
        <f>VLOOKUP(B10,Input_Lic_Rate_PS!K:R,7,FALSE)</f>
        <v>1690000</v>
      </c>
      <c r="H10" s="425">
        <v>1164324</v>
      </c>
      <c r="I10" s="425">
        <v>43772</v>
      </c>
      <c r="J10" s="425">
        <f>_xlfn.IFNA(VLOOKUP(B10,Input_NOCPRO_GGSN!C:G,4,FALSE),0)</f>
        <v>919042</v>
      </c>
      <c r="K10" s="425">
        <f>_xlfn.IFNA(VLOOKUP(B10,Input_NOCPRO_GGSN!C:G,5,FALSE),0)</f>
        <v>35731.81</v>
      </c>
      <c r="L10" s="426">
        <f t="shared" si="0"/>
        <v>0.61269466666666672</v>
      </c>
      <c r="M10" s="426">
        <f t="shared" si="0"/>
        <v>0.44664762499999999</v>
      </c>
      <c r="N10" s="421">
        <f t="shared" si="1"/>
        <v>-1276682223.6472149</v>
      </c>
      <c r="O10" s="422">
        <f t="shared" si="2"/>
        <v>-53532710.017841175</v>
      </c>
      <c r="P10" s="426">
        <f t="shared" si="3"/>
        <v>-851.12148243147658</v>
      </c>
      <c r="Q10" s="426">
        <f t="shared" si="3"/>
        <v>-669.15887522301466</v>
      </c>
      <c r="R10" s="420" t="e">
        <f>VLOOKUP(B10,IMS!A:B,4,FALSE)</f>
        <v>#REF!</v>
      </c>
      <c r="S10" s="421">
        <f t="shared" si="7"/>
        <v>-525692680.32532376</v>
      </c>
      <c r="T10" s="424">
        <v>60000</v>
      </c>
      <c r="U10" s="256" t="str">
        <f>VLOOKUP(B10,idns_weight_PCSCF!A:I,6,)</f>
        <v>30</v>
      </c>
      <c r="V10" s="256">
        <f t="shared" si="4"/>
        <v>1.9998544069749789E-2</v>
      </c>
      <c r="W10" s="352">
        <f t="shared" si="5"/>
        <v>1</v>
      </c>
      <c r="X10" s="256">
        <v>35</v>
      </c>
      <c r="Y10" s="353" t="str">
        <f t="shared" si="10"/>
        <v>YES</v>
      </c>
      <c r="Z10" s="354" t="str">
        <f>VLOOKUP(B10,Input_Lic_Rate_PS!K:S,9,FALSE)</f>
        <v>SSR 8020</v>
      </c>
      <c r="AA10" s="355">
        <f t="shared" si="6"/>
        <v>-53568441.827841178</v>
      </c>
    </row>
    <row r="11" spans="1:28" s="199" customFormat="1">
      <c r="A11" s="417">
        <v>9</v>
      </c>
      <c r="B11" s="423" t="s">
        <v>67</v>
      </c>
      <c r="C11" s="423" t="s">
        <v>4</v>
      </c>
      <c r="D11" s="423" t="s">
        <v>15</v>
      </c>
      <c r="E11" s="424">
        <f>VLOOKUP(B11,Input_Lic_Rate_PS!K:P,4,FALSE)</f>
        <v>2800000</v>
      </c>
      <c r="F11" s="424">
        <f>VLOOKUP(B11,Input_Lic_Rate_PS!K:R,5,FALSE)</f>
        <v>150000</v>
      </c>
      <c r="G11" s="424">
        <f>VLOOKUP(B11,Input_Lic_Rate_PS!K:R,7,FALSE)</f>
        <v>2990000</v>
      </c>
      <c r="H11" s="425">
        <v>2071269</v>
      </c>
      <c r="I11" s="425">
        <v>72895.95</v>
      </c>
      <c r="J11" s="425">
        <f>_xlfn.IFNA(VLOOKUP(B11,Input_NOCPRO_GGSN!C:G,4,FALSE),0)</f>
        <v>2019275</v>
      </c>
      <c r="K11" s="425">
        <f>_xlfn.IFNA(VLOOKUP(B11,Input_NOCPRO_GGSN!C:G,5,FALSE),0)</f>
        <v>82498.41</v>
      </c>
      <c r="L11" s="426">
        <f t="shared" si="0"/>
        <v>0.72116964285714291</v>
      </c>
      <c r="M11" s="426">
        <f t="shared" si="0"/>
        <v>0.54998940000000007</v>
      </c>
      <c r="N11" s="421">
        <f t="shared" si="1"/>
        <v>-3405218852.193634</v>
      </c>
      <c r="O11" s="422">
        <f t="shared" si="2"/>
        <v>-142779317.96250683</v>
      </c>
      <c r="P11" s="426">
        <f t="shared" si="3"/>
        <v>-1216.149590069155</v>
      </c>
      <c r="Q11" s="426">
        <f t="shared" si="3"/>
        <v>-951.86211975004551</v>
      </c>
      <c r="R11" s="420" t="e">
        <f>VLOOKUP(B11,IMS!A:B,4,FALSE)</f>
        <v>#REF!</v>
      </c>
      <c r="S11" s="421">
        <f t="shared" si="7"/>
        <v>-1402148939.1385553</v>
      </c>
      <c r="T11" s="424">
        <v>135000</v>
      </c>
      <c r="U11" s="256" t="str">
        <f>VLOOKUP(B11,idns_weight_PCSCF!A:I,6,)</f>
        <v>80</v>
      </c>
      <c r="V11" s="256">
        <f t="shared" si="4"/>
        <v>4.6173090254014192E-2</v>
      </c>
      <c r="W11" s="352">
        <f t="shared" si="5"/>
        <v>1</v>
      </c>
      <c r="X11" s="256">
        <v>80</v>
      </c>
      <c r="Y11" s="353" t="str">
        <f t="shared" si="10"/>
        <v>YES</v>
      </c>
      <c r="Z11" s="354" t="str">
        <f>VLOOKUP(B11,Input_Lic_Rate_PS!K:S,9,FALSE)</f>
        <v>SSR 8020</v>
      </c>
      <c r="AA11" s="355">
        <f t="shared" si="6"/>
        <v>-142861816.37250683</v>
      </c>
    </row>
    <row r="12" spans="1:28" s="199" customFormat="1">
      <c r="A12" s="417">
        <v>10</v>
      </c>
      <c r="B12" s="423" t="s">
        <v>68</v>
      </c>
      <c r="C12" s="423" t="s">
        <v>4</v>
      </c>
      <c r="D12" s="423" t="s">
        <v>15</v>
      </c>
      <c r="E12" s="424">
        <f>VLOOKUP(B12,Input_Lic_Rate_PS!K:P,4,FALSE)</f>
        <v>2800000</v>
      </c>
      <c r="F12" s="424">
        <f>VLOOKUP(B12,Input_Lic_Rate_PS!K:R,5,FALSE)</f>
        <v>150000</v>
      </c>
      <c r="G12" s="424">
        <f>VLOOKUP(B12,Input_Lic_Rate_PS!K:R,7,FALSE)</f>
        <v>2990000</v>
      </c>
      <c r="H12" s="425">
        <v>2082303</v>
      </c>
      <c r="I12" s="425">
        <v>73270.59</v>
      </c>
      <c r="J12" s="425">
        <f>_xlfn.IFNA(VLOOKUP(B12,Input_NOCPRO_GGSN!C:G,4,FALSE),0)</f>
        <v>1996136</v>
      </c>
      <c r="K12" s="425">
        <f>_xlfn.IFNA(VLOOKUP(B12,Input_NOCPRO_GGSN!C:G,5,FALSE),0)</f>
        <v>80461.34</v>
      </c>
      <c r="L12" s="426">
        <f t="shared" si="0"/>
        <v>0.71290571428571425</v>
      </c>
      <c r="M12" s="426">
        <f t="shared" si="0"/>
        <v>0.53640893333333328</v>
      </c>
      <c r="N12" s="421">
        <f t="shared" si="1"/>
        <v>-3405241991.193634</v>
      </c>
      <c r="O12" s="422">
        <f t="shared" si="2"/>
        <v>-142781355.03250682</v>
      </c>
      <c r="P12" s="426">
        <f t="shared" si="3"/>
        <v>-1216.1578539977265</v>
      </c>
      <c r="Q12" s="426">
        <f t="shared" si="3"/>
        <v>-951.87570021671218</v>
      </c>
      <c r="R12" s="420" t="e">
        <f>VLOOKUP(B12,IMS!A:B,4,FALSE)</f>
        <v>#REF!</v>
      </c>
      <c r="S12" s="421">
        <f t="shared" si="7"/>
        <v>-1402158466.9620845</v>
      </c>
      <c r="T12" s="424">
        <v>135000</v>
      </c>
      <c r="U12" s="256" t="str">
        <f>VLOOKUP(B12,idns_weight_PCSCF!A:I,6,)</f>
        <v>80</v>
      </c>
      <c r="V12" s="256">
        <f t="shared" si="4"/>
        <v>4.5032973529779807E-2</v>
      </c>
      <c r="W12" s="352">
        <f t="shared" si="5"/>
        <v>1</v>
      </c>
      <c r="X12" s="256">
        <v>80</v>
      </c>
      <c r="Y12" s="353" t="str">
        <f t="shared" si="10"/>
        <v>YES</v>
      </c>
      <c r="Z12" s="354" t="str">
        <f>VLOOKUP(B12,Input_Lic_Rate_PS!K:S,9,FALSE)</f>
        <v>SSR 8020</v>
      </c>
      <c r="AA12" s="355">
        <f t="shared" si="6"/>
        <v>-142861816.37250683</v>
      </c>
    </row>
    <row r="13" spans="1:28" s="199" customFormat="1" ht="15" customHeight="1">
      <c r="A13" s="417">
        <v>13</v>
      </c>
      <c r="B13" s="423" t="s">
        <v>64</v>
      </c>
      <c r="C13" s="423" t="s">
        <v>4</v>
      </c>
      <c r="D13" s="423" t="s">
        <v>15</v>
      </c>
      <c r="E13" s="424">
        <f>VLOOKUP(B13,Input_Lic_Rate_PS!K:P,4,FALSE)</f>
        <v>2800000</v>
      </c>
      <c r="F13" s="424">
        <f>VLOOKUP(B13,Input_Lic_Rate_PS!K:R,5,FALSE)</f>
        <v>150000</v>
      </c>
      <c r="G13" s="424">
        <f>VLOOKUP(B13,Input_Lic_Rate_PS!K:R,7,FALSE)</f>
        <v>2990000</v>
      </c>
      <c r="H13" s="425">
        <v>2068694</v>
      </c>
      <c r="I13" s="425">
        <v>72310.73</v>
      </c>
      <c r="J13" s="425">
        <f>_xlfn.IFNA(VLOOKUP(B13,Input_NOCPRO_GGSN!C:G,4,FALSE),0)</f>
        <v>2009901</v>
      </c>
      <c r="K13" s="425">
        <f>_xlfn.IFNA(VLOOKUP(B13,Input_NOCPRO_GGSN!C:G,5,FALSE),0)</f>
        <v>81494.97</v>
      </c>
      <c r="L13" s="426">
        <f t="shared" si="0"/>
        <v>0.71782178571428568</v>
      </c>
      <c r="M13" s="426">
        <f t="shared" si="0"/>
        <v>0.5432998</v>
      </c>
      <c r="N13" s="421">
        <f t="shared" si="1"/>
        <v>-3405228226.193634</v>
      </c>
      <c r="O13" s="422">
        <f t="shared" si="2"/>
        <v>-142780321.40250683</v>
      </c>
      <c r="P13" s="426">
        <f t="shared" si="3"/>
        <v>-1216.1529379262979</v>
      </c>
      <c r="Q13" s="426">
        <f t="shared" si="3"/>
        <v>-951.86880935004547</v>
      </c>
      <c r="R13" s="420" t="e">
        <f>VLOOKUP(B13,IMS!A:B,4,FALSE)</f>
        <v>#REF!</v>
      </c>
      <c r="S13" s="421">
        <f t="shared" si="7"/>
        <v>-1402152799.0209081</v>
      </c>
      <c r="T13" s="424">
        <v>135000</v>
      </c>
      <c r="U13" s="256" t="str">
        <f>VLOOKUP(B13,idns_weight_PCSCF!A:I,6,)</f>
        <v>80</v>
      </c>
      <c r="V13" s="256">
        <f t="shared" si="4"/>
        <v>4.5611480331053396E-2</v>
      </c>
      <c r="W13" s="352">
        <f t="shared" si="5"/>
        <v>1</v>
      </c>
      <c r="X13" s="256">
        <v>80</v>
      </c>
      <c r="Y13" s="353" t="str">
        <f t="shared" si="10"/>
        <v>YES</v>
      </c>
      <c r="Z13" s="354" t="str">
        <f>VLOOKUP(B13,Input_Lic_Rate_PS!K:S,9,FALSE)</f>
        <v>SSR 8020</v>
      </c>
      <c r="AA13" s="355">
        <f t="shared" si="6"/>
        <v>-142861816.37250683</v>
      </c>
    </row>
    <row r="14" spans="1:28">
      <c r="A14" s="417">
        <v>14</v>
      </c>
      <c r="B14" s="423" t="s">
        <v>65</v>
      </c>
      <c r="C14" s="423" t="s">
        <v>4</v>
      </c>
      <c r="D14" s="423" t="s">
        <v>15</v>
      </c>
      <c r="E14" s="424">
        <f>VLOOKUP(B14,Input_Lic_Rate_PS!K:P,4,FALSE)</f>
        <v>2800000</v>
      </c>
      <c r="F14" s="424">
        <f>VLOOKUP(B14,Input_Lic_Rate_PS!K:R,5,FALSE)</f>
        <v>150000</v>
      </c>
      <c r="G14" s="424">
        <f>VLOOKUP(B14,Input_Lic_Rate_PS!K:R,7,FALSE)</f>
        <v>2990000</v>
      </c>
      <c r="H14" s="427">
        <v>2063248</v>
      </c>
      <c r="I14" s="427">
        <v>72570.399999999994</v>
      </c>
      <c r="J14" s="425">
        <f>_xlfn.IFNA(VLOOKUP(B14,Input_NOCPRO_GGSN!C:G,4,FALSE),0)</f>
        <v>2011040</v>
      </c>
      <c r="K14" s="425">
        <f>_xlfn.IFNA(VLOOKUP(B14,Input_NOCPRO_GGSN!C:G,5,FALSE),0)</f>
        <v>80740.83</v>
      </c>
      <c r="L14" s="426">
        <f t="shared" si="0"/>
        <v>0.71822857142857144</v>
      </c>
      <c r="M14" s="426">
        <f t="shared" si="0"/>
        <v>0.53827219999999998</v>
      </c>
      <c r="N14" s="421">
        <f t="shared" si="1"/>
        <v>-3405227087.193634</v>
      </c>
      <c r="O14" s="422">
        <f t="shared" si="2"/>
        <v>-142781075.54250681</v>
      </c>
      <c r="P14" s="426">
        <f t="shared" si="3"/>
        <v>-1216.1525311405835</v>
      </c>
      <c r="Q14" s="426">
        <f t="shared" si="3"/>
        <v>-951.87383695004542</v>
      </c>
      <c r="R14" s="420" t="e">
        <f>VLOOKUP(B14,IMS!A:B,4,FALSE)</f>
        <v>#REF!</v>
      </c>
      <c r="S14" s="421">
        <f t="shared" si="7"/>
        <v>-1402152330.0209081</v>
      </c>
      <c r="T14" s="428">
        <v>60000</v>
      </c>
      <c r="U14" s="256" t="str">
        <f>VLOOKUP(B14,idns_weight_PCSCF!A:I,6,)</f>
        <v>80</v>
      </c>
      <c r="V14" s="256">
        <f t="shared" si="4"/>
        <v>4.5189399780844464E-2</v>
      </c>
      <c r="W14" s="352">
        <f t="shared" si="5"/>
        <v>1</v>
      </c>
      <c r="X14" s="256">
        <v>80</v>
      </c>
      <c r="Y14" s="353" t="str">
        <f t="shared" si="10"/>
        <v>YES</v>
      </c>
      <c r="Z14" s="354" t="str">
        <f>VLOOKUP(B14,Input_Lic_Rate_PS!K:S,9,FALSE)</f>
        <v>SSR 8020</v>
      </c>
      <c r="AA14" s="355">
        <f t="shared" si="6"/>
        <v>-142861816.37250683</v>
      </c>
    </row>
    <row r="15" spans="1:28">
      <c r="A15" s="417">
        <v>15</v>
      </c>
      <c r="B15" s="423" t="s">
        <v>66</v>
      </c>
      <c r="C15" s="423" t="s">
        <v>4</v>
      </c>
      <c r="D15" s="423" t="s">
        <v>15</v>
      </c>
      <c r="E15" s="424">
        <f>VLOOKUP(B15,Input_Lic_Rate_PS!K:P,4,FALSE)</f>
        <v>2400000</v>
      </c>
      <c r="F15" s="424">
        <f>VLOOKUP(B15,Input_Lic_Rate_PS!K:R,5,FALSE)</f>
        <v>100000</v>
      </c>
      <c r="G15" s="424">
        <f>VLOOKUP(B15,Input_Lic_Rate_PS!K:R,7,FALSE)</f>
        <v>2470000</v>
      </c>
      <c r="H15" s="427">
        <v>1851938</v>
      </c>
      <c r="I15" s="427">
        <v>64788.22</v>
      </c>
      <c r="J15" s="425">
        <f>_xlfn.IFNA(VLOOKUP(B15,Input_NOCPRO_GGSN!C:G,4,FALSE),0)</f>
        <v>1763152</v>
      </c>
      <c r="K15" s="425">
        <f>_xlfn.IFNA(VLOOKUP(B15,Input_NOCPRO_GGSN!C:G,5,FALSE),0)</f>
        <v>71457.77</v>
      </c>
      <c r="L15" s="426">
        <f t="shared" si="0"/>
        <v>0.73464666666666667</v>
      </c>
      <c r="M15" s="426">
        <f t="shared" si="0"/>
        <v>0.71457770000000009</v>
      </c>
      <c r="N15" s="421">
        <f t="shared" si="1"/>
        <v>-2979570209.2944298</v>
      </c>
      <c r="O15" s="422">
        <f t="shared" si="2"/>
        <v>-124932631.55594347</v>
      </c>
      <c r="P15" s="426">
        <f t="shared" si="3"/>
        <v>-1241.4875872060124</v>
      </c>
      <c r="Q15" s="426">
        <f t="shared" si="3"/>
        <v>-1249.3263155594348</v>
      </c>
      <c r="R15" s="420" t="e">
        <f>VLOOKUP(B15,IMS!A:B,4,FALSE)</f>
        <v>#REF!</v>
      </c>
      <c r="S15" s="421">
        <f t="shared" si="7"/>
        <v>-1226881850.8859417</v>
      </c>
      <c r="T15" s="428">
        <v>60000</v>
      </c>
      <c r="U15" s="256" t="str">
        <f>VLOOKUP(B15,idns_weight_PCSCF!A:I,6,)</f>
        <v>70</v>
      </c>
      <c r="V15" s="256">
        <f t="shared" si="4"/>
        <v>3.9993813984543311E-2</v>
      </c>
      <c r="W15" s="352">
        <f t="shared" si="5"/>
        <v>1</v>
      </c>
      <c r="X15" s="256">
        <v>70</v>
      </c>
      <c r="Y15" s="353" t="str">
        <f t="shared" si="10"/>
        <v>YES</v>
      </c>
      <c r="Z15" s="354" t="str">
        <f>VLOOKUP(B15,Input_Lic_Rate_PS!K:S,9,FALSE)</f>
        <v>SSR 8020</v>
      </c>
      <c r="AA15" s="355">
        <f t="shared" si="6"/>
        <v>-125004089.32594347</v>
      </c>
      <c r="AB15" s="199">
        <f>K15/J15</f>
        <v>4.0528422960697662E-2</v>
      </c>
    </row>
    <row r="16" spans="1:28" s="71" customFormat="1" ht="15" customHeight="1">
      <c r="A16" s="417">
        <v>16</v>
      </c>
      <c r="B16" s="361" t="s">
        <v>69</v>
      </c>
      <c r="C16" s="361" t="s">
        <v>4</v>
      </c>
      <c r="D16" s="361" t="s">
        <v>15</v>
      </c>
      <c r="E16" s="256">
        <f>VLOOKUP(B16,Input_Lic_Rate_PS!K:P,4,FALSE)</f>
        <v>4000000</v>
      </c>
      <c r="F16" s="357">
        <f>VLOOKUP(B16,Input_Lic_Rate_PS!K:R,5,FALSE)</f>
        <v>180000</v>
      </c>
      <c r="G16" s="357">
        <f>VLOOKUP(B16,Input_Lic_Rate_PS!K:R,7,FALSE)</f>
        <v>4063232</v>
      </c>
      <c r="H16" s="362">
        <v>2814405</v>
      </c>
      <c r="I16" s="362">
        <v>102775.2</v>
      </c>
      <c r="J16" s="349">
        <f>_xlfn.IFNA(VLOOKUP(B16,Input_NOCPRO_GGSN!C:G,4,FALSE),0)</f>
        <v>2958612</v>
      </c>
      <c r="K16" s="349">
        <f>_xlfn.IFNA(VLOOKUP(B16,Input_NOCPRO_GGSN!C:G,5,FALSE),0)</f>
        <v>118058.61</v>
      </c>
      <c r="L16" s="360">
        <f t="shared" si="0"/>
        <v>0.739653</v>
      </c>
      <c r="M16" s="360">
        <f t="shared" si="0"/>
        <v>0.65588116666666663</v>
      </c>
      <c r="N16" s="421">
        <f t="shared" si="1"/>
        <v>0</v>
      </c>
      <c r="O16" s="422">
        <f t="shared" si="2"/>
        <v>0</v>
      </c>
      <c r="P16" s="360">
        <f t="shared" si="3"/>
        <v>0</v>
      </c>
      <c r="Q16" s="360">
        <f t="shared" si="3"/>
        <v>0</v>
      </c>
      <c r="R16" s="420" t="e">
        <f>VLOOKUP(B16,IMS!A:B,4,FALSE)</f>
        <v>#REF!</v>
      </c>
      <c r="S16" s="421">
        <f t="shared" si="7"/>
        <v>0</v>
      </c>
      <c r="T16" s="341">
        <v>200000</v>
      </c>
      <c r="U16" s="256" t="str">
        <f>VLOOKUP(B16,idns_weight_PCSCF!A:I,6,)</f>
        <v>120</v>
      </c>
      <c r="V16" s="256">
        <f t="shared" si="4"/>
        <v>6.6075586848200613E-2</v>
      </c>
      <c r="W16" s="352">
        <f t="shared" si="5"/>
        <v>0</v>
      </c>
      <c r="X16" s="256">
        <v>0</v>
      </c>
      <c r="Y16" s="358" t="str">
        <f t="shared" si="10"/>
        <v>YES</v>
      </c>
      <c r="Z16" s="354" t="str">
        <f>VLOOKUP(B16,Input_Lic_Rate_PS!K:S,9,FALSE)</f>
        <v>TCHL01</v>
      </c>
      <c r="AA16" s="359">
        <f t="shared" si="6"/>
        <v>-118058.61</v>
      </c>
    </row>
    <row r="17" spans="1:27" s="71" customFormat="1">
      <c r="A17" s="417">
        <v>17</v>
      </c>
      <c r="B17" s="361" t="s">
        <v>74</v>
      </c>
      <c r="C17" s="361" t="s">
        <v>4</v>
      </c>
      <c r="D17" s="361" t="s">
        <v>15</v>
      </c>
      <c r="E17" s="256">
        <f>VLOOKUP(B17,Input_Lic_Rate_PS!K:P,4,FALSE)</f>
        <v>4000000</v>
      </c>
      <c r="F17" s="357">
        <f>VLOOKUP(B17,Input_Lic_Rate_PS!K:R,5,FALSE)</f>
        <v>180000</v>
      </c>
      <c r="G17" s="357">
        <f>VLOOKUP(B17,Input_Lic_Rate_PS!K:R,7,FALSE)</f>
        <v>4063232</v>
      </c>
      <c r="H17" s="362">
        <v>2853892</v>
      </c>
      <c r="I17" s="362">
        <v>103422.6</v>
      </c>
      <c r="J17" s="349">
        <f>_xlfn.IFNA(VLOOKUP(B17,Input_NOCPRO_GGSN!C:G,4,FALSE),0)</f>
        <v>1308070</v>
      </c>
      <c r="K17" s="349">
        <f>_xlfn.IFNA(VLOOKUP(B17,Input_NOCPRO_GGSN!C:G,5,FALSE),0)</f>
        <v>53615.92</v>
      </c>
      <c r="L17" s="360">
        <f t="shared" ref="L17:M62" si="11">J17/E17</f>
        <v>0.32701750000000002</v>
      </c>
      <c r="M17" s="360">
        <f t="shared" si="11"/>
        <v>0.2978662222222222</v>
      </c>
      <c r="N17" s="421">
        <f t="shared" si="1"/>
        <v>-2126633310.7904508</v>
      </c>
      <c r="O17" s="422">
        <f t="shared" si="2"/>
        <v>-89168668.946932495</v>
      </c>
      <c r="P17" s="360">
        <f t="shared" ref="P17:Q62" si="12">N17/E17</f>
        <v>-531.65832769761266</v>
      </c>
      <c r="Q17" s="360">
        <f t="shared" si="12"/>
        <v>-495.38149414962498</v>
      </c>
      <c r="R17" s="420" t="e">
        <f>VLOOKUP(B17,IMS!A:B,4,FALSE)</f>
        <v>#REF!</v>
      </c>
      <c r="S17" s="421">
        <f t="shared" si="7"/>
        <v>-875672539.73724449</v>
      </c>
      <c r="T17" s="341">
        <v>200000</v>
      </c>
      <c r="U17" s="256" t="str">
        <f>VLOOKUP(B17,idns_weight_PCSCF!A:I,6,)</f>
        <v>50</v>
      </c>
      <c r="V17" s="256">
        <f t="shared" si="4"/>
        <v>3.0008005162911678E-2</v>
      </c>
      <c r="W17" s="352">
        <v>1</v>
      </c>
      <c r="X17" s="256">
        <v>120</v>
      </c>
      <c r="Y17" s="358" t="str">
        <f t="shared" si="10"/>
        <v>YES</v>
      </c>
      <c r="Z17" s="354" t="str">
        <f>VLOOKUP(B17,Input_Lic_Rate_PS!K:S,9,FALSE)</f>
        <v>TCHL02</v>
      </c>
      <c r="AA17" s="359">
        <f t="shared" si="6"/>
        <v>-89222284.866932496</v>
      </c>
    </row>
    <row r="18" spans="1:27" s="64" customFormat="1">
      <c r="A18" s="417">
        <v>18</v>
      </c>
      <c r="B18" s="361" t="s">
        <v>71</v>
      </c>
      <c r="C18" s="361" t="s">
        <v>4</v>
      </c>
      <c r="D18" s="361" t="s">
        <v>15</v>
      </c>
      <c r="E18" s="256">
        <f>VLOOKUP(B18,Input_Lic_Rate_PS!K:P,4,FALSE)</f>
        <v>4000000</v>
      </c>
      <c r="F18" s="357">
        <f>VLOOKUP(B18,Input_Lic_Rate_PS!K:R,5,FALSE)</f>
        <v>180000</v>
      </c>
      <c r="G18" s="357">
        <f>VLOOKUP(B18,Input_Lic_Rate_PS!K:R,7,FALSE)</f>
        <v>4063232</v>
      </c>
      <c r="H18" s="363">
        <v>2819853</v>
      </c>
      <c r="I18" s="363">
        <v>103292.31</v>
      </c>
      <c r="J18" s="349">
        <f>_xlfn.IFNA(VLOOKUP(B18,Input_NOCPRO_GGSN!C:G,4,FALSE),0)</f>
        <v>2946644</v>
      </c>
      <c r="K18" s="349">
        <f>_xlfn.IFNA(VLOOKUP(B18,Input_NOCPRO_GGSN!C:G,5,FALSE),0)</f>
        <v>118281.94</v>
      </c>
      <c r="L18" s="364">
        <f t="shared" si="11"/>
        <v>0.73666100000000001</v>
      </c>
      <c r="M18" s="364">
        <f t="shared" si="11"/>
        <v>0.65712188888888889</v>
      </c>
      <c r="N18" s="421">
        <f t="shared" si="1"/>
        <v>-5107910546.790451</v>
      </c>
      <c r="O18" s="422">
        <f t="shared" si="2"/>
        <v>-214174442.61876023</v>
      </c>
      <c r="P18" s="364">
        <f t="shared" si="12"/>
        <v>-1276.9776366976128</v>
      </c>
      <c r="Q18" s="364">
        <f t="shared" si="12"/>
        <v>-1189.8580145486678</v>
      </c>
      <c r="R18" s="420" t="e">
        <f>VLOOKUP(B18,IMS!A:B,4,FALSE)</f>
        <v>#REF!</v>
      </c>
      <c r="S18" s="421">
        <f t="shared" si="7"/>
        <v>-2103257283.9725387</v>
      </c>
      <c r="T18" s="365">
        <v>200000</v>
      </c>
      <c r="U18" s="256" t="str">
        <f>VLOOKUP(B18,idns_weight_PCSCF!A:I,6,)</f>
        <v>120</v>
      </c>
      <c r="V18" s="256">
        <f t="shared" si="4"/>
        <v>6.6200581211685067E-2</v>
      </c>
      <c r="W18" s="352">
        <f t="shared" si="5"/>
        <v>1</v>
      </c>
      <c r="X18" s="256">
        <v>120</v>
      </c>
      <c r="Y18" s="358" t="str">
        <f t="shared" si="10"/>
        <v>YES</v>
      </c>
      <c r="Z18" s="354" t="str">
        <f>VLOOKUP(B18,Input_Lic_Rate_PS!K:S,9,FALSE)</f>
        <v>TCHL01</v>
      </c>
      <c r="AA18" s="359">
        <f t="shared" si="6"/>
        <v>-214292724.55876023</v>
      </c>
    </row>
    <row r="19" spans="1:27" s="64" customFormat="1">
      <c r="A19" s="417">
        <v>19</v>
      </c>
      <c r="B19" s="366" t="s">
        <v>277</v>
      </c>
      <c r="C19" s="366" t="s">
        <v>4</v>
      </c>
      <c r="D19" s="366" t="s">
        <v>15</v>
      </c>
      <c r="E19" s="256">
        <f>VLOOKUP(B19,Input_Lic_Rate_PS!K:P,4,FALSE)</f>
        <v>4000000</v>
      </c>
      <c r="F19" s="357">
        <f>VLOOKUP(B19,Input_Lic_Rate_PS!K:R,5,FALSE)</f>
        <v>180000</v>
      </c>
      <c r="G19" s="357">
        <f>VLOOKUP(B19,Input_Lic_Rate_PS!K:R,7,FALSE)</f>
        <v>4063232</v>
      </c>
      <c r="H19" s="363">
        <v>2963332</v>
      </c>
      <c r="I19" s="363">
        <v>103595.17</v>
      </c>
      <c r="J19" s="349">
        <f>_xlfn.IFNA(VLOOKUP(B19,Input_NOCPRO_GGSN!C:G,4,FALSE),0)</f>
        <v>2824352</v>
      </c>
      <c r="K19" s="349">
        <f>_xlfn.IFNA(VLOOKUP(B19,Input_NOCPRO_GGSN!C:G,5,FALSE),0)</f>
        <v>110213.34</v>
      </c>
      <c r="L19" s="364">
        <f t="shared" si="11"/>
        <v>0.70608800000000005</v>
      </c>
      <c r="M19" s="364">
        <f t="shared" si="11"/>
        <v>0.61229633333333333</v>
      </c>
      <c r="N19" s="421">
        <f t="shared" si="1"/>
        <v>0</v>
      </c>
      <c r="O19" s="422">
        <f t="shared" si="2"/>
        <v>0</v>
      </c>
      <c r="P19" s="364">
        <f t="shared" si="12"/>
        <v>0</v>
      </c>
      <c r="Q19" s="364">
        <f t="shared" si="12"/>
        <v>0</v>
      </c>
      <c r="R19" s="420" t="e">
        <f>VLOOKUP(B19,IMS!A:B,4,FALSE)</f>
        <v>#REF!</v>
      </c>
      <c r="S19" s="421">
        <f t="shared" si="7"/>
        <v>0</v>
      </c>
      <c r="T19" s="365">
        <v>200000</v>
      </c>
      <c r="U19" s="256" t="str">
        <f>VLOOKUP(B19,idns_weight_PCSCF!A:I,6,)</f>
        <v>120</v>
      </c>
      <c r="V19" s="256">
        <f t="shared" si="4"/>
        <v>6.168470998430578E-2</v>
      </c>
      <c r="W19" s="352">
        <f t="shared" si="5"/>
        <v>0</v>
      </c>
      <c r="X19" s="256">
        <v>0</v>
      </c>
      <c r="Y19" s="358" t="str">
        <f t="shared" si="10"/>
        <v>YES</v>
      </c>
      <c r="Z19" s="354" t="str">
        <f>VLOOKUP(B19,Input_Lic_Rate_PS!K:S,9,FALSE)</f>
        <v>TCHL01</v>
      </c>
      <c r="AA19" s="359">
        <f t="shared" si="6"/>
        <v>-110213.34</v>
      </c>
    </row>
    <row r="20" spans="1:27" s="71" customFormat="1">
      <c r="A20" s="417">
        <v>20</v>
      </c>
      <c r="B20" s="366" t="s">
        <v>278</v>
      </c>
      <c r="C20" s="366" t="s">
        <v>4</v>
      </c>
      <c r="D20" s="366" t="s">
        <v>15</v>
      </c>
      <c r="E20" s="256">
        <f>VLOOKUP(B20,Input_Lic_Rate_PS!K:P,4,FALSE)</f>
        <v>4000000</v>
      </c>
      <c r="F20" s="357">
        <f>VLOOKUP(B20,Input_Lic_Rate_PS!K:R,5,FALSE)</f>
        <v>180000</v>
      </c>
      <c r="G20" s="357">
        <f>VLOOKUP(B20,Input_Lic_Rate_PS!K:R,7,FALSE)</f>
        <v>4063232</v>
      </c>
      <c r="H20" s="362">
        <v>2992926</v>
      </c>
      <c r="I20" s="362">
        <v>104290.45</v>
      </c>
      <c r="J20" s="349">
        <f>_xlfn.IFNA(VLOOKUP(B20,Input_NOCPRO_GGSN!C:G,4,FALSE),0)</f>
        <v>2974011</v>
      </c>
      <c r="K20" s="349">
        <f>_xlfn.IFNA(VLOOKUP(B20,Input_NOCPRO_GGSN!C:G,5,FALSE),0)</f>
        <v>120388.72</v>
      </c>
      <c r="L20" s="360">
        <f t="shared" si="11"/>
        <v>0.74350274999999999</v>
      </c>
      <c r="M20" s="360">
        <f t="shared" si="11"/>
        <v>0.66882622222222221</v>
      </c>
      <c r="N20" s="421">
        <f t="shared" si="1"/>
        <v>0</v>
      </c>
      <c r="O20" s="422">
        <f t="shared" si="2"/>
        <v>0</v>
      </c>
      <c r="P20" s="360">
        <f t="shared" si="12"/>
        <v>0</v>
      </c>
      <c r="Q20" s="360">
        <f t="shared" si="12"/>
        <v>0</v>
      </c>
      <c r="R20" s="420" t="e">
        <f>VLOOKUP(B20,IMS!A:B,4,FALSE)</f>
        <v>#REF!</v>
      </c>
      <c r="S20" s="421">
        <f t="shared" si="7"/>
        <v>0</v>
      </c>
      <c r="T20" s="341">
        <v>200000</v>
      </c>
      <c r="U20" s="256" t="str">
        <f>VLOOKUP(B20,idns_weight_PCSCF!A:I,6,)</f>
        <v>120</v>
      </c>
      <c r="V20" s="256">
        <f t="shared" si="4"/>
        <v>6.7379713549936812E-2</v>
      </c>
      <c r="W20" s="352">
        <f t="shared" si="5"/>
        <v>0</v>
      </c>
      <c r="X20" s="256">
        <v>0</v>
      </c>
      <c r="Y20" s="358" t="str">
        <f t="shared" si="10"/>
        <v>YES</v>
      </c>
      <c r="Z20" s="354" t="str">
        <f>VLOOKUP(B20,Input_Lic_Rate_PS!K:S,9,FALSE)</f>
        <v>TCHL01</v>
      </c>
      <c r="AA20" s="359">
        <f t="shared" si="6"/>
        <v>-120388.72</v>
      </c>
    </row>
    <row r="21" spans="1:27" s="71" customFormat="1">
      <c r="A21" s="417">
        <v>21</v>
      </c>
      <c r="B21" s="361" t="s">
        <v>72</v>
      </c>
      <c r="C21" s="361" t="s">
        <v>4</v>
      </c>
      <c r="D21" s="361" t="s">
        <v>15</v>
      </c>
      <c r="E21" s="256">
        <f>VLOOKUP(B21,Input_Lic_Rate_PS!K:P,4,FALSE)</f>
        <v>4000000</v>
      </c>
      <c r="F21" s="357">
        <f>VLOOKUP(B21,Input_Lic_Rate_PS!K:R,5,FALSE)</f>
        <v>180000</v>
      </c>
      <c r="G21" s="357">
        <f>VLOOKUP(B21,Input_Lic_Rate_PS!K:R,7,FALSE)</f>
        <v>4063232</v>
      </c>
      <c r="H21" s="362">
        <v>2811896</v>
      </c>
      <c r="I21" s="362">
        <v>101206.97</v>
      </c>
      <c r="J21" s="349">
        <f>_xlfn.IFNA(VLOOKUP(B21,Input_NOCPRO_GGSN!C:G,4,FALSE),0)</f>
        <v>2972116</v>
      </c>
      <c r="K21" s="349">
        <f>_xlfn.IFNA(VLOOKUP(B21,Input_NOCPRO_GGSN!C:G,5,FALSE),0)</f>
        <v>117764.98</v>
      </c>
      <c r="L21" s="360">
        <f t="shared" si="11"/>
        <v>0.74302900000000005</v>
      </c>
      <c r="M21" s="360">
        <f t="shared" si="11"/>
        <v>0.65424988888888891</v>
      </c>
      <c r="N21" s="421">
        <f t="shared" si="1"/>
        <v>-5107885074.790451</v>
      </c>
      <c r="O21" s="422">
        <f t="shared" si="2"/>
        <v>-214174959.57876024</v>
      </c>
      <c r="P21" s="360">
        <f t="shared" si="12"/>
        <v>-1276.9712686976127</v>
      </c>
      <c r="Q21" s="360">
        <f t="shared" si="12"/>
        <v>-1189.8608865486681</v>
      </c>
      <c r="R21" s="420" t="e">
        <f>VLOOKUP(B21,IMS!A:B,4,FALSE)</f>
        <v>#REF!</v>
      </c>
      <c r="S21" s="421">
        <f t="shared" si="7"/>
        <v>-2103246795.5019505</v>
      </c>
      <c r="T21" s="341">
        <v>200000</v>
      </c>
      <c r="U21" s="256" t="str">
        <f>VLOOKUP(B21,idns_weight_PCSCF!A:I,6,)</f>
        <v>120</v>
      </c>
      <c r="V21" s="256">
        <f t="shared" si="4"/>
        <v>6.5911246656780123E-2</v>
      </c>
      <c r="W21" s="352">
        <f t="shared" si="5"/>
        <v>1</v>
      </c>
      <c r="X21" s="256">
        <v>120</v>
      </c>
      <c r="Y21" s="358" t="str">
        <f t="shared" si="10"/>
        <v>YES</v>
      </c>
      <c r="Z21" s="354" t="str">
        <f>VLOOKUP(B21,Input_Lic_Rate_PS!K:S,9,FALSE)</f>
        <v>TCHL02</v>
      </c>
      <c r="AA21" s="359">
        <f t="shared" si="6"/>
        <v>-214292724.55876023</v>
      </c>
    </row>
    <row r="22" spans="1:27" s="64" customFormat="1">
      <c r="A22" s="417">
        <v>22</v>
      </c>
      <c r="B22" s="366" t="s">
        <v>279</v>
      </c>
      <c r="C22" s="366" t="s">
        <v>4</v>
      </c>
      <c r="D22" s="366" t="s">
        <v>15</v>
      </c>
      <c r="E22" s="256">
        <f>VLOOKUP(B22,Input_Lic_Rate_PS!K:P,4,FALSE)</f>
        <v>4000000</v>
      </c>
      <c r="F22" s="357">
        <f>VLOOKUP(B22,Input_Lic_Rate_PS!K:R,5,FALSE)</f>
        <v>180000</v>
      </c>
      <c r="G22" s="357">
        <f>VLOOKUP(B22,Input_Lic_Rate_PS!K:R,7,FALSE)</f>
        <v>4063232</v>
      </c>
      <c r="H22" s="363">
        <v>2972548</v>
      </c>
      <c r="I22" s="363">
        <v>102041.7</v>
      </c>
      <c r="J22" s="349">
        <f>_xlfn.IFNA(VLOOKUP(B22,Input_NOCPRO_GGSN!C:G,4,FALSE),0)</f>
        <v>2952798</v>
      </c>
      <c r="K22" s="349">
        <f>_xlfn.IFNA(VLOOKUP(B22,Input_NOCPRO_GGSN!C:G,5,FALSE),0)</f>
        <v>117994.18</v>
      </c>
      <c r="L22" s="364">
        <f t="shared" si="11"/>
        <v>0.73819950000000001</v>
      </c>
      <c r="M22" s="364">
        <f t="shared" si="11"/>
        <v>0.65552322222222215</v>
      </c>
      <c r="N22" s="421">
        <f t="shared" si="1"/>
        <v>-5107904392.790451</v>
      </c>
      <c r="O22" s="422">
        <f t="shared" si="2"/>
        <v>-214174730.37876022</v>
      </c>
      <c r="P22" s="364">
        <f t="shared" si="12"/>
        <v>-1276.9760981976128</v>
      </c>
      <c r="Q22" s="364">
        <f t="shared" si="12"/>
        <v>-1189.8596132153345</v>
      </c>
      <c r="R22" s="420" t="e">
        <f>VLOOKUP(B22,IMS!A:B,4,FALSE)</f>
        <v>#REF!</v>
      </c>
      <c r="S22" s="421">
        <f t="shared" si="7"/>
        <v>-2103254749.9725387</v>
      </c>
      <c r="T22" s="365">
        <v>200000</v>
      </c>
      <c r="U22" s="256" t="str">
        <f>VLOOKUP(B22,idns_weight_PCSCF!A:I,6,)</f>
        <v>120</v>
      </c>
      <c r="V22" s="256">
        <f t="shared" si="4"/>
        <v>6.6039526368912999E-2</v>
      </c>
      <c r="W22" s="352">
        <f t="shared" si="5"/>
        <v>1</v>
      </c>
      <c r="X22" s="256">
        <v>120</v>
      </c>
      <c r="Y22" s="358" t="str">
        <f t="shared" si="10"/>
        <v>YES</v>
      </c>
      <c r="Z22" s="354" t="str">
        <f>VLOOKUP(B22,Input_Lic_Rate_PS!K:S,9,FALSE)</f>
        <v>TCHL02</v>
      </c>
      <c r="AA22" s="359">
        <f t="shared" si="6"/>
        <v>-214292724.55876023</v>
      </c>
    </row>
    <row r="23" spans="1:27" s="64" customFormat="1">
      <c r="A23" s="417">
        <v>23</v>
      </c>
      <c r="B23" s="366" t="s">
        <v>337</v>
      </c>
      <c r="C23" s="366" t="s">
        <v>4</v>
      </c>
      <c r="D23" s="366" t="s">
        <v>15</v>
      </c>
      <c r="E23" s="256">
        <f>VLOOKUP(B23,Input_Lic_Rate_PS!K:P,4,FALSE)</f>
        <v>4000000</v>
      </c>
      <c r="F23" s="357">
        <f>VLOOKUP(B23,Input_Lic_Rate_PS!K:R,5,FALSE)</f>
        <v>180000</v>
      </c>
      <c r="G23" s="357">
        <f>VLOOKUP(B23,Input_Lic_Rate_PS!K:R,7,FALSE)</f>
        <v>3538890</v>
      </c>
      <c r="H23" s="363">
        <v>2979775</v>
      </c>
      <c r="I23" s="363">
        <v>102437.83</v>
      </c>
      <c r="J23" s="349">
        <f>_xlfn.IFNA(VLOOKUP(B23,Input_NOCPRO_GGSN!C:G,4,FALSE),0)</f>
        <v>1309171</v>
      </c>
      <c r="K23" s="349">
        <f>_xlfn.IFNA(VLOOKUP(B23,Input_NOCPRO_GGSN!C:G,5,FALSE),0)</f>
        <v>52732.3</v>
      </c>
      <c r="L23" s="364">
        <f t="shared" si="11"/>
        <v>0.32729275000000002</v>
      </c>
      <c r="M23" s="364">
        <f t="shared" si="11"/>
        <v>0.29295722222222226</v>
      </c>
      <c r="N23" s="421">
        <f t="shared" si="1"/>
        <v>-2126632209.7904508</v>
      </c>
      <c r="O23" s="422">
        <f t="shared" si="2"/>
        <v>-89169552.566932499</v>
      </c>
      <c r="P23" s="364">
        <f t="shared" si="12"/>
        <v>-531.6580524476127</v>
      </c>
      <c r="Q23" s="364">
        <f t="shared" si="12"/>
        <v>-495.38640314962498</v>
      </c>
      <c r="R23" s="420" t="e">
        <f>VLOOKUP(B23,IMS!A:B,4,FALSE)</f>
        <v>#REF!</v>
      </c>
      <c r="S23" s="421">
        <f t="shared" si="7"/>
        <v>-875672086.38430321</v>
      </c>
      <c r="T23" s="365">
        <v>200000</v>
      </c>
      <c r="U23" s="256" t="str">
        <f>VLOOKUP(B23,idns_weight_PCSCF!A:I,6,)</f>
        <v>50</v>
      </c>
      <c r="V23" s="256">
        <f t="shared" si="4"/>
        <v>2.9513456649670613E-2</v>
      </c>
      <c r="W23" s="352">
        <f t="shared" si="5"/>
        <v>1</v>
      </c>
      <c r="X23" s="256">
        <v>120</v>
      </c>
      <c r="Y23" s="358" t="str">
        <f t="shared" si="10"/>
        <v>YES</v>
      </c>
      <c r="Z23" s="354" t="str">
        <f>VLOOKUP(B23,Input_Lic_Rate_PS!K:S,9,FALSE)</f>
        <v>TCHL02</v>
      </c>
      <c r="AA23" s="359">
        <f t="shared" si="6"/>
        <v>-89222284.866932496</v>
      </c>
    </row>
    <row r="24" spans="1:27" s="71" customFormat="1">
      <c r="A24" s="417">
        <v>24</v>
      </c>
      <c r="B24" s="361" t="s">
        <v>408</v>
      </c>
      <c r="C24" s="366" t="s">
        <v>4</v>
      </c>
      <c r="D24" s="361" t="s">
        <v>15</v>
      </c>
      <c r="E24" s="256">
        <f>VLOOKUP(B24,Input_Lic_Rate_PS!K:P,4,FALSE)</f>
        <v>3500000</v>
      </c>
      <c r="F24" s="357">
        <f>VLOOKUP(B24,Input_Lic_Rate_PS!K:R,5,FALSE)</f>
        <v>100000</v>
      </c>
      <c r="G24" s="357">
        <f>VLOOKUP(B24,Input_Lic_Rate_PS!K:R,7,FALSE)</f>
        <v>3538944</v>
      </c>
      <c r="H24" s="362">
        <v>1091326</v>
      </c>
      <c r="I24" s="362">
        <v>37517.284782434916</v>
      </c>
      <c r="J24" s="349">
        <f>_xlfn.IFNA(VLOOKUP(B24,Input_NOCPRO_GGSN!C:G,4,FALSE),0)</f>
        <v>1957856</v>
      </c>
      <c r="K24" s="349">
        <f>K7*J24/J7</f>
        <v>83353.318642906685</v>
      </c>
      <c r="L24" s="360">
        <f t="shared" si="11"/>
        <v>0.55938742857142854</v>
      </c>
      <c r="M24" s="364">
        <f t="shared" si="11"/>
        <v>0.83353318642906682</v>
      </c>
      <c r="N24" s="421">
        <f t="shared" si="1"/>
        <v>-3405280271.193634</v>
      </c>
      <c r="O24" s="422">
        <f t="shared" si="2"/>
        <v>-142778463.05386391</v>
      </c>
      <c r="P24" s="360">
        <f t="shared" si="12"/>
        <v>-972.93722034103826</v>
      </c>
      <c r="Q24" s="360">
        <f t="shared" si="12"/>
        <v>-1427.784630538639</v>
      </c>
      <c r="R24" s="420" t="e">
        <f>VLOOKUP(B24,IMS!A:B,4,FALSE)</f>
        <v>#REF!</v>
      </c>
      <c r="S24" s="422">
        <f>N24*7/17</f>
        <v>-1402174229.3150258</v>
      </c>
      <c r="T24" s="341">
        <v>200000</v>
      </c>
      <c r="U24" s="256" t="str">
        <f>VLOOKUP(B24,idns_weight_PCSCF!A:I,6,)</f>
        <v>80</v>
      </c>
      <c r="V24" s="256">
        <f t="shared" si="4"/>
        <v>4.6651569462617934E-2</v>
      </c>
      <c r="W24" s="352">
        <f t="shared" si="5"/>
        <v>1</v>
      </c>
      <c r="X24" s="256">
        <v>80</v>
      </c>
      <c r="Y24" s="358" t="str">
        <f t="shared" si="10"/>
        <v>YES</v>
      </c>
      <c r="Z24" s="354" t="str">
        <f>VLOOKUP(B24,Input_Lic_Rate_PS!K:S,9,FALSE)</f>
        <v>TCHL04</v>
      </c>
      <c r="AA24" s="359">
        <f t="shared" si="6"/>
        <v>-142861816.37250683</v>
      </c>
    </row>
    <row r="25" spans="1:27" s="71" customFormat="1">
      <c r="A25" s="361">
        <v>25</v>
      </c>
      <c r="B25" s="361" t="s">
        <v>410</v>
      </c>
      <c r="C25" s="361" t="s">
        <v>4</v>
      </c>
      <c r="D25" s="361" t="s">
        <v>15</v>
      </c>
      <c r="E25" s="341">
        <f>VLOOKUP(B25,Input_Lic_Rate_PS!K:P,4,FALSE)</f>
        <v>3500000</v>
      </c>
      <c r="F25" s="341">
        <f>VLOOKUP(B25,Input_Lic_Rate_PS!K:R,5,FALSE)</f>
        <v>100000</v>
      </c>
      <c r="G25" s="341">
        <f>VLOOKUP(B25,Input_Lic_Rate_PS!K:R,7,FALSE)</f>
        <v>3538944</v>
      </c>
      <c r="H25" s="362">
        <v>1118192</v>
      </c>
      <c r="I25" s="362">
        <v>38440.876241783357</v>
      </c>
      <c r="J25" s="362">
        <f>_xlfn.IFNA(VLOOKUP(B25,Input_NOCPRO_GGSN!C:G,4,FALSE),0)</f>
        <v>1926401</v>
      </c>
      <c r="K25" s="362">
        <f t="shared" ref="K25:K27" si="13">$K$23/($J$23*0.7)*J25</f>
        <v>110848.28867417408</v>
      </c>
      <c r="L25" s="360">
        <f t="shared" si="11"/>
        <v>0.55040028571428568</v>
      </c>
      <c r="M25" s="360">
        <f t="shared" si="11"/>
        <v>1.1084828867417409</v>
      </c>
      <c r="N25" s="668">
        <f t="shared" si="1"/>
        <v>-3405311726.193634</v>
      </c>
      <c r="O25" s="422">
        <f t="shared" si="2"/>
        <v>-142750968.08383265</v>
      </c>
      <c r="P25" s="360">
        <f t="shared" si="12"/>
        <v>-972.94620748389548</v>
      </c>
      <c r="Q25" s="360">
        <f t="shared" si="12"/>
        <v>-1427.5096808383264</v>
      </c>
      <c r="R25" s="686" t="s">
        <v>835</v>
      </c>
      <c r="S25" s="351">
        <f>N25*7/10</f>
        <v>-2383718208.3355436</v>
      </c>
      <c r="T25" s="341">
        <v>200000</v>
      </c>
      <c r="U25" s="256" t="str">
        <f>VLOOKUP(B25,idns_weight_PCSCF!A:I,6,)</f>
        <v>80</v>
      </c>
      <c r="V25" s="341">
        <f t="shared" si="4"/>
        <v>6.2040080984053614E-2</v>
      </c>
      <c r="W25" s="687">
        <f t="shared" si="5"/>
        <v>1</v>
      </c>
      <c r="X25" s="341">
        <v>80</v>
      </c>
      <c r="Y25" s="688" t="str">
        <f t="shared" si="10"/>
        <v>YES</v>
      </c>
      <c r="Z25" s="689" t="str">
        <f>VLOOKUP(B25,Input_Lic_Rate_PS!K:S,9,FALSE)</f>
        <v>TCHL04</v>
      </c>
      <c r="AA25" s="690">
        <f t="shared" si="6"/>
        <v>-142861816.37250683</v>
      </c>
    </row>
    <row r="26" spans="1:27" s="64" customFormat="1">
      <c r="A26" s="417">
        <v>26</v>
      </c>
      <c r="B26" s="366" t="s">
        <v>411</v>
      </c>
      <c r="C26" s="366" t="s">
        <v>4</v>
      </c>
      <c r="D26" s="366" t="s">
        <v>15</v>
      </c>
      <c r="E26" s="256">
        <f>VLOOKUP(B26,Input_Lic_Rate_PS!K:P,4,FALSE)</f>
        <v>4000000</v>
      </c>
      <c r="F26" s="357">
        <f>VLOOKUP(B26,Input_Lic_Rate_PS!K:R,5,FALSE)</f>
        <v>150000</v>
      </c>
      <c r="G26" s="357">
        <f>VLOOKUP(B26,Input_Lic_Rate_PS!K:R,7,FALSE)</f>
        <v>3538944</v>
      </c>
      <c r="H26" s="363">
        <v>1617698</v>
      </c>
      <c r="I26" s="363">
        <v>55612.74684006007</v>
      </c>
      <c r="J26" s="349">
        <f>_xlfn.IFNA(VLOOKUP(B26,Input_NOCPRO_GGSN!C:G,4,FALSE),0)</f>
        <v>2823390</v>
      </c>
      <c r="K26" s="349">
        <f>K23*J26/J23</f>
        <v>113723.75991906329</v>
      </c>
      <c r="L26" s="364">
        <f t="shared" si="11"/>
        <v>0.70584749999999996</v>
      </c>
      <c r="M26" s="364">
        <f t="shared" si="11"/>
        <v>0.75815839946042196</v>
      </c>
      <c r="N26" s="421">
        <f t="shared" si="1"/>
        <v>-5108033800.790451</v>
      </c>
      <c r="O26" s="422">
        <f t="shared" si="2"/>
        <v>-214179000.79884115</v>
      </c>
      <c r="P26" s="364">
        <f t="shared" si="12"/>
        <v>-1277.0084501976128</v>
      </c>
      <c r="Q26" s="364">
        <f t="shared" si="12"/>
        <v>-1427.8600053256077</v>
      </c>
      <c r="R26" s="420" t="e">
        <f>VLOOKUP(B26,IMS!A:B,4,FALSE)</f>
        <v>#REF!</v>
      </c>
      <c r="S26" s="422">
        <f>N26*7/17</f>
        <v>-2103308035.6195974</v>
      </c>
      <c r="T26" s="365">
        <v>200000</v>
      </c>
      <c r="U26" s="256" t="str">
        <f>VLOOKUP(B26,idns_weight_PCSCF!A:I,6,)</f>
        <v>120</v>
      </c>
      <c r="V26" s="256">
        <f t="shared" si="4"/>
        <v>6.3649437980304716E-2</v>
      </c>
      <c r="W26" s="352">
        <f t="shared" si="5"/>
        <v>1</v>
      </c>
      <c r="X26" s="256">
        <v>120</v>
      </c>
      <c r="Y26" s="358" t="str">
        <f t="shared" si="10"/>
        <v>YES</v>
      </c>
      <c r="Z26" s="354" t="str">
        <f>VLOOKUP(B26,Input_Lic_Rate_PS!K:S,9,FALSE)</f>
        <v>TCHL04</v>
      </c>
      <c r="AA26" s="359">
        <f t="shared" si="6"/>
        <v>-214292724.55876023</v>
      </c>
    </row>
    <row r="27" spans="1:27" s="64" customFormat="1">
      <c r="A27" s="417">
        <v>27</v>
      </c>
      <c r="B27" s="366" t="s">
        <v>1109</v>
      </c>
      <c r="C27" s="366" t="s">
        <v>4</v>
      </c>
      <c r="D27" s="366" t="s">
        <v>15</v>
      </c>
      <c r="E27" s="256">
        <f>VLOOKUP(B27,Input_Lic_Rate_PS!K:P,4,FALSE)</f>
        <v>4000000</v>
      </c>
      <c r="F27" s="357">
        <f>VLOOKUP(B27,Input_Lic_Rate_PS!K:R,5,FALSE)</f>
        <v>150000</v>
      </c>
      <c r="G27" s="357">
        <f>VLOOKUP(B27,Input_Lic_Rate_PS!K:R,7,FALSE)</f>
        <v>3538944</v>
      </c>
      <c r="H27" s="363">
        <v>1622387</v>
      </c>
      <c r="I27" s="363">
        <v>55773.943905231099</v>
      </c>
      <c r="J27" s="349">
        <f>_xlfn.IFNA(VLOOKUP(B27,Input_NOCPRO_GGSN!C:G,4,FALSE),0)</f>
        <v>2868845</v>
      </c>
      <c r="K27" s="349">
        <f t="shared" si="13"/>
        <v>165078.06978996634</v>
      </c>
      <c r="L27" s="364">
        <f t="shared" si="11"/>
        <v>0.71721124999999997</v>
      </c>
      <c r="M27" s="364">
        <f t="shared" si="11"/>
        <v>1.1005204652664422</v>
      </c>
      <c r="N27" s="421">
        <f t="shared" si="1"/>
        <v>-5107988345.790451</v>
      </c>
      <c r="O27" s="422">
        <f t="shared" si="2"/>
        <v>-214127646.48897025</v>
      </c>
      <c r="P27" s="364">
        <f t="shared" si="12"/>
        <v>-1276.9970864476127</v>
      </c>
      <c r="Q27" s="364">
        <f t="shared" si="12"/>
        <v>-1427.5176432598016</v>
      </c>
      <c r="R27" s="420" t="e">
        <f>VLOOKUP(B27,IMS!A:B,4,FALSE)</f>
        <v>#REF!</v>
      </c>
      <c r="S27" s="422">
        <f>N27*7/10</f>
        <v>-3575591842.0533156</v>
      </c>
      <c r="T27" s="365">
        <v>200000</v>
      </c>
      <c r="U27" s="256" t="str">
        <f>VLOOKUP(B27,idns_weight_PCSCF!A:I,6,)</f>
        <v>120</v>
      </c>
      <c r="V27" s="256">
        <f t="shared" si="4"/>
        <v>9.2391654764868422E-2</v>
      </c>
      <c r="W27" s="352">
        <f t="shared" si="5"/>
        <v>1</v>
      </c>
      <c r="X27" s="256">
        <v>120</v>
      </c>
      <c r="Y27" s="358" t="str">
        <f t="shared" si="10"/>
        <v>YES</v>
      </c>
      <c r="Z27" s="354" t="str">
        <f>VLOOKUP(B27,Input_Lic_Rate_PS!K:S,9,FALSE)</f>
        <v>TCHL04</v>
      </c>
      <c r="AA27" s="359">
        <f t="shared" si="6"/>
        <v>-214292724.55876023</v>
      </c>
    </row>
    <row r="28" spans="1:27" s="199" customFormat="1">
      <c r="A28" s="417">
        <v>28</v>
      </c>
      <c r="B28" s="254" t="s">
        <v>75</v>
      </c>
      <c r="C28" s="254" t="s">
        <v>4</v>
      </c>
      <c r="D28" s="254" t="s">
        <v>25</v>
      </c>
      <c r="E28" s="256">
        <f>VLOOKUP(B28,Input_Lic_Rate_PS!K:P,4,FALSE)</f>
        <v>1500000</v>
      </c>
      <c r="F28" s="256">
        <f>VLOOKUP(B28,Input_Lic_Rate_PS!K:R,5,FALSE)</f>
        <v>80000</v>
      </c>
      <c r="G28" s="256">
        <f>VLOOKUP(B28,Input_Lic_Rate_PS!K:R,7,FALSE)</f>
        <v>1690000</v>
      </c>
      <c r="H28" s="349">
        <v>1024103</v>
      </c>
      <c r="I28" s="349">
        <v>40322.199999999997</v>
      </c>
      <c r="J28" s="349">
        <f>_xlfn.IFNA(VLOOKUP(B28,Input_NOCPRO_GGSN!C:G,4,FALSE),0)</f>
        <v>898041</v>
      </c>
      <c r="K28" s="349">
        <f>_xlfn.IFNA(VLOOKUP(B28,Input_NOCPRO_GGSN!C:G,5,FALSE),0)</f>
        <v>41801.120000000003</v>
      </c>
      <c r="L28" s="350">
        <f t="shared" si="11"/>
        <v>0.59869399999999995</v>
      </c>
      <c r="M28" s="350">
        <f>K28/F28</f>
        <v>0.52251400000000003</v>
      </c>
      <c r="N28" s="349" t="e">
        <f t="shared" ref="N28:N39" si="14">J28+(X28/SUM($X$28:$X$39)-U28/SUM($U$28:$U$39))*SUM($J$28:$J$39)</f>
        <v>#DIV/0!</v>
      </c>
      <c r="O28" s="663" t="e">
        <f t="shared" ref="O28:O39" si="15">K28+(X28/SUM($X$28:$X$39)-U28/SUM($U$28:$U$39))*SUM($K$28:$K$39)</f>
        <v>#DIV/0!</v>
      </c>
      <c r="P28" s="350" t="e">
        <f t="shared" si="12"/>
        <v>#DIV/0!</v>
      </c>
      <c r="Q28" s="350" t="e">
        <f t="shared" si="12"/>
        <v>#DIV/0!</v>
      </c>
      <c r="R28" s="420" t="e">
        <f>VLOOKUP(B28,IMS!A:B,4,FALSE)</f>
        <v>#REF!</v>
      </c>
      <c r="S28" s="421" t="e">
        <f t="shared" si="7"/>
        <v>#DIV/0!</v>
      </c>
      <c r="T28" s="256">
        <v>60000</v>
      </c>
      <c r="U28" s="256" t="str">
        <f>VLOOKUP(B28,idns_weight_PCSCF!A:I,6,)</f>
        <v>50</v>
      </c>
      <c r="V28" s="256">
        <f t="shared" si="4"/>
        <v>2.3395443457381513E-2</v>
      </c>
      <c r="W28" s="352">
        <f t="shared" si="5"/>
        <v>1</v>
      </c>
      <c r="X28" s="256">
        <v>50</v>
      </c>
      <c r="Y28" s="256" t="str">
        <f t="shared" si="10"/>
        <v>YES</v>
      </c>
      <c r="Z28" s="354" t="str">
        <f>VLOOKUP(B28,Input_Lic_Rate_PS!K:S,9,FALSE)</f>
        <v>SSR 8020</v>
      </c>
      <c r="AA28" s="355" t="e">
        <f t="shared" si="6"/>
        <v>#DIV/0!</v>
      </c>
    </row>
    <row r="29" spans="1:27" s="199" customFormat="1">
      <c r="A29" s="417">
        <v>29</v>
      </c>
      <c r="B29" s="254" t="s">
        <v>77</v>
      </c>
      <c r="C29" s="254" t="s">
        <v>4</v>
      </c>
      <c r="D29" s="254" t="s">
        <v>25</v>
      </c>
      <c r="E29" s="256">
        <f>VLOOKUP(B29,Input_Lic_Rate_PS!K:P,4,FALSE)</f>
        <v>1500000</v>
      </c>
      <c r="F29" s="256">
        <f>VLOOKUP(B29,Input_Lic_Rate_PS!K:R,5,FALSE)</f>
        <v>80000</v>
      </c>
      <c r="G29" s="256">
        <f>VLOOKUP(B29,Input_Lic_Rate_PS!K:R,7,FALSE)</f>
        <v>1690000</v>
      </c>
      <c r="H29" s="349">
        <v>1014434</v>
      </c>
      <c r="I29" s="349">
        <v>39649.03</v>
      </c>
      <c r="J29" s="349">
        <f>_xlfn.IFNA(VLOOKUP(B29,Input_NOCPRO_GGSN!C:G,4,FALSE),0)</f>
        <v>890806</v>
      </c>
      <c r="K29" s="349">
        <f>_xlfn.IFNA(VLOOKUP(B29,Input_NOCPRO_GGSN!C:G,5,FALSE),0)</f>
        <v>41180.57</v>
      </c>
      <c r="L29" s="350">
        <f t="shared" si="11"/>
        <v>0.59387066666666666</v>
      </c>
      <c r="M29" s="350">
        <f t="shared" si="11"/>
        <v>0.51475712500000004</v>
      </c>
      <c r="N29" s="349" t="e">
        <f t="shared" si="14"/>
        <v>#DIV/0!</v>
      </c>
      <c r="O29" s="663" t="e">
        <f t="shared" si="15"/>
        <v>#DIV/0!</v>
      </c>
      <c r="P29" s="350" t="e">
        <f t="shared" si="12"/>
        <v>#DIV/0!</v>
      </c>
      <c r="Q29" s="350" t="e">
        <f t="shared" si="12"/>
        <v>#DIV/0!</v>
      </c>
      <c r="R29" s="420" t="e">
        <f>VLOOKUP(B29,IMS!A:B,4,FALSE)</f>
        <v>#REF!</v>
      </c>
      <c r="S29" s="421" t="e">
        <f t="shared" si="7"/>
        <v>#DIV/0!</v>
      </c>
      <c r="T29" s="256">
        <v>60000</v>
      </c>
      <c r="U29" s="256" t="str">
        <f>VLOOKUP(B29,idns_weight_PCSCF!A:I,6,)</f>
        <v>50</v>
      </c>
      <c r="V29" s="256">
        <f t="shared" si="4"/>
        <v>2.304813117394322E-2</v>
      </c>
      <c r="W29" s="352">
        <f t="shared" si="5"/>
        <v>1</v>
      </c>
      <c r="X29" s="256">
        <v>50</v>
      </c>
      <c r="Y29" s="256" t="str">
        <f t="shared" si="10"/>
        <v>YES</v>
      </c>
      <c r="Z29" s="354" t="str">
        <f>VLOOKUP(B29,Input_Lic_Rate_PS!K:S,9,FALSE)</f>
        <v>SSR 8020</v>
      </c>
      <c r="AA29" s="355" t="e">
        <f t="shared" si="6"/>
        <v>#DIV/0!</v>
      </c>
    </row>
    <row r="30" spans="1:27" s="199" customFormat="1">
      <c r="A30" s="417">
        <v>30</v>
      </c>
      <c r="B30" s="254" t="s">
        <v>78</v>
      </c>
      <c r="C30" s="254" t="s">
        <v>4</v>
      </c>
      <c r="D30" s="254" t="s">
        <v>25</v>
      </c>
      <c r="E30" s="256">
        <f>VLOOKUP(B30,Input_Lic_Rate_PS!K:P,4,FALSE)</f>
        <v>2000000</v>
      </c>
      <c r="F30" s="256">
        <v>100000</v>
      </c>
      <c r="G30" s="256">
        <f>VLOOKUP(B30,Input_Lic_Rate_PS!K:R,7,FALSE)</f>
        <v>2148216</v>
      </c>
      <c r="H30" s="349">
        <v>1339643</v>
      </c>
      <c r="I30" s="349">
        <v>54396.67</v>
      </c>
      <c r="J30" s="349">
        <f>_xlfn.IFNA(VLOOKUP(B30,Input_NOCPRO_GGSN!C:G,4,FALSE),0)</f>
        <v>1185486</v>
      </c>
      <c r="K30" s="349">
        <f>_xlfn.IFNA(VLOOKUP(B30,Input_NOCPRO_GGSN!C:G,5,FALSE),0)</f>
        <v>54339.74</v>
      </c>
      <c r="L30" s="350">
        <f t="shared" si="11"/>
        <v>0.59274300000000002</v>
      </c>
      <c r="M30" s="350">
        <f t="shared" si="11"/>
        <v>0.54339740000000003</v>
      </c>
      <c r="N30" s="349" t="e">
        <f t="shared" si="14"/>
        <v>#DIV/0!</v>
      </c>
      <c r="O30" s="663" t="e">
        <f t="shared" si="15"/>
        <v>#DIV/0!</v>
      </c>
      <c r="P30" s="350" t="e">
        <f t="shared" si="12"/>
        <v>#DIV/0!</v>
      </c>
      <c r="Q30" s="350" t="e">
        <f t="shared" si="12"/>
        <v>#DIV/0!</v>
      </c>
      <c r="R30" s="420" t="e">
        <f>VLOOKUP(B30,IMS!A:B,4,FALSE)</f>
        <v>#REF!</v>
      </c>
      <c r="S30" s="421" t="e">
        <f t="shared" si="7"/>
        <v>#DIV/0!</v>
      </c>
      <c r="T30" s="256">
        <v>70000</v>
      </c>
      <c r="U30" s="256" t="str">
        <f>VLOOKUP(B30,idns_weight_PCSCF!A:I,6,)</f>
        <v>70</v>
      </c>
      <c r="V30" s="256">
        <f t="shared" si="4"/>
        <v>3.0413116075808794E-2</v>
      </c>
      <c r="W30" s="352">
        <f t="shared" si="5"/>
        <v>1</v>
      </c>
      <c r="X30" s="256">
        <v>70</v>
      </c>
      <c r="Y30" s="256" t="str">
        <f t="shared" si="10"/>
        <v>YES</v>
      </c>
      <c r="Z30" s="354" t="str">
        <f>VLOOKUP(B30,Input_Lic_Rate_PS!K:S,9,FALSE)</f>
        <v>SSR 8020</v>
      </c>
      <c r="AA30" s="355" t="e">
        <f t="shared" si="6"/>
        <v>#DIV/0!</v>
      </c>
    </row>
    <row r="31" spans="1:27" s="199" customFormat="1">
      <c r="A31" s="417">
        <v>31</v>
      </c>
      <c r="B31" s="254" t="s">
        <v>80</v>
      </c>
      <c r="C31" s="254" t="s">
        <v>4</v>
      </c>
      <c r="D31" s="254" t="s">
        <v>25</v>
      </c>
      <c r="E31" s="256">
        <f>VLOOKUP(B31,Input_Lic_Rate_PS!K:P,4,FALSE)</f>
        <v>1800000</v>
      </c>
      <c r="F31" s="256">
        <v>100000</v>
      </c>
      <c r="G31" s="256">
        <f>VLOOKUP(B31,Input_Lic_Rate_PS!K:R,7,FALSE)</f>
        <v>2015000</v>
      </c>
      <c r="H31" s="349">
        <v>1256234</v>
      </c>
      <c r="I31" s="349">
        <v>50839.9</v>
      </c>
      <c r="J31" s="349">
        <f>_xlfn.IFNA(VLOOKUP(B31,Input_NOCPRO_GGSN!C:G,4,FALSE),0)</f>
        <v>1113395</v>
      </c>
      <c r="K31" s="349">
        <f>_xlfn.IFNA(VLOOKUP(B31,Input_NOCPRO_GGSN!C:G,5,FALSE),0)</f>
        <v>52264.44</v>
      </c>
      <c r="L31" s="350">
        <f t="shared" si="11"/>
        <v>0.61855277777777773</v>
      </c>
      <c r="M31" s="350">
        <f>K31/F31</f>
        <v>0.52264440000000001</v>
      </c>
      <c r="N31" s="349" t="e">
        <f t="shared" si="14"/>
        <v>#DIV/0!</v>
      </c>
      <c r="O31" s="663" t="e">
        <f t="shared" si="15"/>
        <v>#DIV/0!</v>
      </c>
      <c r="P31" s="350" t="e">
        <f t="shared" si="12"/>
        <v>#DIV/0!</v>
      </c>
      <c r="Q31" s="350" t="e">
        <f t="shared" si="12"/>
        <v>#DIV/0!</v>
      </c>
      <c r="R31" s="420" t="e">
        <f>VLOOKUP(B31,IMS!A:B,4,FALSE)</f>
        <v>#REF!</v>
      </c>
      <c r="S31" s="421" t="e">
        <f t="shared" si="7"/>
        <v>#DIV/0!</v>
      </c>
      <c r="T31" s="256">
        <v>90000</v>
      </c>
      <c r="U31" s="256" t="str">
        <f>VLOOKUP(B31,idns_weight_PCSCF!A:I,6,)</f>
        <v>65</v>
      </c>
      <c r="V31" s="256">
        <f t="shared" si="4"/>
        <v>2.9251602609014032E-2</v>
      </c>
      <c r="W31" s="352">
        <f t="shared" si="5"/>
        <v>1</v>
      </c>
      <c r="X31" s="256">
        <v>65</v>
      </c>
      <c r="Y31" s="256" t="str">
        <f t="shared" si="10"/>
        <v>YES</v>
      </c>
      <c r="Z31" s="354" t="str">
        <f>VLOOKUP(B31,Input_Lic_Rate_PS!K:S,9,FALSE)</f>
        <v>SSR 8020</v>
      </c>
      <c r="AA31" s="355" t="e">
        <f t="shared" si="6"/>
        <v>#DIV/0!</v>
      </c>
    </row>
    <row r="32" spans="1:27" s="64" customFormat="1">
      <c r="A32" s="417">
        <v>32</v>
      </c>
      <c r="B32" s="366" t="s">
        <v>81</v>
      </c>
      <c r="C32" s="254" t="s">
        <v>4</v>
      </c>
      <c r="D32" s="366" t="s">
        <v>25</v>
      </c>
      <c r="E32" s="256">
        <f>VLOOKUP(B32,Input_Lic_Rate_PS!K:P,4,FALSE)</f>
        <v>4000000</v>
      </c>
      <c r="F32" s="357">
        <f>VLOOKUP(B32,Input_Lic_Rate_PS!K:R,5,FALSE)</f>
        <v>180000</v>
      </c>
      <c r="G32" s="357">
        <f>VLOOKUP(B32,Input_Lic_Rate_PS!K:R,7,FALSE)</f>
        <v>4063232</v>
      </c>
      <c r="H32" s="363">
        <v>2261834</v>
      </c>
      <c r="I32" s="363">
        <v>91208.95</v>
      </c>
      <c r="J32" s="349">
        <f>_xlfn.IFNA(VLOOKUP(B32,Input_NOCPRO_GGSN!C:G,4,FALSE),0)</f>
        <v>2079113</v>
      </c>
      <c r="K32" s="349">
        <f>_xlfn.IFNA(VLOOKUP(B32,Input_NOCPRO_GGSN!C:G,5,FALSE),0)</f>
        <v>95184.26</v>
      </c>
      <c r="L32" s="364">
        <f t="shared" si="11"/>
        <v>0.51977825</v>
      </c>
      <c r="M32" s="364">
        <f t="shared" si="11"/>
        <v>0.52880144444444444</v>
      </c>
      <c r="N32" s="349" t="e">
        <f t="shared" si="14"/>
        <v>#DIV/0!</v>
      </c>
      <c r="O32" s="663" t="e">
        <f t="shared" si="15"/>
        <v>#DIV/0!</v>
      </c>
      <c r="P32" s="364" t="e">
        <f t="shared" si="12"/>
        <v>#DIV/0!</v>
      </c>
      <c r="Q32" s="364" t="e">
        <f t="shared" si="12"/>
        <v>#DIV/0!</v>
      </c>
      <c r="R32" s="420" t="e">
        <f>VLOOKUP(B32,IMS!A:B,4,FALSE)</f>
        <v>#REF!</v>
      </c>
      <c r="S32" s="421" t="e">
        <f t="shared" si="7"/>
        <v>#DIV/0!</v>
      </c>
      <c r="T32" s="365">
        <v>200000</v>
      </c>
      <c r="U32" s="256" t="str">
        <f>VLOOKUP(B32,idns_weight_PCSCF!A:I,6,)</f>
        <v>125</v>
      </c>
      <c r="V32" s="256">
        <f t="shared" si="4"/>
        <v>5.3273165237263997E-2</v>
      </c>
      <c r="W32" s="352">
        <f t="shared" si="5"/>
        <v>1</v>
      </c>
      <c r="X32" s="256">
        <v>125</v>
      </c>
      <c r="Y32" s="365" t="str">
        <f t="shared" si="10"/>
        <v>YES</v>
      </c>
      <c r="Z32" s="354" t="str">
        <f>VLOOKUP(B32,Input_Lic_Rate_PS!K:S,9,FALSE)</f>
        <v>TCHK01</v>
      </c>
      <c r="AA32" s="359" t="e">
        <f t="shared" si="6"/>
        <v>#DIV/0!</v>
      </c>
    </row>
    <row r="33" spans="1:27" s="64" customFormat="1">
      <c r="A33" s="417">
        <v>33</v>
      </c>
      <c r="B33" s="366" t="s">
        <v>83</v>
      </c>
      <c r="C33" s="254" t="s">
        <v>4</v>
      </c>
      <c r="D33" s="366" t="s">
        <v>25</v>
      </c>
      <c r="E33" s="256">
        <f>VLOOKUP(B33,Input_Lic_Rate_PS!K:P,4,FALSE)</f>
        <v>4000000</v>
      </c>
      <c r="F33" s="357">
        <f>VLOOKUP(B33,Input_Lic_Rate_PS!K:R,5,FALSE)</f>
        <v>180000</v>
      </c>
      <c r="G33" s="357">
        <f>VLOOKUP(B33,Input_Lic_Rate_PS!K:R,7,FALSE)</f>
        <v>4063232</v>
      </c>
      <c r="H33" s="363">
        <v>2362342</v>
      </c>
      <c r="I33" s="363">
        <v>96651.74</v>
      </c>
      <c r="J33" s="349">
        <f>_xlfn.IFNA(VLOOKUP(B33,Input_NOCPRO_GGSN!C:G,4,FALSE),0)</f>
        <v>2081082</v>
      </c>
      <c r="K33" s="349">
        <f>_xlfn.IFNA(VLOOKUP(B33,Input_NOCPRO_GGSN!C:G,5,FALSE),0)</f>
        <v>94197.18</v>
      </c>
      <c r="L33" s="364">
        <f t="shared" si="11"/>
        <v>0.52027049999999997</v>
      </c>
      <c r="M33" s="364">
        <f t="shared" si="11"/>
        <v>0.52331766666666668</v>
      </c>
      <c r="N33" s="349" t="e">
        <f t="shared" si="14"/>
        <v>#DIV/0!</v>
      </c>
      <c r="O33" s="663" t="e">
        <f t="shared" si="15"/>
        <v>#DIV/0!</v>
      </c>
      <c r="P33" s="364" t="e">
        <f t="shared" si="12"/>
        <v>#DIV/0!</v>
      </c>
      <c r="Q33" s="364" t="e">
        <f t="shared" si="12"/>
        <v>#DIV/0!</v>
      </c>
      <c r="R33" s="420" t="e">
        <f>VLOOKUP(B33,IMS!A:B,4,FALSE)</f>
        <v>#REF!</v>
      </c>
      <c r="S33" s="421" t="e">
        <f t="shared" si="7"/>
        <v>#DIV/0!</v>
      </c>
      <c r="T33" s="365">
        <v>200000</v>
      </c>
      <c r="U33" s="256" t="str">
        <f>VLOOKUP(B33,idns_weight_PCSCF!A:I,6,)</f>
        <v>115</v>
      </c>
      <c r="V33" s="256">
        <f t="shared" si="4"/>
        <v>5.27207117544886E-2</v>
      </c>
      <c r="W33" s="352">
        <v>1</v>
      </c>
      <c r="X33" s="256">
        <v>125</v>
      </c>
      <c r="Y33" s="365" t="str">
        <f t="shared" si="10"/>
        <v>YES</v>
      </c>
      <c r="Z33" s="354" t="str">
        <f>VLOOKUP(B33,Input_Lic_Rate_PS!K:S,9,FALSE)</f>
        <v>TCHK01</v>
      </c>
      <c r="AA33" s="359" t="e">
        <f t="shared" ref="AA33:AA53" si="16">O33-K33</f>
        <v>#DIV/0!</v>
      </c>
    </row>
    <row r="34" spans="1:27" s="64" customFormat="1">
      <c r="A34" s="417">
        <v>34</v>
      </c>
      <c r="B34" s="366" t="s">
        <v>276</v>
      </c>
      <c r="C34" s="254" t="s">
        <v>4</v>
      </c>
      <c r="D34" s="366" t="s">
        <v>25</v>
      </c>
      <c r="E34" s="256">
        <f>VLOOKUP(B34,Input_Lic_Rate_PS!K:P,4,FALSE)</f>
        <v>4000000</v>
      </c>
      <c r="F34" s="357">
        <f>VLOOKUP(B34,Input_Lic_Rate_PS!K:R,5,FALSE)</f>
        <v>180000</v>
      </c>
      <c r="G34" s="357">
        <f>VLOOKUP(B34,Input_Lic_Rate_PS!K:R,7,FALSE)</f>
        <v>4061000</v>
      </c>
      <c r="H34" s="363">
        <v>2320884</v>
      </c>
      <c r="I34" s="363">
        <v>94443.61</v>
      </c>
      <c r="J34" s="349">
        <f>_xlfn.IFNA(VLOOKUP(B34,Input_NOCPRO_GGSN!C:G,4,FALSE),0)</f>
        <v>2062796</v>
      </c>
      <c r="K34" s="349">
        <f>_xlfn.IFNA(VLOOKUP(B34,Input_NOCPRO_GGSN!C:G,5,FALSE),0)</f>
        <v>93517.55</v>
      </c>
      <c r="L34" s="364">
        <f t="shared" si="11"/>
        <v>0.51569900000000002</v>
      </c>
      <c r="M34" s="364">
        <f>K34/F34</f>
        <v>0.51954194444444446</v>
      </c>
      <c r="N34" s="349" t="e">
        <f t="shared" si="14"/>
        <v>#DIV/0!</v>
      </c>
      <c r="O34" s="663" t="e">
        <f t="shared" si="15"/>
        <v>#DIV/0!</v>
      </c>
      <c r="P34" s="364" t="e">
        <f t="shared" si="12"/>
        <v>#DIV/0!</v>
      </c>
      <c r="Q34" s="364" t="e">
        <f t="shared" si="12"/>
        <v>#DIV/0!</v>
      </c>
      <c r="R34" s="420" t="e">
        <f>VLOOKUP(B34,IMS!A:B,4,FALSE)</f>
        <v>#REF!</v>
      </c>
      <c r="S34" s="421" t="e">
        <f t="shared" si="7"/>
        <v>#DIV/0!</v>
      </c>
      <c r="T34" s="365">
        <v>200000</v>
      </c>
      <c r="U34" s="256" t="str">
        <f>VLOOKUP(B34,idns_weight_PCSCF!A:I,6,)</f>
        <v>125</v>
      </c>
      <c r="V34" s="256">
        <f t="shared" si="4"/>
        <v>5.2340333304415017E-2</v>
      </c>
      <c r="W34" s="352">
        <f t="shared" si="5"/>
        <v>1</v>
      </c>
      <c r="X34" s="256">
        <v>125</v>
      </c>
      <c r="Y34" s="365" t="str">
        <f t="shared" si="10"/>
        <v>YES</v>
      </c>
      <c r="Z34" s="354" t="str">
        <f>VLOOKUP(B34,Input_Lic_Rate_PS!K:S,9,FALSE)</f>
        <v>TCHK01</v>
      </c>
      <c r="AA34" s="359" t="e">
        <f t="shared" si="16"/>
        <v>#DIV/0!</v>
      </c>
    </row>
    <row r="35" spans="1:27" s="64" customFormat="1" ht="15" customHeight="1">
      <c r="A35" s="417">
        <v>35</v>
      </c>
      <c r="B35" s="368" t="s">
        <v>359</v>
      </c>
      <c r="C35" s="368" t="s">
        <v>249</v>
      </c>
      <c r="D35" s="368" t="s">
        <v>25</v>
      </c>
      <c r="E35" s="256">
        <v>3000000</v>
      </c>
      <c r="F35" s="369">
        <v>150000</v>
      </c>
      <c r="G35" s="369">
        <f>VLOOKUP(B35,Input_Lic_Rate_PS!K:R,7,FALSE)</f>
        <v>3500000</v>
      </c>
      <c r="H35" s="363">
        <v>957647</v>
      </c>
      <c r="I35" s="363">
        <v>49900</v>
      </c>
      <c r="J35" s="349">
        <f>_xlfn.IFNA(VLOOKUP(B35,Input_NOCPRO_GGSN!C:G,4,FALSE),0)</f>
        <v>895136</v>
      </c>
      <c r="K35" s="349">
        <f>_xlfn.IFNA(VLOOKUP(B35,Input_NOCPRO_GGSN!C:G,5,FALSE),0)</f>
        <v>44496.05</v>
      </c>
      <c r="L35" s="364">
        <f t="shared" si="11"/>
        <v>0.29837866666666668</v>
      </c>
      <c r="M35" s="364">
        <f t="shared" si="11"/>
        <v>0.29664033333333334</v>
      </c>
      <c r="N35" s="349" t="e">
        <f t="shared" si="14"/>
        <v>#DIV/0!</v>
      </c>
      <c r="O35" s="663" t="e">
        <f t="shared" si="15"/>
        <v>#DIV/0!</v>
      </c>
      <c r="P35" s="364" t="e">
        <f t="shared" si="12"/>
        <v>#DIV/0!</v>
      </c>
      <c r="Q35" s="364" t="e">
        <f t="shared" si="12"/>
        <v>#DIV/0!</v>
      </c>
      <c r="R35" s="420" t="s">
        <v>864</v>
      </c>
      <c r="S35" s="421" t="e">
        <f t="shared" si="7"/>
        <v>#DIV/0!</v>
      </c>
      <c r="T35" s="365">
        <v>200000</v>
      </c>
      <c r="U35" s="256" t="str">
        <f>VLOOKUP(B35,idns_weight_PCSCF!A:I,6,)</f>
        <v>70</v>
      </c>
      <c r="V35" s="256">
        <f t="shared" ref="V35:V58" si="17">K35/(SUM($K$7:$K$27))*SUM($U$7:$U$27)</f>
        <v>2.4903754297775291E-2</v>
      </c>
      <c r="W35" s="370">
        <f t="shared" si="5"/>
        <v>1</v>
      </c>
      <c r="X35" s="256">
        <v>40</v>
      </c>
      <c r="Y35" s="369" t="str">
        <f t="shared" si="10"/>
        <v>YES</v>
      </c>
      <c r="Z35" s="354" t="str">
        <f>VLOOKUP(B35,Input_Lic_Rate_PS!K:S,9,FALSE)</f>
        <v>TCHK02</v>
      </c>
      <c r="AA35" s="371" t="e">
        <f t="shared" si="16"/>
        <v>#DIV/0!</v>
      </c>
    </row>
    <row r="36" spans="1:27" s="64" customFormat="1">
      <c r="A36" s="417">
        <v>36</v>
      </c>
      <c r="B36" s="368" t="s">
        <v>360</v>
      </c>
      <c r="C36" s="368" t="s">
        <v>249</v>
      </c>
      <c r="D36" s="368" t="s">
        <v>25</v>
      </c>
      <c r="E36" s="256">
        <v>3000000</v>
      </c>
      <c r="F36" s="369">
        <v>150000</v>
      </c>
      <c r="G36" s="369">
        <f>VLOOKUP(B36,Input_Lic_Rate_PS!K:R,7,FALSE)</f>
        <v>3500000</v>
      </c>
      <c r="H36" s="363">
        <v>1364626</v>
      </c>
      <c r="I36" s="363">
        <v>62275.040000000001</v>
      </c>
      <c r="J36" s="349">
        <f>_xlfn.IFNA(VLOOKUP(B36,Input_NOCPRO_GGSN!C:G,4,FALSE),0)</f>
        <v>771579</v>
      </c>
      <c r="K36" s="349">
        <f>_xlfn.IFNA(VLOOKUP(B36,Input_NOCPRO_GGSN!C:G,5,FALSE),0)</f>
        <v>37852.89</v>
      </c>
      <c r="L36" s="364">
        <f t="shared" si="11"/>
        <v>0.257193</v>
      </c>
      <c r="M36" s="364">
        <f t="shared" si="11"/>
        <v>0.25235259999999998</v>
      </c>
      <c r="N36" s="349" t="e">
        <f t="shared" si="14"/>
        <v>#DIV/0!</v>
      </c>
      <c r="O36" s="663" t="e">
        <f t="shared" si="15"/>
        <v>#DIV/0!</v>
      </c>
      <c r="P36" s="364" t="e">
        <f t="shared" si="12"/>
        <v>#DIV/0!</v>
      </c>
      <c r="Q36" s="364" t="e">
        <f t="shared" si="12"/>
        <v>#DIV/0!</v>
      </c>
      <c r="R36" s="420" t="s">
        <v>860</v>
      </c>
      <c r="S36" s="421" t="e">
        <f t="shared" si="7"/>
        <v>#DIV/0!</v>
      </c>
      <c r="T36" s="365">
        <v>200000</v>
      </c>
      <c r="U36" s="256" t="str">
        <f>VLOOKUP(B36,idns_weight_PCSCF!A:I,6,)</f>
        <v>60</v>
      </c>
      <c r="V36" s="256">
        <f t="shared" si="17"/>
        <v>2.118567989789465E-2</v>
      </c>
      <c r="W36" s="370">
        <f t="shared" si="5"/>
        <v>1</v>
      </c>
      <c r="X36" s="256">
        <v>60</v>
      </c>
      <c r="Y36" s="369" t="str">
        <f t="shared" si="10"/>
        <v>YES</v>
      </c>
      <c r="Z36" s="354" t="str">
        <f>VLOOKUP(B36,Input_Lic_Rate_PS!K:S,9,FALSE)</f>
        <v>TCHK02</v>
      </c>
      <c r="AA36" s="371" t="e">
        <f t="shared" si="16"/>
        <v>#DIV/0!</v>
      </c>
    </row>
    <row r="37" spans="1:27" s="64" customFormat="1">
      <c r="A37" s="417">
        <v>37</v>
      </c>
      <c r="B37" s="368" t="s">
        <v>361</v>
      </c>
      <c r="C37" s="368" t="s">
        <v>249</v>
      </c>
      <c r="D37" s="368" t="s">
        <v>25</v>
      </c>
      <c r="E37" s="256">
        <v>3000000</v>
      </c>
      <c r="F37" s="369">
        <v>150000</v>
      </c>
      <c r="G37" s="369">
        <f>VLOOKUP(B37,Input_Lic_Rate_PS!K:R,7,FALSE)</f>
        <v>3500000</v>
      </c>
      <c r="H37" s="363">
        <v>1207263</v>
      </c>
      <c r="I37" s="363">
        <v>60698.57</v>
      </c>
      <c r="J37" s="349">
        <f>_xlfn.IFNA(VLOOKUP(B37,Input_NOCPRO_GGSN!C:G,4,FALSE),0)</f>
        <v>773195</v>
      </c>
      <c r="K37" s="349">
        <f>_xlfn.IFNA(VLOOKUP(B37,Input_NOCPRO_GGSN!C:G,5,FALSE),0)</f>
        <v>38171.69</v>
      </c>
      <c r="L37" s="364">
        <f t="shared" si="11"/>
        <v>0.25773166666666669</v>
      </c>
      <c r="M37" s="364">
        <f t="shared" si="11"/>
        <v>0.25447793333333335</v>
      </c>
      <c r="N37" s="349" t="e">
        <f t="shared" si="14"/>
        <v>#DIV/0!</v>
      </c>
      <c r="O37" s="663" t="e">
        <f t="shared" si="15"/>
        <v>#DIV/0!</v>
      </c>
      <c r="P37" s="364" t="e">
        <f t="shared" si="12"/>
        <v>#DIV/0!</v>
      </c>
      <c r="Q37" s="364" t="e">
        <f t="shared" si="12"/>
        <v>#DIV/0!</v>
      </c>
      <c r="R37" s="420" t="s">
        <v>860</v>
      </c>
      <c r="S37" s="421" t="e">
        <f t="shared" si="7"/>
        <v>#DIV/0!</v>
      </c>
      <c r="T37" s="365">
        <v>200000</v>
      </c>
      <c r="U37" s="256" t="str">
        <f>VLOOKUP(B37,idns_weight_PCSCF!A:I,6,)</f>
        <v>60</v>
      </c>
      <c r="V37" s="256">
        <f t="shared" si="17"/>
        <v>2.1364107350896229E-2</v>
      </c>
      <c r="W37" s="370">
        <f t="shared" si="5"/>
        <v>1</v>
      </c>
      <c r="X37" s="256">
        <v>60</v>
      </c>
      <c r="Y37" s="369" t="str">
        <f t="shared" si="10"/>
        <v>YES</v>
      </c>
      <c r="Z37" s="354" t="str">
        <f>VLOOKUP(B37,Input_Lic_Rate_PS!K:S,9,FALSE)</f>
        <v>TCHK02</v>
      </c>
      <c r="AA37" s="371" t="e">
        <f t="shared" si="16"/>
        <v>#DIV/0!</v>
      </c>
    </row>
    <row r="38" spans="1:27" s="64" customFormat="1">
      <c r="A38" s="417">
        <v>38</v>
      </c>
      <c r="B38" s="366" t="s">
        <v>426</v>
      </c>
      <c r="C38" s="254" t="s">
        <v>1196</v>
      </c>
      <c r="D38" s="366" t="s">
        <v>25</v>
      </c>
      <c r="E38" s="256">
        <v>3000000</v>
      </c>
      <c r="F38" s="369">
        <v>150000</v>
      </c>
      <c r="G38" s="369">
        <f>VLOOKUP(B38,Input_Lic_Rate_PS!K:R,7,FALSE)</f>
        <v>1769310</v>
      </c>
      <c r="H38" s="363">
        <v>342909</v>
      </c>
      <c r="I38" s="363">
        <v>13953.977821162109</v>
      </c>
      <c r="J38" s="349">
        <f>_xlfn.IFNA(VLOOKUP(B38,Input_NOCPRO_GGSN!C:G,4,FALSE),0)</f>
        <v>447072</v>
      </c>
      <c r="K38" s="349">
        <f>$K$23/($J$23*0.7)*J38</f>
        <v>25725.259753364098</v>
      </c>
      <c r="L38" s="364">
        <f t="shared" si="11"/>
        <v>0.14902399999999999</v>
      </c>
      <c r="M38" s="364">
        <f t="shared" si="11"/>
        <v>0.17150173168909399</v>
      </c>
      <c r="N38" s="349" t="e">
        <f t="shared" si="14"/>
        <v>#DIV/0!</v>
      </c>
      <c r="O38" s="663" t="e">
        <f t="shared" si="15"/>
        <v>#DIV/0!</v>
      </c>
      <c r="P38" s="364" t="e">
        <f t="shared" si="12"/>
        <v>#DIV/0!</v>
      </c>
      <c r="Q38" s="364" t="e">
        <f t="shared" si="12"/>
        <v>#DIV/0!</v>
      </c>
      <c r="R38" s="420" t="e">
        <f>VLOOKUP(B38,IMS!A:B,4,FALSE)</f>
        <v>#REF!</v>
      </c>
      <c r="S38" s="421" t="e">
        <f t="shared" si="7"/>
        <v>#DIV/0!</v>
      </c>
      <c r="T38" s="365">
        <v>200000</v>
      </c>
      <c r="U38" s="256" t="str">
        <f>VLOOKUP(B38,idns_weight_PCSCF!A:I,6,)</f>
        <v>20</v>
      </c>
      <c r="V38" s="256">
        <f t="shared" si="17"/>
        <v>1.4398031918433814E-2</v>
      </c>
      <c r="W38" s="352">
        <f t="shared" si="5"/>
        <v>1</v>
      </c>
      <c r="X38" s="367">
        <v>20</v>
      </c>
      <c r="Y38" s="365" t="str">
        <f t="shared" si="10"/>
        <v>YES</v>
      </c>
      <c r="Z38" s="354" t="str">
        <f>VLOOKUP(B38,Input_Lic_Rate_PS!K:S,9,FALSE)</f>
        <v>TCHK03</v>
      </c>
      <c r="AA38" s="359" t="e">
        <f t="shared" si="16"/>
        <v>#DIV/0!</v>
      </c>
    </row>
    <row r="39" spans="1:27" s="64" customFormat="1">
      <c r="A39" s="417">
        <v>39</v>
      </c>
      <c r="B39" s="368" t="s">
        <v>1107</v>
      </c>
      <c r="C39" s="254" t="s">
        <v>1196</v>
      </c>
      <c r="D39" s="368" t="s">
        <v>25</v>
      </c>
      <c r="E39" s="256">
        <v>3000000</v>
      </c>
      <c r="F39" s="369">
        <v>150000</v>
      </c>
      <c r="G39" s="369">
        <f>VLOOKUP(B39,Input_Lic_Rate_PS!K:R,7,FALSE)</f>
        <v>1769310</v>
      </c>
      <c r="H39" s="363">
        <v>396302</v>
      </c>
      <c r="I39" s="363">
        <v>16126.696349416861</v>
      </c>
      <c r="J39" s="349">
        <f>_xlfn.IFNA(VLOOKUP(B39,Input_NOCPRO_GGSN!C:G,4,FALSE),0)</f>
        <v>438366</v>
      </c>
      <c r="K39" s="349">
        <f>$K$23/($J$23*0.7)*J39</f>
        <v>25224.302163953918</v>
      </c>
      <c r="L39" s="364">
        <f t="shared" si="11"/>
        <v>0.146122</v>
      </c>
      <c r="M39" s="364">
        <f t="shared" si="11"/>
        <v>0.16816201442635945</v>
      </c>
      <c r="N39" s="349" t="e">
        <f t="shared" si="14"/>
        <v>#DIV/0!</v>
      </c>
      <c r="O39" s="663" t="e">
        <f t="shared" si="15"/>
        <v>#DIV/0!</v>
      </c>
      <c r="P39" s="364" t="e">
        <f t="shared" si="12"/>
        <v>#DIV/0!</v>
      </c>
      <c r="Q39" s="364" t="e">
        <f t="shared" si="12"/>
        <v>#DIV/0!</v>
      </c>
      <c r="R39" s="420" t="e">
        <f>VLOOKUP(B39,IMS!A:B,4,FALSE)</f>
        <v>#REF!</v>
      </c>
      <c r="S39" s="421" t="e">
        <f t="shared" si="7"/>
        <v>#DIV/0!</v>
      </c>
      <c r="T39" s="365">
        <v>200000</v>
      </c>
      <c r="U39" s="256" t="str">
        <f>VLOOKUP(B39,idns_weight_PCSCF!A:I,6,)</f>
        <v>20</v>
      </c>
      <c r="V39" s="256">
        <f t="shared" si="17"/>
        <v>1.4117653666425445E-2</v>
      </c>
      <c r="W39" s="370">
        <f t="shared" si="5"/>
        <v>1</v>
      </c>
      <c r="X39" s="256">
        <v>20</v>
      </c>
      <c r="Y39" s="369" t="str">
        <f t="shared" si="10"/>
        <v>YES</v>
      </c>
      <c r="Z39" s="354" t="str">
        <f>VLOOKUP(B39,Input_Lic_Rate_PS!K:S,9,FALSE)</f>
        <v>TCHK03</v>
      </c>
      <c r="AA39" s="371" t="e">
        <f t="shared" si="16"/>
        <v>#DIV/0!</v>
      </c>
    </row>
    <row r="40" spans="1:27" s="199" customFormat="1">
      <c r="A40" s="417">
        <v>40</v>
      </c>
      <c r="B40" s="254" t="s">
        <v>84</v>
      </c>
      <c r="C40" s="254" t="s">
        <v>4</v>
      </c>
      <c r="D40" s="254" t="s">
        <v>30</v>
      </c>
      <c r="E40" s="256">
        <f>VLOOKUP(B40,Input_Lic_Rate_PS!K:P,4,FALSE)</f>
        <v>1500000</v>
      </c>
      <c r="F40" s="256">
        <f>VLOOKUP(B40,Input_Lic_Rate_PS!K:R,5,FALSE)</f>
        <v>80000</v>
      </c>
      <c r="G40" s="256">
        <f>VLOOKUP(B40,Input_Lic_Rate_PS!K:R,7,FALSE)</f>
        <v>1690000</v>
      </c>
      <c r="H40" s="349">
        <v>1137974</v>
      </c>
      <c r="I40" s="349">
        <v>49304.09</v>
      </c>
      <c r="J40" s="349">
        <f>_xlfn.IFNA(VLOOKUP(B40,Input_NOCPRO_GGSN!C:G,4,FALSE),0)</f>
        <v>995643</v>
      </c>
      <c r="K40" s="349">
        <f>_xlfn.IFNA(VLOOKUP(B40,Input_NOCPRO_GGSN!C:G,5,FALSE),0)</f>
        <v>43258.27</v>
      </c>
      <c r="L40" s="350">
        <f t="shared" si="11"/>
        <v>0.66376199999999996</v>
      </c>
      <c r="M40" s="350">
        <f t="shared" si="11"/>
        <v>0.54072837499999993</v>
      </c>
      <c r="N40" s="349">
        <f t="shared" ref="N40:N54" si="18">J40+(X40/SUM($X$40:$X$54)-U40/SUM($U$40:$U$54))*SUM($J$40:$J$54)</f>
        <v>-1298449535.2325583</v>
      </c>
      <c r="O40" s="663">
        <f t="shared" ref="O40:O54" si="19">K40+(X40/SUM($X$40:$X$54)-U40/SUM($U$40:$U$54))*SUM($K$40:$K$54)</f>
        <v>-60429149.058909684</v>
      </c>
      <c r="P40" s="350">
        <f t="shared" si="12"/>
        <v>-865.63302348837215</v>
      </c>
      <c r="Q40" s="350">
        <f t="shared" si="12"/>
        <v>-755.3643632363711</v>
      </c>
      <c r="R40" s="420" t="e">
        <f>VLOOKUP(B40,IMS!A:B,4,FALSE)</f>
        <v>#REF!</v>
      </c>
      <c r="S40" s="421">
        <f t="shared" si="7"/>
        <v>-534655690.97811216</v>
      </c>
      <c r="T40" s="256">
        <v>60000</v>
      </c>
      <c r="U40" s="256" t="str">
        <f>VLOOKUP(B40,idns_weight_PCSCF!A:I,6,)</f>
        <v>40</v>
      </c>
      <c r="V40" s="256">
        <f t="shared" si="17"/>
        <v>2.4210987883796962E-2</v>
      </c>
      <c r="W40" s="352">
        <f t="shared" si="5"/>
        <v>1</v>
      </c>
      <c r="X40" s="372">
        <v>60</v>
      </c>
      <c r="Y40" s="256" t="str">
        <f t="shared" si="10"/>
        <v>YES</v>
      </c>
      <c r="Z40" s="354" t="str">
        <f>VLOOKUP(B40,Input_Lic_Rate_PS!K:S,9,FALSE)</f>
        <v>SSR 8020</v>
      </c>
      <c r="AA40" s="355">
        <f t="shared" si="16"/>
        <v>-60472407.328909688</v>
      </c>
    </row>
    <row r="41" spans="1:27" s="199" customFormat="1">
      <c r="A41" s="417">
        <v>41</v>
      </c>
      <c r="B41" s="254" t="s">
        <v>86</v>
      </c>
      <c r="C41" s="254" t="s">
        <v>4</v>
      </c>
      <c r="D41" s="254" t="s">
        <v>30</v>
      </c>
      <c r="E41" s="256">
        <f>VLOOKUP(B41,Input_Lic_Rate_PS!K:P,4,FALSE)</f>
        <v>1500000</v>
      </c>
      <c r="F41" s="256">
        <f>VLOOKUP(B41,Input_Lic_Rate_PS!K:R,5,FALSE)</f>
        <v>80000</v>
      </c>
      <c r="G41" s="256">
        <f>VLOOKUP(B41,Input_Lic_Rate_PS!K:R,7,FALSE)</f>
        <v>0</v>
      </c>
      <c r="H41" s="349">
        <v>1108252</v>
      </c>
      <c r="I41" s="349">
        <v>44943.39</v>
      </c>
      <c r="J41" s="349">
        <f>_xlfn.IFNA(VLOOKUP(B41,Input_NOCPRO_GGSN!C:G,4,FALSE),0)</f>
        <v>997475</v>
      </c>
      <c r="K41" s="349">
        <f>_xlfn.IFNA(VLOOKUP(B41,Input_NOCPRO_GGSN!C:G,5,FALSE),0)</f>
        <v>43439.91</v>
      </c>
      <c r="L41" s="350">
        <f t="shared" si="11"/>
        <v>0.66498333333333337</v>
      </c>
      <c r="M41" s="350">
        <f t="shared" si="11"/>
        <v>0.54299887499999999</v>
      </c>
      <c r="N41" s="349">
        <f t="shared" si="18"/>
        <v>-1298447703.2325583</v>
      </c>
      <c r="O41" s="663">
        <f t="shared" si="19"/>
        <v>-60428967.418909691</v>
      </c>
      <c r="P41" s="350">
        <f t="shared" si="12"/>
        <v>-865.63180215503883</v>
      </c>
      <c r="Q41" s="350">
        <f t="shared" si="12"/>
        <v>-755.3620927363711</v>
      </c>
      <c r="R41" s="420" t="e">
        <f>VLOOKUP(B41,IMS!A:B,4,FALSE)</f>
        <v>#REF!</v>
      </c>
      <c r="S41" s="421">
        <f t="shared" si="7"/>
        <v>-534654936.62517101</v>
      </c>
      <c r="T41" s="256">
        <v>60000</v>
      </c>
      <c r="U41" s="256" t="str">
        <f>VLOOKUP(B41,idns_weight_PCSCF!A:I,6,)</f>
        <v>40</v>
      </c>
      <c r="V41" s="256">
        <f t="shared" si="17"/>
        <v>2.4312648995977664E-2</v>
      </c>
      <c r="W41" s="352">
        <f t="shared" si="5"/>
        <v>1</v>
      </c>
      <c r="X41" s="372">
        <v>60</v>
      </c>
      <c r="Y41" s="256" t="str">
        <f t="shared" si="10"/>
        <v>YES</v>
      </c>
      <c r="Z41" s="354" t="str">
        <f>VLOOKUP(B41,Input_Lic_Rate_PS!K:S,9,FALSE)</f>
        <v>SSR 8020</v>
      </c>
      <c r="AA41" s="355">
        <f t="shared" si="16"/>
        <v>-60472407.328909688</v>
      </c>
    </row>
    <row r="42" spans="1:27" s="199" customFormat="1">
      <c r="A42" s="417">
        <v>42</v>
      </c>
      <c r="B42" s="254" t="s">
        <v>89</v>
      </c>
      <c r="C42" s="254" t="s">
        <v>4</v>
      </c>
      <c r="D42" s="254" t="s">
        <v>30</v>
      </c>
      <c r="E42" s="256">
        <f>VLOOKUP(B42,Input_Lic_Rate_PS!K:P,4,FALSE)</f>
        <v>1500000</v>
      </c>
      <c r="F42" s="256">
        <f>VLOOKUP(B42,Input_Lic_Rate_PS!K:R,5,FALSE)</f>
        <v>80000</v>
      </c>
      <c r="G42" s="256">
        <f>VLOOKUP(B42,Input_Lic_Rate_PS!K:R,7,FALSE)</f>
        <v>1690000</v>
      </c>
      <c r="H42" s="349">
        <v>1181496</v>
      </c>
      <c r="I42" s="349">
        <v>47159.91</v>
      </c>
      <c r="J42" s="349">
        <f>_xlfn.IFNA(VLOOKUP(B42,Input_NOCPRO_GGSN!C:G,4,FALSE),0)</f>
        <v>1079478</v>
      </c>
      <c r="K42" s="349">
        <f>_xlfn.IFNA(VLOOKUP(B42,Input_NOCPRO_GGSN!C:G,5,FALSE),0)</f>
        <v>42459.34</v>
      </c>
      <c r="L42" s="350">
        <f t="shared" si="11"/>
        <v>0.71965199999999996</v>
      </c>
      <c r="M42" s="350">
        <f t="shared" si="11"/>
        <v>0.5307417499999999</v>
      </c>
      <c r="N42" s="349">
        <f t="shared" si="18"/>
        <v>-1298365700.2325583</v>
      </c>
      <c r="O42" s="663">
        <f t="shared" si="19"/>
        <v>-60429947.988909684</v>
      </c>
      <c r="P42" s="350">
        <f t="shared" si="12"/>
        <v>-865.57713348837217</v>
      </c>
      <c r="Q42" s="350">
        <f t="shared" si="12"/>
        <v>-755.374349861371</v>
      </c>
      <c r="R42" s="420" t="e">
        <f>VLOOKUP(B42,IMS!A:B,4,FALSE)</f>
        <v>#REF!</v>
      </c>
      <c r="S42" s="421">
        <f t="shared" si="7"/>
        <v>-534621170.68399453</v>
      </c>
      <c r="T42" s="256">
        <v>60000</v>
      </c>
      <c r="U42" s="256" t="str">
        <f>VLOOKUP(B42,idns_weight_PCSCF!A:I,6,)</f>
        <v>40</v>
      </c>
      <c r="V42" s="256">
        <f t="shared" si="17"/>
        <v>2.3763839059999757E-2</v>
      </c>
      <c r="W42" s="352">
        <f t="shared" si="5"/>
        <v>1</v>
      </c>
      <c r="X42" s="372">
        <v>60</v>
      </c>
      <c r="Y42" s="256" t="str">
        <f t="shared" si="10"/>
        <v>YES</v>
      </c>
      <c r="Z42" s="354" t="str">
        <f>VLOOKUP(B42,Input_Lic_Rate_PS!K:S,9,FALSE)</f>
        <v>SSR 8020</v>
      </c>
      <c r="AA42" s="355">
        <f t="shared" si="16"/>
        <v>-60472407.328909688</v>
      </c>
    </row>
    <row r="43" spans="1:27" s="199" customFormat="1">
      <c r="A43" s="417">
        <v>43</v>
      </c>
      <c r="B43" s="254" t="s">
        <v>90</v>
      </c>
      <c r="C43" s="254" t="s">
        <v>4</v>
      </c>
      <c r="D43" s="254" t="s">
        <v>30</v>
      </c>
      <c r="E43" s="256">
        <f>VLOOKUP(B43,Input_Lic_Rate_PS!K:P,4,FALSE)</f>
        <v>2700000</v>
      </c>
      <c r="F43" s="256">
        <f>VLOOKUP(B43,Input_Lic_Rate_PS!K:R,5,FALSE)</f>
        <v>150000</v>
      </c>
      <c r="G43" s="256">
        <f>VLOOKUP(B43,Input_Lic_Rate_PS!K:R,7,FALSE)</f>
        <v>2990000</v>
      </c>
      <c r="H43" s="349">
        <v>2251132</v>
      </c>
      <c r="I43" s="349">
        <v>90426.97</v>
      </c>
      <c r="J43" s="349">
        <f>_xlfn.IFNA(VLOOKUP(B43,Input_NOCPRO_GGSN!C:G,4,FALSE),0)</f>
        <v>2316736</v>
      </c>
      <c r="K43" s="349">
        <f>_xlfn.IFNA(VLOOKUP(B43,Input_NOCPRO_GGSN!C:G,5,FALSE),0)</f>
        <v>95309.22</v>
      </c>
      <c r="L43" s="350">
        <f t="shared" si="11"/>
        <v>0.85805037037037035</v>
      </c>
      <c r="M43" s="350">
        <f t="shared" si="11"/>
        <v>0.63539480000000004</v>
      </c>
      <c r="N43" s="349">
        <f t="shared" si="18"/>
        <v>-3246800456.8372092</v>
      </c>
      <c r="O43" s="663">
        <f t="shared" si="19"/>
        <v>-151109175.3061271</v>
      </c>
      <c r="P43" s="350">
        <f t="shared" si="12"/>
        <v>-1202.5186877174849</v>
      </c>
      <c r="Q43" s="350">
        <f t="shared" si="12"/>
        <v>-1007.3945020408473</v>
      </c>
      <c r="R43" s="420" t="e">
        <f>VLOOKUP(B43,IMS!A:B,4,FALSE)</f>
        <v>#REF!</v>
      </c>
      <c r="S43" s="421">
        <f t="shared" si="7"/>
        <v>-1336917835.1682627</v>
      </c>
      <c r="T43" s="256">
        <v>60000</v>
      </c>
      <c r="U43" s="256" t="str">
        <f>VLOOKUP(B43,idns_weight_PCSCF!A:I,6,)</f>
        <v>100</v>
      </c>
      <c r="V43" s="256">
        <f t="shared" si="17"/>
        <v>5.3343103425868378E-2</v>
      </c>
      <c r="W43" s="352">
        <f t="shared" si="5"/>
        <v>1</v>
      </c>
      <c r="X43" s="256">
        <v>130</v>
      </c>
      <c r="Y43" s="256" t="str">
        <f t="shared" si="10"/>
        <v>YES</v>
      </c>
      <c r="Z43" s="354" t="str">
        <f>VLOOKUP(B43,Input_Lic_Rate_PS!K:S,9,FALSE)</f>
        <v>SSR 8020</v>
      </c>
      <c r="AA43" s="355">
        <f t="shared" si="16"/>
        <v>-151204484.5261271</v>
      </c>
    </row>
    <row r="44" spans="1:27" s="199" customFormat="1">
      <c r="A44" s="417">
        <v>44</v>
      </c>
      <c r="B44" s="254" t="s">
        <v>87</v>
      </c>
      <c r="C44" s="254" t="s">
        <v>4</v>
      </c>
      <c r="D44" s="254" t="s">
        <v>30</v>
      </c>
      <c r="E44" s="256">
        <f>VLOOKUP(B44,Input_Lic_Rate_PS!K:P,4,FALSE)</f>
        <v>1500000</v>
      </c>
      <c r="F44" s="256">
        <f>VLOOKUP(B44,Input_Lic_Rate_PS!K:R,5,FALSE)</f>
        <v>80000</v>
      </c>
      <c r="G44" s="256">
        <f>VLOOKUP(B44,Input_Lic_Rate_PS!K:R,7,FALSE)</f>
        <v>0</v>
      </c>
      <c r="H44" s="349">
        <v>1298930</v>
      </c>
      <c r="I44" s="349">
        <v>46108.45</v>
      </c>
      <c r="J44" s="349">
        <f>_xlfn.IFNA(VLOOKUP(B44,Input_NOCPRO_GGSN!C:G,4,FALSE),0)</f>
        <v>333900</v>
      </c>
      <c r="K44" s="349">
        <f>_xlfn.IFNA(VLOOKUP(B44,Input_NOCPRO_GGSN!C:G,5,FALSE),0)</f>
        <v>1199.05</v>
      </c>
      <c r="L44" s="350">
        <f t="shared" si="11"/>
        <v>0.22259999999999999</v>
      </c>
      <c r="M44" s="350">
        <f t="shared" si="11"/>
        <v>1.4988125E-2</v>
      </c>
      <c r="N44" s="349">
        <f t="shared" si="18"/>
        <v>-30677306.232558139</v>
      </c>
      <c r="O44" s="663">
        <f t="shared" si="19"/>
        <v>-1441972.486953025</v>
      </c>
      <c r="P44" s="350">
        <f t="shared" si="12"/>
        <v>-20.451537488372093</v>
      </c>
      <c r="Q44" s="350">
        <f t="shared" si="12"/>
        <v>-18.024656086912813</v>
      </c>
      <c r="R44" s="420" t="e">
        <f>VLOOKUP(B44,IMS!A:B,4,FALSE)</f>
        <v>#REF!</v>
      </c>
      <c r="S44" s="421">
        <f t="shared" si="7"/>
        <v>-12631831.978112176</v>
      </c>
      <c r="T44" s="256">
        <v>130000</v>
      </c>
      <c r="U44" s="256">
        <v>1</v>
      </c>
      <c r="V44" s="256">
        <f t="shared" si="17"/>
        <v>6.710898291139879E-4</v>
      </c>
      <c r="W44" s="352">
        <f t="shared" si="5"/>
        <v>1</v>
      </c>
      <c r="X44" s="372">
        <v>60</v>
      </c>
      <c r="Y44" s="256" t="str">
        <f t="shared" si="10"/>
        <v>YES</v>
      </c>
      <c r="Z44" s="354" t="str">
        <f>VLOOKUP(B44,Input_Lic_Rate_PS!K:S,9,FALSE)</f>
        <v>SSR 8020</v>
      </c>
      <c r="AA44" s="355">
        <f t="shared" si="16"/>
        <v>-1443171.536953025</v>
      </c>
    </row>
    <row r="45" spans="1:27" s="199" customFormat="1" ht="15" customHeight="1">
      <c r="A45" s="417">
        <v>45</v>
      </c>
      <c r="B45" s="254" t="s">
        <v>91</v>
      </c>
      <c r="C45" s="254" t="s">
        <v>4</v>
      </c>
      <c r="D45" s="254" t="s">
        <v>30</v>
      </c>
      <c r="E45" s="256">
        <f>VLOOKUP(B45,Input_Lic_Rate_PS!K:P,4,FALSE)</f>
        <v>2500000</v>
      </c>
      <c r="F45" s="256">
        <f>VLOOKUP(B45,Input_Lic_Rate_PS!K:R,5,FALSE)</f>
        <v>150000</v>
      </c>
      <c r="G45" s="256">
        <f>VLOOKUP(B45,Input_Lic_Rate_PS!K:R,7,FALSE)</f>
        <v>2470000</v>
      </c>
      <c r="H45" s="349">
        <v>2093326</v>
      </c>
      <c r="I45" s="349">
        <v>83290.66</v>
      </c>
      <c r="J45" s="349">
        <f>_xlfn.IFNA(VLOOKUP(B45,Input_NOCPRO_GGSN!C:G,4,FALSE),0)</f>
        <v>2206871</v>
      </c>
      <c r="K45" s="349">
        <f>_xlfn.IFNA(VLOOKUP(B45,Input_NOCPRO_GGSN!C:G,5,FALSE),0)</f>
        <v>88292.66</v>
      </c>
      <c r="L45" s="350">
        <f t="shared" si="11"/>
        <v>0.88274839999999999</v>
      </c>
      <c r="M45" s="350">
        <f t="shared" si="11"/>
        <v>0.58861773333333334</v>
      </c>
      <c r="N45" s="349">
        <f t="shared" si="18"/>
        <v>-3084542705.4651165</v>
      </c>
      <c r="O45" s="663">
        <f t="shared" si="19"/>
        <v>-143560074.22549501</v>
      </c>
      <c r="P45" s="350">
        <f t="shared" si="12"/>
        <v>-1233.8170821860465</v>
      </c>
      <c r="Q45" s="350">
        <f t="shared" si="12"/>
        <v>-957.0671615033001</v>
      </c>
      <c r="R45" s="420" t="e">
        <f>VLOOKUP(B45,IMS!A:B,4,FALSE)</f>
        <v>#REF!</v>
      </c>
      <c r="S45" s="421">
        <f t="shared" si="7"/>
        <v>-1270105819.8974009</v>
      </c>
      <c r="T45" s="256">
        <v>120000</v>
      </c>
      <c r="U45" s="256" t="str">
        <f>VLOOKUP(B45,idns_weight_PCSCF!A:I,6,)</f>
        <v>95</v>
      </c>
      <c r="V45" s="256">
        <f t="shared" si="17"/>
        <v>4.9416042793394302E-2</v>
      </c>
      <c r="W45" s="352">
        <f t="shared" si="5"/>
        <v>1</v>
      </c>
      <c r="X45" s="256">
        <v>120</v>
      </c>
      <c r="Y45" s="256" t="str">
        <f t="shared" si="10"/>
        <v>YES</v>
      </c>
      <c r="Z45" s="354" t="str">
        <f>VLOOKUP(B45,Input_Lic_Rate_PS!K:S,9,FALSE)</f>
        <v>SSR 8020</v>
      </c>
      <c r="AA45" s="355">
        <f t="shared" si="16"/>
        <v>-143648366.88549501</v>
      </c>
    </row>
    <row r="46" spans="1:27" s="199" customFormat="1">
      <c r="A46" s="417">
        <v>46</v>
      </c>
      <c r="B46" s="254" t="s">
        <v>93</v>
      </c>
      <c r="C46" s="254" t="s">
        <v>4</v>
      </c>
      <c r="D46" s="254" t="s">
        <v>30</v>
      </c>
      <c r="E46" s="256">
        <f>VLOOKUP(B46,Input_Lic_Rate_PS!K:P,4,FALSE)</f>
        <v>2700000</v>
      </c>
      <c r="F46" s="256">
        <f>VLOOKUP(B46,Input_Lic_Rate_PS!K:R,5,FALSE)</f>
        <v>150000</v>
      </c>
      <c r="G46" s="256">
        <f>VLOOKUP(B46,Input_Lic_Rate_PS!K:R,7,FALSE)</f>
        <v>2985000</v>
      </c>
      <c r="H46" s="349">
        <v>2256904</v>
      </c>
      <c r="I46" s="349">
        <v>89197.63</v>
      </c>
      <c r="J46" s="349">
        <f>_xlfn.IFNA(VLOOKUP(B46,Input_NOCPRO_GGSN!C:G,4,FALSE),0)</f>
        <v>2324008</v>
      </c>
      <c r="K46" s="349">
        <f>_xlfn.IFNA(VLOOKUP(B46,Input_NOCPRO_GGSN!C:G,5,FALSE),0)</f>
        <v>93090.27</v>
      </c>
      <c r="L46" s="350">
        <f t="shared" si="11"/>
        <v>0.86074370370370368</v>
      </c>
      <c r="M46" s="350">
        <f t="shared" si="11"/>
        <v>0.62060179999999998</v>
      </c>
      <c r="N46" s="349">
        <f t="shared" si="18"/>
        <v>-3246793184.8372092</v>
      </c>
      <c r="O46" s="663">
        <f t="shared" si="19"/>
        <v>-151111394.25612709</v>
      </c>
      <c r="P46" s="350">
        <f t="shared" si="12"/>
        <v>-1202.5159943841516</v>
      </c>
      <c r="Q46" s="350">
        <f t="shared" si="12"/>
        <v>-1007.4092950408473</v>
      </c>
      <c r="R46" s="420" t="e">
        <f>VLOOKUP(B46,IMS!A:B,4,FALSE)</f>
        <v>#REF!</v>
      </c>
      <c r="S46" s="421">
        <f t="shared" si="7"/>
        <v>-1336914840.8153214</v>
      </c>
      <c r="T46" s="256">
        <v>130000</v>
      </c>
      <c r="U46" s="256" t="str">
        <f>VLOOKUP(B46,idns_weight_PCSCF!A:I,6,)</f>
        <v>100</v>
      </c>
      <c r="V46" s="256">
        <f t="shared" si="17"/>
        <v>5.2101191265147409E-2</v>
      </c>
      <c r="W46" s="352">
        <f t="shared" si="5"/>
        <v>1</v>
      </c>
      <c r="X46" s="256">
        <v>130</v>
      </c>
      <c r="Y46" s="256" t="str">
        <f t="shared" si="10"/>
        <v>YES</v>
      </c>
      <c r="Z46" s="354" t="str">
        <f>VLOOKUP(B46,Input_Lic_Rate_PS!K:S,9,FALSE)</f>
        <v>SSR 8020</v>
      </c>
      <c r="AA46" s="355">
        <f t="shared" si="16"/>
        <v>-151204484.5261271</v>
      </c>
    </row>
    <row r="47" spans="1:27" s="71" customFormat="1">
      <c r="A47" s="417">
        <v>47</v>
      </c>
      <c r="B47" s="361" t="s">
        <v>451</v>
      </c>
      <c r="C47" s="361" t="s">
        <v>249</v>
      </c>
      <c r="D47" s="361" t="s">
        <v>30</v>
      </c>
      <c r="E47" s="256">
        <f>VLOOKUP(B47,Input_Lic_Rate_PS!K:P,4,FALSE)</f>
        <v>4500000</v>
      </c>
      <c r="F47" s="256">
        <f>VLOOKUP(B47,Input_Lic_Rate_PS!K:R,5,FALSE)</f>
        <v>150000</v>
      </c>
      <c r="G47" s="256">
        <f>VLOOKUP(B47,Input_Lic_Rate_PS!K:R,7,FALSE)</f>
        <v>4500000</v>
      </c>
      <c r="H47" s="362">
        <v>1539783</v>
      </c>
      <c r="I47" s="362">
        <v>74561.87</v>
      </c>
      <c r="J47" s="349">
        <f>_xlfn.IFNA(VLOOKUP(B47,Input_NOCPRO_GGSN!C:G,4,FALSE),0)</f>
        <v>2497961</v>
      </c>
      <c r="K47" s="349">
        <f>_xlfn.IFNA(VLOOKUP(B47,Input_NOCPRO_GGSN!C:G,5,FALSE),0)</f>
        <v>115301.17</v>
      </c>
      <c r="L47" s="360">
        <f t="shared" si="11"/>
        <v>0.55510244444444445</v>
      </c>
      <c r="M47" s="360">
        <f t="shared" si="11"/>
        <v>0.76867446666666661</v>
      </c>
      <c r="N47" s="362">
        <f t="shared" si="18"/>
        <v>-4873068755.4651165</v>
      </c>
      <c r="O47" s="667">
        <f t="shared" si="19"/>
        <v>-226779423.88363901</v>
      </c>
      <c r="P47" s="360">
        <f t="shared" si="12"/>
        <v>-1082.904167881137</v>
      </c>
      <c r="Q47" s="360">
        <f t="shared" si="12"/>
        <v>-1511.8628258909266</v>
      </c>
      <c r="R47" s="420" t="s">
        <v>876</v>
      </c>
      <c r="S47" s="421">
        <f t="shared" si="7"/>
        <v>-2006557722.8385773</v>
      </c>
      <c r="T47" s="341">
        <v>150000</v>
      </c>
      <c r="U47" s="256" t="str">
        <f>VLOOKUP(B47,idns_weight_PCSCF!A:I,6,)</f>
        <v>150</v>
      </c>
      <c r="V47" s="256">
        <f t="shared" si="17"/>
        <v>6.4532290122966407E-2</v>
      </c>
      <c r="W47" s="352">
        <f t="shared" si="5"/>
        <v>1</v>
      </c>
      <c r="X47" s="256">
        <v>120</v>
      </c>
      <c r="Y47" s="341" t="str">
        <f t="shared" si="10"/>
        <v>YES</v>
      </c>
      <c r="Z47" s="354" t="str">
        <f>VLOOKUP(B47,Input_Lic_Rate_PS!K:S,9,FALSE)</f>
        <v>TCPL04</v>
      </c>
      <c r="AA47" s="359">
        <f t="shared" si="16"/>
        <v>-226894725.05363899</v>
      </c>
    </row>
    <row r="48" spans="1:27" s="71" customFormat="1">
      <c r="A48" s="417">
        <v>48</v>
      </c>
      <c r="B48" s="361" t="s">
        <v>452</v>
      </c>
      <c r="C48" s="361" t="s">
        <v>249</v>
      </c>
      <c r="D48" s="361" t="s">
        <v>30</v>
      </c>
      <c r="E48" s="256">
        <f>VLOOKUP(B48,Input_Lic_Rate_PS!K:P,4,FALSE)</f>
        <v>4500000</v>
      </c>
      <c r="F48" s="256">
        <f>VLOOKUP(B48,Input_Lic_Rate_PS!K:R,5,FALSE)</f>
        <v>150000</v>
      </c>
      <c r="G48" s="256">
        <f>VLOOKUP(B48,Input_Lic_Rate_PS!K:R,7,FALSE)</f>
        <v>4500000</v>
      </c>
      <c r="H48" s="362">
        <v>1543848</v>
      </c>
      <c r="I48" s="362">
        <v>74169.66</v>
      </c>
      <c r="J48" s="349">
        <f>_xlfn.IFNA(VLOOKUP(B48,Input_NOCPRO_GGSN!C:G,4,FALSE),0)</f>
        <v>2504709</v>
      </c>
      <c r="K48" s="349">
        <f>_xlfn.IFNA(VLOOKUP(B48,Input_NOCPRO_GGSN!C:G,5,FALSE),0)</f>
        <v>116595.53</v>
      </c>
      <c r="L48" s="360">
        <f t="shared" si="11"/>
        <v>0.55660200000000004</v>
      </c>
      <c r="M48" s="360">
        <f t="shared" si="11"/>
        <v>0.77730353333333335</v>
      </c>
      <c r="N48" s="362">
        <f t="shared" si="18"/>
        <v>-4873062007.4651165</v>
      </c>
      <c r="O48" s="667">
        <f t="shared" si="19"/>
        <v>-226778129.52363899</v>
      </c>
      <c r="P48" s="360">
        <f t="shared" si="12"/>
        <v>-1082.9026683255815</v>
      </c>
      <c r="Q48" s="360">
        <f t="shared" si="12"/>
        <v>-1511.85419682426</v>
      </c>
      <c r="R48" s="420" t="s">
        <v>876</v>
      </c>
      <c r="S48" s="421">
        <f t="shared" si="7"/>
        <v>-2006554944.2503419</v>
      </c>
      <c r="T48" s="341">
        <v>150000</v>
      </c>
      <c r="U48" s="256" t="str">
        <f>VLOOKUP(B48,idns_weight_PCSCF!A:I,6,)</f>
        <v>150</v>
      </c>
      <c r="V48" s="256">
        <f t="shared" si="17"/>
        <v>6.5256723492060256E-2</v>
      </c>
      <c r="W48" s="352">
        <f t="shared" si="5"/>
        <v>1</v>
      </c>
      <c r="X48" s="256">
        <v>120</v>
      </c>
      <c r="Y48" s="341" t="str">
        <f t="shared" si="10"/>
        <v>YES</v>
      </c>
      <c r="Z48" s="354" t="str">
        <f>VLOOKUP(B48,Input_Lic_Rate_PS!K:S,9,FALSE)</f>
        <v>TCPL04</v>
      </c>
      <c r="AA48" s="359">
        <f t="shared" si="16"/>
        <v>-226894725.05363899</v>
      </c>
    </row>
    <row r="49" spans="1:27" s="71" customFormat="1">
      <c r="A49" s="417">
        <v>49</v>
      </c>
      <c r="B49" s="361" t="s">
        <v>453</v>
      </c>
      <c r="C49" s="361" t="s">
        <v>249</v>
      </c>
      <c r="D49" s="361" t="s">
        <v>30</v>
      </c>
      <c r="E49" s="256">
        <f>VLOOKUP(B49,Input_Lic_Rate_PS!K:P,4,FALSE)</f>
        <v>4500000</v>
      </c>
      <c r="F49" s="256">
        <f>VLOOKUP(B49,Input_Lic_Rate_PS!K:R,5,FALSE)</f>
        <v>150000</v>
      </c>
      <c r="G49" s="256">
        <f>VLOOKUP(B49,Input_Lic_Rate_PS!K:R,7,FALSE)</f>
        <v>4500000</v>
      </c>
      <c r="H49" s="362">
        <v>1578622</v>
      </c>
      <c r="I49" s="362">
        <v>76132.98</v>
      </c>
      <c r="J49" s="349">
        <f>_xlfn.IFNA(VLOOKUP(B49,Input_NOCPRO_GGSN!C:G,4,FALSE),0)</f>
        <v>2523194</v>
      </c>
      <c r="K49" s="349">
        <f>_xlfn.IFNA(VLOOKUP(B49,Input_NOCPRO_GGSN!C:G,5,FALSE),0)</f>
        <v>117053.61</v>
      </c>
      <c r="L49" s="360">
        <f t="shared" si="11"/>
        <v>0.56070977777777775</v>
      </c>
      <c r="M49" s="360">
        <f t="shared" si="11"/>
        <v>0.78035739999999998</v>
      </c>
      <c r="N49" s="362">
        <f t="shared" si="18"/>
        <v>-4873043522.4651165</v>
      </c>
      <c r="O49" s="667">
        <f t="shared" si="19"/>
        <v>-226777671.44363898</v>
      </c>
      <c r="P49" s="360">
        <f t="shared" si="12"/>
        <v>-1082.8985605478038</v>
      </c>
      <c r="Q49" s="360">
        <f t="shared" si="12"/>
        <v>-1511.8511429575933</v>
      </c>
      <c r="R49" s="420" t="s">
        <v>875</v>
      </c>
      <c r="S49" s="421">
        <f t="shared" si="7"/>
        <v>-2006547332.7797537</v>
      </c>
      <c r="T49" s="341">
        <v>150000</v>
      </c>
      <c r="U49" s="256" t="str">
        <f>VLOOKUP(B49,idns_weight_PCSCF!A:I,6,)</f>
        <v>150</v>
      </c>
      <c r="V49" s="256">
        <f t="shared" si="17"/>
        <v>6.5513103817251478E-2</v>
      </c>
      <c r="W49" s="352">
        <f t="shared" si="5"/>
        <v>1</v>
      </c>
      <c r="X49" s="256">
        <v>120</v>
      </c>
      <c r="Y49" s="341" t="str">
        <f t="shared" si="10"/>
        <v>YES</v>
      </c>
      <c r="Z49" s="354" t="str">
        <f>VLOOKUP(B49,Input_Lic_Rate_PS!K:S,9,FALSE)</f>
        <v>TCPL04</v>
      </c>
      <c r="AA49" s="359">
        <f t="shared" si="16"/>
        <v>-226894725.05363899</v>
      </c>
    </row>
    <row r="50" spans="1:27" s="71" customFormat="1">
      <c r="A50" s="417">
        <v>50</v>
      </c>
      <c r="B50" s="361" t="s">
        <v>491</v>
      </c>
      <c r="C50" s="361" t="s">
        <v>249</v>
      </c>
      <c r="D50" s="361" t="s">
        <v>30</v>
      </c>
      <c r="E50" s="256">
        <f>VLOOKUP(B50,Input_Lic_Rate_PS!K:P,4,FALSE)</f>
        <v>4500000</v>
      </c>
      <c r="F50" s="256">
        <f>VLOOKUP(B50,Input_Lic_Rate_PS!K:R,5,FALSE)</f>
        <v>150000</v>
      </c>
      <c r="G50" s="256">
        <f>VLOOKUP(B50,Input_Lic_Rate_PS!K:R,7,FALSE)</f>
        <v>4500000</v>
      </c>
      <c r="H50" s="362">
        <v>1564760</v>
      </c>
      <c r="I50" s="362">
        <v>74638.149999999994</v>
      </c>
      <c r="J50" s="349">
        <f>_xlfn.IFNA(VLOOKUP(B50,Input_NOCPRO_GGSN!C:G,4,FALSE),0)</f>
        <v>2501604</v>
      </c>
      <c r="K50" s="349">
        <f>_xlfn.IFNA(VLOOKUP(B50,Input_NOCPRO_GGSN!C:G,5,FALSE),0)</f>
        <v>116278.18</v>
      </c>
      <c r="L50" s="360">
        <f t="shared" si="11"/>
        <v>0.55591199999999996</v>
      </c>
      <c r="M50" s="360">
        <f t="shared" si="11"/>
        <v>0.77518786666666661</v>
      </c>
      <c r="N50" s="362">
        <f t="shared" si="18"/>
        <v>-4873065112.4651165</v>
      </c>
      <c r="O50" s="667">
        <f t="shared" si="19"/>
        <v>-226778446.87363899</v>
      </c>
      <c r="P50" s="360">
        <f t="shared" si="12"/>
        <v>-1082.9033583255814</v>
      </c>
      <c r="Q50" s="360">
        <f t="shared" si="12"/>
        <v>-1511.8563124909265</v>
      </c>
      <c r="R50" s="420" t="s">
        <v>875</v>
      </c>
      <c r="S50" s="421">
        <f t="shared" si="7"/>
        <v>-2006556222.7797537</v>
      </c>
      <c r="T50" s="341">
        <v>150000</v>
      </c>
      <c r="U50" s="256" t="str">
        <f>VLOOKUP(B50,idns_weight_PCSCF!A:I,6,)</f>
        <v>150</v>
      </c>
      <c r="V50" s="256">
        <f t="shared" si="17"/>
        <v>6.5079107581740153E-2</v>
      </c>
      <c r="W50" s="352">
        <f t="shared" si="5"/>
        <v>1</v>
      </c>
      <c r="X50" s="256">
        <v>120</v>
      </c>
      <c r="Y50" s="341" t="str">
        <f t="shared" si="10"/>
        <v>YES</v>
      </c>
      <c r="Z50" s="354" t="str">
        <f>VLOOKUP(B50,Input_Lic_Rate_PS!K:S,9,FALSE)</f>
        <v>TCPL04</v>
      </c>
      <c r="AA50" s="359">
        <f t="shared" si="16"/>
        <v>-226894725.05363899</v>
      </c>
    </row>
    <row r="51" spans="1:27" s="71" customFormat="1" ht="15" customHeight="1">
      <c r="A51" s="417">
        <v>51</v>
      </c>
      <c r="B51" t="s">
        <v>445</v>
      </c>
      <c r="C51" s="254" t="s">
        <v>1196</v>
      </c>
      <c r="D51" s="254" t="s">
        <v>30</v>
      </c>
      <c r="E51" s="256">
        <f>VLOOKUP(B51,Input_Lic_Rate_PS!K:P,4,FALSE)</f>
        <v>4500000</v>
      </c>
      <c r="F51" s="256">
        <f>VLOOKUP(B51,Input_Lic_Rate_PS!K:R,5,FALSE)</f>
        <v>150000</v>
      </c>
      <c r="G51" s="256">
        <f>VLOOKUP(B51,Input_Lic_Rate_PS!K:R,7,FALSE)</f>
        <v>3537000</v>
      </c>
      <c r="H51" s="349">
        <v>257230</v>
      </c>
      <c r="I51" s="349">
        <v>0</v>
      </c>
      <c r="J51" s="349">
        <f>_xlfn.IFNA(VLOOKUP(B51,Input_NOCPRO_GGSN!C:G,4,FALSE),0)</f>
        <v>2923963</v>
      </c>
      <c r="K51" s="349">
        <f>$K$23/($J$23*0.7)*J51</f>
        <v>168249.65035659971</v>
      </c>
      <c r="L51" s="350">
        <f t="shared" si="11"/>
        <v>0.6497695555555556</v>
      </c>
      <c r="M51" s="350">
        <f t="shared" si="11"/>
        <v>1.1216643357106648</v>
      </c>
      <c r="N51" s="349">
        <f t="shared" si="18"/>
        <v>-4875163989.7441864</v>
      </c>
      <c r="O51" s="663">
        <f t="shared" si="19"/>
        <v>-226843806.42254689</v>
      </c>
      <c r="P51" s="350">
        <f t="shared" si="12"/>
        <v>-1083.3697754987081</v>
      </c>
      <c r="Q51" s="350">
        <f t="shared" si="12"/>
        <v>-1512.2920428169793</v>
      </c>
      <c r="R51" s="420" t="e">
        <f>VLOOKUP(B51,IMS!A:B,4,FALSE)</f>
        <v>#REF!</v>
      </c>
      <c r="S51" s="421">
        <f t="shared" si="7"/>
        <v>-2007420466.3652532</v>
      </c>
      <c r="T51" s="256">
        <v>150000</v>
      </c>
      <c r="U51" s="256" t="str">
        <f>VLOOKUP(B51,idns_weight_PCSCF!A:I,6,)</f>
        <v>150</v>
      </c>
      <c r="V51" s="256">
        <f t="shared" si="17"/>
        <v>9.4166739590758275E-2</v>
      </c>
      <c r="W51" s="352">
        <f t="shared" si="5"/>
        <v>1</v>
      </c>
      <c r="X51" s="341">
        <v>20</v>
      </c>
      <c r="Y51" s="341" t="str">
        <f t="shared" si="10"/>
        <v>YES</v>
      </c>
      <c r="Z51" s="354" t="str">
        <f>VLOOKUP(B51,Input_Lic_Rate_PS!K:S,9,FALSE)</f>
        <v>TCHT04</v>
      </c>
      <c r="AA51" s="359">
        <f t="shared" si="16"/>
        <v>-227012056.07290348</v>
      </c>
    </row>
    <row r="52" spans="1:27" s="71" customFormat="1">
      <c r="A52" s="417">
        <v>51</v>
      </c>
      <c r="B52" s="254" t="s">
        <v>446</v>
      </c>
      <c r="C52" s="254" t="s">
        <v>1196</v>
      </c>
      <c r="D52" s="254" t="s">
        <v>30</v>
      </c>
      <c r="E52" s="256">
        <f>VLOOKUP(B52,Input_Lic_Rate_PS!K:P,4,FALSE)</f>
        <v>4500000</v>
      </c>
      <c r="F52" s="256">
        <f>VLOOKUP(B52,Input_Lic_Rate_PS!K:R,5,FALSE)</f>
        <v>150000</v>
      </c>
      <c r="G52" s="256">
        <f>VLOOKUP(B52,Input_Lic_Rate_PS!K:R,7,FALSE)</f>
        <v>3537000</v>
      </c>
      <c r="H52" s="349">
        <v>251864</v>
      </c>
      <c r="I52" s="349">
        <v>0</v>
      </c>
      <c r="J52" s="349">
        <f>_xlfn.IFNA(VLOOKUP(B52,Input_NOCPRO_GGSN!C:G,4,FALSE),0)</f>
        <v>2888326</v>
      </c>
      <c r="K52" s="349">
        <f>$K$23/($J$23*0.7)*J52</f>
        <v>166199.03863895551</v>
      </c>
      <c r="L52" s="350">
        <f t="shared" si="11"/>
        <v>0.64185022222222221</v>
      </c>
      <c r="M52" s="350">
        <f t="shared" si="11"/>
        <v>1.1079935909263701</v>
      </c>
      <c r="N52" s="349">
        <f t="shared" si="18"/>
        <v>-4875199626.7441864</v>
      </c>
      <c r="O52" s="663">
        <f t="shared" si="19"/>
        <v>-226845857.03426453</v>
      </c>
      <c r="P52" s="350">
        <f t="shared" si="12"/>
        <v>-1083.3776948320415</v>
      </c>
      <c r="Q52" s="350">
        <f t="shared" si="12"/>
        <v>-1512.3057135617635</v>
      </c>
      <c r="R52" s="420" t="e">
        <f>VLOOKUP(B52,IMS!A:B,4,FALSE)</f>
        <v>#REF!</v>
      </c>
      <c r="S52" s="421">
        <f t="shared" si="7"/>
        <v>-2007435140.4240768</v>
      </c>
      <c r="T52" s="256">
        <v>150000</v>
      </c>
      <c r="U52" s="256" t="str">
        <f>VLOOKUP(B52,idns_weight_PCSCF!A:I,6,)</f>
        <v>150</v>
      </c>
      <c r="V52" s="256">
        <f t="shared" si="17"/>
        <v>9.3019043775593779E-2</v>
      </c>
      <c r="W52" s="352">
        <f t="shared" si="5"/>
        <v>1</v>
      </c>
      <c r="X52" s="341">
        <v>20</v>
      </c>
      <c r="Y52" s="341" t="str">
        <f t="shared" si="10"/>
        <v>YES</v>
      </c>
      <c r="Z52" s="354" t="str">
        <f>VLOOKUP(B52,Input_Lic_Rate_PS!K:S,9,FALSE)</f>
        <v>TCHT04</v>
      </c>
      <c r="AA52" s="359">
        <f t="shared" si="16"/>
        <v>-227012056.07290348</v>
      </c>
    </row>
    <row r="53" spans="1:27" s="71" customFormat="1">
      <c r="A53" s="417">
        <v>51</v>
      </c>
      <c r="B53" s="254" t="s">
        <v>1110</v>
      </c>
      <c r="C53" s="254" t="s">
        <v>1196</v>
      </c>
      <c r="D53" s="254" t="s">
        <v>30</v>
      </c>
      <c r="E53" s="256">
        <f>VLOOKUP(B53,Input_Lic_Rate_PS!K:P,4,FALSE)</f>
        <v>4500000</v>
      </c>
      <c r="F53" s="256">
        <f>VLOOKUP(B53,Input_Lic_Rate_PS!K:R,5,FALSE)</f>
        <v>150000</v>
      </c>
      <c r="G53" s="256">
        <f>VLOOKUP(B53,Input_Lic_Rate_PS!K:R,7,FALSE)</f>
        <v>3537000</v>
      </c>
      <c r="H53" s="349">
        <v>239855</v>
      </c>
      <c r="I53" s="349">
        <v>0</v>
      </c>
      <c r="J53" s="349">
        <f>_xlfn.IFNA(VLOOKUP(B53,Input_NOCPRO_GGSN!C:G,4,FALSE),0)</f>
        <v>3014703</v>
      </c>
      <c r="K53" s="349">
        <f>$K$23/($J$23*0.7)*J53</f>
        <v>173470.97951615401</v>
      </c>
      <c r="L53" s="350">
        <f t="shared" si="11"/>
        <v>0.66993400000000003</v>
      </c>
      <c r="M53" s="350">
        <f t="shared" si="11"/>
        <v>1.15647319677436</v>
      </c>
      <c r="N53" s="349">
        <f t="shared" si="18"/>
        <v>-4875073249.7441864</v>
      </c>
      <c r="O53" s="663">
        <f t="shared" si="19"/>
        <v>-226838585.09338734</v>
      </c>
      <c r="P53" s="350">
        <f t="shared" si="12"/>
        <v>-1083.3496110542637</v>
      </c>
      <c r="Q53" s="350">
        <f t="shared" si="12"/>
        <v>-1512.2572339559156</v>
      </c>
      <c r="R53" s="420" t="e">
        <f>VLOOKUP(B53,IMS!A:B,4,FALSE)</f>
        <v>#REF!</v>
      </c>
      <c r="S53" s="421">
        <f t="shared" si="7"/>
        <v>-2007383102.8358414</v>
      </c>
      <c r="T53" s="256">
        <v>150000</v>
      </c>
      <c r="U53" s="256" t="str">
        <f>VLOOKUP(B53,idns_weight_PCSCF!A:I,6,)</f>
        <v>150</v>
      </c>
      <c r="V53" s="256">
        <f t="shared" si="17"/>
        <v>9.7089037154190316E-2</v>
      </c>
      <c r="W53" s="352">
        <f t="shared" si="5"/>
        <v>1</v>
      </c>
      <c r="X53" s="341">
        <v>20</v>
      </c>
      <c r="Y53" s="341" t="str">
        <f t="shared" si="10"/>
        <v>YES</v>
      </c>
      <c r="Z53" s="354" t="str">
        <f>VLOOKUP(B53,Input_Lic_Rate_PS!K:S,9,FALSE)</f>
        <v>TCHT04</v>
      </c>
      <c r="AA53" s="359">
        <f t="shared" si="16"/>
        <v>-227012056.07290348</v>
      </c>
    </row>
    <row r="54" spans="1:27" s="71" customFormat="1">
      <c r="A54" s="417">
        <v>51</v>
      </c>
      <c r="B54" s="254" t="s">
        <v>328</v>
      </c>
      <c r="C54" s="254" t="s">
        <v>4</v>
      </c>
      <c r="D54" s="254" t="s">
        <v>30</v>
      </c>
      <c r="E54" s="256">
        <f>VLOOKUP(B54,Input_Lic_Rate_PS!K:P,4,FALSE)</f>
        <v>3400000</v>
      </c>
      <c r="F54" s="256">
        <f>VLOOKUP(B54,Input_Lic_Rate_PS!K:R,5,FALSE)</f>
        <v>150000</v>
      </c>
      <c r="G54" s="256">
        <f>VLOOKUP(B54,Input_Lic_Rate_PS!K:R,7,FALSE)</f>
        <v>3537000</v>
      </c>
      <c r="H54" s="349">
        <v>2452465</v>
      </c>
      <c r="I54" s="349">
        <v>94894.59</v>
      </c>
      <c r="J54" s="349">
        <f>_xlfn.IFNA(VLOOKUP(B54,Input_NOCPRO_GGSN!C:G,4,FALSE),0)</f>
        <v>3415377</v>
      </c>
      <c r="K54" s="349">
        <f>_xlfn.IFNA(VLOOKUP(B54,Input_NOCPRO_GGSN!C:G,5,FALSE),0)</f>
        <v>133373.26999999999</v>
      </c>
      <c r="L54" s="350">
        <f t="shared" si="11"/>
        <v>1.0045226470588235</v>
      </c>
      <c r="M54" s="350">
        <f t="shared" si="11"/>
        <v>0.88915513333333329</v>
      </c>
      <c r="N54" s="349">
        <f t="shared" si="18"/>
        <v>-4871899215.8372087</v>
      </c>
      <c r="O54" s="663">
        <f t="shared" si="19"/>
        <v>-226749618.68171254</v>
      </c>
      <c r="P54" s="350">
        <f t="shared" si="12"/>
        <v>-1432.9115340697672</v>
      </c>
      <c r="Q54" s="350">
        <f t="shared" si="12"/>
        <v>-1511.6641245447502</v>
      </c>
      <c r="R54" s="420" t="e">
        <f>VLOOKUP(B54,IMS!A:B,4,FALSE)</f>
        <v>#REF!</v>
      </c>
      <c r="S54" s="421">
        <f t="shared" si="7"/>
        <v>-2006076147.6976743</v>
      </c>
      <c r="T54" s="256">
        <v>150000</v>
      </c>
      <c r="U54" s="256" t="str">
        <f>VLOOKUP(B54,idns_weight_PCSCF!A:I,6,)</f>
        <v>150</v>
      </c>
      <c r="V54" s="256">
        <f t="shared" si="17"/>
        <v>7.4646966325569206E-2</v>
      </c>
      <c r="W54" s="352">
        <f t="shared" si="5"/>
        <v>1</v>
      </c>
      <c r="X54" s="341">
        <v>130</v>
      </c>
      <c r="Y54" s="341" t="str">
        <f t="shared" si="10"/>
        <v>YES</v>
      </c>
      <c r="Z54" s="354" t="str">
        <f>VLOOKUP(B54,Input_Lic_Rate_PS!K:S,9,FALSE)</f>
        <v>TCHT01</v>
      </c>
      <c r="AA54" s="359">
        <f t="shared" ref="AA54" si="20">O54-K54</f>
        <v>-226882991.95171255</v>
      </c>
    </row>
    <row r="55" spans="1:27" s="157" customFormat="1">
      <c r="A55" s="417">
        <v>52</v>
      </c>
      <c r="B55" s="373" t="s">
        <v>250</v>
      </c>
      <c r="C55" s="373" t="s">
        <v>251</v>
      </c>
      <c r="D55" s="373" t="s">
        <v>30</v>
      </c>
      <c r="E55" s="256">
        <f>VLOOKUP(B55,Input_Lic_Rate_PS!K:P,4,FALSE)</f>
        <v>1700000</v>
      </c>
      <c r="F55" s="374">
        <v>100000</v>
      </c>
      <c r="G55" s="374">
        <f>VLOOKUP(B55,Input_Lic_Rate_PS!K:R,7,FALSE)</f>
        <v>0</v>
      </c>
      <c r="H55" s="375">
        <v>0</v>
      </c>
      <c r="I55" s="375">
        <v>0</v>
      </c>
      <c r="J55" s="349">
        <f>_xlfn.IFNA(VLOOKUP(B55,Input_NOCPRO_GGSN!C:G,4,FALSE),0)</f>
        <v>0</v>
      </c>
      <c r="K55" s="349">
        <f>_xlfn.IFNA(VLOOKUP(B55,Input_NOCPRO_GGSN!C:G,5,FALSE),0)</f>
        <v>0</v>
      </c>
      <c r="L55" s="376">
        <f t="shared" si="11"/>
        <v>0</v>
      </c>
      <c r="M55" s="376">
        <f t="shared" si="11"/>
        <v>0</v>
      </c>
      <c r="N55" s="375">
        <f>J55</f>
        <v>0</v>
      </c>
      <c r="O55" s="377">
        <f>K55</f>
        <v>0</v>
      </c>
      <c r="P55" s="376">
        <f t="shared" si="12"/>
        <v>0</v>
      </c>
      <c r="Q55" s="376">
        <f t="shared" si="12"/>
        <v>0</v>
      </c>
      <c r="R55" s="420"/>
      <c r="S55" s="376"/>
      <c r="T55" s="374">
        <v>150000</v>
      </c>
      <c r="U55" s="256" t="e">
        <f>VLOOKUP(B55,idns_weight_PCSCF!A:I,6,)</f>
        <v>#N/A</v>
      </c>
      <c r="V55" s="256">
        <f t="shared" si="17"/>
        <v>0</v>
      </c>
      <c r="W55" s="352"/>
      <c r="X55" s="256">
        <v>10</v>
      </c>
      <c r="Y55" s="374" t="e">
        <f t="shared" si="10"/>
        <v>#N/A</v>
      </c>
      <c r="Z55" s="354" t="str">
        <f>VLOOKUP(B55,Input_Lic_Rate_PS!K:S,9,FALSE)</f>
        <v>TCHT02</v>
      </c>
      <c r="AA55" s="378"/>
    </row>
    <row r="56" spans="1:27" s="157" customFormat="1" ht="15" customHeight="1">
      <c r="A56" s="417">
        <v>53</v>
      </c>
      <c r="B56" s="373" t="s">
        <v>252</v>
      </c>
      <c r="C56" s="373" t="s">
        <v>251</v>
      </c>
      <c r="D56" s="373" t="s">
        <v>30</v>
      </c>
      <c r="E56" s="256">
        <f>VLOOKUP(B56,Input_Lic_Rate_PS!K:P,4,FALSE)</f>
        <v>1700000</v>
      </c>
      <c r="F56" s="374">
        <v>100000</v>
      </c>
      <c r="G56" s="374">
        <f>VLOOKUP(B56,Input_Lic_Rate_PS!K:R,7,FALSE)</f>
        <v>3200000</v>
      </c>
      <c r="H56" s="375">
        <v>0</v>
      </c>
      <c r="I56" s="375">
        <v>0</v>
      </c>
      <c r="J56" s="349">
        <f>_xlfn.IFNA(VLOOKUP(B56,Input_NOCPRO_GGSN!C:G,4,FALSE),0)</f>
        <v>0</v>
      </c>
      <c r="K56" s="349">
        <f>_xlfn.IFNA(VLOOKUP(B56,Input_NOCPRO_GGSN!C:G,5,FALSE),0)</f>
        <v>0</v>
      </c>
      <c r="L56" s="376">
        <f t="shared" si="11"/>
        <v>0</v>
      </c>
      <c r="M56" s="376">
        <f t="shared" si="11"/>
        <v>0</v>
      </c>
      <c r="N56" s="375">
        <f t="shared" ref="N56:O58" si="21">J56</f>
        <v>0</v>
      </c>
      <c r="O56" s="377">
        <f t="shared" si="21"/>
        <v>0</v>
      </c>
      <c r="P56" s="376">
        <f t="shared" si="12"/>
        <v>0</v>
      </c>
      <c r="Q56" s="376">
        <f t="shared" si="12"/>
        <v>0</v>
      </c>
      <c r="R56" s="420"/>
      <c r="S56" s="376"/>
      <c r="T56" s="374">
        <v>150000</v>
      </c>
      <c r="U56" s="256" t="e">
        <f>VLOOKUP(B56,idns_weight_PCSCF!A:I,6,)</f>
        <v>#N/A</v>
      </c>
      <c r="V56" s="256">
        <f t="shared" si="17"/>
        <v>0</v>
      </c>
      <c r="W56" s="352"/>
      <c r="X56" s="256">
        <v>10</v>
      </c>
      <c r="Y56" s="374" t="e">
        <f t="shared" si="10"/>
        <v>#N/A</v>
      </c>
      <c r="Z56" s="354" t="str">
        <f>VLOOKUP(B56,Input_Lic_Rate_PS!K:S,9,FALSE)</f>
        <v>TCHT03</v>
      </c>
      <c r="AA56" s="378"/>
    </row>
    <row r="57" spans="1:27" s="157" customFormat="1">
      <c r="A57" s="417">
        <v>54</v>
      </c>
      <c r="B57" s="373" t="s">
        <v>253</v>
      </c>
      <c r="C57" s="373" t="s">
        <v>251</v>
      </c>
      <c r="D57" s="373" t="s">
        <v>30</v>
      </c>
      <c r="E57" s="256">
        <f>VLOOKUP(B57,Input_Lic_Rate_PS!K:P,4,FALSE)</f>
        <v>1700000</v>
      </c>
      <c r="F57" s="374">
        <v>100000</v>
      </c>
      <c r="G57" s="374">
        <f>VLOOKUP(B57,Input_Lic_Rate_PS!K:R,7,FALSE)</f>
        <v>3200000</v>
      </c>
      <c r="H57" s="375">
        <v>0</v>
      </c>
      <c r="I57" s="375">
        <v>0</v>
      </c>
      <c r="J57" s="349">
        <f>_xlfn.IFNA(VLOOKUP(B57,Input_NOCPRO_GGSN!C:G,4,FALSE),0)</f>
        <v>0</v>
      </c>
      <c r="K57" s="349">
        <f>_xlfn.IFNA(VLOOKUP(B57,Input_NOCPRO_GGSN!C:G,5,FALSE),0)</f>
        <v>0</v>
      </c>
      <c r="L57" s="376">
        <f t="shared" si="11"/>
        <v>0</v>
      </c>
      <c r="M57" s="376">
        <f t="shared" si="11"/>
        <v>0</v>
      </c>
      <c r="N57" s="375">
        <f t="shared" si="21"/>
        <v>0</v>
      </c>
      <c r="O57" s="377">
        <f t="shared" si="21"/>
        <v>0</v>
      </c>
      <c r="P57" s="376">
        <f t="shared" si="12"/>
        <v>0</v>
      </c>
      <c r="Q57" s="376">
        <f t="shared" si="12"/>
        <v>0</v>
      </c>
      <c r="R57" s="420"/>
      <c r="S57" s="376"/>
      <c r="T57" s="374">
        <v>150000</v>
      </c>
      <c r="U57" s="256" t="e">
        <f>VLOOKUP(B57,idns_weight_PCSCF!A:I,6,)</f>
        <v>#N/A</v>
      </c>
      <c r="V57" s="256">
        <f t="shared" si="17"/>
        <v>0</v>
      </c>
      <c r="W57" s="352"/>
      <c r="X57" s="256">
        <v>10</v>
      </c>
      <c r="Y57" s="374" t="e">
        <f t="shared" si="10"/>
        <v>#N/A</v>
      </c>
      <c r="Z57" s="354" t="str">
        <f>VLOOKUP(B57,Input_Lic_Rate_PS!K:S,9,FALSE)</f>
        <v>TCHT03</v>
      </c>
      <c r="AA57" s="378"/>
    </row>
    <row r="58" spans="1:27" s="157" customFormat="1">
      <c r="A58" s="417">
        <v>55</v>
      </c>
      <c r="B58" s="373" t="s">
        <v>338</v>
      </c>
      <c r="C58" s="373" t="s">
        <v>251</v>
      </c>
      <c r="D58" s="373" t="s">
        <v>30</v>
      </c>
      <c r="E58" s="256">
        <f>VLOOKUP(B58,Input_Lic_Rate_PS!K:P,4,FALSE)</f>
        <v>1700000</v>
      </c>
      <c r="F58" s="374">
        <v>100000</v>
      </c>
      <c r="G58" s="374">
        <f>VLOOKUP(B58,Input_Lic_Rate_PS!K:R,7,FALSE)</f>
        <v>3200000</v>
      </c>
      <c r="H58" s="375">
        <v>0</v>
      </c>
      <c r="I58" s="375">
        <v>0</v>
      </c>
      <c r="J58" s="349">
        <f>_xlfn.IFNA(VLOOKUP(B58,Input_NOCPRO_GGSN!C:G,4,FALSE),0)</f>
        <v>0</v>
      </c>
      <c r="K58" s="349">
        <f>_xlfn.IFNA(VLOOKUP(B58,Input_NOCPRO_GGSN!C:G,5,FALSE),0)</f>
        <v>0</v>
      </c>
      <c r="L58" s="376">
        <f t="shared" si="11"/>
        <v>0</v>
      </c>
      <c r="M58" s="376">
        <f t="shared" si="11"/>
        <v>0</v>
      </c>
      <c r="N58" s="375">
        <f t="shared" si="21"/>
        <v>0</v>
      </c>
      <c r="O58" s="377">
        <f t="shared" si="21"/>
        <v>0</v>
      </c>
      <c r="P58" s="376">
        <f t="shared" si="12"/>
        <v>0</v>
      </c>
      <c r="Q58" s="376">
        <f t="shared" si="12"/>
        <v>0</v>
      </c>
      <c r="R58" s="420"/>
      <c r="S58" s="376"/>
      <c r="T58" s="374">
        <v>150000</v>
      </c>
      <c r="U58" s="256" t="e">
        <f>VLOOKUP(B58,idns_weight_PCSCF!A:I,6,)</f>
        <v>#N/A</v>
      </c>
      <c r="V58" s="256">
        <f t="shared" si="17"/>
        <v>0</v>
      </c>
      <c r="W58" s="352"/>
      <c r="X58" s="256">
        <v>10</v>
      </c>
      <c r="Y58" s="374" t="e">
        <f t="shared" si="10"/>
        <v>#N/A</v>
      </c>
      <c r="Z58" s="354">
        <f>VLOOKUP(B58,Input_Lic_Rate_PS!K:S,9,FALSE)</f>
        <v>0</v>
      </c>
      <c r="AA58" s="378"/>
    </row>
    <row r="59" spans="1:27">
      <c r="A59" s="339"/>
      <c r="B59" s="339" t="s">
        <v>94</v>
      </c>
      <c r="C59" s="339" t="s">
        <v>38</v>
      </c>
      <c r="D59" s="339"/>
      <c r="E59" s="256">
        <f>VLOOKUP(B59,Input_Lic_Rate_PS!K:P,4,FALSE)*1.1</f>
        <v>92510000.000000015</v>
      </c>
      <c r="F59" s="357">
        <f>VLOOKUP(B59,Input_Lic_Rate_PS!K:R,5,FALSE)</f>
        <v>3610000</v>
      </c>
      <c r="G59" s="357">
        <f>VLOOKUP(B59,Input_Lic_Rate_PS!K:R,7,FALSE)</f>
        <v>82486008</v>
      </c>
      <c r="H59" s="381">
        <v>43450441</v>
      </c>
      <c r="I59" s="379">
        <v>1523859.6417695093</v>
      </c>
      <c r="J59" s="381">
        <f>SUMIF($D7:$D$58,"KV1",J$7:J$58)</f>
        <v>42613083</v>
      </c>
      <c r="K59" s="379">
        <f>SUMIF($D7:$D$58,"KV1",K$7:K$58)</f>
        <v>1786720.5670261104</v>
      </c>
      <c r="L59" s="380">
        <f t="shared" si="11"/>
        <v>0.46063218030483183</v>
      </c>
      <c r="M59" s="380">
        <f t="shared" si="11"/>
        <v>0.49493644515958735</v>
      </c>
      <c r="N59" s="379">
        <f>SUMIF($D7:$D46,"KV1",N7:N46)</f>
        <v>-57075813419.628647</v>
      </c>
      <c r="O59" s="379">
        <f>SUMIF($D7:$D46,"KV1",O7:O46)</f>
        <v>-2393108730.3710809</v>
      </c>
      <c r="P59" s="380">
        <f t="shared" si="12"/>
        <v>-616.96912138826758</v>
      </c>
      <c r="Q59" s="380">
        <f t="shared" si="12"/>
        <v>-662.91100564295868</v>
      </c>
      <c r="R59" s="380"/>
      <c r="S59" s="380"/>
      <c r="T59" s="379">
        <f>SUMIF($D7:$D46,"KV1",T7:T46)</f>
        <v>3165000</v>
      </c>
      <c r="U59" s="256"/>
      <c r="V59" s="344"/>
      <c r="W59" s="344"/>
      <c r="X59" s="381">
        <f>SUMIF($D7:$D54,"KV1",X7:X54)</f>
        <v>1525</v>
      </c>
      <c r="Y59" s="344"/>
      <c r="Z59" s="347"/>
      <c r="AA59" s="348"/>
    </row>
    <row r="60" spans="1:27">
      <c r="A60" s="339"/>
      <c r="B60" s="339" t="s">
        <v>95</v>
      </c>
      <c r="C60" s="339" t="s">
        <v>38</v>
      </c>
      <c r="D60" s="339"/>
      <c r="E60" s="256">
        <f>VLOOKUP(B60,Input_Lic_Rate_PS!K:P,4,FALSE)*1.1</f>
        <v>61380000.000000007</v>
      </c>
      <c r="F60" s="357">
        <f>VLOOKUP(B60,Input_Lic_Rate_PS!K:R,5,FALSE)</f>
        <v>2390000</v>
      </c>
      <c r="G60" s="357" t="e">
        <f>VLOOKUP(B60,Input_Lic_Rate_PS!K:R,7,FALSE)</f>
        <v>#N/A</v>
      </c>
      <c r="H60" s="381">
        <v>17074306</v>
      </c>
      <c r="I60" s="379">
        <v>710113.63172639313</v>
      </c>
      <c r="J60" s="381">
        <f>SUMIF($D8:$D$58,"KV2",J$7:J$58)</f>
        <v>16066546</v>
      </c>
      <c r="K60" s="379">
        <f>SUMIF($D8:$D$58,"KV2",K$7:K$58)</f>
        <v>783808.8195433307</v>
      </c>
      <c r="L60" s="380">
        <f t="shared" si="11"/>
        <v>0.26175539263603775</v>
      </c>
      <c r="M60" s="380">
        <f t="shared" si="11"/>
        <v>0.32795348098047311</v>
      </c>
      <c r="N60" s="379" t="e">
        <f>SUMIF($D7:$D46,"KV2",N7:N46)</f>
        <v>#DIV/0!</v>
      </c>
      <c r="O60" s="379" t="e">
        <f>SUMIF($D7:$D46,"KV2",O7:O46)</f>
        <v>#DIV/0!</v>
      </c>
      <c r="P60" s="380" t="e">
        <f t="shared" si="12"/>
        <v>#DIV/0!</v>
      </c>
      <c r="Q60" s="380" t="e">
        <f t="shared" si="12"/>
        <v>#DIV/0!</v>
      </c>
      <c r="R60" s="380"/>
      <c r="S60" s="380"/>
      <c r="T60" s="379">
        <f>SUMIF($D7:$D46,"KV2",T7:T46)</f>
        <v>1880000</v>
      </c>
      <c r="U60" s="256"/>
      <c r="V60" s="344"/>
      <c r="W60" s="344"/>
      <c r="X60" s="381">
        <f>SUMIF($D7:$D46,"KV2",X7:X46)</f>
        <v>810</v>
      </c>
      <c r="Y60" s="344"/>
      <c r="Z60" s="347"/>
      <c r="AA60" s="348"/>
    </row>
    <row r="61" spans="1:27">
      <c r="A61" s="339"/>
      <c r="B61" s="339" t="s">
        <v>96</v>
      </c>
      <c r="C61" s="339" t="s">
        <v>38</v>
      </c>
      <c r="D61" s="339"/>
      <c r="E61" s="256">
        <f>VLOOKUP(B61,Input_Lic_Rate_PS!K:P,4,FALSE)*1.1</f>
        <v>72710000</v>
      </c>
      <c r="F61" s="357">
        <f>VLOOKUP(B61,Input_Lic_Rate_PS!K:R,5,FALSE)</f>
        <v>3020000</v>
      </c>
      <c r="G61" s="357" t="e">
        <f>VLOOKUP(B61,Input_Lic_Rate_PS!K:R,7,FALSE)</f>
        <v>#N/A</v>
      </c>
      <c r="H61" s="381">
        <v>21495652</v>
      </c>
      <c r="I61" s="379">
        <v>874909.02417057892</v>
      </c>
      <c r="J61" s="381">
        <f>SUMIF($D9:$D$58,"KV3",J$7:J$58)</f>
        <v>33409386</v>
      </c>
      <c r="K61" s="379">
        <f>SUMIF($D9:$D$58,"KV3",K$7:K$58)</f>
        <v>1564519.710429027</v>
      </c>
      <c r="L61" s="380">
        <f t="shared" si="11"/>
        <v>0.45948818594416174</v>
      </c>
      <c r="M61" s="380">
        <f t="shared" si="11"/>
        <v>0.51805288424802221</v>
      </c>
      <c r="N61" s="379">
        <f>SUMIF($D7:$D58,"KV3",N7:N58)</f>
        <v>-52493652072.000008</v>
      </c>
      <c r="O61" s="379">
        <f>SUMIF($D7:$D58,"KV3",O7:O58)</f>
        <v>-2442902219.6978984</v>
      </c>
      <c r="P61" s="380">
        <f t="shared" si="12"/>
        <v>-721.95918129555776</v>
      </c>
      <c r="Q61" s="380">
        <f t="shared" si="12"/>
        <v>-808.90801976751607</v>
      </c>
      <c r="R61" s="380"/>
      <c r="S61" s="380"/>
      <c r="T61" s="379">
        <f>SUMIF($D7:$D54,"KV3",T7:T54)</f>
        <v>1820000</v>
      </c>
      <c r="U61" s="256"/>
      <c r="V61" s="344"/>
      <c r="W61" s="344"/>
      <c r="X61" s="379">
        <f>SUMIF($D7:$D54,"KV3",X7:X54)</f>
        <v>1290</v>
      </c>
      <c r="Y61" s="344"/>
      <c r="Z61" s="347"/>
      <c r="AA61" s="348"/>
    </row>
    <row r="62" spans="1:27">
      <c r="A62" s="339"/>
      <c r="B62" s="382" t="s">
        <v>97</v>
      </c>
      <c r="C62" s="382" t="s">
        <v>38</v>
      </c>
      <c r="D62" s="382"/>
      <c r="E62" s="256">
        <f>VLOOKUP(B62,Input_Lic_Rate_PS!K:P,4,FALSE)*1.1</f>
        <v>226600000.00000003</v>
      </c>
      <c r="F62" s="357">
        <f>VLOOKUP(B62,Input_Lic_Rate_PS!K:R,5,FALSE)</f>
        <v>9020000</v>
      </c>
      <c r="G62" s="357" t="e">
        <f>VLOOKUP(B62,Input_Lic_Rate_PS!K:R,7,FALSE)</f>
        <v>#N/A</v>
      </c>
      <c r="H62" s="381">
        <v>82020399</v>
      </c>
      <c r="I62" s="379">
        <v>3108882.2976664812</v>
      </c>
      <c r="J62" s="381">
        <f>SUM(J59:J61)</f>
        <v>92089015</v>
      </c>
      <c r="K62" s="379">
        <f>SUM(K59:K61)</f>
        <v>4135049.096998468</v>
      </c>
      <c r="L62" s="380">
        <f t="shared" si="11"/>
        <v>0.40639459399823474</v>
      </c>
      <c r="M62" s="380">
        <f t="shared" si="11"/>
        <v>0.45843116374705856</v>
      </c>
      <c r="N62" s="379" t="e">
        <f>SUM(N59:N61)</f>
        <v>#DIV/0!</v>
      </c>
      <c r="O62" s="379" t="e">
        <f>SUM(O59:O61)</f>
        <v>#DIV/0!</v>
      </c>
      <c r="P62" s="380" t="e">
        <f t="shared" si="12"/>
        <v>#DIV/0!</v>
      </c>
      <c r="Q62" s="380" t="e">
        <f t="shared" si="12"/>
        <v>#DIV/0!</v>
      </c>
      <c r="R62" s="380"/>
      <c r="S62" s="380"/>
      <c r="T62" s="379">
        <f>SUM(T59:T61)</f>
        <v>6865000</v>
      </c>
      <c r="U62" s="256"/>
      <c r="V62" s="344"/>
      <c r="W62" s="344"/>
      <c r="X62" s="381">
        <f>SUM(X59:X61)</f>
        <v>3625</v>
      </c>
      <c r="Y62" s="344"/>
      <c r="Z62" s="347"/>
      <c r="AA62" s="348"/>
    </row>
    <row r="63" spans="1:27">
      <c r="A63" s="348"/>
      <c r="B63" s="348"/>
      <c r="C63" s="348"/>
      <c r="D63" s="348"/>
      <c r="E63" s="348"/>
      <c r="F63" s="348"/>
      <c r="G63" s="348"/>
      <c r="H63" s="384"/>
      <c r="I63" s="384"/>
      <c r="J63" s="384"/>
      <c r="K63" s="384"/>
      <c r="L63" s="348"/>
      <c r="M63" s="348"/>
      <c r="N63" s="384"/>
      <c r="O63" s="384"/>
      <c r="P63" s="384"/>
      <c r="Q63" s="384"/>
      <c r="R63" s="384"/>
      <c r="S63" s="384"/>
      <c r="T63" s="385">
        <v>120000</v>
      </c>
      <c r="U63" s="378"/>
      <c r="V63" s="385"/>
      <c r="W63" s="385"/>
      <c r="X63" s="384"/>
      <c r="Y63" s="385"/>
      <c r="Z63" s="385"/>
      <c r="AA63" s="348"/>
    </row>
    <row r="64" spans="1:27" s="69" customFormat="1">
      <c r="A64" s="348"/>
      <c r="B64" s="386" t="s">
        <v>42</v>
      </c>
      <c r="C64" s="348"/>
      <c r="D64" s="348"/>
      <c r="E64" s="348"/>
      <c r="F64" s="348"/>
      <c r="G64" s="348"/>
      <c r="H64" s="348"/>
      <c r="I64" s="348"/>
      <c r="J64" s="348"/>
      <c r="K64" s="348"/>
      <c r="L64" s="348"/>
      <c r="M64" s="348"/>
      <c r="N64" s="384"/>
      <c r="O64" s="384"/>
      <c r="P64" s="384"/>
      <c r="Q64" s="384"/>
      <c r="R64" s="384"/>
      <c r="S64" s="384"/>
      <c r="T64" s="385"/>
      <c r="U64" s="378"/>
      <c r="V64" s="385"/>
      <c r="W64" s="385"/>
      <c r="X64" s="384"/>
      <c r="Y64" s="385"/>
      <c r="Z64" s="385"/>
      <c r="AA64" s="348"/>
    </row>
    <row r="65" spans="1:27" ht="15" customHeight="1">
      <c r="A65" s="348"/>
      <c r="B65" s="348"/>
      <c r="C65" s="348"/>
      <c r="D65" s="348"/>
      <c r="E65" s="348"/>
      <c r="F65" s="348"/>
      <c r="G65" s="348"/>
      <c r="H65" s="384"/>
      <c r="I65" s="384"/>
      <c r="J65" s="1018" t="s">
        <v>271</v>
      </c>
      <c r="K65" s="387" t="s">
        <v>103</v>
      </c>
      <c r="L65" s="387" t="s">
        <v>270</v>
      </c>
      <c r="M65" s="387" t="s">
        <v>264</v>
      </c>
      <c r="N65" s="387" t="s">
        <v>45</v>
      </c>
      <c r="O65" s="387" t="s">
        <v>46</v>
      </c>
      <c r="P65" s="664" t="s">
        <v>299</v>
      </c>
      <c r="Q65" s="664" t="s">
        <v>300</v>
      </c>
      <c r="R65" s="664"/>
      <c r="S65" s="664"/>
      <c r="T65" s="664" t="s">
        <v>301</v>
      </c>
      <c r="U65" s="378" t="s">
        <v>3</v>
      </c>
      <c r="V65" s="385"/>
      <c r="W65" s="385"/>
      <c r="X65" s="384"/>
      <c r="Y65" s="385"/>
      <c r="Z65" s="385"/>
      <c r="AA65" s="348"/>
    </row>
    <row r="66" spans="1:27">
      <c r="A66" s="348"/>
      <c r="B66" s="348"/>
      <c r="C66" s="348"/>
      <c r="D66" s="348"/>
      <c r="E66" s="348"/>
      <c r="F66" s="348"/>
      <c r="G66" s="348"/>
      <c r="H66" s="384"/>
      <c r="I66" s="384"/>
      <c r="J66" s="1018"/>
      <c r="K66" s="387" t="s">
        <v>15</v>
      </c>
      <c r="L66" s="387" t="s">
        <v>74</v>
      </c>
      <c r="M66" s="387"/>
      <c r="N66" s="389"/>
      <c r="O66" s="390"/>
      <c r="P66" s="391" t="s">
        <v>303</v>
      </c>
      <c r="Q66" s="392"/>
      <c r="R66" s="392"/>
      <c r="S66" s="392"/>
      <c r="T66" s="392"/>
      <c r="U66" s="395">
        <f>SUM(Q66:T66)</f>
        <v>0</v>
      </c>
      <c r="V66" s="385"/>
      <c r="W66" s="385"/>
      <c r="X66" s="384"/>
      <c r="Y66" s="385"/>
      <c r="Z66" s="385"/>
      <c r="AA66" s="348"/>
    </row>
    <row r="67" spans="1:27">
      <c r="A67" s="348"/>
      <c r="B67" s="348"/>
      <c r="C67" s="348"/>
      <c r="D67" s="348"/>
      <c r="E67" s="348"/>
      <c r="F67" s="348"/>
      <c r="G67" s="348"/>
      <c r="H67" s="384"/>
      <c r="I67" s="384"/>
      <c r="J67" s="1018"/>
      <c r="K67" s="387" t="s">
        <v>25</v>
      </c>
      <c r="L67" s="387" t="s">
        <v>276</v>
      </c>
      <c r="M67" s="387"/>
      <c r="N67" s="389"/>
      <c r="O67" s="390"/>
      <c r="P67" s="384"/>
      <c r="Q67" s="384"/>
      <c r="R67" s="384"/>
      <c r="S67" s="384"/>
      <c r="T67" s="385"/>
      <c r="U67" s="378"/>
      <c r="V67" s="385"/>
      <c r="W67" s="385"/>
      <c r="X67" s="384"/>
      <c r="Y67" s="385"/>
      <c r="Z67" s="385"/>
      <c r="AA67" s="348"/>
    </row>
    <row r="68" spans="1:27">
      <c r="A68" s="348"/>
      <c r="B68" s="348"/>
      <c r="C68" s="348"/>
      <c r="D68" s="348"/>
      <c r="E68" s="348"/>
      <c r="F68" s="348"/>
      <c r="G68" s="348"/>
      <c r="H68" s="384"/>
      <c r="I68" s="384"/>
      <c r="J68" s="1018"/>
      <c r="K68" s="387" t="s">
        <v>30</v>
      </c>
      <c r="L68" s="387" t="s">
        <v>328</v>
      </c>
      <c r="M68" s="387"/>
      <c r="N68" s="389"/>
      <c r="O68" s="390"/>
      <c r="P68" s="384"/>
      <c r="Q68" s="384"/>
      <c r="R68" s="384"/>
      <c r="S68" s="384"/>
      <c r="T68" s="385"/>
      <c r="U68" s="378"/>
      <c r="V68" s="385"/>
      <c r="W68" s="385"/>
      <c r="X68" s="384"/>
      <c r="Y68" s="385"/>
      <c r="Z68" s="385"/>
      <c r="AA68" s="348"/>
    </row>
    <row r="71" spans="1:27">
      <c r="J71" s="71" t="s">
        <v>298</v>
      </c>
      <c r="K71" s="169">
        <v>1930000</v>
      </c>
      <c r="L71" s="172">
        <v>0</v>
      </c>
    </row>
    <row r="73" spans="1:27">
      <c r="K73" s="171">
        <f>((1/3)*$K$71*(X7/SUM($X$7:$X$27)))</f>
        <v>14765.027322404369</v>
      </c>
    </row>
  </sheetData>
  <autoFilter ref="A2:AB68"/>
  <mergeCells count="6">
    <mergeCell ref="N1:Q1"/>
    <mergeCell ref="J65:J68"/>
    <mergeCell ref="E1:G1"/>
    <mergeCell ref="H1:I1"/>
    <mergeCell ref="J1:K1"/>
    <mergeCell ref="L1:M1"/>
  </mergeCells>
  <conditionalFormatting sqref="L1:M2 L40:M46 L27:M34 L55:M56 L24 L58:M1048576 L7:M20 P7:S20 R3:R54">
    <cfRule type="cellIs" dxfId="343" priority="96" operator="greaterThan">
      <formula>0.9</formula>
    </cfRule>
  </conditionalFormatting>
  <conditionalFormatting sqref="P2:S2 P40:R46 P27:S34 P55:Q56 P24:S24 P59:S1048576 P58:Q58 S58 S55:S56 S18:S39">
    <cfRule type="cellIs" dxfId="342" priority="95" operator="greaterThan">
      <formula>0.9</formula>
    </cfRule>
  </conditionalFormatting>
  <conditionalFormatting sqref="L57:M57">
    <cfRule type="cellIs" dxfId="341" priority="94" operator="greaterThan">
      <formula>0.9</formula>
    </cfRule>
  </conditionalFormatting>
  <conditionalFormatting sqref="P57:Q57 S57">
    <cfRule type="cellIs" dxfId="340" priority="93" operator="greaterThan">
      <formula>0.9</formula>
    </cfRule>
  </conditionalFormatting>
  <conditionalFormatting sqref="L35:M36 L39:M39">
    <cfRule type="cellIs" dxfId="339" priority="92" operator="greaterThan">
      <formula>0.9</formula>
    </cfRule>
  </conditionalFormatting>
  <conditionalFormatting sqref="P35:S36 P39:S39">
    <cfRule type="cellIs" dxfId="338" priority="91" operator="greaterThan">
      <formula>0.9</formula>
    </cfRule>
  </conditionalFormatting>
  <conditionalFormatting sqref="L25:M25">
    <cfRule type="cellIs" dxfId="337" priority="90" operator="greaterThan">
      <formula>0.9</formula>
    </cfRule>
  </conditionalFormatting>
  <conditionalFormatting sqref="P25:S25">
    <cfRule type="cellIs" dxfId="336" priority="89" operator="greaterThan">
      <formula>0.9</formula>
    </cfRule>
  </conditionalFormatting>
  <conditionalFormatting sqref="P1:S1">
    <cfRule type="cellIs" dxfId="335" priority="88" operator="greaterThan">
      <formula>0.9</formula>
    </cfRule>
  </conditionalFormatting>
  <conditionalFormatting sqref="L1:L2 L39:L46 L24:L25 L27:L36 L55:L1048576 L7:L20">
    <cfRule type="cellIs" dxfId="334" priority="83" operator="equal">
      <formula>0</formula>
    </cfRule>
  </conditionalFormatting>
  <conditionalFormatting sqref="X40:X46 X1:X2 X28:X31 X59:X1048576 X7:X15">
    <cfRule type="cellIs" dxfId="333" priority="82" operator="equal">
      <formula>0</formula>
    </cfRule>
  </conditionalFormatting>
  <conditionalFormatting sqref="U59:U61">
    <cfRule type="iconSet" priority="81">
      <iconSet iconSet="3Arrows">
        <cfvo type="percent" val="0"/>
        <cfvo type="percent" val="33"/>
        <cfvo type="percent" val="67"/>
      </iconSet>
    </cfRule>
  </conditionalFormatting>
  <conditionalFormatting sqref="L50:M50">
    <cfRule type="cellIs" dxfId="332" priority="80" operator="greaterThan">
      <formula>0.9</formula>
    </cfRule>
  </conditionalFormatting>
  <conditionalFormatting sqref="P50:R50">
    <cfRule type="cellIs" dxfId="331" priority="79" operator="greaterThan">
      <formula>0.9</formula>
    </cfRule>
  </conditionalFormatting>
  <conditionalFormatting sqref="L50">
    <cfRule type="cellIs" dxfId="330" priority="78" operator="equal">
      <formula>0</formula>
    </cfRule>
  </conditionalFormatting>
  <conditionalFormatting sqref="L49:M49">
    <cfRule type="cellIs" dxfId="329" priority="77" operator="greaterThan">
      <formula>0.9</formula>
    </cfRule>
  </conditionalFormatting>
  <conditionalFormatting sqref="P49:R49">
    <cfRule type="cellIs" dxfId="328" priority="76" operator="greaterThan">
      <formula>0.9</formula>
    </cfRule>
  </conditionalFormatting>
  <conditionalFormatting sqref="L49">
    <cfRule type="cellIs" dxfId="327" priority="75" operator="equal">
      <formula>0</formula>
    </cfRule>
  </conditionalFormatting>
  <conditionalFormatting sqref="L48:M48">
    <cfRule type="cellIs" dxfId="326" priority="74" operator="greaterThan">
      <formula>0.9</formula>
    </cfRule>
  </conditionalFormatting>
  <conditionalFormatting sqref="P48:R48">
    <cfRule type="cellIs" dxfId="325" priority="73" operator="greaterThan">
      <formula>0.9</formula>
    </cfRule>
  </conditionalFormatting>
  <conditionalFormatting sqref="L48">
    <cfRule type="cellIs" dxfId="324" priority="72" operator="equal">
      <formula>0</formula>
    </cfRule>
  </conditionalFormatting>
  <conditionalFormatting sqref="L47:M47">
    <cfRule type="cellIs" dxfId="323" priority="71" operator="greaterThan">
      <formula>0.9</formula>
    </cfRule>
  </conditionalFormatting>
  <conditionalFormatting sqref="P47:R47">
    <cfRule type="cellIs" dxfId="322" priority="70" operator="greaterThan">
      <formula>0.9</formula>
    </cfRule>
  </conditionalFormatting>
  <conditionalFormatting sqref="L47">
    <cfRule type="cellIs" dxfId="321" priority="69" operator="equal">
      <formula>0</formula>
    </cfRule>
  </conditionalFormatting>
  <conditionalFormatting sqref="L5:M6">
    <cfRule type="cellIs" dxfId="320" priority="63" operator="greaterThan">
      <formula>0.9</formula>
    </cfRule>
  </conditionalFormatting>
  <conditionalFormatting sqref="L3:M4">
    <cfRule type="cellIs" dxfId="319" priority="68" operator="greaterThan">
      <formula>0.9</formula>
    </cfRule>
  </conditionalFormatting>
  <conditionalFormatting sqref="P4:S4 P3:R3">
    <cfRule type="cellIs" dxfId="318" priority="67" operator="greaterThan">
      <formula>0.9</formula>
    </cfRule>
  </conditionalFormatting>
  <conditionalFormatting sqref="L3:L4">
    <cfRule type="cellIs" dxfId="317" priority="64" operator="equal">
      <formula>0</formula>
    </cfRule>
  </conditionalFormatting>
  <conditionalFormatting sqref="P5:S6">
    <cfRule type="cellIs" dxfId="316" priority="62" operator="greaterThan">
      <formula>0.9</formula>
    </cfRule>
  </conditionalFormatting>
  <conditionalFormatting sqref="L5:L6">
    <cfRule type="cellIs" dxfId="315" priority="61" operator="equal">
      <formula>0</formula>
    </cfRule>
  </conditionalFormatting>
  <conditionalFormatting sqref="P37:S37">
    <cfRule type="cellIs" dxfId="314" priority="57" operator="greaterThan">
      <formula>0.9</formula>
    </cfRule>
  </conditionalFormatting>
  <conditionalFormatting sqref="L37:M37">
    <cfRule type="cellIs" dxfId="313" priority="58" operator="greaterThan">
      <formula>0.9</formula>
    </cfRule>
  </conditionalFormatting>
  <conditionalFormatting sqref="L37">
    <cfRule type="cellIs" dxfId="312" priority="54" operator="equal">
      <formula>0</formula>
    </cfRule>
  </conditionalFormatting>
  <conditionalFormatting sqref="L38:M38">
    <cfRule type="cellIs" dxfId="311" priority="53" operator="greaterThan">
      <formula>0.9</formula>
    </cfRule>
  </conditionalFormatting>
  <conditionalFormatting sqref="P38:S38">
    <cfRule type="cellIs" dxfId="310" priority="52" operator="greaterThan">
      <formula>0.9</formula>
    </cfRule>
  </conditionalFormatting>
  <conditionalFormatting sqref="L38">
    <cfRule type="cellIs" dxfId="309" priority="49" operator="equal">
      <formula>0</formula>
    </cfRule>
  </conditionalFormatting>
  <conditionalFormatting sqref="X38">
    <cfRule type="cellIs" dxfId="308" priority="48" operator="equal">
      <formula>0</formula>
    </cfRule>
  </conditionalFormatting>
  <conditionalFormatting sqref="L23:M23 L21:M21">
    <cfRule type="cellIs" dxfId="307" priority="47" operator="greaterThan">
      <formula>0.9</formula>
    </cfRule>
  </conditionalFormatting>
  <conditionalFormatting sqref="P23:S23 P21:S21">
    <cfRule type="cellIs" dxfId="306" priority="46" operator="greaterThan">
      <formula>0.9</formula>
    </cfRule>
  </conditionalFormatting>
  <conditionalFormatting sqref="L22:M22">
    <cfRule type="cellIs" dxfId="305" priority="45" operator="greaterThan">
      <formula>0.9</formula>
    </cfRule>
  </conditionalFormatting>
  <conditionalFormatting sqref="P22:S22">
    <cfRule type="cellIs" dxfId="304" priority="44" operator="greaterThan">
      <formula>0.9</formula>
    </cfRule>
  </conditionalFormatting>
  <conditionalFormatting sqref="L21:L23">
    <cfRule type="cellIs" dxfId="303" priority="41" operator="equal">
      <formula>0</formula>
    </cfRule>
  </conditionalFormatting>
  <conditionalFormatting sqref="L26:M26">
    <cfRule type="cellIs" dxfId="302" priority="40" operator="greaterThan">
      <formula>0.9</formula>
    </cfRule>
  </conditionalFormatting>
  <conditionalFormatting sqref="P26:S26">
    <cfRule type="cellIs" dxfId="301" priority="39" operator="greaterThan">
      <formula>0.9</formula>
    </cfRule>
  </conditionalFormatting>
  <conditionalFormatting sqref="L26">
    <cfRule type="cellIs" dxfId="300" priority="36" operator="equal">
      <formula>0</formula>
    </cfRule>
  </conditionalFormatting>
  <conditionalFormatting sqref="Y55:Y1048576 Y1:Y50">
    <cfRule type="cellIs" dxfId="299" priority="34" operator="equal">
      <formula>"YES"</formula>
    </cfRule>
  </conditionalFormatting>
  <conditionalFormatting sqref="X53">
    <cfRule type="cellIs" dxfId="298" priority="32" operator="equal">
      <formula>0</formula>
    </cfRule>
  </conditionalFormatting>
  <conditionalFormatting sqref="L53:M53">
    <cfRule type="cellIs" dxfId="297" priority="31" operator="greaterThan">
      <formula>0.9</formula>
    </cfRule>
  </conditionalFormatting>
  <conditionalFormatting sqref="P53:R53">
    <cfRule type="cellIs" dxfId="296" priority="30" operator="greaterThan">
      <formula>0.9</formula>
    </cfRule>
  </conditionalFormatting>
  <conditionalFormatting sqref="L53">
    <cfRule type="cellIs" dxfId="295" priority="29" operator="equal">
      <formula>0</formula>
    </cfRule>
  </conditionalFormatting>
  <conditionalFormatting sqref="Y53">
    <cfRule type="cellIs" dxfId="294" priority="28" operator="equal">
      <formula>"YES"</formula>
    </cfRule>
  </conditionalFormatting>
  <conditionalFormatting sqref="X52:X53">
    <cfRule type="cellIs" dxfId="293" priority="27" operator="equal">
      <formula>0</formula>
    </cfRule>
  </conditionalFormatting>
  <conditionalFormatting sqref="L52:M52">
    <cfRule type="cellIs" dxfId="292" priority="26" operator="greaterThan">
      <formula>0.9</formula>
    </cfRule>
  </conditionalFormatting>
  <conditionalFormatting sqref="P52:R52">
    <cfRule type="cellIs" dxfId="291" priority="25" operator="greaterThan">
      <formula>0.9</formula>
    </cfRule>
  </conditionalFormatting>
  <conditionalFormatting sqref="L52">
    <cfRule type="cellIs" dxfId="290" priority="24" operator="equal">
      <formula>0</formula>
    </cfRule>
  </conditionalFormatting>
  <conditionalFormatting sqref="Y52">
    <cfRule type="cellIs" dxfId="289" priority="23" operator="equal">
      <formula>"YES"</formula>
    </cfRule>
  </conditionalFormatting>
  <conditionalFormatting sqref="X51">
    <cfRule type="cellIs" dxfId="288" priority="22" operator="equal">
      <formula>0</formula>
    </cfRule>
  </conditionalFormatting>
  <conditionalFormatting sqref="L51:M51">
    <cfRule type="cellIs" dxfId="287" priority="21" operator="greaterThan">
      <formula>0.9</formula>
    </cfRule>
  </conditionalFormatting>
  <conditionalFormatting sqref="P51:R51">
    <cfRule type="cellIs" dxfId="286" priority="20" operator="greaterThan">
      <formula>0.9</formula>
    </cfRule>
  </conditionalFormatting>
  <conditionalFormatting sqref="L51">
    <cfRule type="cellIs" dxfId="285" priority="19" operator="equal">
      <formula>0</formula>
    </cfRule>
  </conditionalFormatting>
  <conditionalFormatting sqref="Y51">
    <cfRule type="cellIs" dxfId="284" priority="18" operator="equal">
      <formula>"YES"</formula>
    </cfRule>
  </conditionalFormatting>
  <conditionalFormatting sqref="X54">
    <cfRule type="cellIs" dxfId="283" priority="15" operator="equal">
      <formula>0</formula>
    </cfRule>
  </conditionalFormatting>
  <conditionalFormatting sqref="L54:M54">
    <cfRule type="cellIs" dxfId="282" priority="14" operator="greaterThan">
      <formula>0.9</formula>
    </cfRule>
  </conditionalFormatting>
  <conditionalFormatting sqref="P54:R54">
    <cfRule type="cellIs" dxfId="281" priority="13" operator="greaterThan">
      <formula>0.9</formula>
    </cfRule>
  </conditionalFormatting>
  <conditionalFormatting sqref="L54">
    <cfRule type="cellIs" dxfId="280" priority="12" operator="equal">
      <formula>0</formula>
    </cfRule>
  </conditionalFormatting>
  <conditionalFormatting sqref="Y54">
    <cfRule type="cellIs" dxfId="279" priority="11" operator="equal">
      <formula>"YES"</formula>
    </cfRule>
  </conditionalFormatting>
  <conditionalFormatting sqref="X54">
    <cfRule type="cellIs" dxfId="278" priority="10" operator="equal">
      <formula>0</formula>
    </cfRule>
  </conditionalFormatting>
  <conditionalFormatting sqref="M24">
    <cfRule type="cellIs" dxfId="277" priority="7" operator="greaterThan">
      <formula>0.9</formula>
    </cfRule>
  </conditionalFormatting>
  <conditionalFormatting sqref="R55:R58">
    <cfRule type="cellIs" dxfId="276" priority="5" operator="greaterThan">
      <formula>0.9</formula>
    </cfRule>
  </conditionalFormatting>
  <conditionalFormatting sqref="R55:R58">
    <cfRule type="cellIs" dxfId="275" priority="4" operator="greaterThan">
      <formula>0.9</formula>
    </cfRule>
  </conditionalFormatting>
  <conditionalFormatting sqref="R39">
    <cfRule type="cellIs" dxfId="274" priority="3" operator="greaterThan">
      <formula>0.9</formula>
    </cfRule>
  </conditionalFormatting>
  <conditionalFormatting sqref="S40:S54">
    <cfRule type="cellIs" dxfId="273" priority="1" operator="greaterThan">
      <formula>0.9</formula>
    </cfRule>
  </conditionalFormatting>
  <hyperlinks>
    <hyperlink ref="B64" location="'Gioi Thieu Tai lieu'!A1" display="'Gioi Thieu Tai lieu'!A1"/>
  </hyperlinks>
  <pageMargins left="0.7" right="0.7" top="0.75" bottom="0.75" header="0.3" footer="0.3"/>
  <pageSetup orientation="portrait" horizontalDpi="1200" verticalDpi="1200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:M25"/>
  <sheetViews>
    <sheetView workbookViewId="0">
      <selection activeCell="U17" sqref="U17"/>
    </sheetView>
  </sheetViews>
  <sheetFormatPr defaultRowHeight="15"/>
  <cols>
    <col min="1" max="1" width="4" bestFit="1" customWidth="1"/>
    <col min="2" max="2" width="10.85546875" bestFit="1" customWidth="1"/>
    <col min="3" max="3" width="4" bestFit="1" customWidth="1"/>
    <col min="4" max="4" width="4.28515625" bestFit="1" customWidth="1"/>
    <col min="5" max="5" width="7" bestFit="1" customWidth="1"/>
    <col min="6" max="6" width="7.28515625" bestFit="1" customWidth="1"/>
    <col min="7" max="7" width="7.7109375" bestFit="1" customWidth="1"/>
    <col min="8" max="8" width="6.42578125" bestFit="1" customWidth="1"/>
    <col min="9" max="11" width="9.85546875" bestFit="1" customWidth="1"/>
    <col min="12" max="12" width="12.85546875" bestFit="1" customWidth="1"/>
    <col min="13" max="13" width="7.140625" bestFit="1" customWidth="1"/>
  </cols>
  <sheetData>
    <row r="1" spans="1:13" ht="38.25">
      <c r="A1" s="669" t="s">
        <v>0</v>
      </c>
      <c r="B1" s="669" t="s">
        <v>838</v>
      </c>
      <c r="C1" s="670" t="s">
        <v>103</v>
      </c>
      <c r="D1" s="669" t="s">
        <v>839</v>
      </c>
      <c r="E1" s="669" t="s">
        <v>840</v>
      </c>
      <c r="F1" s="670" t="s">
        <v>43</v>
      </c>
      <c r="G1" s="670" t="s">
        <v>841</v>
      </c>
      <c r="H1" s="670" t="s">
        <v>842</v>
      </c>
      <c r="I1" s="670" t="s">
        <v>843</v>
      </c>
      <c r="J1" s="670" t="s">
        <v>5</v>
      </c>
      <c r="K1" s="670" t="s">
        <v>844</v>
      </c>
      <c r="L1" s="670" t="s">
        <v>845</v>
      </c>
      <c r="M1" s="670" t="s">
        <v>846</v>
      </c>
    </row>
    <row r="2" spans="1:13">
      <c r="A2" s="671">
        <v>1</v>
      </c>
      <c r="B2" s="672" t="s">
        <v>834</v>
      </c>
      <c r="C2" s="672" t="s">
        <v>15</v>
      </c>
      <c r="D2" s="672" t="s">
        <v>847</v>
      </c>
      <c r="E2" s="672"/>
      <c r="F2" s="673" t="s">
        <v>372</v>
      </c>
      <c r="G2" s="674"/>
      <c r="H2" s="674"/>
      <c r="I2" s="674">
        <v>2500000</v>
      </c>
      <c r="J2" s="674">
        <v>2500000</v>
      </c>
      <c r="K2" s="675">
        <f t="shared" ref="K2:K22" si="0">MIN(I2:J2)</f>
        <v>2500000</v>
      </c>
      <c r="L2" s="676">
        <f ca="1">SUMIF(TEMP_GGSN_IMS_by_NOCPRO!R:S,IM_Load!B2,TEMP_GGSN_IMS_by_NOCPRO!S:S)</f>
        <v>-1577645079.7441099</v>
      </c>
      <c r="M2" s="677">
        <f ca="1">L2/K2</f>
        <v>-631.0580318976439</v>
      </c>
    </row>
    <row r="3" spans="1:13">
      <c r="A3" s="671">
        <v>2</v>
      </c>
      <c r="B3" s="672" t="s">
        <v>848</v>
      </c>
      <c r="C3" s="672" t="s">
        <v>15</v>
      </c>
      <c r="D3" s="672" t="s">
        <v>847</v>
      </c>
      <c r="E3" s="672" t="s">
        <v>849</v>
      </c>
      <c r="F3" s="673" t="s">
        <v>372</v>
      </c>
      <c r="G3" s="674"/>
      <c r="H3" s="674"/>
      <c r="I3" s="674">
        <v>2500000</v>
      </c>
      <c r="J3" s="674">
        <v>2500000</v>
      </c>
      <c r="K3" s="675">
        <f t="shared" si="0"/>
        <v>2500000</v>
      </c>
      <c r="L3" s="676">
        <f ca="1">SUMIF(TEMP_GGSN_IMS_by_NOCPRO!R:S,IM_Load!B3,TEMP_GGSN_IMS_by_NOCPRO!S:S)</f>
        <v>0</v>
      </c>
      <c r="M3" s="677">
        <f t="shared" ref="M3:M5" ca="1" si="1">L3/K3</f>
        <v>0</v>
      </c>
    </row>
    <row r="4" spans="1:13">
      <c r="A4" s="671">
        <v>3</v>
      </c>
      <c r="B4" s="672" t="s">
        <v>850</v>
      </c>
      <c r="C4" s="672" t="s">
        <v>15</v>
      </c>
      <c r="D4" s="672" t="s">
        <v>847</v>
      </c>
      <c r="E4" s="672" t="s">
        <v>849</v>
      </c>
      <c r="F4" s="673" t="s">
        <v>372</v>
      </c>
      <c r="G4" s="674"/>
      <c r="H4" s="674"/>
      <c r="I4" s="674">
        <v>2500000</v>
      </c>
      <c r="J4" s="674">
        <v>2500000</v>
      </c>
      <c r="K4" s="675">
        <f t="shared" si="0"/>
        <v>2500000</v>
      </c>
      <c r="L4" s="676">
        <f ca="1">SUMIF(TEMP_GGSN_IMS_by_NOCPRO!R:S,IM_Load!B4,TEMP_GGSN_IMS_by_NOCPRO!S:S)</f>
        <v>0</v>
      </c>
      <c r="M4" s="677">
        <f t="shared" ca="1" si="1"/>
        <v>0</v>
      </c>
    </row>
    <row r="5" spans="1:13">
      <c r="A5" s="671">
        <v>4</v>
      </c>
      <c r="B5" s="672" t="s">
        <v>851</v>
      </c>
      <c r="C5" s="672" t="s">
        <v>15</v>
      </c>
      <c r="D5" s="672" t="s">
        <v>847</v>
      </c>
      <c r="E5" s="672" t="s">
        <v>852</v>
      </c>
      <c r="F5" s="673" t="s">
        <v>372</v>
      </c>
      <c r="G5" s="674"/>
      <c r="H5" s="674"/>
      <c r="I5" s="674">
        <v>2500000</v>
      </c>
      <c r="J5" s="674">
        <v>2500000</v>
      </c>
      <c r="K5" s="675">
        <f t="shared" si="0"/>
        <v>2500000</v>
      </c>
      <c r="L5" s="676">
        <f ca="1">SUMIF(TEMP_GGSN_IMS_by_NOCPRO!R:S,IM_Load!B5,TEMP_GGSN_IMS_by_NOCPRO!S:S)</f>
        <v>0</v>
      </c>
      <c r="M5" s="677">
        <f t="shared" ca="1" si="1"/>
        <v>0</v>
      </c>
    </row>
    <row r="6" spans="1:13">
      <c r="A6" s="671">
        <v>5</v>
      </c>
      <c r="B6" s="672" t="s">
        <v>837</v>
      </c>
      <c r="C6" s="672" t="s">
        <v>15</v>
      </c>
      <c r="D6" s="672" t="s">
        <v>847</v>
      </c>
      <c r="E6" s="672" t="s">
        <v>852</v>
      </c>
      <c r="F6" s="673" t="s">
        <v>372</v>
      </c>
      <c r="G6" s="674"/>
      <c r="H6" s="674"/>
      <c r="I6" s="674">
        <v>2500000</v>
      </c>
      <c r="J6" s="674">
        <v>2500000</v>
      </c>
      <c r="K6" s="675">
        <f t="shared" si="0"/>
        <v>2500000</v>
      </c>
      <c r="L6" s="676">
        <f ca="1">SUMIF(TEMP_GGSN_IMS_by_NOCPRO!R:S,IM_Load!B6,TEMP_GGSN_IMS_by_NOCPRO!S:S)</f>
        <v>0</v>
      </c>
      <c r="M6" s="677">
        <f ca="1">L6/K6</f>
        <v>0</v>
      </c>
    </row>
    <row r="7" spans="1:13">
      <c r="A7" s="671">
        <v>6</v>
      </c>
      <c r="B7" s="678" t="s">
        <v>835</v>
      </c>
      <c r="C7" s="672" t="s">
        <v>25</v>
      </c>
      <c r="D7" s="672" t="s">
        <v>847</v>
      </c>
      <c r="E7" s="672" t="s">
        <v>853</v>
      </c>
      <c r="F7" s="673" t="s">
        <v>372</v>
      </c>
      <c r="G7" s="674"/>
      <c r="H7" s="674"/>
      <c r="I7" s="674">
        <v>2500000</v>
      </c>
      <c r="J7" s="674">
        <v>2500000</v>
      </c>
      <c r="K7" s="675">
        <f t="shared" si="0"/>
        <v>2500000</v>
      </c>
      <c r="L7" s="676">
        <f ca="1">SUMIF(TEMP_GGSN_IMS_by_NOCPRO!R:S,IM_Load!B7,TEMP_GGSN_IMS_by_NOCPRO!S:S)</f>
        <v>-4487523911.5502415</v>
      </c>
      <c r="M7" s="677">
        <f ca="1">L7/K7</f>
        <v>-1795.0095646200966</v>
      </c>
    </row>
    <row r="8" spans="1:13">
      <c r="A8" s="671">
        <v>7</v>
      </c>
      <c r="B8" s="678" t="s">
        <v>836</v>
      </c>
      <c r="C8" s="672" t="s">
        <v>15</v>
      </c>
      <c r="D8" s="672" t="s">
        <v>847</v>
      </c>
      <c r="E8" s="672" t="s">
        <v>853</v>
      </c>
      <c r="F8" s="673" t="s">
        <v>372</v>
      </c>
      <c r="G8" s="674"/>
      <c r="H8" s="674"/>
      <c r="I8" s="674">
        <v>2500000</v>
      </c>
      <c r="J8" s="674">
        <v>2500000</v>
      </c>
      <c r="K8" s="675">
        <f t="shared" si="0"/>
        <v>2500000</v>
      </c>
      <c r="L8" s="676">
        <f ca="1">SUMIF(TEMP_GGSN_IMS_by_NOCPRO!R:S,IM_Load!B8,TEMP_GGSN_IMS_by_NOCPRO!S:S)</f>
        <v>-2103806956.2146983</v>
      </c>
      <c r="M8" s="677">
        <f ca="1">L8/K8</f>
        <v>-841.52278248587936</v>
      </c>
    </row>
    <row r="9" spans="1:13">
      <c r="A9" s="671">
        <v>8</v>
      </c>
      <c r="B9" s="672" t="s">
        <v>854</v>
      </c>
      <c r="C9" s="672" t="s">
        <v>15</v>
      </c>
      <c r="D9" s="672" t="s">
        <v>855</v>
      </c>
      <c r="E9" s="672" t="s">
        <v>856</v>
      </c>
      <c r="F9" s="673" t="s">
        <v>372</v>
      </c>
      <c r="G9" s="674"/>
      <c r="H9" s="674"/>
      <c r="I9" s="674">
        <v>2500000</v>
      </c>
      <c r="J9" s="674">
        <v>2500000</v>
      </c>
      <c r="K9" s="675">
        <f t="shared" si="0"/>
        <v>2500000</v>
      </c>
      <c r="L9" s="676">
        <f ca="1">SUMIF(TEMP_GGSN_IMS_by_NOCPRO!R:S,IM_Load!B9,TEMP_GGSN_IMS_by_NOCPRO!S:S)</f>
        <v>0</v>
      </c>
      <c r="M9" s="677">
        <f t="shared" ref="M9:M22" ca="1" si="2">L9/K9</f>
        <v>0</v>
      </c>
    </row>
    <row r="10" spans="1:13">
      <c r="A10" s="671">
        <v>9</v>
      </c>
      <c r="B10" s="672" t="s">
        <v>857</v>
      </c>
      <c r="C10" s="672" t="s">
        <v>30</v>
      </c>
      <c r="D10" s="672" t="s">
        <v>858</v>
      </c>
      <c r="E10" s="672" t="s">
        <v>859</v>
      </c>
      <c r="F10" s="673" t="s">
        <v>372</v>
      </c>
      <c r="G10" s="674"/>
      <c r="H10" s="674"/>
      <c r="I10" s="674">
        <v>2500000</v>
      </c>
      <c r="J10" s="674">
        <v>2500000</v>
      </c>
      <c r="K10" s="675">
        <f t="shared" si="0"/>
        <v>2500000</v>
      </c>
      <c r="L10" s="676">
        <f ca="1">SUMIF(TEMP_GGSN_IMS_by_NOCPRO!R:S,IM_Load!B10,TEMP_GGSN_IMS_by_NOCPRO!S:S)</f>
        <v>0</v>
      </c>
      <c r="M10" s="677">
        <f t="shared" ca="1" si="2"/>
        <v>0</v>
      </c>
    </row>
    <row r="11" spans="1:13">
      <c r="A11" s="671">
        <v>10</v>
      </c>
      <c r="B11" s="672" t="s">
        <v>860</v>
      </c>
      <c r="C11" s="672" t="s">
        <v>30</v>
      </c>
      <c r="D11" s="672" t="s">
        <v>858</v>
      </c>
      <c r="E11" s="672" t="s">
        <v>859</v>
      </c>
      <c r="F11" s="673" t="s">
        <v>372</v>
      </c>
      <c r="G11" s="674"/>
      <c r="H11" s="679"/>
      <c r="I11" s="674">
        <v>2500000</v>
      </c>
      <c r="J11" s="674">
        <v>2500000</v>
      </c>
      <c r="K11" s="675">
        <f t="shared" si="0"/>
        <v>2500000</v>
      </c>
      <c r="L11" s="676" t="e">
        <f ca="1">SUMIF(TEMP_GGSN_IMS_by_NOCPRO!R:S,IM_Load!B11,TEMP_GGSN_IMS_by_NOCPRO!S:S)</f>
        <v>#DIV/0!</v>
      </c>
      <c r="M11" s="677" t="e">
        <f t="shared" ca="1" si="2"/>
        <v>#DIV/0!</v>
      </c>
    </row>
    <row r="12" spans="1:13">
      <c r="A12" s="671">
        <v>11</v>
      </c>
      <c r="B12" s="680" t="s">
        <v>861</v>
      </c>
      <c r="C12" s="681" t="s">
        <v>30</v>
      </c>
      <c r="D12" s="681" t="s">
        <v>858</v>
      </c>
      <c r="E12" s="680" t="s">
        <v>862</v>
      </c>
      <c r="F12" s="682" t="s">
        <v>372</v>
      </c>
      <c r="G12" s="674"/>
      <c r="H12" s="679"/>
      <c r="I12" s="674">
        <v>2500000</v>
      </c>
      <c r="J12" s="674">
        <v>2500000</v>
      </c>
      <c r="K12" s="675">
        <f t="shared" si="0"/>
        <v>2500000</v>
      </c>
      <c r="L12" s="676">
        <f ca="1">SUMIF(TEMP_GGSN_IMS_by_NOCPRO!R:S,IM_Load!B12,TEMP_GGSN_IMS_by_NOCPRO!S:S)</f>
        <v>0</v>
      </c>
      <c r="M12" s="677">
        <f t="shared" ca="1" si="2"/>
        <v>0</v>
      </c>
    </row>
    <row r="13" spans="1:13">
      <c r="A13" s="671">
        <v>12</v>
      </c>
      <c r="B13" s="680" t="s">
        <v>863</v>
      </c>
      <c r="C13" s="681" t="s">
        <v>30</v>
      </c>
      <c r="D13" s="681" t="s">
        <v>858</v>
      </c>
      <c r="E13" s="680" t="s">
        <v>862</v>
      </c>
      <c r="F13" s="682" t="s">
        <v>372</v>
      </c>
      <c r="G13" s="674"/>
      <c r="H13" s="679"/>
      <c r="I13" s="674">
        <v>2500000</v>
      </c>
      <c r="J13" s="674">
        <v>2500000</v>
      </c>
      <c r="K13" s="675">
        <f t="shared" si="0"/>
        <v>2500000</v>
      </c>
      <c r="L13" s="676">
        <f ca="1">SUMIF(TEMP_GGSN_IMS_by_NOCPRO!R:S,IM_Load!B13,TEMP_GGSN_IMS_by_NOCPRO!S:S)</f>
        <v>0</v>
      </c>
      <c r="M13" s="677">
        <f t="shared" ca="1" si="2"/>
        <v>0</v>
      </c>
    </row>
    <row r="14" spans="1:13">
      <c r="A14" s="671">
        <v>13</v>
      </c>
      <c r="B14" s="672" t="s">
        <v>864</v>
      </c>
      <c r="C14" s="672" t="s">
        <v>30</v>
      </c>
      <c r="D14" s="672" t="s">
        <v>865</v>
      </c>
      <c r="E14" s="672" t="s">
        <v>866</v>
      </c>
      <c r="F14" s="673" t="s">
        <v>372</v>
      </c>
      <c r="G14" s="674"/>
      <c r="H14" s="679"/>
      <c r="I14" s="674">
        <v>2500000</v>
      </c>
      <c r="J14" s="674">
        <v>2500000</v>
      </c>
      <c r="K14" s="675">
        <f t="shared" si="0"/>
        <v>2500000</v>
      </c>
      <c r="L14" s="676" t="e">
        <f ca="1">SUMIF(TEMP_GGSN_IMS_by_NOCPRO!R:S,IM_Load!B14,TEMP_GGSN_IMS_by_NOCPRO!S:S)</f>
        <v>#DIV/0!</v>
      </c>
      <c r="M14" s="677" t="e">
        <f t="shared" ca="1" si="2"/>
        <v>#DIV/0!</v>
      </c>
    </row>
    <row r="15" spans="1:13">
      <c r="A15" s="671">
        <v>14</v>
      </c>
      <c r="B15" s="672" t="s">
        <v>867</v>
      </c>
      <c r="C15" s="672" t="s">
        <v>15</v>
      </c>
      <c r="D15" s="672" t="s">
        <v>847</v>
      </c>
      <c r="E15" s="672"/>
      <c r="F15" s="673" t="s">
        <v>4</v>
      </c>
      <c r="G15" s="674">
        <v>250000</v>
      </c>
      <c r="H15" s="674">
        <v>11</v>
      </c>
      <c r="I15" s="674">
        <v>0</v>
      </c>
      <c r="J15" s="674">
        <v>0</v>
      </c>
      <c r="K15" s="675">
        <f t="shared" si="0"/>
        <v>0</v>
      </c>
      <c r="L15" s="676">
        <f ca="1">SUMIF(TEMP_GGSN_IMS_by_NOCPRO!R:S,IM_Load!B15,TEMP_GGSN_IMS_by_NOCPRO!S:S)</f>
        <v>0</v>
      </c>
      <c r="M15" s="677" t="e">
        <f t="shared" ca="1" si="2"/>
        <v>#DIV/0!</v>
      </c>
    </row>
    <row r="16" spans="1:13">
      <c r="A16" s="671">
        <v>15</v>
      </c>
      <c r="B16" s="672" t="s">
        <v>868</v>
      </c>
      <c r="C16" s="672" t="s">
        <v>15</v>
      </c>
      <c r="D16" s="672" t="s">
        <v>847</v>
      </c>
      <c r="E16" s="672" t="s">
        <v>403</v>
      </c>
      <c r="F16" s="673" t="s">
        <v>4</v>
      </c>
      <c r="G16" s="674">
        <v>250000</v>
      </c>
      <c r="H16" s="674">
        <v>13</v>
      </c>
      <c r="I16" s="674">
        <f t="shared" ref="I16:I21" si="3">G16*H16</f>
        <v>3250000</v>
      </c>
      <c r="J16" s="674">
        <v>3000000</v>
      </c>
      <c r="K16" s="675">
        <f t="shared" si="0"/>
        <v>3000000</v>
      </c>
      <c r="L16" s="676">
        <f ca="1">SUMIF(TEMP_GGSN_IMS_by_NOCPRO!R:S,IM_Load!B16,TEMP_GGSN_IMS_by_NOCPRO!S:S)</f>
        <v>0</v>
      </c>
      <c r="M16" s="677">
        <f t="shared" ca="1" si="2"/>
        <v>0</v>
      </c>
    </row>
    <row r="17" spans="1:13">
      <c r="A17" s="671">
        <v>16</v>
      </c>
      <c r="B17" s="672" t="s">
        <v>833</v>
      </c>
      <c r="C17" s="672" t="s">
        <v>15</v>
      </c>
      <c r="D17" s="672" t="s">
        <v>855</v>
      </c>
      <c r="E17" s="672" t="s">
        <v>869</v>
      </c>
      <c r="F17" s="673" t="s">
        <v>4</v>
      </c>
      <c r="G17" s="674">
        <v>250000</v>
      </c>
      <c r="H17" s="674">
        <v>10</v>
      </c>
      <c r="I17" s="674">
        <f t="shared" si="3"/>
        <v>2500000</v>
      </c>
      <c r="J17" s="674">
        <v>2500000</v>
      </c>
      <c r="K17" s="675">
        <f t="shared" si="0"/>
        <v>2500000</v>
      </c>
      <c r="L17" s="676">
        <f ca="1">SUMIF(TEMP_GGSN_IMS_by_NOCPRO!R:S,IM_Load!B17,TEMP_GGSN_IMS_by_NOCPRO!S:S)</f>
        <v>-1577646147.0382276</v>
      </c>
      <c r="M17" s="677">
        <f t="shared" ca="1" si="2"/>
        <v>-631.05845881529103</v>
      </c>
    </row>
    <row r="18" spans="1:13">
      <c r="A18" s="671">
        <v>17</v>
      </c>
      <c r="B18" s="672" t="s">
        <v>870</v>
      </c>
      <c r="C18" s="672" t="s">
        <v>15</v>
      </c>
      <c r="D18" s="672" t="s">
        <v>855</v>
      </c>
      <c r="E18" s="672" t="s">
        <v>869</v>
      </c>
      <c r="F18" s="673" t="s">
        <v>4</v>
      </c>
      <c r="G18" s="674">
        <v>250000</v>
      </c>
      <c r="H18" s="674">
        <v>10</v>
      </c>
      <c r="I18" s="674">
        <f t="shared" si="3"/>
        <v>2500000</v>
      </c>
      <c r="J18" s="674">
        <v>2500000</v>
      </c>
      <c r="K18" s="675">
        <f t="shared" si="0"/>
        <v>2500000</v>
      </c>
      <c r="L18" s="676">
        <f ca="1">SUMIF(TEMP_GGSN_IMS_by_NOCPRO!R:S,IM_Load!B18,TEMP_GGSN_IMS_by_NOCPRO!S:S)</f>
        <v>0</v>
      </c>
      <c r="M18" s="677">
        <f t="shared" ca="1" si="2"/>
        <v>0</v>
      </c>
    </row>
    <row r="19" spans="1:13">
      <c r="A19" s="671">
        <v>18</v>
      </c>
      <c r="B19" s="672" t="s">
        <v>871</v>
      </c>
      <c r="C19" s="672" t="s">
        <v>25</v>
      </c>
      <c r="D19" s="672" t="s">
        <v>872</v>
      </c>
      <c r="E19" s="672"/>
      <c r="F19" s="673" t="s">
        <v>4</v>
      </c>
      <c r="G19" s="674">
        <v>250000</v>
      </c>
      <c r="H19" s="683">
        <v>3</v>
      </c>
      <c r="I19" s="674">
        <f t="shared" si="3"/>
        <v>750000</v>
      </c>
      <c r="J19" s="674">
        <v>2500000</v>
      </c>
      <c r="K19" s="675">
        <f t="shared" si="0"/>
        <v>750000</v>
      </c>
      <c r="L19" s="676">
        <f ca="1">SUMIF(TEMP_GGSN_IMS_by_NOCPRO!R:S,IM_Load!B19,TEMP_GGSN_IMS_by_NOCPRO!S:S)</f>
        <v>0</v>
      </c>
      <c r="M19" s="677">
        <f ca="1">L19/K19</f>
        <v>0</v>
      </c>
    </row>
    <row r="20" spans="1:13">
      <c r="A20" s="671">
        <v>19</v>
      </c>
      <c r="B20" s="672" t="s">
        <v>873</v>
      </c>
      <c r="C20" s="672" t="s">
        <v>30</v>
      </c>
      <c r="D20" s="672" t="s">
        <v>865</v>
      </c>
      <c r="E20" s="672" t="s">
        <v>874</v>
      </c>
      <c r="F20" s="673" t="s">
        <v>4</v>
      </c>
      <c r="G20" s="674">
        <v>250000</v>
      </c>
      <c r="H20" s="674">
        <v>10</v>
      </c>
      <c r="I20" s="674">
        <f t="shared" si="3"/>
        <v>2500000</v>
      </c>
      <c r="J20" s="674">
        <v>2500000</v>
      </c>
      <c r="K20" s="675">
        <f t="shared" si="0"/>
        <v>2500000</v>
      </c>
      <c r="L20" s="676">
        <f ca="1">SUMIF(TEMP_GGSN_IMS_by_NOCPRO!R:S,IM_Load!B20,TEMP_GGSN_IMS_by_NOCPRO!S:S)</f>
        <v>0</v>
      </c>
      <c r="M20" s="677">
        <f ca="1">L20/K20</f>
        <v>0</v>
      </c>
    </row>
    <row r="21" spans="1:13">
      <c r="A21" s="671">
        <v>20</v>
      </c>
      <c r="B21" s="684" t="s">
        <v>875</v>
      </c>
      <c r="C21" s="684" t="s">
        <v>30</v>
      </c>
      <c r="D21" s="684" t="s">
        <v>858</v>
      </c>
      <c r="E21" s="684"/>
      <c r="F21" s="673" t="s">
        <v>4</v>
      </c>
      <c r="G21" s="674">
        <v>250000</v>
      </c>
      <c r="H21" s="685">
        <v>9</v>
      </c>
      <c r="I21" s="674">
        <f t="shared" si="3"/>
        <v>2250000</v>
      </c>
      <c r="J21" s="674">
        <v>1800000</v>
      </c>
      <c r="K21" s="675">
        <f t="shared" si="0"/>
        <v>1800000</v>
      </c>
      <c r="L21" s="676">
        <f ca="1">SUMIF(TEMP_GGSN_IMS_by_NOCPRO!R:S,IM_Load!B21,TEMP_GGSN_IMS_by_NOCPRO!S:S)</f>
        <v>-4013103555.5595074</v>
      </c>
      <c r="M21" s="677">
        <f t="shared" ca="1" si="2"/>
        <v>-2229.5019753108372</v>
      </c>
    </row>
    <row r="22" spans="1:13">
      <c r="A22" s="671">
        <v>21</v>
      </c>
      <c r="B22" s="684" t="s">
        <v>876</v>
      </c>
      <c r="C22" s="684" t="s">
        <v>30</v>
      </c>
      <c r="D22" s="684" t="s">
        <v>858</v>
      </c>
      <c r="E22" s="684" t="s">
        <v>440</v>
      </c>
      <c r="F22" s="673" t="s">
        <v>4</v>
      </c>
      <c r="G22" s="674">
        <v>250000</v>
      </c>
      <c r="H22" s="674">
        <v>13</v>
      </c>
      <c r="I22" s="674">
        <f>G22*H22</f>
        <v>3250000</v>
      </c>
      <c r="J22" s="674">
        <v>3000000</v>
      </c>
      <c r="K22" s="675">
        <f t="shared" si="0"/>
        <v>3000000</v>
      </c>
      <c r="L22" s="676">
        <f ca="1">SUMIF(TEMP_GGSN_IMS_by_NOCPRO!R:S,IM_Load!B22,TEMP_GGSN_IMS_by_NOCPRO!S:S)</f>
        <v>-4013112667.0889192</v>
      </c>
      <c r="M22" s="677">
        <f t="shared" ca="1" si="2"/>
        <v>-1337.704222362973</v>
      </c>
    </row>
    <row r="23" spans="1:13">
      <c r="A23" s="671"/>
      <c r="B23" s="684" t="s">
        <v>877</v>
      </c>
      <c r="C23" s="684"/>
      <c r="D23" s="684"/>
      <c r="E23" s="684"/>
      <c r="F23" s="673"/>
      <c r="G23" s="674"/>
      <c r="H23" s="674"/>
      <c r="I23" s="674">
        <f>SUM(I2:I22)</f>
        <v>49500000</v>
      </c>
      <c r="J23" s="674">
        <f>SUM(J2:J22)</f>
        <v>50300000</v>
      </c>
      <c r="K23" s="675">
        <f>SUM(K2:K22)</f>
        <v>48550000</v>
      </c>
      <c r="L23" s="675" t="e">
        <f ca="1">SUM(L2:L22)</f>
        <v>#DIV/0!</v>
      </c>
      <c r="M23" s="677" t="e">
        <f ca="1">L23/K23</f>
        <v>#DIV/0!</v>
      </c>
    </row>
    <row r="24" spans="1:13">
      <c r="A24" s="671"/>
      <c r="B24" s="684" t="s">
        <v>880</v>
      </c>
      <c r="C24" s="684"/>
      <c r="D24" s="684"/>
      <c r="E24" s="684"/>
      <c r="F24" s="673"/>
      <c r="G24" s="674"/>
      <c r="H24" s="674"/>
      <c r="I24" s="674">
        <f>SUM(I15:I22)</f>
        <v>17000000</v>
      </c>
      <c r="J24" s="674">
        <f>SUM(J15:J22)</f>
        <v>17800000</v>
      </c>
      <c r="K24" s="675">
        <f>SUM(K15:K22)</f>
        <v>16050000</v>
      </c>
      <c r="L24" s="675">
        <f ca="1">SUM(L15:L22)</f>
        <v>-9603862369.6866531</v>
      </c>
      <c r="M24" s="677">
        <f ca="1">L24/K24</f>
        <v>-598.37148720789116</v>
      </c>
    </row>
    <row r="25" spans="1:13">
      <c r="A25" s="3"/>
      <c r="B25" s="684" t="s">
        <v>881</v>
      </c>
      <c r="C25" s="684"/>
      <c r="D25" s="684"/>
      <c r="E25" s="684"/>
      <c r="F25" s="673"/>
      <c r="G25" s="674"/>
      <c r="H25" s="674"/>
      <c r="I25" s="674">
        <f>SUM(I2:I14)</f>
        <v>32500000</v>
      </c>
      <c r="J25" s="674">
        <f>SUM(J2:J14)</f>
        <v>32500000</v>
      </c>
      <c r="K25" s="675">
        <f>SUM(K2:K14)</f>
        <v>32500000</v>
      </c>
      <c r="L25" s="675" t="e">
        <f ca="1">SUM(L2:L14)</f>
        <v>#DIV/0!</v>
      </c>
      <c r="M25" s="677" t="e">
        <f ca="1">L25/K25</f>
        <v>#DIV/0!</v>
      </c>
    </row>
  </sheetData>
  <conditionalFormatting sqref="B1">
    <cfRule type="duplicateValues" dxfId="272" priority="17"/>
  </conditionalFormatting>
  <conditionalFormatting sqref="M1:M25">
    <cfRule type="colorScale" priority="16">
      <colorScale>
        <cfvo type="num" val="0.4"/>
        <cfvo type="num" val="0.7"/>
        <cfvo type="num" val="0.85"/>
        <color rgb="FF63BE7B"/>
        <color rgb="FFFFEB84"/>
        <color rgb="FFF8696B"/>
      </colorScale>
    </cfRule>
  </conditionalFormatting>
  <conditionalFormatting sqref="F19 F2:F11 F21:F25 F14:F17">
    <cfRule type="cellIs" dxfId="271" priority="13" operator="equal">
      <formula>"Nokia"</formula>
    </cfRule>
    <cfRule type="cellIs" dxfId="270" priority="14" operator="equal">
      <formula>"Huawei"</formula>
    </cfRule>
    <cfRule type="cellIs" dxfId="269" priority="15" operator="equal">
      <formula>"Ericsson"</formula>
    </cfRule>
  </conditionalFormatting>
  <conditionalFormatting sqref="F18">
    <cfRule type="cellIs" dxfId="268" priority="10" operator="equal">
      <formula>"Nokia"</formula>
    </cfRule>
    <cfRule type="cellIs" dxfId="267" priority="11" operator="equal">
      <formula>"Huawei"</formula>
    </cfRule>
    <cfRule type="cellIs" dxfId="266" priority="12" operator="equal">
      <formula>"Ericsson"</formula>
    </cfRule>
  </conditionalFormatting>
  <conditionalFormatting sqref="F20">
    <cfRule type="cellIs" dxfId="265" priority="7" operator="equal">
      <formula>"Nokia"</formula>
    </cfRule>
    <cfRule type="cellIs" dxfId="264" priority="8" operator="equal">
      <formula>"Huawei"</formula>
    </cfRule>
    <cfRule type="cellIs" dxfId="263" priority="9" operator="equal">
      <formula>"Ericsson"</formula>
    </cfRule>
  </conditionalFormatting>
  <conditionalFormatting sqref="F12">
    <cfRule type="cellIs" dxfId="262" priority="4" operator="equal">
      <formula>"Nokia"</formula>
    </cfRule>
    <cfRule type="cellIs" dxfId="261" priority="5" operator="equal">
      <formula>"Huawei"</formula>
    </cfRule>
    <cfRule type="cellIs" dxfId="260" priority="6" operator="equal">
      <formula>"Ericsson"</formula>
    </cfRule>
  </conditionalFormatting>
  <conditionalFormatting sqref="F13">
    <cfRule type="cellIs" dxfId="259" priority="1" operator="equal">
      <formula>"Nokia"</formula>
    </cfRule>
    <cfRule type="cellIs" dxfId="258" priority="2" operator="equal">
      <formula>"Huawei"</formula>
    </cfRule>
    <cfRule type="cellIs" dxfId="257" priority="3" operator="equal">
      <formula>"Ericsson"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:Y65"/>
  <sheetViews>
    <sheetView topLeftCell="A16" workbookViewId="0">
      <selection activeCell="I34" sqref="I34"/>
    </sheetView>
  </sheetViews>
  <sheetFormatPr defaultRowHeight="15"/>
  <cols>
    <col min="1" max="1" width="12.5703125" customWidth="1"/>
    <col min="2" max="2" width="22.85546875" bestFit="1" customWidth="1"/>
    <col min="25" max="25" width="9.85546875" bestFit="1" customWidth="1"/>
  </cols>
  <sheetData>
    <row r="1" spans="1:25" ht="38.25">
      <c r="A1" t="s">
        <v>832</v>
      </c>
      <c r="B1" t="s">
        <v>879</v>
      </c>
      <c r="C1" t="s">
        <v>1195</v>
      </c>
      <c r="O1" s="669" t="s">
        <v>0</v>
      </c>
      <c r="P1" s="669" t="s">
        <v>838</v>
      </c>
      <c r="Q1" s="670" t="s">
        <v>103</v>
      </c>
      <c r="R1" s="669" t="s">
        <v>839</v>
      </c>
      <c r="S1" s="669" t="s">
        <v>840</v>
      </c>
      <c r="T1" s="670" t="s">
        <v>43</v>
      </c>
      <c r="U1" s="670" t="s">
        <v>841</v>
      </c>
      <c r="V1" s="670" t="s">
        <v>842</v>
      </c>
      <c r="W1" s="670" t="s">
        <v>843</v>
      </c>
      <c r="X1" s="670" t="s">
        <v>5</v>
      </c>
      <c r="Y1" s="670" t="s">
        <v>844</v>
      </c>
    </row>
    <row r="2" spans="1:25">
      <c r="A2" t="s">
        <v>75</v>
      </c>
      <c r="C2" t="s">
        <v>851</v>
      </c>
      <c r="O2" s="671">
        <v>1</v>
      </c>
      <c r="P2" s="672" t="s">
        <v>834</v>
      </c>
      <c r="Q2" s="672" t="s">
        <v>15</v>
      </c>
      <c r="R2" s="672" t="s">
        <v>847</v>
      </c>
      <c r="S2" s="672" t="s">
        <v>529</v>
      </c>
      <c r="T2" s="673" t="s">
        <v>372</v>
      </c>
      <c r="U2" s="674"/>
      <c r="V2" s="674"/>
      <c r="W2" s="674">
        <v>2500000</v>
      </c>
      <c r="X2" s="674">
        <v>2500000</v>
      </c>
      <c r="Y2" s="675">
        <f t="shared" ref="Y2:Y11" si="0">MIN(W2:X2)</f>
        <v>2500000</v>
      </c>
    </row>
    <row r="3" spans="1:25">
      <c r="A3" t="s">
        <v>77</v>
      </c>
      <c r="C3" t="s">
        <v>837</v>
      </c>
      <c r="O3" s="671">
        <v>2</v>
      </c>
      <c r="P3" s="672" t="s">
        <v>848</v>
      </c>
      <c r="Q3" s="672" t="s">
        <v>15</v>
      </c>
      <c r="R3" s="672" t="s">
        <v>847</v>
      </c>
      <c r="S3" s="672" t="s">
        <v>849</v>
      </c>
      <c r="T3" s="673" t="s">
        <v>372</v>
      </c>
      <c r="U3" s="674"/>
      <c r="V3" s="674"/>
      <c r="W3" s="674">
        <v>2700000</v>
      </c>
      <c r="X3" s="674">
        <v>2700000</v>
      </c>
      <c r="Y3" s="675">
        <f t="shared" si="0"/>
        <v>2700000</v>
      </c>
    </row>
    <row r="4" spans="1:25">
      <c r="A4" t="s">
        <v>78</v>
      </c>
      <c r="C4" t="s">
        <v>1190</v>
      </c>
      <c r="O4" s="671">
        <v>3</v>
      </c>
      <c r="P4" s="672" t="s">
        <v>850</v>
      </c>
      <c r="Q4" s="672" t="s">
        <v>15</v>
      </c>
      <c r="R4" s="672" t="s">
        <v>847</v>
      </c>
      <c r="S4" s="672" t="s">
        <v>849</v>
      </c>
      <c r="T4" s="673" t="s">
        <v>372</v>
      </c>
      <c r="U4" s="674"/>
      <c r="V4" s="674"/>
      <c r="W4" s="674">
        <v>2700000</v>
      </c>
      <c r="X4" s="674">
        <v>2700000</v>
      </c>
      <c r="Y4" s="675">
        <f t="shared" si="0"/>
        <v>2700000</v>
      </c>
    </row>
    <row r="5" spans="1:25">
      <c r="A5" t="s">
        <v>80</v>
      </c>
      <c r="C5" t="s">
        <v>864</v>
      </c>
      <c r="O5" s="671">
        <v>4</v>
      </c>
      <c r="P5" s="672" t="s">
        <v>851</v>
      </c>
      <c r="Q5" s="672" t="s">
        <v>15</v>
      </c>
      <c r="R5" s="672" t="s">
        <v>847</v>
      </c>
      <c r="S5" s="672" t="s">
        <v>852</v>
      </c>
      <c r="T5" s="673" t="s">
        <v>372</v>
      </c>
      <c r="U5" s="674"/>
      <c r="V5" s="674"/>
      <c r="W5" s="674">
        <v>2700000</v>
      </c>
      <c r="X5" s="674">
        <v>2700000</v>
      </c>
      <c r="Y5" s="675">
        <f t="shared" si="0"/>
        <v>2700000</v>
      </c>
    </row>
    <row r="6" spans="1:25">
      <c r="A6" t="s">
        <v>81</v>
      </c>
      <c r="C6" t="s">
        <v>1190</v>
      </c>
      <c r="O6" s="671">
        <v>5</v>
      </c>
      <c r="P6" s="672" t="s">
        <v>837</v>
      </c>
      <c r="Q6" s="672" t="s">
        <v>15</v>
      </c>
      <c r="R6" s="672" t="s">
        <v>847</v>
      </c>
      <c r="S6" s="672" t="s">
        <v>852</v>
      </c>
      <c r="T6" s="673" t="s">
        <v>372</v>
      </c>
      <c r="U6" s="674"/>
      <c r="V6" s="674"/>
      <c r="W6" s="674">
        <v>2700000</v>
      </c>
      <c r="X6" s="674">
        <v>2700000</v>
      </c>
      <c r="Y6" s="675">
        <f t="shared" si="0"/>
        <v>2700000</v>
      </c>
    </row>
    <row r="7" spans="1:25">
      <c r="A7" t="s">
        <v>83</v>
      </c>
      <c r="C7" t="s">
        <v>857</v>
      </c>
      <c r="O7" s="671">
        <v>8</v>
      </c>
      <c r="P7" s="672" t="s">
        <v>854</v>
      </c>
      <c r="Q7" s="672" t="s">
        <v>15</v>
      </c>
      <c r="R7" s="672" t="s">
        <v>855</v>
      </c>
      <c r="S7" s="672" t="s">
        <v>856</v>
      </c>
      <c r="T7" s="673" t="s">
        <v>372</v>
      </c>
      <c r="U7" s="674"/>
      <c r="V7" s="674"/>
      <c r="W7" s="674">
        <v>2700000</v>
      </c>
      <c r="X7" s="674">
        <v>2700000</v>
      </c>
      <c r="Y7" s="675">
        <f>MIN(W7:X7)</f>
        <v>2700000</v>
      </c>
    </row>
    <row r="8" spans="1:25">
      <c r="A8" t="s">
        <v>276</v>
      </c>
      <c r="C8" t="s">
        <v>857</v>
      </c>
      <c r="O8" s="671">
        <v>6</v>
      </c>
      <c r="P8" s="672" t="s">
        <v>835</v>
      </c>
      <c r="Q8" s="672" t="s">
        <v>25</v>
      </c>
      <c r="R8" s="672" t="s">
        <v>847</v>
      </c>
      <c r="S8" s="672" t="s">
        <v>853</v>
      </c>
      <c r="T8" s="673" t="s">
        <v>372</v>
      </c>
      <c r="U8" s="674"/>
      <c r="V8" s="674"/>
      <c r="W8" s="674">
        <v>2700000</v>
      </c>
      <c r="X8" s="674">
        <v>2700000</v>
      </c>
      <c r="Y8" s="675">
        <f t="shared" si="0"/>
        <v>2700000</v>
      </c>
    </row>
    <row r="9" spans="1:25">
      <c r="A9" t="s">
        <v>426</v>
      </c>
      <c r="B9" s="840"/>
      <c r="C9" t="s">
        <v>1184</v>
      </c>
      <c r="D9" s="840"/>
      <c r="E9" s="840"/>
      <c r="O9" s="671">
        <v>7</v>
      </c>
      <c r="P9" s="672" t="s">
        <v>836</v>
      </c>
      <c r="Q9" s="672" t="s">
        <v>15</v>
      </c>
      <c r="R9" s="672" t="s">
        <v>847</v>
      </c>
      <c r="S9" s="672" t="s">
        <v>853</v>
      </c>
      <c r="T9" s="673" t="s">
        <v>372</v>
      </c>
      <c r="U9" s="674"/>
      <c r="V9" s="674"/>
      <c r="W9" s="674">
        <v>2700000</v>
      </c>
      <c r="X9" s="674">
        <v>2700000</v>
      </c>
      <c r="Y9" s="675">
        <f t="shared" si="0"/>
        <v>2700000</v>
      </c>
    </row>
    <row r="10" spans="1:25">
      <c r="A10" t="s">
        <v>1107</v>
      </c>
      <c r="B10" s="840"/>
      <c r="C10" t="s">
        <v>861</v>
      </c>
      <c r="D10" s="840"/>
      <c r="E10" s="840"/>
      <c r="O10" s="671">
        <v>9</v>
      </c>
      <c r="P10" s="672" t="s">
        <v>857</v>
      </c>
      <c r="Q10" s="672" t="s">
        <v>30</v>
      </c>
      <c r="R10" s="672" t="s">
        <v>858</v>
      </c>
      <c r="S10" s="672" t="s">
        <v>859</v>
      </c>
      <c r="T10" s="673" t="s">
        <v>372</v>
      </c>
      <c r="U10" s="674"/>
      <c r="V10" s="674"/>
      <c r="W10" s="674">
        <v>2700000</v>
      </c>
      <c r="X10" s="674">
        <v>2700000</v>
      </c>
      <c r="Y10" s="675">
        <f t="shared" si="0"/>
        <v>2700000</v>
      </c>
    </row>
    <row r="11" spans="1:25">
      <c r="A11" t="s">
        <v>58</v>
      </c>
      <c r="B11" s="840"/>
      <c r="C11" t="s">
        <v>1188</v>
      </c>
      <c r="D11" s="840"/>
      <c r="E11" s="840"/>
      <c r="O11" s="671">
        <v>10</v>
      </c>
      <c r="P11" s="672" t="s">
        <v>860</v>
      </c>
      <c r="Q11" s="672" t="s">
        <v>30</v>
      </c>
      <c r="R11" s="672" t="s">
        <v>858</v>
      </c>
      <c r="S11" s="672" t="s">
        <v>859</v>
      </c>
      <c r="T11" s="673" t="s">
        <v>372</v>
      </c>
      <c r="U11" s="674"/>
      <c r="V11" s="679"/>
      <c r="W11" s="674">
        <v>2700000</v>
      </c>
      <c r="X11" s="674">
        <v>2700000</v>
      </c>
      <c r="Y11" s="675">
        <f t="shared" si="0"/>
        <v>2700000</v>
      </c>
    </row>
    <row r="12" spans="1:25">
      <c r="A12" t="s">
        <v>60</v>
      </c>
      <c r="B12" s="840"/>
      <c r="C12" t="s">
        <v>1194</v>
      </c>
      <c r="D12" s="840"/>
      <c r="E12" s="840"/>
      <c r="O12" s="671">
        <v>13</v>
      </c>
      <c r="P12" s="672" t="s">
        <v>864</v>
      </c>
      <c r="Q12" s="672" t="s">
        <v>30</v>
      </c>
      <c r="R12" s="672" t="s">
        <v>865</v>
      </c>
      <c r="S12" s="672" t="s">
        <v>866</v>
      </c>
      <c r="T12" s="673" t="s">
        <v>372</v>
      </c>
      <c r="U12" s="674"/>
      <c r="V12" s="679"/>
      <c r="W12" s="674">
        <v>2700000</v>
      </c>
      <c r="X12" s="674">
        <v>2700000</v>
      </c>
      <c r="Y12" s="675">
        <f>MIN(W12:X12)</f>
        <v>2700000</v>
      </c>
    </row>
    <row r="13" spans="1:25">
      <c r="A13" t="s">
        <v>61</v>
      </c>
      <c r="B13" s="840"/>
      <c r="C13" t="s">
        <v>848</v>
      </c>
      <c r="D13" s="840"/>
      <c r="E13" s="840"/>
      <c r="O13" s="671">
        <v>11</v>
      </c>
      <c r="P13" s="680" t="s">
        <v>861</v>
      </c>
      <c r="Q13" s="681" t="s">
        <v>30</v>
      </c>
      <c r="R13" s="681" t="s">
        <v>858</v>
      </c>
      <c r="S13" s="680" t="s">
        <v>862</v>
      </c>
      <c r="T13" s="682" t="s">
        <v>372</v>
      </c>
      <c r="U13" s="674"/>
      <c r="V13" s="679"/>
      <c r="W13" s="674">
        <v>2700000</v>
      </c>
      <c r="X13" s="674">
        <v>2700000</v>
      </c>
      <c r="Y13" s="675">
        <f t="shared" ref="Y13:Y15" si="1">MIN(W13:X13)</f>
        <v>2700000</v>
      </c>
    </row>
    <row r="14" spans="1:25">
      <c r="A14" t="s">
        <v>63</v>
      </c>
      <c r="B14" s="840"/>
      <c r="C14" t="s">
        <v>1192</v>
      </c>
      <c r="D14" s="840"/>
      <c r="E14" s="840"/>
      <c r="O14" s="671">
        <v>12</v>
      </c>
      <c r="P14" s="680" t="s">
        <v>863</v>
      </c>
      <c r="Q14" s="681" t="s">
        <v>30</v>
      </c>
      <c r="R14" s="681" t="s">
        <v>858</v>
      </c>
      <c r="S14" s="680" t="s">
        <v>862</v>
      </c>
      <c r="T14" s="682" t="s">
        <v>372</v>
      </c>
      <c r="U14" s="674"/>
      <c r="V14" s="679"/>
      <c r="W14" s="674">
        <v>2700000</v>
      </c>
      <c r="X14" s="674">
        <v>2700000</v>
      </c>
      <c r="Y14" s="675">
        <f t="shared" si="1"/>
        <v>2700000</v>
      </c>
    </row>
    <row r="15" spans="1:25">
      <c r="A15" t="s">
        <v>64</v>
      </c>
      <c r="B15" s="840"/>
      <c r="C15" t="s">
        <v>833</v>
      </c>
      <c r="D15" s="840"/>
      <c r="E15" s="840"/>
      <c r="O15" s="671">
        <v>14</v>
      </c>
      <c r="P15" s="672" t="s">
        <v>867</v>
      </c>
      <c r="Q15" s="672" t="s">
        <v>15</v>
      </c>
      <c r="R15" s="672" t="s">
        <v>847</v>
      </c>
      <c r="S15" s="672" t="s">
        <v>529</v>
      </c>
      <c r="T15" s="673" t="s">
        <v>4</v>
      </c>
      <c r="U15" s="674">
        <v>250000</v>
      </c>
      <c r="V15" s="674">
        <v>11</v>
      </c>
      <c r="W15" s="674">
        <v>2500000</v>
      </c>
      <c r="X15" s="674">
        <v>2500000</v>
      </c>
      <c r="Y15" s="675">
        <f t="shared" si="1"/>
        <v>2500000</v>
      </c>
    </row>
    <row r="16" spans="1:25">
      <c r="A16" t="s">
        <v>65</v>
      </c>
      <c r="B16" s="840"/>
      <c r="C16" t="s">
        <v>833</v>
      </c>
      <c r="D16" s="840"/>
      <c r="E16" s="840"/>
      <c r="O16" s="671">
        <v>15</v>
      </c>
      <c r="P16" s="672" t="s">
        <v>868</v>
      </c>
      <c r="Q16" s="672" t="s">
        <v>15</v>
      </c>
      <c r="R16" s="672" t="s">
        <v>847</v>
      </c>
      <c r="S16" s="672" t="s">
        <v>403</v>
      </c>
      <c r="T16" s="673" t="s">
        <v>4</v>
      </c>
      <c r="U16" s="674">
        <v>250000</v>
      </c>
      <c r="V16" s="674">
        <v>13</v>
      </c>
      <c r="W16" s="674">
        <f t="shared" ref="W16:X22" si="2">U16*V16</f>
        <v>3250000</v>
      </c>
      <c r="X16" s="674">
        <v>3000000</v>
      </c>
      <c r="Y16" s="675">
        <f>MIN(W16:X16)</f>
        <v>3000000</v>
      </c>
    </row>
    <row r="17" spans="1:25">
      <c r="A17" t="s">
        <v>66</v>
      </c>
      <c r="B17" s="840"/>
      <c r="C17" t="s">
        <v>1189</v>
      </c>
      <c r="D17" s="840"/>
      <c r="E17" s="840"/>
      <c r="O17" s="671">
        <v>16</v>
      </c>
      <c r="P17" s="672" t="s">
        <v>833</v>
      </c>
      <c r="Q17" s="672" t="s">
        <v>15</v>
      </c>
      <c r="R17" s="672" t="s">
        <v>855</v>
      </c>
      <c r="S17" s="672" t="s">
        <v>869</v>
      </c>
      <c r="T17" s="673" t="s">
        <v>4</v>
      </c>
      <c r="U17" s="674">
        <v>250000</v>
      </c>
      <c r="V17" s="674">
        <v>10</v>
      </c>
      <c r="W17" s="674">
        <f t="shared" si="2"/>
        <v>2500000</v>
      </c>
      <c r="X17" s="674">
        <v>2500000</v>
      </c>
      <c r="Y17" s="675">
        <f t="shared" ref="Y17:Y22" si="3">MIN(W17:X17)</f>
        <v>2500000</v>
      </c>
    </row>
    <row r="18" spans="1:25">
      <c r="A18" t="s">
        <v>67</v>
      </c>
      <c r="B18" s="840"/>
      <c r="C18" t="s">
        <v>868</v>
      </c>
      <c r="D18" s="840"/>
      <c r="E18" s="840"/>
      <c r="O18" s="671">
        <v>17</v>
      </c>
      <c r="P18" s="672" t="s">
        <v>870</v>
      </c>
      <c r="Q18" s="672" t="s">
        <v>15</v>
      </c>
      <c r="R18" s="672" t="s">
        <v>855</v>
      </c>
      <c r="S18" s="672" t="s">
        <v>869</v>
      </c>
      <c r="T18" s="673" t="s">
        <v>4</v>
      </c>
      <c r="U18" s="674">
        <v>250000</v>
      </c>
      <c r="V18" s="674">
        <v>10</v>
      </c>
      <c r="W18" s="674">
        <f t="shared" si="2"/>
        <v>2500000</v>
      </c>
      <c r="X18" s="674">
        <v>2500000</v>
      </c>
      <c r="Y18" s="675">
        <f t="shared" si="3"/>
        <v>2500000</v>
      </c>
    </row>
    <row r="19" spans="1:25">
      <c r="A19" t="s">
        <v>68</v>
      </c>
      <c r="B19" s="840"/>
      <c r="C19" t="s">
        <v>850</v>
      </c>
      <c r="D19" s="840"/>
      <c r="E19" s="840"/>
      <c r="O19" s="671">
        <v>18</v>
      </c>
      <c r="P19" s="672" t="s">
        <v>871</v>
      </c>
      <c r="Q19" s="672" t="s">
        <v>25</v>
      </c>
      <c r="R19" s="672" t="s">
        <v>872</v>
      </c>
      <c r="S19" s="672" t="s">
        <v>529</v>
      </c>
      <c r="T19" s="673" t="s">
        <v>4</v>
      </c>
      <c r="U19" s="674">
        <v>250000</v>
      </c>
      <c r="V19" s="683">
        <v>3</v>
      </c>
      <c r="W19" s="674">
        <f t="shared" si="2"/>
        <v>750000</v>
      </c>
      <c r="X19" s="674">
        <v>2500000</v>
      </c>
      <c r="Y19" s="675">
        <f t="shared" si="3"/>
        <v>750000</v>
      </c>
    </row>
    <row r="20" spans="1:25">
      <c r="A20" t="s">
        <v>69</v>
      </c>
      <c r="B20" s="840"/>
      <c r="C20" t="s">
        <v>1187</v>
      </c>
      <c r="D20" s="840"/>
      <c r="E20" s="840"/>
      <c r="O20" s="671">
        <v>20</v>
      </c>
      <c r="P20" s="684" t="s">
        <v>875</v>
      </c>
      <c r="Q20" s="684" t="s">
        <v>30</v>
      </c>
      <c r="R20" s="684" t="s">
        <v>858</v>
      </c>
      <c r="S20" s="672" t="s">
        <v>529</v>
      </c>
      <c r="T20" s="673" t="s">
        <v>4</v>
      </c>
      <c r="U20" s="674">
        <v>250000</v>
      </c>
      <c r="V20" s="685">
        <v>9</v>
      </c>
      <c r="W20" s="674">
        <f t="shared" si="2"/>
        <v>2250000</v>
      </c>
      <c r="X20" s="674">
        <f t="shared" si="2"/>
        <v>20250000</v>
      </c>
      <c r="Y20" s="675">
        <f>MIN(W20:X20)</f>
        <v>2250000</v>
      </c>
    </row>
    <row r="21" spans="1:25">
      <c r="A21" t="s">
        <v>71</v>
      </c>
      <c r="B21" s="840"/>
      <c r="C21" t="s">
        <v>848</v>
      </c>
      <c r="D21" s="840"/>
      <c r="E21" s="840"/>
      <c r="O21" s="671">
        <v>21</v>
      </c>
      <c r="P21" s="684" t="s">
        <v>876</v>
      </c>
      <c r="Q21" s="684" t="s">
        <v>30</v>
      </c>
      <c r="R21" s="684" t="s">
        <v>858</v>
      </c>
      <c r="S21" s="684" t="s">
        <v>440</v>
      </c>
      <c r="T21" s="673" t="s">
        <v>4</v>
      </c>
      <c r="U21" s="674">
        <v>250000</v>
      </c>
      <c r="V21" s="674">
        <v>13</v>
      </c>
      <c r="W21" s="674">
        <f>U21*V21</f>
        <v>3250000</v>
      </c>
      <c r="X21" s="674">
        <v>3000000</v>
      </c>
      <c r="Y21" s="675">
        <f>MIN(W21:X21)</f>
        <v>3000000</v>
      </c>
    </row>
    <row r="22" spans="1:25">
      <c r="A22" t="s">
        <v>72</v>
      </c>
      <c r="B22" s="840"/>
      <c r="C22" t="s">
        <v>1194</v>
      </c>
      <c r="D22" s="840"/>
      <c r="E22" s="840"/>
      <c r="O22" s="671">
        <v>19</v>
      </c>
      <c r="P22" s="672" t="s">
        <v>873</v>
      </c>
      <c r="Q22" s="672" t="s">
        <v>30</v>
      </c>
      <c r="R22" s="672" t="s">
        <v>865</v>
      </c>
      <c r="S22" s="672" t="s">
        <v>874</v>
      </c>
      <c r="T22" s="673" t="s">
        <v>4</v>
      </c>
      <c r="U22" s="674">
        <v>250000</v>
      </c>
      <c r="V22" s="674">
        <v>10</v>
      </c>
      <c r="W22" s="674">
        <f t="shared" si="2"/>
        <v>2500000</v>
      </c>
      <c r="X22" s="674">
        <v>2500000</v>
      </c>
      <c r="Y22" s="675">
        <f t="shared" si="3"/>
        <v>2500000</v>
      </c>
    </row>
    <row r="23" spans="1:25">
      <c r="A23" t="s">
        <v>74</v>
      </c>
      <c r="B23" s="840"/>
      <c r="C23" t="s">
        <v>1191</v>
      </c>
      <c r="D23" s="840"/>
      <c r="E23" s="840"/>
      <c r="O23" s="671"/>
      <c r="P23" s="684" t="s">
        <v>877</v>
      </c>
      <c r="Q23" s="684"/>
      <c r="R23" s="684"/>
      <c r="S23" s="684"/>
      <c r="T23" s="673"/>
      <c r="U23" s="674"/>
      <c r="V23" s="674"/>
      <c r="W23" s="674">
        <f>SUM(W2:W22)</f>
        <v>54400000</v>
      </c>
      <c r="X23" s="674">
        <f>SUM(X2:X22)</f>
        <v>73650000</v>
      </c>
      <c r="Y23" s="675">
        <f>SUM(Y2:Y22)</f>
        <v>53900000</v>
      </c>
    </row>
    <row r="24" spans="1:25">
      <c r="A24" t="s">
        <v>277</v>
      </c>
      <c r="B24" s="840"/>
      <c r="C24" t="s">
        <v>1191</v>
      </c>
      <c r="D24" s="840"/>
      <c r="E24" s="840"/>
      <c r="O24" s="671"/>
      <c r="P24" s="684" t="s">
        <v>1105</v>
      </c>
      <c r="Q24" s="684"/>
      <c r="R24" s="684"/>
      <c r="S24" s="684"/>
      <c r="T24" s="673"/>
      <c r="U24" s="674"/>
      <c r="V24" s="674"/>
      <c r="W24" s="674">
        <f>SUM(W15:W22)</f>
        <v>19500000</v>
      </c>
      <c r="X24" s="674">
        <f>SUM(X15:X22)</f>
        <v>38750000</v>
      </c>
      <c r="Y24" s="675">
        <f>SUM(Y15:Y22)</f>
        <v>19000000</v>
      </c>
    </row>
    <row r="25" spans="1:25">
      <c r="A25" t="s">
        <v>278</v>
      </c>
      <c r="B25" s="840"/>
      <c r="C25" t="s">
        <v>1193</v>
      </c>
      <c r="D25" s="840"/>
      <c r="E25" s="840"/>
      <c r="O25" s="3"/>
      <c r="P25" s="684" t="s">
        <v>1106</v>
      </c>
      <c r="Q25" s="684"/>
      <c r="R25" s="684"/>
      <c r="S25" s="684"/>
      <c r="T25" s="673"/>
      <c r="U25" s="674"/>
      <c r="V25" s="674"/>
      <c r="W25" s="674">
        <f>SUM(W2:W14)</f>
        <v>34900000</v>
      </c>
      <c r="X25" s="674">
        <f>SUM(X2:X14)</f>
        <v>34900000</v>
      </c>
      <c r="Y25" s="675">
        <f>SUM(Y2:Y14)</f>
        <v>34900000</v>
      </c>
    </row>
    <row r="26" spans="1:25">
      <c r="A26" t="s">
        <v>279</v>
      </c>
      <c r="B26" s="840"/>
      <c r="C26" t="s">
        <v>836</v>
      </c>
      <c r="D26" s="840"/>
      <c r="E26" s="840"/>
    </row>
    <row r="27" spans="1:25">
      <c r="A27" t="s">
        <v>337</v>
      </c>
      <c r="B27" s="840"/>
      <c r="C27" t="s">
        <v>848</v>
      </c>
      <c r="D27" s="840"/>
      <c r="E27" s="840"/>
    </row>
    <row r="28" spans="1:25">
      <c r="A28" t="s">
        <v>408</v>
      </c>
      <c r="B28" s="840"/>
      <c r="C28" t="s">
        <v>868</v>
      </c>
      <c r="D28" s="840"/>
      <c r="E28" s="840"/>
    </row>
    <row r="29" spans="1:25">
      <c r="A29" t="s">
        <v>410</v>
      </c>
      <c r="B29" s="840"/>
      <c r="C29" t="s">
        <v>835</v>
      </c>
      <c r="D29" s="840"/>
      <c r="E29" s="840"/>
    </row>
    <row r="30" spans="1:25">
      <c r="A30" t="s">
        <v>411</v>
      </c>
      <c r="B30" s="840"/>
      <c r="C30" t="s">
        <v>854</v>
      </c>
      <c r="D30" s="840"/>
      <c r="E30" s="840"/>
    </row>
    <row r="31" spans="1:25">
      <c r="A31" t="s">
        <v>1109</v>
      </c>
      <c r="B31" s="840"/>
      <c r="C31" t="s">
        <v>870</v>
      </c>
      <c r="D31" s="840"/>
      <c r="E31" s="840"/>
    </row>
    <row r="32" spans="1:25">
      <c r="A32" t="s">
        <v>976</v>
      </c>
      <c r="B32" s="840"/>
      <c r="C32" t="s">
        <v>854</v>
      </c>
      <c r="D32" s="840"/>
      <c r="E32" s="840"/>
    </row>
    <row r="33" spans="1:5">
      <c r="A33" t="s">
        <v>979</v>
      </c>
      <c r="B33" s="840"/>
      <c r="C33" t="s">
        <v>836</v>
      </c>
      <c r="D33" s="840"/>
      <c r="E33" s="840"/>
    </row>
    <row r="34" spans="1:5">
      <c r="A34" t="s">
        <v>980</v>
      </c>
      <c r="B34" s="840"/>
      <c r="C34" t="s">
        <v>1186</v>
      </c>
      <c r="D34" s="840"/>
      <c r="E34" s="840"/>
    </row>
    <row r="35" spans="1:5">
      <c r="A35" t="s">
        <v>1108</v>
      </c>
      <c r="B35" s="840"/>
      <c r="C35" t="s">
        <v>850</v>
      </c>
      <c r="D35" s="840"/>
      <c r="E35" s="840"/>
    </row>
    <row r="36" spans="1:5">
      <c r="A36" t="s">
        <v>84</v>
      </c>
      <c r="B36" s="840"/>
      <c r="C36" t="s">
        <v>1184</v>
      </c>
      <c r="D36" s="840"/>
      <c r="E36" s="840"/>
    </row>
    <row r="37" spans="1:5">
      <c r="A37" t="s">
        <v>86</v>
      </c>
      <c r="B37" s="840"/>
      <c r="C37" t="s">
        <v>1184</v>
      </c>
      <c r="D37" s="840"/>
      <c r="E37" s="840"/>
    </row>
    <row r="38" spans="1:5">
      <c r="A38" t="s">
        <v>87</v>
      </c>
      <c r="B38" s="47"/>
      <c r="C38" t="s">
        <v>857</v>
      </c>
      <c r="D38" s="47"/>
      <c r="E38" s="47"/>
    </row>
    <row r="39" spans="1:5">
      <c r="A39" t="s">
        <v>89</v>
      </c>
      <c r="B39" s="840"/>
      <c r="C39" t="s">
        <v>1190</v>
      </c>
      <c r="D39" s="840"/>
      <c r="E39" s="840"/>
    </row>
    <row r="40" spans="1:5">
      <c r="A40" t="s">
        <v>90</v>
      </c>
      <c r="B40" s="840"/>
      <c r="C40" t="s">
        <v>876</v>
      </c>
      <c r="D40" s="840"/>
      <c r="E40" s="840"/>
    </row>
    <row r="41" spans="1:5">
      <c r="A41" t="s">
        <v>91</v>
      </c>
      <c r="B41" s="840"/>
      <c r="C41" t="s">
        <v>864</v>
      </c>
      <c r="D41" s="840"/>
      <c r="E41" s="840"/>
    </row>
    <row r="42" spans="1:5">
      <c r="A42" t="s">
        <v>93</v>
      </c>
      <c r="B42" s="840"/>
      <c r="C42" t="s">
        <v>863</v>
      </c>
      <c r="D42" s="840"/>
      <c r="E42" s="840"/>
    </row>
    <row r="43" spans="1:5">
      <c r="A43" t="s">
        <v>328</v>
      </c>
      <c r="B43" s="840"/>
      <c r="C43" t="s">
        <v>860</v>
      </c>
      <c r="D43" s="840"/>
      <c r="E43" s="840"/>
    </row>
    <row r="44" spans="1:5">
      <c r="A44" t="s">
        <v>445</v>
      </c>
      <c r="B44" s="840"/>
      <c r="C44" t="s">
        <v>873</v>
      </c>
      <c r="D44" s="840"/>
      <c r="E44" s="840"/>
    </row>
    <row r="45" spans="1:5">
      <c r="A45" t="s">
        <v>446</v>
      </c>
      <c r="B45" s="840"/>
      <c r="C45" t="s">
        <v>863</v>
      </c>
      <c r="D45" s="840"/>
      <c r="E45" s="840"/>
    </row>
    <row r="46" spans="1:5">
      <c r="A46" t="s">
        <v>1110</v>
      </c>
      <c r="B46" s="840"/>
      <c r="C46" t="s">
        <v>1184</v>
      </c>
      <c r="D46" s="840"/>
      <c r="E46" s="840"/>
    </row>
    <row r="47" spans="1:5">
      <c r="A47" t="s">
        <v>359</v>
      </c>
      <c r="B47" s="840"/>
      <c r="C47" t="s">
        <v>864</v>
      </c>
      <c r="D47" s="840"/>
      <c r="E47" s="840"/>
    </row>
    <row r="48" spans="1:5">
      <c r="A48" t="s">
        <v>361</v>
      </c>
      <c r="B48" s="840"/>
      <c r="C48" t="s">
        <v>1197</v>
      </c>
      <c r="D48" s="840"/>
      <c r="E48" s="840"/>
    </row>
    <row r="49" spans="1:5">
      <c r="A49" t="s">
        <v>886</v>
      </c>
      <c r="B49" s="47"/>
      <c r="C49" t="s">
        <v>861</v>
      </c>
      <c r="D49" s="47"/>
      <c r="E49" s="47"/>
    </row>
    <row r="50" spans="1:5">
      <c r="A50" t="s">
        <v>887</v>
      </c>
      <c r="B50" s="840"/>
      <c r="C50" t="s">
        <v>873</v>
      </c>
      <c r="D50" s="840"/>
      <c r="E50" s="840"/>
    </row>
    <row r="51" spans="1:5">
      <c r="A51" t="s">
        <v>882</v>
      </c>
      <c r="B51" s="47"/>
      <c r="C51" t="s">
        <v>873</v>
      </c>
      <c r="D51" s="47"/>
      <c r="E51" s="47"/>
    </row>
    <row r="52" spans="1:5">
      <c r="A52" t="s">
        <v>883</v>
      </c>
      <c r="B52" s="840"/>
      <c r="C52" t="s">
        <v>876</v>
      </c>
      <c r="D52" s="840"/>
      <c r="E52" s="840"/>
    </row>
    <row r="53" spans="1:5">
      <c r="A53" t="s">
        <v>884</v>
      </c>
      <c r="B53" s="840"/>
      <c r="C53" t="s">
        <v>876</v>
      </c>
      <c r="D53" s="840"/>
      <c r="E53" s="840"/>
    </row>
    <row r="54" spans="1:5">
      <c r="A54" t="s">
        <v>889</v>
      </c>
      <c r="B54" s="840"/>
      <c r="C54" t="s">
        <v>860</v>
      </c>
      <c r="D54" s="840"/>
      <c r="E54" s="840"/>
    </row>
    <row r="55" spans="1:5">
      <c r="A55" t="s">
        <v>891</v>
      </c>
      <c r="B55" s="840"/>
      <c r="C55" t="s">
        <v>1198</v>
      </c>
      <c r="D55" s="840"/>
      <c r="E55" s="840"/>
    </row>
    <row r="56" spans="1:5">
      <c r="A56" t="s">
        <v>892</v>
      </c>
      <c r="B56" s="47"/>
      <c r="C56" t="s">
        <v>1197</v>
      </c>
      <c r="D56" s="47"/>
      <c r="E56" s="47"/>
    </row>
    <row r="57" spans="1:5">
      <c r="A57" t="s">
        <v>497</v>
      </c>
      <c r="B57" s="840"/>
      <c r="C57" t="s">
        <v>835</v>
      </c>
      <c r="D57" s="840"/>
      <c r="E57" s="840"/>
    </row>
    <row r="58" spans="1:5">
      <c r="A58" t="s">
        <v>496</v>
      </c>
      <c r="B58" s="840"/>
      <c r="C58" t="s">
        <v>1189</v>
      </c>
      <c r="D58" s="840"/>
      <c r="E58" s="840"/>
    </row>
    <row r="59" spans="1:5">
      <c r="A59" t="s">
        <v>498</v>
      </c>
      <c r="B59" s="840"/>
      <c r="C59" t="s">
        <v>1186</v>
      </c>
      <c r="D59" s="840"/>
      <c r="E59" s="840"/>
    </row>
    <row r="60" spans="1:5">
      <c r="A60" t="s">
        <v>492</v>
      </c>
      <c r="C60" t="s">
        <v>1192</v>
      </c>
    </row>
    <row r="61" spans="1:5">
      <c r="A61" t="s">
        <v>451</v>
      </c>
      <c r="C61" t="s">
        <v>861</v>
      </c>
    </row>
    <row r="62" spans="1:5">
      <c r="A62" t="s">
        <v>452</v>
      </c>
      <c r="C62" t="s">
        <v>1197</v>
      </c>
    </row>
    <row r="63" spans="1:5">
      <c r="A63" t="s">
        <v>453</v>
      </c>
      <c r="C63" t="s">
        <v>1185</v>
      </c>
    </row>
    <row r="64" spans="1:5">
      <c r="A64" t="s">
        <v>491</v>
      </c>
      <c r="C64" t="s">
        <v>1198</v>
      </c>
    </row>
    <row r="65" spans="1:3">
      <c r="A65" t="s">
        <v>360</v>
      </c>
      <c r="C65" t="s">
        <v>1198</v>
      </c>
    </row>
  </sheetData>
  <autoFilter ref="A1:E65"/>
  <conditionalFormatting sqref="P1">
    <cfRule type="duplicateValues" dxfId="256" priority="19"/>
  </conditionalFormatting>
  <conditionalFormatting sqref="T23:T25 T19:T21 T2:T7 T15:T17 T10:T12">
    <cfRule type="cellIs" dxfId="255" priority="16" operator="equal">
      <formula>"Nokia"</formula>
    </cfRule>
    <cfRule type="cellIs" dxfId="254" priority="17" operator="equal">
      <formula>"Huawei"</formula>
    </cfRule>
    <cfRule type="cellIs" dxfId="253" priority="18" operator="equal">
      <formula>"Ericsson"</formula>
    </cfRule>
  </conditionalFormatting>
  <conditionalFormatting sqref="T18">
    <cfRule type="cellIs" dxfId="252" priority="13" operator="equal">
      <formula>"Nokia"</formula>
    </cfRule>
    <cfRule type="cellIs" dxfId="251" priority="14" operator="equal">
      <formula>"Huawei"</formula>
    </cfRule>
    <cfRule type="cellIs" dxfId="250" priority="15" operator="equal">
      <formula>"Ericsson"</formula>
    </cfRule>
  </conditionalFormatting>
  <conditionalFormatting sqref="T22">
    <cfRule type="cellIs" dxfId="249" priority="10" operator="equal">
      <formula>"Nokia"</formula>
    </cfRule>
    <cfRule type="cellIs" dxfId="248" priority="11" operator="equal">
      <formula>"Huawei"</formula>
    </cfRule>
    <cfRule type="cellIs" dxfId="247" priority="12" operator="equal">
      <formula>"Ericsson"</formula>
    </cfRule>
  </conditionalFormatting>
  <conditionalFormatting sqref="T13">
    <cfRule type="cellIs" dxfId="246" priority="7" operator="equal">
      <formula>"Nokia"</formula>
    </cfRule>
    <cfRule type="cellIs" dxfId="245" priority="8" operator="equal">
      <formula>"Huawei"</formula>
    </cfRule>
    <cfRule type="cellIs" dxfId="244" priority="9" operator="equal">
      <formula>"Ericsson"</formula>
    </cfRule>
  </conditionalFormatting>
  <conditionalFormatting sqref="T14">
    <cfRule type="cellIs" dxfId="243" priority="4" operator="equal">
      <formula>"Nokia"</formula>
    </cfRule>
    <cfRule type="cellIs" dxfId="242" priority="5" operator="equal">
      <formula>"Huawei"</formula>
    </cfRule>
    <cfRule type="cellIs" dxfId="241" priority="6" operator="equal">
      <formula>"Ericsson"</formula>
    </cfRule>
  </conditionalFormatting>
  <conditionalFormatting sqref="T8:T9">
    <cfRule type="cellIs" dxfId="240" priority="1" operator="equal">
      <formula>"Nokia"</formula>
    </cfRule>
    <cfRule type="cellIs" dxfId="239" priority="2" operator="equal">
      <formula>"Huawei"</formula>
    </cfRule>
    <cfRule type="cellIs" dxfId="238" priority="3" operator="equal">
      <formula>"Ericsson"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:U45"/>
  <sheetViews>
    <sheetView topLeftCell="A9" workbookViewId="0">
      <selection activeCell="S1" sqref="S1:S45"/>
    </sheetView>
  </sheetViews>
  <sheetFormatPr defaultRowHeight="15"/>
  <cols>
    <col min="1" max="1" width="22.85546875" bestFit="1" customWidth="1"/>
    <col min="10" max="10" width="20.140625" bestFit="1" customWidth="1"/>
    <col min="17" max="17" width="11" bestFit="1" customWidth="1"/>
  </cols>
  <sheetData>
    <row r="1" spans="1:21">
      <c r="A1" t="s">
        <v>831</v>
      </c>
      <c r="B1" t="s">
        <v>864</v>
      </c>
      <c r="C1" t="s">
        <v>1201</v>
      </c>
      <c r="D1" t="s">
        <v>1202</v>
      </c>
      <c r="J1" t="s">
        <v>1203</v>
      </c>
      <c r="K1" t="s">
        <v>851</v>
      </c>
      <c r="L1" t="s">
        <v>1201</v>
      </c>
      <c r="M1" t="s">
        <v>1202</v>
      </c>
      <c r="Q1" t="s">
        <v>75</v>
      </c>
      <c r="R1" t="s">
        <v>831</v>
      </c>
      <c r="S1" t="s">
        <v>851</v>
      </c>
      <c r="T1" t="s">
        <v>1201</v>
      </c>
      <c r="U1" t="s">
        <v>1202</v>
      </c>
    </row>
    <row r="2" spans="1:21">
      <c r="A2" t="s">
        <v>831</v>
      </c>
      <c r="B2" t="s">
        <v>1197</v>
      </c>
      <c r="C2" t="s">
        <v>1201</v>
      </c>
      <c r="D2" t="s">
        <v>1202</v>
      </c>
      <c r="J2" t="s">
        <v>1204</v>
      </c>
      <c r="K2" t="s">
        <v>837</v>
      </c>
      <c r="L2" t="s">
        <v>1201</v>
      </c>
      <c r="M2" t="s">
        <v>1202</v>
      </c>
      <c r="Q2" t="s">
        <v>77</v>
      </c>
      <c r="R2" t="s">
        <v>831</v>
      </c>
      <c r="S2" t="s">
        <v>837</v>
      </c>
      <c r="T2" t="s">
        <v>1201</v>
      </c>
      <c r="U2" t="s">
        <v>1202</v>
      </c>
    </row>
    <row r="3" spans="1:21">
      <c r="A3" t="s">
        <v>831</v>
      </c>
      <c r="B3" t="s">
        <v>861</v>
      </c>
      <c r="C3" t="s">
        <v>1201</v>
      </c>
      <c r="D3" t="s">
        <v>1202</v>
      </c>
      <c r="J3" t="s">
        <v>1205</v>
      </c>
      <c r="K3" t="s">
        <v>1190</v>
      </c>
      <c r="L3" t="s">
        <v>1201</v>
      </c>
      <c r="M3" t="s">
        <v>1202</v>
      </c>
      <c r="Q3" t="s">
        <v>78</v>
      </c>
      <c r="R3" t="s">
        <v>831</v>
      </c>
      <c r="S3" t="s">
        <v>1190</v>
      </c>
      <c r="T3" t="s">
        <v>1201</v>
      </c>
      <c r="U3" t="s">
        <v>1202</v>
      </c>
    </row>
    <row r="4" spans="1:21">
      <c r="A4" t="s">
        <v>831</v>
      </c>
      <c r="B4" t="s">
        <v>873</v>
      </c>
      <c r="C4" t="s">
        <v>1201</v>
      </c>
      <c r="D4" t="s">
        <v>1202</v>
      </c>
      <c r="J4" t="s">
        <v>1206</v>
      </c>
      <c r="K4" t="s">
        <v>864</v>
      </c>
      <c r="L4" t="s">
        <v>1201</v>
      </c>
      <c r="M4" t="s">
        <v>1202</v>
      </c>
      <c r="Q4" t="s">
        <v>80</v>
      </c>
      <c r="R4" t="s">
        <v>831</v>
      </c>
      <c r="S4" t="s">
        <v>864</v>
      </c>
      <c r="T4" t="s">
        <v>1201</v>
      </c>
      <c r="U4" t="s">
        <v>1202</v>
      </c>
    </row>
    <row r="5" spans="1:21">
      <c r="A5" t="s">
        <v>831</v>
      </c>
      <c r="B5" t="s">
        <v>873</v>
      </c>
      <c r="C5" t="s">
        <v>1201</v>
      </c>
      <c r="D5" t="s">
        <v>1202</v>
      </c>
      <c r="J5" t="s">
        <v>1207</v>
      </c>
      <c r="K5" t="s">
        <v>1190</v>
      </c>
      <c r="L5" t="s">
        <v>1201</v>
      </c>
      <c r="M5" t="s">
        <v>1202</v>
      </c>
      <c r="Q5" t="s">
        <v>81</v>
      </c>
      <c r="R5" t="s">
        <v>831</v>
      </c>
      <c r="S5" t="s">
        <v>1190</v>
      </c>
      <c r="T5" t="s">
        <v>1201</v>
      </c>
      <c r="U5" t="s">
        <v>1202</v>
      </c>
    </row>
    <row r="6" spans="1:21">
      <c r="A6" t="s">
        <v>831</v>
      </c>
      <c r="B6" t="s">
        <v>876</v>
      </c>
      <c r="C6" t="s">
        <v>1201</v>
      </c>
      <c r="D6" t="s">
        <v>1202</v>
      </c>
      <c r="J6" t="s">
        <v>1208</v>
      </c>
      <c r="K6" t="s">
        <v>857</v>
      </c>
      <c r="L6" t="s">
        <v>1201</v>
      </c>
      <c r="M6" t="s">
        <v>1202</v>
      </c>
      <c r="Q6" t="s">
        <v>83</v>
      </c>
      <c r="R6" t="s">
        <v>831</v>
      </c>
      <c r="S6" t="s">
        <v>857</v>
      </c>
      <c r="T6" t="s">
        <v>1201</v>
      </c>
      <c r="U6" t="s">
        <v>1202</v>
      </c>
    </row>
    <row r="7" spans="1:21">
      <c r="A7" t="s">
        <v>831</v>
      </c>
      <c r="B7" t="s">
        <v>876</v>
      </c>
      <c r="C7" t="s">
        <v>1201</v>
      </c>
      <c r="D7" t="s">
        <v>1202</v>
      </c>
      <c r="J7" t="s">
        <v>1209</v>
      </c>
      <c r="K7" t="s">
        <v>857</v>
      </c>
      <c r="L7" t="s">
        <v>1201</v>
      </c>
      <c r="M7" t="s">
        <v>1202</v>
      </c>
      <c r="Q7" t="s">
        <v>276</v>
      </c>
      <c r="R7" t="s">
        <v>831</v>
      </c>
      <c r="S7" t="s">
        <v>857</v>
      </c>
      <c r="T7" t="s">
        <v>1201</v>
      </c>
      <c r="U7" t="s">
        <v>1202</v>
      </c>
    </row>
    <row r="8" spans="1:21">
      <c r="A8" t="s">
        <v>831</v>
      </c>
      <c r="B8" t="s">
        <v>860</v>
      </c>
      <c r="C8" t="s">
        <v>1201</v>
      </c>
      <c r="D8" t="s">
        <v>1202</v>
      </c>
      <c r="J8" t="s">
        <v>1235</v>
      </c>
      <c r="K8" t="s">
        <v>1184</v>
      </c>
      <c r="L8" t="s">
        <v>1201</v>
      </c>
      <c r="M8" t="s">
        <v>1202</v>
      </c>
      <c r="Q8" t="s">
        <v>426</v>
      </c>
      <c r="R8" t="s">
        <v>831</v>
      </c>
      <c r="S8" t="s">
        <v>1184</v>
      </c>
      <c r="T8" t="s">
        <v>1201</v>
      </c>
      <c r="U8" t="s">
        <v>1202</v>
      </c>
    </row>
    <row r="9" spans="1:21">
      <c r="A9" t="s">
        <v>831</v>
      </c>
      <c r="B9" t="s">
        <v>1198</v>
      </c>
      <c r="C9" t="s">
        <v>1201</v>
      </c>
      <c r="D9" t="s">
        <v>1202</v>
      </c>
      <c r="J9" t="s">
        <v>1236</v>
      </c>
      <c r="K9" t="s">
        <v>861</v>
      </c>
      <c r="L9" t="s">
        <v>1201</v>
      </c>
      <c r="M9" t="s">
        <v>1202</v>
      </c>
      <c r="Q9" t="s">
        <v>1107</v>
      </c>
      <c r="R9" t="s">
        <v>831</v>
      </c>
      <c r="S9" t="s">
        <v>861</v>
      </c>
      <c r="T9" t="s">
        <v>1201</v>
      </c>
      <c r="U9" t="s">
        <v>1202</v>
      </c>
    </row>
    <row r="10" spans="1:21">
      <c r="A10" t="s">
        <v>831</v>
      </c>
      <c r="B10" t="s">
        <v>1197</v>
      </c>
      <c r="C10" t="s">
        <v>1201</v>
      </c>
      <c r="D10" t="s">
        <v>1202</v>
      </c>
      <c r="J10" t="s">
        <v>1210</v>
      </c>
      <c r="K10" t="s">
        <v>1188</v>
      </c>
      <c r="L10" t="s">
        <v>1201</v>
      </c>
      <c r="M10" t="s">
        <v>1202</v>
      </c>
      <c r="Q10" t="s">
        <v>58</v>
      </c>
      <c r="R10" t="s">
        <v>831</v>
      </c>
      <c r="S10" t="s">
        <v>1188</v>
      </c>
      <c r="T10" t="s">
        <v>1201</v>
      </c>
      <c r="U10" t="s">
        <v>1202</v>
      </c>
    </row>
    <row r="11" spans="1:21">
      <c r="A11" t="s">
        <v>831</v>
      </c>
      <c r="B11" t="s">
        <v>835</v>
      </c>
      <c r="C11" t="s">
        <v>1201</v>
      </c>
      <c r="D11" t="s">
        <v>1202</v>
      </c>
      <c r="J11" t="s">
        <v>1211</v>
      </c>
      <c r="K11" t="s">
        <v>1194</v>
      </c>
      <c r="L11" t="s">
        <v>1201</v>
      </c>
      <c r="M11" t="s">
        <v>1202</v>
      </c>
      <c r="Q11" t="s">
        <v>60</v>
      </c>
      <c r="R11" t="s">
        <v>831</v>
      </c>
      <c r="S11" t="s">
        <v>1194</v>
      </c>
      <c r="T11" t="s">
        <v>1201</v>
      </c>
      <c r="U11" t="s">
        <v>1202</v>
      </c>
    </row>
    <row r="12" spans="1:21">
      <c r="A12" t="s">
        <v>831</v>
      </c>
      <c r="B12" t="s">
        <v>1189</v>
      </c>
      <c r="C12" t="s">
        <v>1201</v>
      </c>
      <c r="D12" t="s">
        <v>1202</v>
      </c>
      <c r="J12" t="s">
        <v>1212</v>
      </c>
      <c r="K12" t="s">
        <v>848</v>
      </c>
      <c r="L12" t="s">
        <v>1201</v>
      </c>
      <c r="M12" t="s">
        <v>1202</v>
      </c>
      <c r="Q12" t="s">
        <v>61</v>
      </c>
      <c r="R12" t="s">
        <v>831</v>
      </c>
      <c r="S12" t="s">
        <v>848</v>
      </c>
      <c r="T12" t="s">
        <v>1201</v>
      </c>
      <c r="U12" t="s">
        <v>1202</v>
      </c>
    </row>
    <row r="13" spans="1:21">
      <c r="A13" t="s">
        <v>831</v>
      </c>
      <c r="B13" t="s">
        <v>1186</v>
      </c>
      <c r="C13" t="s">
        <v>1201</v>
      </c>
      <c r="D13" t="s">
        <v>1202</v>
      </c>
      <c r="J13" t="s">
        <v>1213</v>
      </c>
      <c r="K13" t="s">
        <v>1192</v>
      </c>
      <c r="L13" t="s">
        <v>1201</v>
      </c>
      <c r="M13" t="s">
        <v>1202</v>
      </c>
      <c r="Q13" t="s">
        <v>63</v>
      </c>
      <c r="R13" t="s">
        <v>831</v>
      </c>
      <c r="S13" t="s">
        <v>1192</v>
      </c>
      <c r="T13" t="s">
        <v>1201</v>
      </c>
      <c r="U13" t="s">
        <v>1202</v>
      </c>
    </row>
    <row r="14" spans="1:21">
      <c r="A14" t="s">
        <v>831</v>
      </c>
      <c r="B14" t="s">
        <v>1192</v>
      </c>
      <c r="C14" t="s">
        <v>1201</v>
      </c>
      <c r="D14" t="s">
        <v>1202</v>
      </c>
      <c r="J14" t="s">
        <v>1214</v>
      </c>
      <c r="K14" t="s">
        <v>833</v>
      </c>
      <c r="L14" t="s">
        <v>1201</v>
      </c>
      <c r="M14" t="s">
        <v>1202</v>
      </c>
      <c r="Q14" t="s">
        <v>64</v>
      </c>
      <c r="R14" t="s">
        <v>831</v>
      </c>
      <c r="S14" t="s">
        <v>833</v>
      </c>
      <c r="T14" t="s">
        <v>1201</v>
      </c>
      <c r="U14" t="s">
        <v>1202</v>
      </c>
    </row>
    <row r="15" spans="1:21">
      <c r="A15" t="s">
        <v>831</v>
      </c>
      <c r="B15" t="s">
        <v>861</v>
      </c>
      <c r="C15" t="s">
        <v>1201</v>
      </c>
      <c r="D15" t="s">
        <v>1202</v>
      </c>
      <c r="J15" t="s">
        <v>1215</v>
      </c>
      <c r="K15" t="s">
        <v>833</v>
      </c>
      <c r="L15" t="s">
        <v>1201</v>
      </c>
      <c r="M15" t="s">
        <v>1202</v>
      </c>
      <c r="Q15" t="s">
        <v>65</v>
      </c>
      <c r="R15" t="s">
        <v>831</v>
      </c>
      <c r="S15" t="s">
        <v>833</v>
      </c>
      <c r="T15" t="s">
        <v>1201</v>
      </c>
      <c r="U15" t="s">
        <v>1202</v>
      </c>
    </row>
    <row r="16" spans="1:21">
      <c r="A16" t="s">
        <v>831</v>
      </c>
      <c r="B16" t="s">
        <v>1197</v>
      </c>
      <c r="C16" t="s">
        <v>1201</v>
      </c>
      <c r="D16" t="s">
        <v>1202</v>
      </c>
      <c r="J16" t="s">
        <v>1216</v>
      </c>
      <c r="K16" t="s">
        <v>1189</v>
      </c>
      <c r="L16" t="s">
        <v>1201</v>
      </c>
      <c r="M16" t="s">
        <v>1202</v>
      </c>
      <c r="Q16" t="s">
        <v>66</v>
      </c>
      <c r="R16" t="s">
        <v>831</v>
      </c>
      <c r="S16" t="s">
        <v>1189</v>
      </c>
      <c r="T16" t="s">
        <v>1201</v>
      </c>
      <c r="U16" t="s">
        <v>1202</v>
      </c>
    </row>
    <row r="17" spans="1:21">
      <c r="A17" t="s">
        <v>831</v>
      </c>
      <c r="B17" t="s">
        <v>1185</v>
      </c>
      <c r="C17" t="s">
        <v>1201</v>
      </c>
      <c r="D17" t="s">
        <v>1202</v>
      </c>
      <c r="J17" t="s">
        <v>1217</v>
      </c>
      <c r="K17" t="s">
        <v>868</v>
      </c>
      <c r="L17" t="s">
        <v>1201</v>
      </c>
      <c r="M17" t="s">
        <v>1202</v>
      </c>
      <c r="Q17" t="s">
        <v>67</v>
      </c>
      <c r="R17" t="s">
        <v>831</v>
      </c>
      <c r="S17" t="s">
        <v>868</v>
      </c>
      <c r="T17" t="s">
        <v>1201</v>
      </c>
      <c r="U17" t="s">
        <v>1202</v>
      </c>
    </row>
    <row r="18" spans="1:21">
      <c r="A18" t="s">
        <v>831</v>
      </c>
      <c r="B18" t="s">
        <v>1198</v>
      </c>
      <c r="C18" t="s">
        <v>1201</v>
      </c>
      <c r="D18" t="s">
        <v>1202</v>
      </c>
      <c r="J18" t="s">
        <v>1218</v>
      </c>
      <c r="K18" t="s">
        <v>850</v>
      </c>
      <c r="L18" t="s">
        <v>1201</v>
      </c>
      <c r="M18" t="s">
        <v>1202</v>
      </c>
      <c r="Q18" t="s">
        <v>68</v>
      </c>
      <c r="R18" t="s">
        <v>831</v>
      </c>
      <c r="S18" t="s">
        <v>850</v>
      </c>
      <c r="T18" t="s">
        <v>1201</v>
      </c>
      <c r="U18" t="s">
        <v>1202</v>
      </c>
    </row>
    <row r="19" spans="1:21">
      <c r="J19" t="s">
        <v>1219</v>
      </c>
      <c r="K19" t="s">
        <v>1187</v>
      </c>
      <c r="L19" t="s">
        <v>1201</v>
      </c>
      <c r="M19" t="s">
        <v>1202</v>
      </c>
      <c r="Q19" t="s">
        <v>69</v>
      </c>
      <c r="R19" t="s">
        <v>831</v>
      </c>
      <c r="S19" t="s">
        <v>1187</v>
      </c>
      <c r="T19" t="s">
        <v>1201</v>
      </c>
      <c r="U19" t="s">
        <v>1202</v>
      </c>
    </row>
    <row r="20" spans="1:21">
      <c r="J20" t="s">
        <v>1220</v>
      </c>
      <c r="K20" t="s">
        <v>848</v>
      </c>
      <c r="L20" t="s">
        <v>1201</v>
      </c>
      <c r="M20" t="s">
        <v>1202</v>
      </c>
      <c r="Q20" t="s">
        <v>71</v>
      </c>
      <c r="R20" t="s">
        <v>831</v>
      </c>
      <c r="S20" t="s">
        <v>848</v>
      </c>
      <c r="T20" t="s">
        <v>1201</v>
      </c>
      <c r="U20" t="s">
        <v>1202</v>
      </c>
    </row>
    <row r="21" spans="1:21">
      <c r="J21" t="s">
        <v>1221</v>
      </c>
      <c r="K21" t="s">
        <v>1194</v>
      </c>
      <c r="L21" t="s">
        <v>1201</v>
      </c>
      <c r="M21" t="s">
        <v>1202</v>
      </c>
      <c r="Q21" t="s">
        <v>72</v>
      </c>
      <c r="R21" t="s">
        <v>831</v>
      </c>
      <c r="S21" t="s">
        <v>1194</v>
      </c>
      <c r="T21" t="s">
        <v>1201</v>
      </c>
      <c r="U21" t="s">
        <v>1202</v>
      </c>
    </row>
    <row r="22" spans="1:21">
      <c r="J22" t="s">
        <v>1222</v>
      </c>
      <c r="K22" t="s">
        <v>1191</v>
      </c>
      <c r="L22" t="s">
        <v>1201</v>
      </c>
      <c r="M22" t="s">
        <v>1202</v>
      </c>
      <c r="Q22" t="s">
        <v>74</v>
      </c>
      <c r="R22" t="s">
        <v>831</v>
      </c>
      <c r="S22" t="s">
        <v>1191</v>
      </c>
      <c r="T22" t="s">
        <v>1201</v>
      </c>
      <c r="U22" t="s">
        <v>1202</v>
      </c>
    </row>
    <row r="23" spans="1:21">
      <c r="J23" t="s">
        <v>1223</v>
      </c>
      <c r="K23" t="s">
        <v>1191</v>
      </c>
      <c r="L23" t="s">
        <v>1201</v>
      </c>
      <c r="M23" t="s">
        <v>1202</v>
      </c>
      <c r="Q23" t="s">
        <v>277</v>
      </c>
      <c r="R23" t="s">
        <v>831</v>
      </c>
      <c r="S23" t="s">
        <v>1191</v>
      </c>
      <c r="T23" t="s">
        <v>1201</v>
      </c>
      <c r="U23" t="s">
        <v>1202</v>
      </c>
    </row>
    <row r="24" spans="1:21">
      <c r="J24" t="s">
        <v>1224</v>
      </c>
      <c r="K24" t="s">
        <v>1193</v>
      </c>
      <c r="L24" t="s">
        <v>1201</v>
      </c>
      <c r="M24" t="s">
        <v>1202</v>
      </c>
      <c r="Q24" t="s">
        <v>278</v>
      </c>
      <c r="R24" t="s">
        <v>831</v>
      </c>
      <c r="S24" t="s">
        <v>1193</v>
      </c>
      <c r="T24" t="s">
        <v>1201</v>
      </c>
      <c r="U24" t="s">
        <v>1202</v>
      </c>
    </row>
    <row r="25" spans="1:21">
      <c r="J25" t="s">
        <v>1225</v>
      </c>
      <c r="K25" t="s">
        <v>836</v>
      </c>
      <c r="L25" t="s">
        <v>1201</v>
      </c>
      <c r="M25" t="s">
        <v>1202</v>
      </c>
      <c r="Q25" t="s">
        <v>279</v>
      </c>
      <c r="R25" t="s">
        <v>831</v>
      </c>
      <c r="S25" t="s">
        <v>836</v>
      </c>
      <c r="T25" t="s">
        <v>1201</v>
      </c>
      <c r="U25" t="s">
        <v>1202</v>
      </c>
    </row>
    <row r="26" spans="1:21">
      <c r="J26" t="s">
        <v>1226</v>
      </c>
      <c r="K26" t="s">
        <v>848</v>
      </c>
      <c r="L26" t="s">
        <v>1201</v>
      </c>
      <c r="M26" t="s">
        <v>1202</v>
      </c>
      <c r="Q26" t="s">
        <v>337</v>
      </c>
      <c r="R26" t="s">
        <v>831</v>
      </c>
      <c r="S26" t="s">
        <v>848</v>
      </c>
      <c r="T26" t="s">
        <v>1201</v>
      </c>
      <c r="U26" t="s">
        <v>1202</v>
      </c>
    </row>
    <row r="27" spans="1:21">
      <c r="J27" t="s">
        <v>1237</v>
      </c>
      <c r="K27" t="s">
        <v>868</v>
      </c>
      <c r="L27" t="s">
        <v>1201</v>
      </c>
      <c r="M27" t="s">
        <v>1202</v>
      </c>
      <c r="Q27" t="s">
        <v>408</v>
      </c>
      <c r="R27" t="s">
        <v>831</v>
      </c>
      <c r="S27" t="s">
        <v>868</v>
      </c>
      <c r="T27" t="s">
        <v>1201</v>
      </c>
      <c r="U27" t="s">
        <v>1202</v>
      </c>
    </row>
    <row r="28" spans="1:21">
      <c r="J28" t="s">
        <v>1238</v>
      </c>
      <c r="K28" t="s">
        <v>835</v>
      </c>
      <c r="L28" t="s">
        <v>1201</v>
      </c>
      <c r="M28" t="s">
        <v>1202</v>
      </c>
      <c r="Q28" t="s">
        <v>410</v>
      </c>
      <c r="R28" t="s">
        <v>831</v>
      </c>
      <c r="S28" t="s">
        <v>835</v>
      </c>
      <c r="T28" t="s">
        <v>1201</v>
      </c>
      <c r="U28" t="s">
        <v>1202</v>
      </c>
    </row>
    <row r="29" spans="1:21">
      <c r="J29" t="s">
        <v>1239</v>
      </c>
      <c r="K29" t="s">
        <v>854</v>
      </c>
      <c r="L29" t="s">
        <v>1201</v>
      </c>
      <c r="M29" t="s">
        <v>1202</v>
      </c>
      <c r="Q29" t="s">
        <v>411</v>
      </c>
      <c r="R29" t="s">
        <v>831</v>
      </c>
      <c r="S29" t="s">
        <v>854</v>
      </c>
      <c r="T29" t="s">
        <v>1201</v>
      </c>
      <c r="U29" t="s">
        <v>1202</v>
      </c>
    </row>
    <row r="30" spans="1:21">
      <c r="J30" t="s">
        <v>1240</v>
      </c>
      <c r="K30" t="s">
        <v>870</v>
      </c>
      <c r="L30" t="s">
        <v>1201</v>
      </c>
      <c r="M30" t="s">
        <v>1202</v>
      </c>
      <c r="Q30" t="s">
        <v>1109</v>
      </c>
      <c r="R30" t="s">
        <v>831</v>
      </c>
      <c r="S30" t="s">
        <v>870</v>
      </c>
      <c r="T30" t="s">
        <v>1201</v>
      </c>
      <c r="U30" t="s">
        <v>1202</v>
      </c>
    </row>
    <row r="31" spans="1:21">
      <c r="J31" t="s">
        <v>1241</v>
      </c>
      <c r="K31" t="s">
        <v>854</v>
      </c>
      <c r="L31" t="s">
        <v>1201</v>
      </c>
      <c r="M31" t="s">
        <v>1202</v>
      </c>
      <c r="Q31" t="s">
        <v>976</v>
      </c>
      <c r="R31" t="s">
        <v>831</v>
      </c>
      <c r="S31" t="s">
        <v>854</v>
      </c>
      <c r="T31" t="s">
        <v>1201</v>
      </c>
      <c r="U31" t="s">
        <v>1202</v>
      </c>
    </row>
    <row r="32" spans="1:21">
      <c r="J32" t="s">
        <v>1242</v>
      </c>
      <c r="K32" t="s">
        <v>836</v>
      </c>
      <c r="L32" t="s">
        <v>1201</v>
      </c>
      <c r="M32" t="s">
        <v>1202</v>
      </c>
      <c r="Q32" t="s">
        <v>979</v>
      </c>
      <c r="R32" t="s">
        <v>831</v>
      </c>
      <c r="S32" t="s">
        <v>836</v>
      </c>
      <c r="T32" t="s">
        <v>1201</v>
      </c>
      <c r="U32" t="s">
        <v>1202</v>
      </c>
    </row>
    <row r="33" spans="10:21">
      <c r="J33" t="s">
        <v>1243</v>
      </c>
      <c r="K33" t="s">
        <v>1186</v>
      </c>
      <c r="L33" t="s">
        <v>1201</v>
      </c>
      <c r="M33" t="s">
        <v>1202</v>
      </c>
      <c r="Q33" t="s">
        <v>980</v>
      </c>
      <c r="R33" t="s">
        <v>831</v>
      </c>
      <c r="S33" t="s">
        <v>1186</v>
      </c>
      <c r="T33" t="s">
        <v>1201</v>
      </c>
      <c r="U33" t="s">
        <v>1202</v>
      </c>
    </row>
    <row r="34" spans="10:21">
      <c r="J34" t="s">
        <v>1244</v>
      </c>
      <c r="K34" t="s">
        <v>850</v>
      </c>
      <c r="L34" t="s">
        <v>1201</v>
      </c>
      <c r="M34" t="s">
        <v>1202</v>
      </c>
      <c r="Q34" t="s">
        <v>1108</v>
      </c>
      <c r="R34" t="s">
        <v>831</v>
      </c>
      <c r="S34" t="s">
        <v>850</v>
      </c>
      <c r="T34" t="s">
        <v>1201</v>
      </c>
      <c r="U34" t="s">
        <v>1202</v>
      </c>
    </row>
    <row r="35" spans="10:21">
      <c r="J35" t="s">
        <v>1227</v>
      </c>
      <c r="K35" t="s">
        <v>1184</v>
      </c>
      <c r="L35" t="s">
        <v>1201</v>
      </c>
      <c r="M35" t="s">
        <v>1202</v>
      </c>
      <c r="Q35" t="s">
        <v>84</v>
      </c>
      <c r="R35" t="s">
        <v>831</v>
      </c>
      <c r="S35" t="s">
        <v>1184</v>
      </c>
      <c r="T35" t="s">
        <v>1201</v>
      </c>
      <c r="U35" t="s">
        <v>1202</v>
      </c>
    </row>
    <row r="36" spans="10:21">
      <c r="J36" t="s">
        <v>1228</v>
      </c>
      <c r="K36" t="s">
        <v>1184</v>
      </c>
      <c r="L36" t="s">
        <v>1201</v>
      </c>
      <c r="M36" t="s">
        <v>1202</v>
      </c>
      <c r="Q36" t="s">
        <v>86</v>
      </c>
      <c r="R36" t="s">
        <v>831</v>
      </c>
      <c r="S36" t="s">
        <v>1184</v>
      </c>
      <c r="T36" t="s">
        <v>1201</v>
      </c>
      <c r="U36" t="s">
        <v>1202</v>
      </c>
    </row>
    <row r="37" spans="10:21">
      <c r="J37" t="s">
        <v>1229</v>
      </c>
      <c r="K37" t="s">
        <v>857</v>
      </c>
      <c r="L37" t="s">
        <v>1201</v>
      </c>
      <c r="M37" t="s">
        <v>1202</v>
      </c>
      <c r="Q37" t="s">
        <v>87</v>
      </c>
      <c r="R37" t="s">
        <v>831</v>
      </c>
      <c r="S37" t="s">
        <v>857</v>
      </c>
      <c r="T37" t="s">
        <v>1201</v>
      </c>
      <c r="U37" t="s">
        <v>1202</v>
      </c>
    </row>
    <row r="38" spans="10:21">
      <c r="J38" t="s">
        <v>1230</v>
      </c>
      <c r="K38" t="s">
        <v>1190</v>
      </c>
      <c r="L38" t="s">
        <v>1201</v>
      </c>
      <c r="M38" t="s">
        <v>1202</v>
      </c>
      <c r="Q38" t="s">
        <v>89</v>
      </c>
      <c r="R38" t="s">
        <v>831</v>
      </c>
      <c r="S38" t="s">
        <v>1190</v>
      </c>
      <c r="T38" t="s">
        <v>1201</v>
      </c>
      <c r="U38" t="s">
        <v>1202</v>
      </c>
    </row>
    <row r="39" spans="10:21">
      <c r="J39" t="s">
        <v>1231</v>
      </c>
      <c r="K39" t="s">
        <v>876</v>
      </c>
      <c r="L39" t="s">
        <v>1201</v>
      </c>
      <c r="M39" t="s">
        <v>1202</v>
      </c>
      <c r="Q39" t="s">
        <v>90</v>
      </c>
      <c r="R39" t="s">
        <v>831</v>
      </c>
      <c r="S39" t="s">
        <v>876</v>
      </c>
      <c r="T39" t="s">
        <v>1201</v>
      </c>
      <c r="U39" t="s">
        <v>1202</v>
      </c>
    </row>
    <row r="40" spans="10:21">
      <c r="J40" t="s">
        <v>1232</v>
      </c>
      <c r="K40" t="s">
        <v>864</v>
      </c>
      <c r="L40" t="s">
        <v>1201</v>
      </c>
      <c r="M40" t="s">
        <v>1202</v>
      </c>
      <c r="Q40" t="s">
        <v>91</v>
      </c>
      <c r="R40" t="s">
        <v>831</v>
      </c>
      <c r="S40" t="s">
        <v>864</v>
      </c>
      <c r="T40" t="s">
        <v>1201</v>
      </c>
      <c r="U40" t="s">
        <v>1202</v>
      </c>
    </row>
    <row r="41" spans="10:21">
      <c r="J41" t="s">
        <v>1233</v>
      </c>
      <c r="K41" t="s">
        <v>863</v>
      </c>
      <c r="L41" t="s">
        <v>1201</v>
      </c>
      <c r="M41" t="s">
        <v>1202</v>
      </c>
      <c r="Q41" t="s">
        <v>93</v>
      </c>
      <c r="R41" t="s">
        <v>831</v>
      </c>
      <c r="S41" t="s">
        <v>863</v>
      </c>
      <c r="T41" t="s">
        <v>1201</v>
      </c>
      <c r="U41" t="s">
        <v>1202</v>
      </c>
    </row>
    <row r="42" spans="10:21">
      <c r="J42" t="s">
        <v>1234</v>
      </c>
      <c r="K42" t="s">
        <v>860</v>
      </c>
      <c r="L42" t="s">
        <v>1201</v>
      </c>
      <c r="M42" t="s">
        <v>1202</v>
      </c>
      <c r="Q42" t="s">
        <v>328</v>
      </c>
      <c r="R42" t="s">
        <v>831</v>
      </c>
      <c r="S42" t="s">
        <v>860</v>
      </c>
      <c r="T42" t="s">
        <v>1201</v>
      </c>
      <c r="U42" t="s">
        <v>1202</v>
      </c>
    </row>
    <row r="43" spans="10:21">
      <c r="J43" t="s">
        <v>1245</v>
      </c>
      <c r="K43" t="s">
        <v>873</v>
      </c>
      <c r="L43" t="s">
        <v>1201</v>
      </c>
      <c r="M43" t="s">
        <v>1202</v>
      </c>
      <c r="Q43" t="s">
        <v>445</v>
      </c>
      <c r="R43" t="s">
        <v>831</v>
      </c>
      <c r="S43" t="s">
        <v>873</v>
      </c>
      <c r="T43" t="s">
        <v>1201</v>
      </c>
      <c r="U43" t="s">
        <v>1202</v>
      </c>
    </row>
    <row r="44" spans="10:21">
      <c r="J44" t="s">
        <v>1246</v>
      </c>
      <c r="K44" t="s">
        <v>863</v>
      </c>
      <c r="L44" t="s">
        <v>1201</v>
      </c>
      <c r="M44" t="s">
        <v>1202</v>
      </c>
      <c r="Q44" t="s">
        <v>446</v>
      </c>
      <c r="R44" t="s">
        <v>831</v>
      </c>
      <c r="S44" t="s">
        <v>863</v>
      </c>
      <c r="T44" t="s">
        <v>1201</v>
      </c>
      <c r="U44" t="s">
        <v>1202</v>
      </c>
    </row>
    <row r="45" spans="10:21">
      <c r="J45" t="s">
        <v>1247</v>
      </c>
      <c r="K45" t="s">
        <v>1184</v>
      </c>
      <c r="L45" t="s">
        <v>1201</v>
      </c>
      <c r="M45" t="s">
        <v>1202</v>
      </c>
      <c r="Q45" t="s">
        <v>1110</v>
      </c>
      <c r="R45" t="s">
        <v>831</v>
      </c>
      <c r="S45" t="s">
        <v>1184</v>
      </c>
      <c r="T45" t="s">
        <v>1201</v>
      </c>
      <c r="U45" t="s">
        <v>1202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2060"/>
  </sheetPr>
  <dimension ref="A1:AP86"/>
  <sheetViews>
    <sheetView tabSelected="1" zoomScale="85" zoomScaleNormal="85" workbookViewId="0">
      <pane xSplit="9" ySplit="2" topLeftCell="L3" activePane="bottomRight" state="frozen"/>
      <selection activeCell="K56" sqref="K56"/>
      <selection pane="topRight" activeCell="K56" sqref="K56"/>
      <selection pane="bottomLeft" activeCell="K56" sqref="K56"/>
      <selection pane="bottomRight" activeCell="R21" sqref="R21"/>
    </sheetView>
  </sheetViews>
  <sheetFormatPr defaultColWidth="8.7109375" defaultRowHeight="15"/>
  <cols>
    <col min="1" max="1" width="4.42578125" style="65" bestFit="1" customWidth="1"/>
    <col min="2" max="2" width="10.28515625" style="65" customWidth="1"/>
    <col min="3" max="3" width="13.5703125" style="65" customWidth="1"/>
    <col min="4" max="4" width="8" style="65" bestFit="1" customWidth="1"/>
    <col min="5" max="5" width="12.5703125" style="65" bestFit="1" customWidth="1"/>
    <col min="6" max="6" width="11.5703125" style="65" bestFit="1" customWidth="1"/>
    <col min="7" max="7" width="13.42578125" style="65" customWidth="1"/>
    <col min="8" max="8" width="10.28515625" style="65" customWidth="1"/>
    <col min="9" max="9" width="12.28515625" style="65" customWidth="1"/>
    <col min="10" max="10" width="14.5703125" style="71" hidden="1" customWidth="1"/>
    <col min="11" max="11" width="12.7109375" style="71" hidden="1" customWidth="1"/>
    <col min="12" max="12" width="14.28515625" style="71" customWidth="1"/>
    <col min="13" max="13" width="12.42578125" style="71" customWidth="1"/>
    <col min="14" max="14" width="11.5703125" style="71" bestFit="1" customWidth="1"/>
    <col min="15" max="15" width="10.7109375" style="72" bestFit="1" customWidth="1"/>
    <col min="16" max="16" width="13.140625" style="72" bestFit="1" customWidth="1"/>
    <col min="17" max="17" width="8.7109375" style="72" bestFit="1" customWidth="1"/>
    <col min="18" max="18" width="15.7109375" style="72" customWidth="1"/>
    <col min="19" max="19" width="15.5703125" style="72" bestFit="1" customWidth="1"/>
    <col min="20" max="20" width="16.140625" style="145" bestFit="1" customWidth="1"/>
    <col min="21" max="21" width="16" style="145" bestFit="1" customWidth="1"/>
    <col min="22" max="22" width="18.85546875" style="145" bestFit="1" customWidth="1"/>
    <col min="23" max="23" width="12.140625" style="145" bestFit="1" customWidth="1"/>
    <col min="24" max="24" width="12" style="145" customWidth="1"/>
    <col min="25" max="25" width="12.42578125" style="64" hidden="1" customWidth="1"/>
    <col min="26" max="26" width="16" style="64" hidden="1" customWidth="1"/>
    <col min="27" max="27" width="12.42578125" style="64" hidden="1" customWidth="1"/>
    <col min="28" max="28" width="17.28515625" style="64" hidden="1" customWidth="1"/>
    <col min="29" max="29" width="13.85546875" style="64" hidden="1" customWidth="1"/>
    <col min="30" max="30" width="12" style="64" hidden="1" customWidth="1"/>
    <col min="31" max="31" width="12.7109375" style="64" hidden="1" customWidth="1"/>
    <col min="32" max="33" width="8.7109375" style="64" hidden="1" customWidth="1"/>
    <col min="34" max="34" width="7.7109375" style="161" bestFit="1" customWidth="1"/>
    <col min="35" max="35" width="7.42578125" style="64" bestFit="1" customWidth="1"/>
    <col min="36" max="36" width="9.85546875" style="64" bestFit="1" customWidth="1"/>
    <col min="37" max="37" width="8.85546875" style="71" bestFit="1" customWidth="1"/>
    <col min="38" max="38" width="9.85546875" style="64" customWidth="1"/>
    <col min="39" max="39" width="20.85546875" style="64" bestFit="1" customWidth="1"/>
    <col min="40" max="40" width="16" style="65" bestFit="1" customWidth="1"/>
    <col min="41" max="16384" width="8.7109375" style="65"/>
  </cols>
  <sheetData>
    <row r="1" spans="1:42" ht="27.6" customHeight="1">
      <c r="A1" s="343"/>
      <c r="B1" s="833"/>
      <c r="C1" s="833"/>
      <c r="D1" s="833"/>
      <c r="E1" s="1023" t="s">
        <v>1096</v>
      </c>
      <c r="F1" s="1024"/>
      <c r="G1" s="1019" t="s">
        <v>1027</v>
      </c>
      <c r="H1" s="1019"/>
      <c r="I1" s="1019"/>
      <c r="J1" s="1020">
        <v>45979.833333333336</v>
      </c>
      <c r="K1" s="1021"/>
      <c r="L1" s="1020">
        <f>Input_NOCPRO_GGSN!B2</f>
        <v>46203.875</v>
      </c>
      <c r="M1" s="1043"/>
      <c r="N1" s="1021"/>
      <c r="O1" s="1022" t="s">
        <v>6</v>
      </c>
      <c r="P1" s="1022"/>
      <c r="Q1" s="834"/>
      <c r="R1" s="834"/>
      <c r="S1" s="834"/>
      <c r="T1" s="1017" t="s">
        <v>371</v>
      </c>
      <c r="U1" s="1017"/>
      <c r="V1" s="1017"/>
      <c r="W1" s="1017"/>
      <c r="X1" s="1017"/>
      <c r="Y1" s="344">
        <v>0.45</v>
      </c>
      <c r="Z1" s="344">
        <f>Input_TaiNguyenNode__GGSN_Daily!K2/Input_TaiNguyenNode__GGSN_Daily!G2</f>
        <v>0.54262743734450614</v>
      </c>
      <c r="AA1" s="344"/>
      <c r="AB1" s="344"/>
      <c r="AC1" s="344">
        <v>0.82</v>
      </c>
      <c r="AD1" s="344"/>
      <c r="AE1" s="344"/>
      <c r="AF1" s="344"/>
      <c r="AG1" s="344"/>
      <c r="AH1" s="345"/>
      <c r="AI1" s="344"/>
      <c r="AJ1" s="344"/>
      <c r="AK1" s="346"/>
      <c r="AL1" s="344"/>
      <c r="AM1" s="347"/>
      <c r="AN1" s="348"/>
    </row>
    <row r="2" spans="1:42" ht="51">
      <c r="A2" s="332" t="s">
        <v>0</v>
      </c>
      <c r="B2" s="332" t="s">
        <v>7</v>
      </c>
      <c r="C2" s="332" t="s">
        <v>43</v>
      </c>
      <c r="D2" s="332" t="s">
        <v>761</v>
      </c>
      <c r="E2" s="332" t="s">
        <v>1094</v>
      </c>
      <c r="F2" s="332" t="s">
        <v>1095</v>
      </c>
      <c r="G2" s="332" t="s">
        <v>490</v>
      </c>
      <c r="H2" s="332" t="s">
        <v>262</v>
      </c>
      <c r="I2" s="332" t="s">
        <v>1097</v>
      </c>
      <c r="J2" s="333" t="s">
        <v>263</v>
      </c>
      <c r="K2" s="333" t="s">
        <v>48</v>
      </c>
      <c r="L2" s="333" t="s">
        <v>1128</v>
      </c>
      <c r="M2" s="333" t="s">
        <v>1129</v>
      </c>
      <c r="N2" s="333" t="s">
        <v>48</v>
      </c>
      <c r="O2" s="334" t="s">
        <v>49</v>
      </c>
      <c r="P2" s="334" t="s">
        <v>50</v>
      </c>
      <c r="Q2" s="334" t="s">
        <v>831</v>
      </c>
      <c r="R2" s="841" t="s">
        <v>1200</v>
      </c>
      <c r="S2" s="841" t="s">
        <v>1199</v>
      </c>
      <c r="T2" s="333" t="s">
        <v>263</v>
      </c>
      <c r="U2" s="333" t="s">
        <v>1132</v>
      </c>
      <c r="V2" s="333" t="s">
        <v>1104</v>
      </c>
      <c r="W2" s="333" t="s">
        <v>49</v>
      </c>
      <c r="X2" s="333" t="s">
        <v>50</v>
      </c>
      <c r="Y2" s="332" t="s">
        <v>52</v>
      </c>
      <c r="Z2" s="332" t="s">
        <v>238</v>
      </c>
      <c r="AA2" s="332" t="s">
        <v>239</v>
      </c>
      <c r="AB2" s="332" t="s">
        <v>53</v>
      </c>
      <c r="AC2" s="332" t="s">
        <v>54</v>
      </c>
      <c r="AD2" s="332" t="s">
        <v>55</v>
      </c>
      <c r="AE2" s="333" t="s">
        <v>316</v>
      </c>
      <c r="AF2" s="332" t="s">
        <v>57</v>
      </c>
      <c r="AG2" s="333" t="s">
        <v>258</v>
      </c>
      <c r="AH2" s="336" t="s">
        <v>264</v>
      </c>
      <c r="AI2" s="335" t="s">
        <v>266</v>
      </c>
      <c r="AJ2" s="852" t="s">
        <v>268</v>
      </c>
      <c r="AK2" s="333" t="s">
        <v>269</v>
      </c>
      <c r="AL2" s="335" t="s">
        <v>318</v>
      </c>
      <c r="AM2" s="338" t="s">
        <v>370</v>
      </c>
      <c r="AN2" s="348" t="s">
        <v>304</v>
      </c>
    </row>
    <row r="3" spans="1:42" s="199" customFormat="1">
      <c r="A3" s="417">
        <v>1</v>
      </c>
      <c r="B3" s="417" t="s">
        <v>497</v>
      </c>
      <c r="C3" s="846" t="str">
        <f>VLOOKUP(LEFT(B3,6),'GGSN-Lic'!A:AP,39,FALSE)</f>
        <v>NFV VHT</v>
      </c>
      <c r="D3" s="417" t="s">
        <v>15</v>
      </c>
      <c r="E3" s="418">
        <f>VLOOKUP(LEFT(B3,6),'GGSN-Lic'!A:AP,37,FALSE)*1000*AJ3</f>
        <v>4500000</v>
      </c>
      <c r="F3" s="418">
        <f>VLOOKUP(LEFT(B3,6),'GGSN-Lic'!A:AP,38,FALSE)*1000*AJ3</f>
        <v>150000</v>
      </c>
      <c r="G3" s="418">
        <f>VLOOKUP(B3,Input_Lic_Rate_PS!K:P,4,FALSE)</f>
        <v>4500000</v>
      </c>
      <c r="H3" s="418">
        <f>VLOOKUP(B3,Input_Lic_Rate_PS!K:R,5,FALSE)</f>
        <v>150000</v>
      </c>
      <c r="I3" s="418">
        <f>VLOOKUP(B3,Input_Lic_Rate_PS!K:R,7,FALSE)</f>
        <v>4500000</v>
      </c>
      <c r="J3" s="847">
        <v>2333754</v>
      </c>
      <c r="K3" s="847">
        <v>88777.52</v>
      </c>
      <c r="L3" s="851">
        <f>_xlfn.IFNA(VLOOKUP(B3,Input_NOCPRO_GGSN!C:G,4,FALSE),0)</f>
        <v>1716536</v>
      </c>
      <c r="M3" s="851">
        <f>L3*50%</f>
        <v>858268</v>
      </c>
      <c r="N3" s="851">
        <f>_xlfn.IFNA(VLOOKUP(B3,Input_NOCPRO_GGSN!C:G,5,FALSE),0)</f>
        <v>73947.31</v>
      </c>
      <c r="O3" s="360">
        <f t="shared" ref="O3:O34" si="0">IFERROR(L3/G3,0)</f>
        <v>0.38145244444444443</v>
      </c>
      <c r="P3" s="420">
        <f t="shared" ref="P3:P34" si="1">IFERROR(N3/H3,0)</f>
        <v>0.49298206666666666</v>
      </c>
      <c r="Q3" s="350" t="str">
        <f>VLOOKUP(B3,IMS!A:C,3,FALSE)</f>
        <v>SBHL15</v>
      </c>
      <c r="R3" s="843">
        <f>SUMIF($Q$3:$Q$70,Q3,$M$3:$M$70)</f>
        <v>1821468.5</v>
      </c>
      <c r="S3" s="843">
        <f t="shared" ref="S3:S34" si="2">SUMIF($Q$3:$Q$70,Q3,$V$3:$V$70)</f>
        <v>2159358.5655009924</v>
      </c>
      <c r="T3" s="853">
        <f>(L3+(AK3/SUM($AK$3:$AK$31)-AH3/SUM($AH$3:$AH$31))*SUM($L$3:$L$31))*AJ3</f>
        <v>2075658.5693526303</v>
      </c>
      <c r="U3" s="854">
        <f t="shared" ref="U3:U31" si="3">(N3+(AK3/SUM($AK$3:$AK$31)-AH3/SUM($AH$3:$AH$31))*SUM($N$3:$N$31))*AJ3-$U$82*(AK3/SUM($AK$3:$AK$31))/2</f>
        <v>88442.293620783545</v>
      </c>
      <c r="V3" s="854">
        <f t="shared" ref="V3:V31" si="4">(M3+(AK3/SUM($AK$3:$AK$31)-AH3/SUM($AH$3:$AH$31))*SUM($M$3:$M$31))*AJ3</f>
        <v>1037150.9758534667</v>
      </c>
      <c r="W3" s="420">
        <f t="shared" ref="W3:W34" si="5">IFERROR(T3/G3,0)</f>
        <v>0.46125745985614008</v>
      </c>
      <c r="X3" s="420">
        <f t="shared" ref="X3:X34" si="6">IFERROR(U3/H3,0)</f>
        <v>0.58961529080522368</v>
      </c>
      <c r="Y3" s="1056">
        <f>SUM(U3:U6)</f>
        <v>389772.36075248948</v>
      </c>
      <c r="Z3" s="1059">
        <f>Y3*$Z$1</f>
        <v>211501.17726284172</v>
      </c>
      <c r="AA3" s="1056">
        <f>SUM(F3:F6)</f>
        <v>550000</v>
      </c>
      <c r="AB3" s="1062" t="s">
        <v>547</v>
      </c>
      <c r="AC3" s="1059">
        <f>Y3*$AC$1</f>
        <v>319613.33581704134</v>
      </c>
      <c r="AD3" s="1056">
        <v>450000</v>
      </c>
      <c r="AE3" s="1065">
        <f>Z3/Y3</f>
        <v>0.54262743734450614</v>
      </c>
      <c r="AF3" s="1065">
        <f>AC3/AD3</f>
        <v>0.710251857371203</v>
      </c>
      <c r="AG3" s="1065">
        <f>(AC3-Z3)/AD3</f>
        <v>0.24024924123155469</v>
      </c>
      <c r="AH3" s="882">
        <v>90</v>
      </c>
      <c r="AI3" s="256">
        <f t="shared" ref="AI3:AI34" si="7">N3/(SUM($N$7:$N$31))*SUM($AH$7:$AH$31)</f>
        <v>74.08790708422805</v>
      </c>
      <c r="AJ3" s="855">
        <f t="shared" ref="AJ3:AJ69" si="8">IF(AK3=0,0,1)</f>
        <v>1</v>
      </c>
      <c r="AK3" s="884">
        <v>90</v>
      </c>
      <c r="AL3" s="353" t="str">
        <f>IF(VALUE(AH3)=AK3,"NO","YES")</f>
        <v>NO</v>
      </c>
      <c r="AM3" s="354" t="str">
        <f>VLOOKUP(B3,Input_Lic_Rate_PS!K:S,9,FALSE)</f>
        <v>TCPD07</v>
      </c>
      <c r="AN3" s="355">
        <f t="shared" ref="AN3:AN34" si="9">U3-N3</f>
        <v>14494.983620783547</v>
      </c>
      <c r="AP3" s="199" t="str">
        <f>IF(AK28&lt;&gt;AH28,"NO","YES")</f>
        <v>YES</v>
      </c>
    </row>
    <row r="4" spans="1:42" s="199" customFormat="1">
      <c r="A4" s="417">
        <v>2</v>
      </c>
      <c r="B4" s="417" t="s">
        <v>496</v>
      </c>
      <c r="C4" s="846" t="str">
        <f>VLOOKUP(LEFT(B4,6),'GGSN-Lic'!A:AP,39,FALSE)</f>
        <v>NFV VHT</v>
      </c>
      <c r="D4" s="417" t="s">
        <v>15</v>
      </c>
      <c r="E4" s="418">
        <f>VLOOKUP(LEFT(B4,6),'GGSN-Lic'!A:AP,37,FALSE)*1000*AJ4</f>
        <v>4500000</v>
      </c>
      <c r="F4" s="418">
        <f>VLOOKUP(LEFT(B4,6),'GGSN-Lic'!A:AP,38,FALSE)*1000*AJ4</f>
        <v>150000</v>
      </c>
      <c r="G4" s="418">
        <f>VLOOKUP(B4,Input_Lic_Rate_PS!K:P,4,FALSE)</f>
        <v>4500000</v>
      </c>
      <c r="H4" s="418">
        <f>VLOOKUP(B4,Input_Lic_Rate_PS!K:R,5,FALSE)</f>
        <v>150000</v>
      </c>
      <c r="I4" s="418">
        <f>VLOOKUP(B4,Input_Lic_Rate_PS!K:R,7,FALSE)</f>
        <v>4500000</v>
      </c>
      <c r="J4" s="847">
        <v>2306341</v>
      </c>
      <c r="K4" s="847">
        <v>88791.13</v>
      </c>
      <c r="L4" s="851">
        <f>_xlfn.IFNA(VLOOKUP(B4,Input_NOCPRO_GGSN!C:G,4,FALSE),0)</f>
        <v>1719128</v>
      </c>
      <c r="M4" s="851">
        <f t="shared" ref="M4:M67" si="10">L4*50%</f>
        <v>859564</v>
      </c>
      <c r="N4" s="851">
        <f>_xlfn.IFNA(VLOOKUP(B4,Input_NOCPRO_GGSN!C:G,5,FALSE),0)</f>
        <v>73989.91</v>
      </c>
      <c r="O4" s="360">
        <f t="shared" si="0"/>
        <v>0.38202844444444445</v>
      </c>
      <c r="P4" s="420">
        <f t="shared" si="1"/>
        <v>0.49326606666666667</v>
      </c>
      <c r="Q4" s="350" t="str">
        <f>VLOOKUP(B4,IMS!A:C,3,FALSE)</f>
        <v>SBHA18</v>
      </c>
      <c r="R4" s="843">
        <f t="shared" ref="R4:R69" si="11">SUMIF($Q$3:$Q$70,Q4,$M$3:$M$70)</f>
        <v>1741140</v>
      </c>
      <c r="S4" s="843">
        <f t="shared" si="2"/>
        <v>2059154.1792950518</v>
      </c>
      <c r="T4" s="853">
        <f t="shared" ref="T4:T31" si="12">(L4+(AK4/SUM($AK$3:$AK$31)-AH4/SUM($AH$3:$AH$31))*SUM($L$3:$L$31))*AJ4-$T$82*(AK4/SUM($AK$3:$AK$31))/2</f>
        <v>2078250.5693526303</v>
      </c>
      <c r="U4" s="854">
        <f t="shared" si="3"/>
        <v>88484.89362078355</v>
      </c>
      <c r="V4" s="854">
        <f t="shared" si="4"/>
        <v>1038446.9758534667</v>
      </c>
      <c r="W4" s="420">
        <f t="shared" si="5"/>
        <v>0.46183345985614005</v>
      </c>
      <c r="X4" s="420">
        <f t="shared" si="6"/>
        <v>0.58989929080522363</v>
      </c>
      <c r="Y4" s="1057"/>
      <c r="Z4" s="1060"/>
      <c r="AA4" s="1057"/>
      <c r="AB4" s="1063"/>
      <c r="AC4" s="1060"/>
      <c r="AD4" s="1057"/>
      <c r="AE4" s="1066"/>
      <c r="AF4" s="1066"/>
      <c r="AG4" s="1066"/>
      <c r="AH4" s="882">
        <v>90</v>
      </c>
      <c r="AI4" s="256">
        <f t="shared" si="7"/>
        <v>74.130588080220846</v>
      </c>
      <c r="AJ4" s="855">
        <f t="shared" si="8"/>
        <v>1</v>
      </c>
      <c r="AK4" s="884">
        <v>90</v>
      </c>
      <c r="AL4" s="353" t="str">
        <f t="shared" ref="AL4:AL67" si="13">IF(VALUE(AH4)=AK4,"NO","YES")</f>
        <v>NO</v>
      </c>
      <c r="AM4" s="354" t="str">
        <f>VLOOKUP(B4,Input_Lic_Rate_PS!K:S,9,FALSE)</f>
        <v>TCPD07</v>
      </c>
      <c r="AN4" s="355">
        <f t="shared" si="9"/>
        <v>14494.983620783547</v>
      </c>
    </row>
    <row r="5" spans="1:42" s="199" customFormat="1">
      <c r="A5" s="417">
        <v>3</v>
      </c>
      <c r="B5" s="417" t="s">
        <v>498</v>
      </c>
      <c r="C5" s="846" t="str">
        <f>VLOOKUP(LEFT(B5,6),'GGSN-Lic'!A:AP,39,FALSE)</f>
        <v>NFV VHT</v>
      </c>
      <c r="D5" s="417" t="s">
        <v>15</v>
      </c>
      <c r="E5" s="418">
        <f>VLOOKUP(LEFT(B5,6),'GGSN-Lic'!A:AP,37,FALSE)*1000*AJ5</f>
        <v>3500000</v>
      </c>
      <c r="F5" s="418">
        <f>VLOOKUP(LEFT(B5,6),'GGSN-Lic'!A:AP,38,FALSE)*1000*AJ5</f>
        <v>100000</v>
      </c>
      <c r="G5" s="418">
        <f>VLOOKUP(B5,Input_Lic_Rate_PS!K:P,4,FALSE)</f>
        <v>4500000</v>
      </c>
      <c r="H5" s="418">
        <f>VLOOKUP(B5,Input_Lic_Rate_PS!K:R,5,FALSE)</f>
        <v>150000</v>
      </c>
      <c r="I5" s="418">
        <f>VLOOKUP(B5,Input_Lic_Rate_PS!K:R,7,FALSE)</f>
        <v>4500000</v>
      </c>
      <c r="J5" s="847">
        <v>3075825</v>
      </c>
      <c r="K5" s="847">
        <v>116824.07</v>
      </c>
      <c r="L5" s="851">
        <f>_xlfn.IFNA(VLOOKUP(B5,Input_NOCPRO_GGSN!C:G,4,FALSE),0)</f>
        <v>2292961</v>
      </c>
      <c r="M5" s="851">
        <f t="shared" si="10"/>
        <v>1146480.5</v>
      </c>
      <c r="N5" s="851">
        <f>_xlfn.IFNA(VLOOKUP(B5,Input_NOCPRO_GGSN!C:G,5,FALSE),0)</f>
        <v>98606.04</v>
      </c>
      <c r="O5" s="360">
        <f t="shared" si="0"/>
        <v>0.50954688888888888</v>
      </c>
      <c r="P5" s="420">
        <f t="shared" si="1"/>
        <v>0.6573736</v>
      </c>
      <c r="Q5" s="350" t="str">
        <f>VLOOKUP(B5,IMS!A:C,3,FALSE)</f>
        <v>SBHA19</v>
      </c>
      <c r="R5" s="843">
        <f t="shared" si="11"/>
        <v>2011556.5</v>
      </c>
      <c r="S5" s="843">
        <f t="shared" si="2"/>
        <v>2110819.0140520218</v>
      </c>
      <c r="T5" s="853">
        <f t="shared" si="12"/>
        <v>2212921.2639547405</v>
      </c>
      <c r="U5" s="854">
        <f t="shared" si="3"/>
        <v>95375.458683210978</v>
      </c>
      <c r="V5" s="854">
        <f t="shared" si="4"/>
        <v>1106611.8106104364</v>
      </c>
      <c r="W5" s="420">
        <f t="shared" si="5"/>
        <v>0.49176028087883122</v>
      </c>
      <c r="X5" s="420">
        <f t="shared" si="6"/>
        <v>0.63583639122140656</v>
      </c>
      <c r="Y5" s="1057"/>
      <c r="Z5" s="1060"/>
      <c r="AA5" s="1057"/>
      <c r="AB5" s="1063"/>
      <c r="AC5" s="1060"/>
      <c r="AD5" s="1057"/>
      <c r="AE5" s="1066"/>
      <c r="AF5" s="1066"/>
      <c r="AG5" s="1066"/>
      <c r="AH5" s="886">
        <v>120</v>
      </c>
      <c r="AI5" s="341">
        <f t="shared" si="7"/>
        <v>98.793521082290539</v>
      </c>
      <c r="AJ5" s="856">
        <f t="shared" si="8"/>
        <v>1</v>
      </c>
      <c r="AK5" s="887">
        <v>100</v>
      </c>
      <c r="AL5" s="353" t="str">
        <f t="shared" si="13"/>
        <v>YES</v>
      </c>
      <c r="AM5" s="354" t="str">
        <f>VLOOKUP(B5,Input_Lic_Rate_PS!K:S,9,FALSE)</f>
        <v>TCPD07</v>
      </c>
      <c r="AN5" s="355">
        <f t="shared" si="9"/>
        <v>-3230.5813167890155</v>
      </c>
    </row>
    <row r="6" spans="1:42" s="199" customFormat="1">
      <c r="A6" s="417">
        <v>4</v>
      </c>
      <c r="B6" s="417" t="s">
        <v>492</v>
      </c>
      <c r="C6" s="846" t="str">
        <f>VLOOKUP(LEFT(B6,6),'GGSN-Lic'!A:AP,39,FALSE)</f>
        <v>NFV VHT</v>
      </c>
      <c r="D6" s="417" t="s">
        <v>15</v>
      </c>
      <c r="E6" s="418">
        <f>VLOOKUP(LEFT(B6,6),'GGSN-Lic'!A:AP,37,FALSE)*1000*AJ6</f>
        <v>4500000</v>
      </c>
      <c r="F6" s="418">
        <f>VLOOKUP(LEFT(B6,6),'GGSN-Lic'!A:AP,38,FALSE)*1000*AJ6</f>
        <v>150000</v>
      </c>
      <c r="G6" s="418">
        <f>VLOOKUP(B6,Input_Lic_Rate_PS!K:P,4,FALSE)</f>
        <v>4500000</v>
      </c>
      <c r="H6" s="418">
        <f>VLOOKUP(B6,Input_Lic_Rate_PS!K:R,5,FALSE)</f>
        <v>150000</v>
      </c>
      <c r="I6" s="418">
        <f>VLOOKUP(B6,Input_Lic_Rate_PS!K:R,7,FALSE)</f>
        <v>4500000</v>
      </c>
      <c r="J6" s="847">
        <v>3048884</v>
      </c>
      <c r="K6" s="847">
        <v>116981.69</v>
      </c>
      <c r="L6" s="851">
        <f>_xlfn.IFNA(VLOOKUP(B6,Input_NOCPRO_GGSN!C:G,4,FALSE),0)</f>
        <v>2289918</v>
      </c>
      <c r="M6" s="851">
        <f t="shared" si="10"/>
        <v>1144959</v>
      </c>
      <c r="N6" s="851">
        <f>_xlfn.IFNA(VLOOKUP(B6,Input_NOCPRO_GGSN!C:G,5,FALSE),0)</f>
        <v>98143.07</v>
      </c>
      <c r="O6" s="360">
        <f t="shared" si="0"/>
        <v>0.50887066666666669</v>
      </c>
      <c r="P6" s="420">
        <f t="shared" si="1"/>
        <v>0.65428713333333333</v>
      </c>
      <c r="Q6" s="350" t="str">
        <f>VLOOKUP(B6,IMS!A:C,3,FALSE)</f>
        <v>SBHA17</v>
      </c>
      <c r="R6" s="843">
        <f t="shared" si="11"/>
        <v>1604480</v>
      </c>
      <c r="S6" s="843">
        <f t="shared" si="2"/>
        <v>1902618.2930891111</v>
      </c>
      <c r="T6" s="853">
        <f t="shared" si="12"/>
        <v>2768748.0924701742</v>
      </c>
      <c r="U6" s="854">
        <f t="shared" si="3"/>
        <v>117469.7148277114</v>
      </c>
      <c r="V6" s="854">
        <f t="shared" si="4"/>
        <v>1383469.6344712889</v>
      </c>
      <c r="W6" s="420">
        <f t="shared" si="5"/>
        <v>0.6152773538822609</v>
      </c>
      <c r="X6" s="420">
        <f t="shared" si="6"/>
        <v>0.78313143218474268</v>
      </c>
      <c r="Y6" s="1058"/>
      <c r="Z6" s="1061"/>
      <c r="AA6" s="1058"/>
      <c r="AB6" s="1064"/>
      <c r="AC6" s="1061"/>
      <c r="AD6" s="1058"/>
      <c r="AE6" s="1067"/>
      <c r="AF6" s="1067"/>
      <c r="AG6" s="1067"/>
      <c r="AH6" s="882">
        <v>120</v>
      </c>
      <c r="AI6" s="256">
        <f t="shared" si="7"/>
        <v>98.329670830769771</v>
      </c>
      <c r="AJ6" s="855">
        <f t="shared" si="8"/>
        <v>1</v>
      </c>
      <c r="AK6" s="884">
        <v>120</v>
      </c>
      <c r="AL6" s="353" t="str">
        <f t="shared" si="13"/>
        <v>NO</v>
      </c>
      <c r="AM6" s="354" t="str">
        <f>VLOOKUP(B6,Input_Lic_Rate_PS!K:S,9,FALSE)</f>
        <v>TCPD07</v>
      </c>
      <c r="AN6" s="355">
        <f t="shared" si="9"/>
        <v>19326.644827711396</v>
      </c>
    </row>
    <row r="7" spans="1:42" s="199" customFormat="1">
      <c r="A7" s="417">
        <v>5</v>
      </c>
      <c r="B7" s="845" t="s">
        <v>58</v>
      </c>
      <c r="C7" s="845" t="str">
        <f>VLOOKUP(LEFT(B7,6),'GGSN-Lic'!A:AP,39,FALSE)</f>
        <v>Native Ericsson</v>
      </c>
      <c r="D7" s="417" t="s">
        <v>15</v>
      </c>
      <c r="E7" s="418">
        <f>VLOOKUP(LEFT(B7,6),'GGSN-Lic'!A:AP,37,FALSE)*1000*AJ7</f>
        <v>1500000</v>
      </c>
      <c r="F7" s="418">
        <f>VLOOKUP(LEFT(B7,6),'GGSN-Lic'!A:AP,38,FALSE)*1000*AJ7</f>
        <v>60000</v>
      </c>
      <c r="G7" s="418">
        <f>VLOOKUP(B7,Input_Lic_Rate_PS!K:P,4,FALSE)</f>
        <v>1500000</v>
      </c>
      <c r="H7" s="418">
        <f>VLOOKUP(B7,Input_Lic_Rate_PS!K:R,5,FALSE)</f>
        <v>80000</v>
      </c>
      <c r="I7" s="418">
        <f>VLOOKUP(B7,Input_Lic_Rate_PS!K:R,7,FALSE)</f>
        <v>1755000</v>
      </c>
      <c r="J7" s="848">
        <v>1030469</v>
      </c>
      <c r="K7" s="848">
        <v>40625.699999999997</v>
      </c>
      <c r="L7" s="851">
        <f>_xlfn.IFNA(VLOOKUP(B7,Input_NOCPRO_GGSN!C:G,4,FALSE),0)</f>
        <v>826207</v>
      </c>
      <c r="M7" s="851">
        <f t="shared" si="10"/>
        <v>413103.5</v>
      </c>
      <c r="N7" s="851">
        <f>_xlfn.IFNA(VLOOKUP(B7,Input_NOCPRO_GGSN!C:G,5,FALSE),0)</f>
        <v>35174.75</v>
      </c>
      <c r="O7" s="360">
        <f t="shared" si="0"/>
        <v>0.55080466666666672</v>
      </c>
      <c r="P7" s="420">
        <f t="shared" si="1"/>
        <v>0.43968437500000002</v>
      </c>
      <c r="Q7" s="350" t="str">
        <f>VLOOKUP(B7,IMS!A:C,3,FALSE)</f>
        <v>SBHA20</v>
      </c>
      <c r="R7" s="843">
        <f t="shared" si="11"/>
        <v>413103.5</v>
      </c>
      <c r="S7" s="843">
        <f t="shared" si="2"/>
        <v>472731.15861782222</v>
      </c>
      <c r="T7" s="853">
        <f t="shared" si="12"/>
        <v>945914.52311754355</v>
      </c>
      <c r="U7" s="854">
        <f t="shared" si="3"/>
        <v>40006.411206927849</v>
      </c>
      <c r="V7" s="854">
        <f t="shared" si="4"/>
        <v>472731.15861782222</v>
      </c>
      <c r="W7" s="420">
        <f t="shared" si="5"/>
        <v>0.63060968207836232</v>
      </c>
      <c r="X7" s="420">
        <f t="shared" si="6"/>
        <v>0.50008014008659807</v>
      </c>
      <c r="Y7" s="1045">
        <f>SUM(U7:U8)</f>
        <v>80704.662413855694</v>
      </c>
      <c r="Z7" s="1069">
        <f>Y7*$Z$1</f>
        <v>43792.564147384001</v>
      </c>
      <c r="AA7" s="1045">
        <f>SUM(F7:F8)</f>
        <v>120000</v>
      </c>
      <c r="AB7" s="1047" t="str">
        <f>'FW CGNAT_NPMS'!M4</f>
        <v>FWHL03/04</v>
      </c>
      <c r="AC7" s="1044">
        <f>Y7*$AC$1</f>
        <v>66177.823179361672</v>
      </c>
      <c r="AD7" s="1045">
        <f>'FW CGNAT_NPMS'!O4</f>
        <v>120000</v>
      </c>
      <c r="AE7" s="1046">
        <f>Z7/Y7</f>
        <v>0.54262743734450614</v>
      </c>
      <c r="AF7" s="1046">
        <f>AC7/AD7</f>
        <v>0.5514818598280139</v>
      </c>
      <c r="AG7" s="1046">
        <f>(AC7-Z7)/AD7</f>
        <v>0.18654382526648061</v>
      </c>
      <c r="AH7" s="882">
        <v>30</v>
      </c>
      <c r="AI7" s="256">
        <f t="shared" si="7"/>
        <v>35.241628258160446</v>
      </c>
      <c r="AJ7" s="855">
        <f t="shared" si="8"/>
        <v>1</v>
      </c>
      <c r="AK7" s="884">
        <v>30</v>
      </c>
      <c r="AL7" s="353" t="str">
        <f t="shared" si="13"/>
        <v>NO</v>
      </c>
      <c r="AM7" s="354" t="str">
        <f>VLOOKUP(B7,Input_Lic_Rate_PS!K:S,9,FALSE)</f>
        <v>SSR 8020</v>
      </c>
      <c r="AN7" s="355">
        <f t="shared" si="9"/>
        <v>4831.661206927849</v>
      </c>
    </row>
    <row r="8" spans="1:42" s="199" customFormat="1">
      <c r="A8" s="417">
        <v>6</v>
      </c>
      <c r="B8" s="845" t="s">
        <v>60</v>
      </c>
      <c r="C8" s="845" t="str">
        <f>VLOOKUP(LEFT(B8,6),'GGSN-Lic'!A:AP,39,FALSE)</f>
        <v>Native Ericsson</v>
      </c>
      <c r="D8" s="417" t="s">
        <v>15</v>
      </c>
      <c r="E8" s="418">
        <f>VLOOKUP(LEFT(B8,6),'GGSN-Lic'!A:AP,37,FALSE)*1000*AJ8</f>
        <v>1500000</v>
      </c>
      <c r="F8" s="418">
        <f>VLOOKUP(LEFT(B8,6),'GGSN-Lic'!A:AP,38,FALSE)*1000*AJ8</f>
        <v>60000</v>
      </c>
      <c r="G8" s="418">
        <f>VLOOKUP(B8,Input_Lic_Rate_PS!K:P,4,FALSE)</f>
        <v>1500000</v>
      </c>
      <c r="H8" s="418">
        <f>VLOOKUP(B8,Input_Lic_Rate_PS!K:R,5,FALSE)</f>
        <v>80000</v>
      </c>
      <c r="I8" s="418">
        <v>1755000</v>
      </c>
      <c r="J8" s="848">
        <v>1037096</v>
      </c>
      <c r="K8" s="848">
        <v>40537.58</v>
      </c>
      <c r="L8" s="851">
        <f>_xlfn.IFNA(VLOOKUP(B8,Input_NOCPRO_GGSN!C:G,4,FALSE),0)</f>
        <v>830618</v>
      </c>
      <c r="M8" s="851">
        <f t="shared" si="10"/>
        <v>415309</v>
      </c>
      <c r="N8" s="851">
        <f>_xlfn.IFNA(VLOOKUP(B8,Input_NOCPRO_GGSN!C:G,5,FALSE),0)</f>
        <v>35866.589999999997</v>
      </c>
      <c r="O8" s="360">
        <f t="shared" si="0"/>
        <v>0.55374533333333331</v>
      </c>
      <c r="P8" s="420">
        <f t="shared" si="1"/>
        <v>0.44833237499999995</v>
      </c>
      <c r="Q8" s="350" t="str">
        <f>VLOOKUP(B8,IMS!A:C,3,FALSE)</f>
        <v>SBHA21</v>
      </c>
      <c r="R8" s="843">
        <f t="shared" si="11"/>
        <v>1901367</v>
      </c>
      <c r="S8" s="843">
        <f t="shared" si="2"/>
        <v>474936.65861782222</v>
      </c>
      <c r="T8" s="853">
        <f t="shared" si="12"/>
        <v>950325.52311754355</v>
      </c>
      <c r="U8" s="854">
        <f t="shared" si="3"/>
        <v>40698.251206927845</v>
      </c>
      <c r="V8" s="854">
        <f t="shared" si="4"/>
        <v>474936.65861782222</v>
      </c>
      <c r="W8" s="420">
        <f t="shared" si="5"/>
        <v>0.63355034874502902</v>
      </c>
      <c r="X8" s="420">
        <f t="shared" si="6"/>
        <v>0.50872814008659806</v>
      </c>
      <c r="Y8" s="1045"/>
      <c r="Z8" s="1070"/>
      <c r="AA8" s="1045"/>
      <c r="AB8" s="1047"/>
      <c r="AC8" s="1045"/>
      <c r="AD8" s="1045"/>
      <c r="AE8" s="1046"/>
      <c r="AF8" s="1046"/>
      <c r="AG8" s="1046"/>
      <c r="AH8" s="882">
        <v>30</v>
      </c>
      <c r="AI8" s="256">
        <f t="shared" si="7"/>
        <v>35.934783663504497</v>
      </c>
      <c r="AJ8" s="855">
        <f t="shared" si="8"/>
        <v>1</v>
      </c>
      <c r="AK8" s="884">
        <v>30</v>
      </c>
      <c r="AL8" s="353" t="str">
        <f t="shared" si="13"/>
        <v>NO</v>
      </c>
      <c r="AM8" s="354" t="str">
        <f>VLOOKUP(B8,Input_Lic_Rate_PS!K:S,9,FALSE)</f>
        <v>SSR 8020</v>
      </c>
      <c r="AN8" s="355">
        <f t="shared" si="9"/>
        <v>4831.661206927849</v>
      </c>
    </row>
    <row r="9" spans="1:42" s="71" customFormat="1">
      <c r="A9" s="417">
        <v>7</v>
      </c>
      <c r="B9" s="845" t="s">
        <v>61</v>
      </c>
      <c r="C9" s="845" t="str">
        <f>VLOOKUP(LEFT(B9,6),'GGSN-Lic'!A:AP,39,FALSE)</f>
        <v>Native Ericsson</v>
      </c>
      <c r="D9" s="417" t="s">
        <v>15</v>
      </c>
      <c r="E9" s="418">
        <f>VLOOKUP(LEFT(B9,6),'GGSN-Lic'!A:AP,37,FALSE)*1000*AJ9</f>
        <v>1500000</v>
      </c>
      <c r="F9" s="418">
        <f>VLOOKUP(LEFT(B9,6),'GGSN-Lic'!A:AP,38,FALSE)*1000*AJ9</f>
        <v>60000</v>
      </c>
      <c r="G9" s="418">
        <f>VLOOKUP(B9,Input_Lic_Rate_PS!K:P,4,FALSE)</f>
        <v>1500000</v>
      </c>
      <c r="H9" s="418">
        <f>VLOOKUP(B9,Input_Lic_Rate_PS!K:R,5,FALSE)</f>
        <v>80000</v>
      </c>
      <c r="I9" s="418">
        <v>1755000</v>
      </c>
      <c r="J9" s="849">
        <v>299166</v>
      </c>
      <c r="K9" s="849">
        <v>3101.05</v>
      </c>
      <c r="L9" s="851">
        <f>_xlfn.IFNA(VLOOKUP(B9,Input_NOCPRO_GGSN!C:G,4,FALSE),0)</f>
        <v>415446</v>
      </c>
      <c r="M9" s="851">
        <v>100000</v>
      </c>
      <c r="N9" s="851">
        <f>_xlfn.IFNA(VLOOKUP(B9,Input_NOCPRO_GGSN!C:G,5,FALSE),0)</f>
        <v>1240.67</v>
      </c>
      <c r="O9" s="360">
        <f t="shared" si="0"/>
        <v>0.27696399999999999</v>
      </c>
      <c r="P9" s="360">
        <f t="shared" si="1"/>
        <v>1.5508375000000001E-2</v>
      </c>
      <c r="Q9" s="350" t="str">
        <f>VLOOKUP(B9,IMS!A:C,3,FALSE)</f>
        <v>SBHL10</v>
      </c>
      <c r="R9" s="843">
        <f t="shared" si="11"/>
        <v>2227907.5</v>
      </c>
      <c r="S9" s="843">
        <f t="shared" si="2"/>
        <v>1813820.2230918829</v>
      </c>
      <c r="T9" s="853">
        <f t="shared" si="12"/>
        <v>419436.2507705848</v>
      </c>
      <c r="U9" s="854">
        <f t="shared" si="3"/>
        <v>1401.7253735642616</v>
      </c>
      <c r="V9" s="854">
        <f t="shared" si="4"/>
        <v>101987.58862059408</v>
      </c>
      <c r="W9" s="420">
        <f t="shared" si="5"/>
        <v>0.27962416718038985</v>
      </c>
      <c r="X9" s="420">
        <f t="shared" si="6"/>
        <v>1.7521567169553269E-2</v>
      </c>
      <c r="Y9" s="1094">
        <f>SUM(U9:U12)</f>
        <v>230693.80635077396</v>
      </c>
      <c r="Z9" s="1094">
        <f t="shared" ref="Z9" si="14">Y9*$Z$1</f>
        <v>125180.78895137022</v>
      </c>
      <c r="AA9" s="1094">
        <f>SUM(F9:F12)</f>
        <v>390000</v>
      </c>
      <c r="AB9" s="1068" t="s">
        <v>62</v>
      </c>
      <c r="AC9" s="1098">
        <f>Y9*$AC$1</f>
        <v>189168.92120763464</v>
      </c>
      <c r="AD9" s="1094">
        <f>52*8000</f>
        <v>416000</v>
      </c>
      <c r="AE9" s="1099">
        <f>Z9/Y9</f>
        <v>0.54262743734450614</v>
      </c>
      <c r="AF9" s="1099">
        <f>AC9/AD9</f>
        <v>0.45473298367219867</v>
      </c>
      <c r="AG9" s="1099">
        <f>(AC9-Z9)/AD9</f>
        <v>0.15381762561602025</v>
      </c>
      <c r="AH9" s="883">
        <v>1</v>
      </c>
      <c r="AI9" s="256">
        <f t="shared" si="7"/>
        <v>1.2430289037179205</v>
      </c>
      <c r="AJ9" s="855">
        <f t="shared" si="8"/>
        <v>1</v>
      </c>
      <c r="AK9" s="881">
        <v>1</v>
      </c>
      <c r="AL9" s="353" t="str">
        <f t="shared" si="13"/>
        <v>NO</v>
      </c>
      <c r="AM9" s="689" t="str">
        <f>VLOOKUP(B9,Input_Lic_Rate_PS!K:S,9,FALSE)</f>
        <v>SSR 8020</v>
      </c>
      <c r="AN9" s="690">
        <f t="shared" si="9"/>
        <v>161.05537356426157</v>
      </c>
    </row>
    <row r="10" spans="1:42" s="199" customFormat="1">
      <c r="A10" s="417">
        <v>8</v>
      </c>
      <c r="B10" s="845" t="s">
        <v>63</v>
      </c>
      <c r="C10" s="845" t="str">
        <f>VLOOKUP(LEFT(B10,6),'GGSN-Lic'!A:AP,39,FALSE)</f>
        <v>Native Ericsson</v>
      </c>
      <c r="D10" s="417" t="s">
        <v>15</v>
      </c>
      <c r="E10" s="418">
        <f>VLOOKUP(LEFT(B10,6),'GGSN-Lic'!A:AP,37,FALSE)*1000*AJ10</f>
        <v>1500000</v>
      </c>
      <c r="F10" s="418">
        <f>VLOOKUP(LEFT(B10,6),'GGSN-Lic'!A:AP,38,FALSE)*1000*AJ10</f>
        <v>60000</v>
      </c>
      <c r="G10" s="418">
        <f>VLOOKUP(B10,Input_Lic_Rate_PS!K:P,4,FALSE)</f>
        <v>1500000</v>
      </c>
      <c r="H10" s="418">
        <f>VLOOKUP(B10,Input_Lic_Rate_PS!K:R,5,FALSE)</f>
        <v>80000</v>
      </c>
      <c r="I10" s="418">
        <f>VLOOKUP(B10,Input_Lic_Rate_PS!K:R,7,FALSE)</f>
        <v>1690000</v>
      </c>
      <c r="J10" s="848">
        <v>1118598</v>
      </c>
      <c r="K10" s="848">
        <v>42880.41</v>
      </c>
      <c r="L10" s="851">
        <f>_xlfn.IFNA(VLOOKUP(B10,Input_NOCPRO_GGSN!C:G,4,FALSE),0)</f>
        <v>919042</v>
      </c>
      <c r="M10" s="851">
        <f t="shared" si="10"/>
        <v>459521</v>
      </c>
      <c r="N10" s="851">
        <f>_xlfn.IFNA(VLOOKUP(B10,Input_NOCPRO_GGSN!C:G,5,FALSE),0)</f>
        <v>35731.81</v>
      </c>
      <c r="O10" s="360">
        <f t="shared" si="0"/>
        <v>0.61269466666666672</v>
      </c>
      <c r="P10" s="420">
        <f t="shared" si="1"/>
        <v>0.44664762499999999</v>
      </c>
      <c r="Q10" s="350" t="str">
        <f>VLOOKUP(B10,IMS!A:C,3,FALSE)</f>
        <v>SBHA17</v>
      </c>
      <c r="R10" s="843">
        <f t="shared" si="11"/>
        <v>1604480</v>
      </c>
      <c r="S10" s="843">
        <f t="shared" si="2"/>
        <v>1902618.2930891111</v>
      </c>
      <c r="T10" s="853">
        <f t="shared" si="12"/>
        <v>1038749.5231175435</v>
      </c>
      <c r="U10" s="854">
        <f t="shared" si="3"/>
        <v>40563.471206927847</v>
      </c>
      <c r="V10" s="854">
        <f t="shared" si="4"/>
        <v>519148.65861782222</v>
      </c>
      <c r="W10" s="420">
        <f t="shared" si="5"/>
        <v>0.69249968207836232</v>
      </c>
      <c r="X10" s="420">
        <f t="shared" si="6"/>
        <v>0.50704339008659804</v>
      </c>
      <c r="Y10" s="1095"/>
      <c r="Z10" s="1095"/>
      <c r="AA10" s="1095"/>
      <c r="AB10" s="1097"/>
      <c r="AC10" s="1095"/>
      <c r="AD10" s="1095"/>
      <c r="AE10" s="1100"/>
      <c r="AF10" s="1100"/>
      <c r="AG10" s="1100"/>
      <c r="AH10" s="882">
        <v>30</v>
      </c>
      <c r="AI10" s="256">
        <f t="shared" si="7"/>
        <v>35.799747404351699</v>
      </c>
      <c r="AJ10" s="855">
        <f t="shared" si="8"/>
        <v>1</v>
      </c>
      <c r="AK10" s="884">
        <v>30</v>
      </c>
      <c r="AL10" s="353" t="str">
        <f t="shared" si="13"/>
        <v>NO</v>
      </c>
      <c r="AM10" s="354" t="str">
        <f>VLOOKUP(B10,Input_Lic_Rate_PS!K:S,9,FALSE)</f>
        <v>SSR 8020</v>
      </c>
      <c r="AN10" s="355">
        <f t="shared" si="9"/>
        <v>4831.661206927849</v>
      </c>
    </row>
    <row r="11" spans="1:42" s="199" customFormat="1">
      <c r="A11" s="417">
        <v>9</v>
      </c>
      <c r="B11" s="845" t="s">
        <v>67</v>
      </c>
      <c r="C11" s="845" t="str">
        <f>VLOOKUP(LEFT(B11,6),'GGSN-Lic'!A:AP,39,FALSE)</f>
        <v>Native Ericsson</v>
      </c>
      <c r="D11" s="417" t="s">
        <v>15</v>
      </c>
      <c r="E11" s="418">
        <f>VLOOKUP(LEFT(B11,6),'GGSN-Lic'!A:AP,37,FALSE)*1000*AJ11</f>
        <v>2800000</v>
      </c>
      <c r="F11" s="418">
        <f>VLOOKUP(LEFT(B11,6),'GGSN-Lic'!A:AP,38,FALSE)*1000*AJ11</f>
        <v>135000</v>
      </c>
      <c r="G11" s="418">
        <f>VLOOKUP(B11,Input_Lic_Rate_PS!K:P,4,FALSE)</f>
        <v>2800000</v>
      </c>
      <c r="H11" s="418">
        <f>VLOOKUP(B11,Input_Lic_Rate_PS!K:R,5,FALSE)</f>
        <v>150000</v>
      </c>
      <c r="I11" s="418">
        <f>VLOOKUP(B11,Input_Lic_Rate_PS!K:R,7,FALSE)</f>
        <v>2990000</v>
      </c>
      <c r="J11" s="848">
        <v>2490029</v>
      </c>
      <c r="K11" s="848">
        <v>89261.57</v>
      </c>
      <c r="L11" s="851">
        <f>_xlfn.IFNA(VLOOKUP(B11,Input_NOCPRO_GGSN!C:G,4,FALSE),0)</f>
        <v>2019275</v>
      </c>
      <c r="M11" s="851">
        <f t="shared" si="10"/>
        <v>1009637.5</v>
      </c>
      <c r="N11" s="851">
        <f>_xlfn.IFNA(VLOOKUP(B11,Input_NOCPRO_GGSN!C:G,5,FALSE),0)</f>
        <v>82498.41</v>
      </c>
      <c r="O11" s="360">
        <f t="shared" si="0"/>
        <v>0.72116964285714291</v>
      </c>
      <c r="P11" s="420">
        <f t="shared" si="1"/>
        <v>0.54998940000000007</v>
      </c>
      <c r="Q11" s="350" t="str">
        <f>VLOOKUP(B11,IMS!A:C,3,FALSE)</f>
        <v>SBHL06</v>
      </c>
      <c r="R11" s="843">
        <f t="shared" si="11"/>
        <v>1988565.5</v>
      </c>
      <c r="S11" s="843">
        <f t="shared" si="2"/>
        <v>2306579.6792950518</v>
      </c>
      <c r="T11" s="853">
        <f t="shared" si="12"/>
        <v>2338495.0616467828</v>
      </c>
      <c r="U11" s="854">
        <f t="shared" si="3"/>
        <v>95382.839885140929</v>
      </c>
      <c r="V11" s="854">
        <f t="shared" si="4"/>
        <v>1168644.5896475259</v>
      </c>
      <c r="W11" s="420">
        <f t="shared" si="5"/>
        <v>0.8351768077309939</v>
      </c>
      <c r="X11" s="420">
        <f t="shared" si="6"/>
        <v>0.6358855992342729</v>
      </c>
      <c r="Y11" s="1095"/>
      <c r="Z11" s="1096">
        <f t="shared" ref="Z11" si="15">Y11*$Z$1</f>
        <v>0</v>
      </c>
      <c r="AA11" s="1095"/>
      <c r="AB11" s="1097"/>
      <c r="AC11" s="1095"/>
      <c r="AD11" s="1095"/>
      <c r="AE11" s="1100"/>
      <c r="AF11" s="1100"/>
      <c r="AG11" s="1100"/>
      <c r="AH11" s="882">
        <v>80</v>
      </c>
      <c r="AI11" s="256">
        <f t="shared" si="7"/>
        <v>82.655265413664821</v>
      </c>
      <c r="AJ11" s="855">
        <f t="shared" si="8"/>
        <v>1</v>
      </c>
      <c r="AK11" s="884">
        <v>80</v>
      </c>
      <c r="AL11" s="353" t="str">
        <f t="shared" si="13"/>
        <v>NO</v>
      </c>
      <c r="AM11" s="354" t="str">
        <f>VLOOKUP(B11,Input_Lic_Rate_PS!K:S,9,FALSE)</f>
        <v>SSR 8020</v>
      </c>
      <c r="AN11" s="355">
        <f t="shared" si="9"/>
        <v>12884.429885140926</v>
      </c>
    </row>
    <row r="12" spans="1:42" s="199" customFormat="1">
      <c r="A12" s="417">
        <v>10</v>
      </c>
      <c r="B12" s="845" t="s">
        <v>68</v>
      </c>
      <c r="C12" s="845" t="str">
        <f>VLOOKUP(LEFT(B12,6),'GGSN-Lic'!A:AP,39,FALSE)</f>
        <v>Native Ericsson</v>
      </c>
      <c r="D12" s="417" t="s">
        <v>15</v>
      </c>
      <c r="E12" s="418">
        <f>VLOOKUP(LEFT(B12,6),'GGSN-Lic'!A:AP,37,FALSE)*1000*AJ12</f>
        <v>2800000</v>
      </c>
      <c r="F12" s="418">
        <f>VLOOKUP(LEFT(B12,6),'GGSN-Lic'!A:AP,38,FALSE)*1000*AJ12</f>
        <v>135000</v>
      </c>
      <c r="G12" s="418">
        <f>VLOOKUP(B12,Input_Lic_Rate_PS!K:P,4,FALSE)</f>
        <v>2800000</v>
      </c>
      <c r="H12" s="418">
        <f>VLOOKUP(B12,Input_Lic_Rate_PS!K:R,5,FALSE)</f>
        <v>150000</v>
      </c>
      <c r="I12" s="418">
        <f>VLOOKUP(B12,Input_Lic_Rate_PS!K:R,7,FALSE)</f>
        <v>2990000</v>
      </c>
      <c r="J12" s="848">
        <v>2474712</v>
      </c>
      <c r="K12" s="848">
        <v>87932.89</v>
      </c>
      <c r="L12" s="851">
        <f>_xlfn.IFNA(VLOOKUP(B12,Input_NOCPRO_GGSN!C:G,4,FALSE),0)</f>
        <v>1996136</v>
      </c>
      <c r="M12" s="851">
        <f t="shared" si="10"/>
        <v>998068</v>
      </c>
      <c r="N12" s="851">
        <f>_xlfn.IFNA(VLOOKUP(B12,Input_NOCPRO_GGSN!C:G,5,FALSE),0)</f>
        <v>80461.34</v>
      </c>
      <c r="O12" s="360">
        <f t="shared" si="0"/>
        <v>0.71290571428571425</v>
      </c>
      <c r="P12" s="420">
        <f t="shared" si="1"/>
        <v>0.53640893333333328</v>
      </c>
      <c r="Q12" s="350" t="str">
        <f>VLOOKUP(B12,IMS!A:C,3,FALSE)</f>
        <v>SBHL11</v>
      </c>
      <c r="R12" s="843">
        <f t="shared" si="11"/>
        <v>1865074</v>
      </c>
      <c r="S12" s="843">
        <f t="shared" si="2"/>
        <v>2163212.2930891113</v>
      </c>
      <c r="T12" s="853">
        <f t="shared" si="12"/>
        <v>2315356.0616467828</v>
      </c>
      <c r="U12" s="854">
        <f t="shared" si="3"/>
        <v>93345.769885140922</v>
      </c>
      <c r="V12" s="854">
        <f t="shared" si="4"/>
        <v>1157075.0896475259</v>
      </c>
      <c r="W12" s="420">
        <f t="shared" si="5"/>
        <v>0.82691287915956524</v>
      </c>
      <c r="X12" s="420">
        <f t="shared" si="6"/>
        <v>0.62230513256760611</v>
      </c>
      <c r="Y12" s="1095"/>
      <c r="Z12" s="1095"/>
      <c r="AA12" s="1095"/>
      <c r="AB12" s="1097"/>
      <c r="AC12" s="1095"/>
      <c r="AD12" s="1095"/>
      <c r="AE12" s="1100"/>
      <c r="AF12" s="1100"/>
      <c r="AG12" s="1100"/>
      <c r="AH12" s="882">
        <v>80</v>
      </c>
      <c r="AI12" s="256">
        <f t="shared" si="7"/>
        <v>80.614322303170752</v>
      </c>
      <c r="AJ12" s="855">
        <f t="shared" si="8"/>
        <v>1</v>
      </c>
      <c r="AK12" s="884">
        <v>80</v>
      </c>
      <c r="AL12" s="353" t="str">
        <f t="shared" si="13"/>
        <v>NO</v>
      </c>
      <c r="AM12" s="354" t="str">
        <f>VLOOKUP(B12,Input_Lic_Rate_PS!K:S,9,FALSE)</f>
        <v>SSR 8020</v>
      </c>
      <c r="AN12" s="355">
        <f t="shared" si="9"/>
        <v>12884.429885140926</v>
      </c>
    </row>
    <row r="13" spans="1:42" s="199" customFormat="1">
      <c r="A13" s="417">
        <v>11</v>
      </c>
      <c r="B13" s="845" t="s">
        <v>64</v>
      </c>
      <c r="C13" s="845" t="str">
        <f>VLOOKUP(LEFT(B13,6),'GGSN-Lic'!A:AP,39,FALSE)</f>
        <v>Native Ericsson</v>
      </c>
      <c r="D13" s="417" t="s">
        <v>15</v>
      </c>
      <c r="E13" s="418">
        <f>VLOOKUP(LEFT(B13,6),'GGSN-Lic'!A:AP,37,FALSE)*1000*AJ13</f>
        <v>2800000</v>
      </c>
      <c r="F13" s="418">
        <f>VLOOKUP(LEFT(B13,6),'GGSN-Lic'!A:AP,38,FALSE)*1000*AJ13</f>
        <v>135000</v>
      </c>
      <c r="G13" s="418">
        <f>VLOOKUP(B13,Input_Lic_Rate_PS!K:P,4,FALSE)</f>
        <v>2800000</v>
      </c>
      <c r="H13" s="418">
        <f>VLOOKUP(B13,Input_Lic_Rate_PS!K:R,5,FALSE)</f>
        <v>150000</v>
      </c>
      <c r="I13" s="418">
        <f>VLOOKUP(B13,Input_Lic_Rate_PS!K:R,7,FALSE)</f>
        <v>2990000</v>
      </c>
      <c r="J13" s="848">
        <v>2476677</v>
      </c>
      <c r="K13" s="848">
        <v>89128.26</v>
      </c>
      <c r="L13" s="851">
        <f>_xlfn.IFNA(VLOOKUP(B13,Input_NOCPRO_GGSN!C:G,4,FALSE),0)</f>
        <v>2009901</v>
      </c>
      <c r="M13" s="851">
        <f t="shared" si="10"/>
        <v>1004950.5</v>
      </c>
      <c r="N13" s="851">
        <f>_xlfn.IFNA(VLOOKUP(B13,Input_NOCPRO_GGSN!C:G,5,FALSE),0)</f>
        <v>81494.97</v>
      </c>
      <c r="O13" s="360">
        <f t="shared" si="0"/>
        <v>0.71782178571428568</v>
      </c>
      <c r="P13" s="420">
        <f t="shared" si="1"/>
        <v>0.5432998</v>
      </c>
      <c r="Q13" s="350" t="str">
        <f>VLOOKUP(B13,IMS!A:C,3,FALSE)</f>
        <v>SBPD07</v>
      </c>
      <c r="R13" s="843">
        <f t="shared" si="11"/>
        <v>2010470.5</v>
      </c>
      <c r="S13" s="843">
        <f t="shared" si="2"/>
        <v>2328484.6792950518</v>
      </c>
      <c r="T13" s="853">
        <f t="shared" si="12"/>
        <v>2329121.0616467828</v>
      </c>
      <c r="U13" s="854">
        <f t="shared" si="3"/>
        <v>94379.399885140927</v>
      </c>
      <c r="V13" s="854">
        <f t="shared" si="4"/>
        <v>1163957.5896475259</v>
      </c>
      <c r="W13" s="420">
        <f t="shared" si="5"/>
        <v>0.83182895058813666</v>
      </c>
      <c r="X13" s="420">
        <f t="shared" si="6"/>
        <v>0.62919599923427283</v>
      </c>
      <c r="Y13" s="1028">
        <f>SUM(U13:U15)</f>
        <v>270736.30591978016</v>
      </c>
      <c r="Z13" s="1031">
        <f>Y13*$Z$1</f>
        <v>146908.94787736857</v>
      </c>
      <c r="AA13" s="1028">
        <f>SUM(F13:F15)</f>
        <v>370000</v>
      </c>
      <c r="AB13" s="1093" t="s">
        <v>362</v>
      </c>
      <c r="AC13" s="1034">
        <f>Y13*$AC$1</f>
        <v>222003.77085421971</v>
      </c>
      <c r="AD13" s="1028">
        <v>300000</v>
      </c>
      <c r="AE13" s="1037">
        <f>Z13/Y13</f>
        <v>0.54262743734450614</v>
      </c>
      <c r="AF13" s="1040">
        <f>AC13/AD13</f>
        <v>0.74001256951406569</v>
      </c>
      <c r="AG13" s="1037">
        <f>(AC13-Z13)/AD13</f>
        <v>0.25031607658950378</v>
      </c>
      <c r="AH13" s="882">
        <v>80</v>
      </c>
      <c r="AI13" s="256">
        <f t="shared" si="7"/>
        <v>81.649917558758418</v>
      </c>
      <c r="AJ13" s="855">
        <f t="shared" si="8"/>
        <v>1</v>
      </c>
      <c r="AK13" s="884">
        <v>80</v>
      </c>
      <c r="AL13" s="353" t="str">
        <f t="shared" si="13"/>
        <v>NO</v>
      </c>
      <c r="AM13" s="354" t="str">
        <f>VLOOKUP(B13,Input_Lic_Rate_PS!K:S,9,FALSE)</f>
        <v>SSR 8020</v>
      </c>
      <c r="AN13" s="355">
        <f t="shared" si="9"/>
        <v>12884.429885140926</v>
      </c>
    </row>
    <row r="14" spans="1:42">
      <c r="A14" s="417">
        <v>12</v>
      </c>
      <c r="B14" s="845" t="s">
        <v>65</v>
      </c>
      <c r="C14" s="845" t="str">
        <f>VLOOKUP(LEFT(B14,6),'GGSN-Lic'!A:AP,39,FALSE)</f>
        <v>Native Ericsson</v>
      </c>
      <c r="D14" s="417" t="s">
        <v>15</v>
      </c>
      <c r="E14" s="418">
        <f>VLOOKUP(LEFT(B14,6),'GGSN-Lic'!A:AP,37,FALSE)*1000*AJ14</f>
        <v>2800000</v>
      </c>
      <c r="F14" s="418">
        <f>VLOOKUP(LEFT(B14,6),'GGSN-Lic'!A:AP,38,FALSE)*1000*AJ14</f>
        <v>135000</v>
      </c>
      <c r="G14" s="418">
        <f>VLOOKUP(B14,Input_Lic_Rate_PS!K:P,4,FALSE)</f>
        <v>2800000</v>
      </c>
      <c r="H14" s="418">
        <f>VLOOKUP(B14,Input_Lic_Rate_PS!K:R,5,FALSE)</f>
        <v>150000</v>
      </c>
      <c r="I14" s="418">
        <f>VLOOKUP(B14,Input_Lic_Rate_PS!K:R,7,FALSE)</f>
        <v>2990000</v>
      </c>
      <c r="J14" s="848">
        <v>2483684</v>
      </c>
      <c r="K14" s="848">
        <v>89981.3</v>
      </c>
      <c r="L14" s="851">
        <f>_xlfn.IFNA(VLOOKUP(B14,Input_NOCPRO_GGSN!C:G,4,FALSE),0)</f>
        <v>2011040</v>
      </c>
      <c r="M14" s="851">
        <f t="shared" si="10"/>
        <v>1005520</v>
      </c>
      <c r="N14" s="851">
        <f>_xlfn.IFNA(VLOOKUP(B14,Input_NOCPRO_GGSN!C:G,5,FALSE),0)</f>
        <v>80740.83</v>
      </c>
      <c r="O14" s="360">
        <f t="shared" si="0"/>
        <v>0.71822857142857144</v>
      </c>
      <c r="P14" s="420">
        <f t="shared" si="1"/>
        <v>0.53827219999999998</v>
      </c>
      <c r="Q14" s="350" t="str">
        <f>VLOOKUP(B14,IMS!A:C,3,FALSE)</f>
        <v>SBPD07</v>
      </c>
      <c r="R14" s="843">
        <f t="shared" si="11"/>
        <v>2010470.5</v>
      </c>
      <c r="S14" s="843">
        <f t="shared" si="2"/>
        <v>2328484.6792950518</v>
      </c>
      <c r="T14" s="853">
        <f t="shared" si="12"/>
        <v>2330260.0616467828</v>
      </c>
      <c r="U14" s="854">
        <f t="shared" si="3"/>
        <v>93625.259885140928</v>
      </c>
      <c r="V14" s="854">
        <f t="shared" si="4"/>
        <v>1164527.0896475259</v>
      </c>
      <c r="W14" s="420">
        <f t="shared" si="5"/>
        <v>0.83223573630242242</v>
      </c>
      <c r="X14" s="420">
        <f t="shared" si="6"/>
        <v>0.62416839923427281</v>
      </c>
      <c r="Y14" s="1029"/>
      <c r="Z14" s="1029"/>
      <c r="AA14" s="1029"/>
      <c r="AB14" s="1055"/>
      <c r="AC14" s="1035"/>
      <c r="AD14" s="1029"/>
      <c r="AE14" s="1038"/>
      <c r="AF14" s="1041"/>
      <c r="AG14" s="1038"/>
      <c r="AH14" s="882">
        <v>80</v>
      </c>
      <c r="AI14" s="256">
        <f t="shared" si="7"/>
        <v>80.8943437015282</v>
      </c>
      <c r="AJ14" s="855">
        <f t="shared" si="8"/>
        <v>1</v>
      </c>
      <c r="AK14" s="884">
        <v>80</v>
      </c>
      <c r="AL14" s="353" t="str">
        <f t="shared" si="13"/>
        <v>NO</v>
      </c>
      <c r="AM14" s="354" t="str">
        <f>VLOOKUP(B14,Input_Lic_Rate_PS!K:S,9,FALSE)</f>
        <v>SSR 8020</v>
      </c>
      <c r="AN14" s="355">
        <f t="shared" si="9"/>
        <v>12884.429885140926</v>
      </c>
    </row>
    <row r="15" spans="1:42">
      <c r="A15" s="417">
        <v>13</v>
      </c>
      <c r="B15" s="845" t="s">
        <v>66</v>
      </c>
      <c r="C15" s="845" t="str">
        <f>VLOOKUP(LEFT(B15,6),'GGSN-Lic'!A:AP,39,FALSE)</f>
        <v>Native Ericsson</v>
      </c>
      <c r="D15" s="417" t="s">
        <v>15</v>
      </c>
      <c r="E15" s="418">
        <f>VLOOKUP(LEFT(B15,6),'GGSN-Lic'!A:AP,37,FALSE)*1000*AJ15</f>
        <v>2900000</v>
      </c>
      <c r="F15" s="418">
        <f>VLOOKUP(LEFT(B15,6),'GGSN-Lic'!A:AP,38,FALSE)*1000*AJ15</f>
        <v>100000</v>
      </c>
      <c r="G15" s="418">
        <f>VLOOKUP(B15,Input_Lic_Rate_PS!K:P,4,FALSE)</f>
        <v>2400000</v>
      </c>
      <c r="H15" s="418">
        <f>VLOOKUP(B15,Input_Lic_Rate_PS!K:R,5,FALSE)</f>
        <v>100000</v>
      </c>
      <c r="I15" s="418">
        <f>VLOOKUP(B15,Input_Lic_Rate_PS!K:R,7,FALSE)</f>
        <v>2470000</v>
      </c>
      <c r="J15" s="848">
        <v>2189014</v>
      </c>
      <c r="K15" s="848">
        <v>79486.41</v>
      </c>
      <c r="L15" s="851">
        <f>_xlfn.IFNA(VLOOKUP(B15,Input_NOCPRO_GGSN!C:G,4,FALSE),0)</f>
        <v>1763152</v>
      </c>
      <c r="M15" s="851">
        <f t="shared" si="10"/>
        <v>881576</v>
      </c>
      <c r="N15" s="851">
        <f>_xlfn.IFNA(VLOOKUP(B15,Input_NOCPRO_GGSN!C:G,5,FALSE),0)</f>
        <v>71457.77</v>
      </c>
      <c r="O15" s="360">
        <f t="shared" si="0"/>
        <v>0.73464666666666667</v>
      </c>
      <c r="P15" s="420">
        <f t="shared" si="1"/>
        <v>0.71457770000000009</v>
      </c>
      <c r="Q15" s="350" t="str">
        <f>VLOOKUP(B15,IMS!A:C,3,FALSE)</f>
        <v>SBHA18</v>
      </c>
      <c r="R15" s="843">
        <f t="shared" si="11"/>
        <v>1741140</v>
      </c>
      <c r="S15" s="843">
        <f t="shared" si="2"/>
        <v>2059154.1792950518</v>
      </c>
      <c r="T15" s="853">
        <f t="shared" si="12"/>
        <v>2042469.5539409348</v>
      </c>
      <c r="U15" s="854">
        <f t="shared" si="3"/>
        <v>82731.646149498323</v>
      </c>
      <c r="V15" s="854">
        <f t="shared" si="4"/>
        <v>1020707.2034415853</v>
      </c>
      <c r="W15" s="420">
        <f t="shared" si="5"/>
        <v>0.8510289808087228</v>
      </c>
      <c r="X15" s="420">
        <f t="shared" si="6"/>
        <v>0.82731646149498328</v>
      </c>
      <c r="Y15" s="1030"/>
      <c r="Z15" s="1030"/>
      <c r="AA15" s="1030"/>
      <c r="AB15" s="1049"/>
      <c r="AC15" s="1036"/>
      <c r="AD15" s="1030"/>
      <c r="AE15" s="1039"/>
      <c r="AF15" s="1042"/>
      <c r="AG15" s="1039"/>
      <c r="AH15" s="882">
        <v>70</v>
      </c>
      <c r="AI15" s="256">
        <f t="shared" si="7"/>
        <v>71.593633686014257</v>
      </c>
      <c r="AJ15" s="855">
        <f t="shared" si="8"/>
        <v>1</v>
      </c>
      <c r="AK15" s="884">
        <v>70</v>
      </c>
      <c r="AL15" s="353" t="str">
        <f t="shared" si="13"/>
        <v>NO</v>
      </c>
      <c r="AM15" s="354" t="str">
        <f>VLOOKUP(B15,Input_Lic_Rate_PS!K:S,9,FALSE)</f>
        <v>SSR 8020</v>
      </c>
      <c r="AN15" s="355">
        <f t="shared" si="9"/>
        <v>11273.876149498319</v>
      </c>
      <c r="AO15" s="199">
        <f>N15/L15</f>
        <v>4.0528422960697662E-2</v>
      </c>
    </row>
    <row r="16" spans="1:42" s="71" customFormat="1">
      <c r="A16" s="417">
        <v>14</v>
      </c>
      <c r="B16" s="366" t="s">
        <v>69</v>
      </c>
      <c r="C16" s="366" t="str">
        <f>VLOOKUP(LEFT(B16,6),'GGSN-Lic'!A:AP,39,FALSE)</f>
        <v>NFV Ericsson</v>
      </c>
      <c r="D16" s="417" t="s">
        <v>15</v>
      </c>
      <c r="E16" s="418">
        <f>VLOOKUP(LEFT(B16,6),'GGSN-Lic'!A:AP,37,FALSE)*1000*AJ16</f>
        <v>4000000</v>
      </c>
      <c r="F16" s="418">
        <f>VLOOKUP(LEFT(B16,6),'GGSN-Lic'!A:AP,38,FALSE)*1000*AJ16</f>
        <v>150000</v>
      </c>
      <c r="G16" s="418">
        <f>VLOOKUP(B16,Input_Lic_Rate_PS!K:P,4,FALSE)</f>
        <v>4000000</v>
      </c>
      <c r="H16" s="418">
        <f>VLOOKUP(B16,Input_Lic_Rate_PS!K:R,5,FALSE)</f>
        <v>180000</v>
      </c>
      <c r="I16" s="418">
        <f>VLOOKUP(B16,Input_Lic_Rate_PS!K:R,7,FALSE)</f>
        <v>4063232</v>
      </c>
      <c r="J16" s="850">
        <v>0</v>
      </c>
      <c r="K16" s="850">
        <v>0</v>
      </c>
      <c r="L16" s="851">
        <f>_xlfn.IFNA(VLOOKUP(B16,Input_NOCPRO_GGSN!C:G,4,FALSE),0)</f>
        <v>2958612</v>
      </c>
      <c r="M16" s="851">
        <f t="shared" si="10"/>
        <v>1479306</v>
      </c>
      <c r="N16" s="851">
        <f>_xlfn.IFNA(VLOOKUP(B16,Input_NOCPRO_GGSN!C:G,5,FALSE),0)</f>
        <v>118058.61</v>
      </c>
      <c r="O16" s="360">
        <f t="shared" si="0"/>
        <v>0.739653</v>
      </c>
      <c r="P16" s="420">
        <f t="shared" si="1"/>
        <v>0.65588116666666663</v>
      </c>
      <c r="Q16" s="350" t="str">
        <f>VLOOKUP(B16,IMS!A:C,3,FALSE)</f>
        <v>SBHA22</v>
      </c>
      <c r="R16" s="843">
        <f t="shared" si="11"/>
        <v>1479306</v>
      </c>
      <c r="S16" s="843">
        <f t="shared" si="2"/>
        <v>1717816.6344712889</v>
      </c>
      <c r="T16" s="853">
        <f t="shared" si="12"/>
        <v>3437442.0924701742</v>
      </c>
      <c r="U16" s="854">
        <f t="shared" si="3"/>
        <v>137385.25482771141</v>
      </c>
      <c r="V16" s="854">
        <f t="shared" si="4"/>
        <v>1717816.6344712889</v>
      </c>
      <c r="W16" s="420">
        <f t="shared" si="5"/>
        <v>0.85936052311754352</v>
      </c>
      <c r="X16" s="420">
        <f t="shared" si="6"/>
        <v>0.76325141570950783</v>
      </c>
      <c r="Y16" s="1075">
        <f>SUM(U16:U17)</f>
        <v>137385.25482771141</v>
      </c>
      <c r="Z16" s="1069">
        <f>Y16*$Z$1</f>
        <v>74549.008756082985</v>
      </c>
      <c r="AA16" s="1045">
        <f>SUM(F16:F17)</f>
        <v>150000</v>
      </c>
      <c r="AB16" s="1093" t="s">
        <v>363</v>
      </c>
      <c r="AC16" s="1069">
        <f>Y16*$AC$1</f>
        <v>112655.90895872335</v>
      </c>
      <c r="AD16" s="1079">
        <v>103000</v>
      </c>
      <c r="AE16" s="1046">
        <f t="shared" ref="AE16" si="16">Z16/Y16</f>
        <v>0.54262743734450614</v>
      </c>
      <c r="AF16" s="1046">
        <f>AC16/AD16</f>
        <v>1.0937466889196441</v>
      </c>
      <c r="AG16" s="1046">
        <f>(AC16-Z16)/AD16</f>
        <v>0.36996990488000353</v>
      </c>
      <c r="AH16" s="882">
        <v>120</v>
      </c>
      <c r="AI16" s="256">
        <f t="shared" si="7"/>
        <v>118.28307653345492</v>
      </c>
      <c r="AJ16" s="855">
        <f t="shared" si="8"/>
        <v>1</v>
      </c>
      <c r="AK16" s="884">
        <v>120</v>
      </c>
      <c r="AL16" s="353" t="str">
        <f t="shared" si="13"/>
        <v>NO</v>
      </c>
      <c r="AM16" s="354" t="str">
        <f>VLOOKUP(B16,Input_Lic_Rate_PS!K:S,9,FALSE)</f>
        <v>TCHL01</v>
      </c>
      <c r="AN16" s="359">
        <f t="shared" si="9"/>
        <v>19326.64482771141</v>
      </c>
    </row>
    <row r="17" spans="1:40" s="71" customFormat="1">
      <c r="A17" s="417">
        <v>15</v>
      </c>
      <c r="B17" s="366" t="s">
        <v>74</v>
      </c>
      <c r="C17" s="366" t="str">
        <f>VLOOKUP(LEFT(B17,6),'GGSN-Lic'!A:AP,39,FALSE)</f>
        <v>NFV Ericsson</v>
      </c>
      <c r="D17" s="417" t="s">
        <v>15</v>
      </c>
      <c r="E17" s="418">
        <f>VLOOKUP(LEFT(B17,6),'GGSN-Lic'!A:AP,37,FALSE)*1000*AJ17</f>
        <v>0</v>
      </c>
      <c r="F17" s="418">
        <f>VLOOKUP(LEFT(B17,6),'GGSN-Lic'!A:AP,38,FALSE)*1000*AJ17</f>
        <v>0</v>
      </c>
      <c r="G17" s="418">
        <f>VLOOKUP(B17,Input_Lic_Rate_PS!K:P,4,FALSE)</f>
        <v>4000000</v>
      </c>
      <c r="H17" s="418">
        <f>VLOOKUP(B17,Input_Lic_Rate_PS!K:R,5,FALSE)</f>
        <v>180000</v>
      </c>
      <c r="I17" s="418">
        <f>VLOOKUP(B17,Input_Lic_Rate_PS!K:R,7,FALSE)</f>
        <v>4063232</v>
      </c>
      <c r="J17" s="850">
        <v>3649465</v>
      </c>
      <c r="K17" s="850">
        <v>126892.51</v>
      </c>
      <c r="L17" s="851">
        <f>_xlfn.IFNA(VLOOKUP(B17,Input_NOCPRO_GGSN!C:G,4,FALSE),0)</f>
        <v>1308070</v>
      </c>
      <c r="M17" s="851">
        <f t="shared" si="10"/>
        <v>654035</v>
      </c>
      <c r="N17" s="851">
        <f>_xlfn.IFNA(VLOOKUP(B17,Input_NOCPRO_GGSN!C:G,5,FALSE),0)</f>
        <v>53615.92</v>
      </c>
      <c r="O17" s="360">
        <f t="shared" si="0"/>
        <v>0.32701750000000002</v>
      </c>
      <c r="P17" s="420">
        <f t="shared" si="1"/>
        <v>0.2978662222222222</v>
      </c>
      <c r="Q17" s="350" t="str">
        <f>VLOOKUP(B17,IMS!A:C,3,FALSE)</f>
        <v>SBPD09</v>
      </c>
      <c r="R17" s="843">
        <f t="shared" si="11"/>
        <v>2066211</v>
      </c>
      <c r="S17" s="843">
        <f t="shared" si="2"/>
        <v>1650686.6344712889</v>
      </c>
      <c r="T17" s="853">
        <f t="shared" si="12"/>
        <v>0</v>
      </c>
      <c r="U17" s="854">
        <f t="shared" si="3"/>
        <v>0</v>
      </c>
      <c r="V17" s="854">
        <f t="shared" si="4"/>
        <v>0</v>
      </c>
      <c r="W17" s="420">
        <f t="shared" si="5"/>
        <v>0</v>
      </c>
      <c r="X17" s="420">
        <f t="shared" si="6"/>
        <v>0</v>
      </c>
      <c r="Y17" s="1070"/>
      <c r="Z17" s="1070"/>
      <c r="AA17" s="1045"/>
      <c r="AB17" s="1101"/>
      <c r="AC17" s="1070"/>
      <c r="AD17" s="1078"/>
      <c r="AE17" s="1046"/>
      <c r="AF17" s="1046"/>
      <c r="AG17" s="1046"/>
      <c r="AH17" s="886">
        <v>50</v>
      </c>
      <c r="AI17" s="341">
        <f t="shared" si="7"/>
        <v>53.717860719955929</v>
      </c>
      <c r="AJ17" s="856">
        <f t="shared" si="8"/>
        <v>0</v>
      </c>
      <c r="AK17" s="887">
        <v>0</v>
      </c>
      <c r="AL17" s="353" t="str">
        <f t="shared" si="13"/>
        <v>YES</v>
      </c>
      <c r="AM17" s="354" t="str">
        <f>VLOOKUP(B17,Input_Lic_Rate_PS!K:S,9,FALSE)</f>
        <v>TCHL02</v>
      </c>
      <c r="AN17" s="359">
        <f t="shared" si="9"/>
        <v>-53615.92</v>
      </c>
    </row>
    <row r="18" spans="1:40" s="71" customFormat="1">
      <c r="A18" s="417">
        <v>16</v>
      </c>
      <c r="B18" s="366" t="s">
        <v>71</v>
      </c>
      <c r="C18" s="366" t="str">
        <f>VLOOKUP(LEFT(B18,6),'GGSN-Lic'!A:AP,39,FALSE)</f>
        <v>NFV Ericsson</v>
      </c>
      <c r="D18" s="417" t="s">
        <v>15</v>
      </c>
      <c r="E18" s="418">
        <f>VLOOKUP(LEFT(B18,6),'GGSN-Lic'!A:AP,37,FALSE)*1000*AJ18</f>
        <v>4000000</v>
      </c>
      <c r="F18" s="418">
        <f>VLOOKUP(LEFT(B18,6),'GGSN-Lic'!A:AP,38,FALSE)*1000*AJ18</f>
        <v>150000</v>
      </c>
      <c r="G18" s="418">
        <f>VLOOKUP(B18,Input_Lic_Rate_PS!K:P,4,FALSE)</f>
        <v>4000000</v>
      </c>
      <c r="H18" s="418">
        <f>VLOOKUP(B18,Input_Lic_Rate_PS!K:R,5,FALSE)</f>
        <v>180000</v>
      </c>
      <c r="I18" s="418">
        <f>VLOOKUP(B18,Input_Lic_Rate_PS!K:R,7,FALSE)</f>
        <v>4063232</v>
      </c>
      <c r="J18" s="849">
        <v>0</v>
      </c>
      <c r="K18" s="849">
        <v>0</v>
      </c>
      <c r="L18" s="851">
        <f>_xlfn.IFNA(VLOOKUP(B18,Input_NOCPRO_GGSN!C:G,4,FALSE),0)</f>
        <v>2946644</v>
      </c>
      <c r="M18" s="851">
        <f t="shared" si="10"/>
        <v>1473322</v>
      </c>
      <c r="N18" s="851">
        <f>_xlfn.IFNA(VLOOKUP(B18,Input_NOCPRO_GGSN!C:G,5,FALSE),0)</f>
        <v>118281.94</v>
      </c>
      <c r="O18" s="360">
        <f t="shared" si="0"/>
        <v>0.73666100000000001</v>
      </c>
      <c r="P18" s="420">
        <f t="shared" si="1"/>
        <v>0.65712188888888889</v>
      </c>
      <c r="Q18" s="350" t="str">
        <f>VLOOKUP(B18,IMS!A:C,3,FALSE)</f>
        <v>SBHL10</v>
      </c>
      <c r="R18" s="843">
        <f t="shared" si="11"/>
        <v>2227907.5</v>
      </c>
      <c r="S18" s="843">
        <f t="shared" si="2"/>
        <v>1813820.2230918829</v>
      </c>
      <c r="T18" s="853">
        <f t="shared" si="12"/>
        <v>3425474.0924701742</v>
      </c>
      <c r="U18" s="854">
        <f t="shared" si="3"/>
        <v>137608.5848277114</v>
      </c>
      <c r="V18" s="854">
        <f t="shared" si="4"/>
        <v>1711832.6344712889</v>
      </c>
      <c r="W18" s="420">
        <f t="shared" si="5"/>
        <v>0.85636852311754352</v>
      </c>
      <c r="X18" s="420">
        <f t="shared" si="6"/>
        <v>0.76449213793172999</v>
      </c>
      <c r="Y18" s="1028">
        <f>SUM(U18:U20)</f>
        <v>406863.93448313419</v>
      </c>
      <c r="Z18" s="1031">
        <f>Y18*$Z$1</f>
        <v>220775.53411648615</v>
      </c>
      <c r="AA18" s="1028">
        <f>SUM(F18:F20)</f>
        <v>450000</v>
      </c>
      <c r="AB18" s="1048" t="s">
        <v>314</v>
      </c>
      <c r="AC18" s="1034">
        <f>Y18*$AC$1</f>
        <v>333628.42627617001</v>
      </c>
      <c r="AD18" s="1028">
        <v>416000</v>
      </c>
      <c r="AE18" s="1037">
        <f>Z18/Y18</f>
        <v>0.54262743734450614</v>
      </c>
      <c r="AF18" s="1040">
        <f>AC18/AD18</f>
        <v>0.8019914093177164</v>
      </c>
      <c r="AG18" s="1037">
        <f>(AC18-Z18)/AD18</f>
        <v>0.27128099076847084</v>
      </c>
      <c r="AH18" s="882">
        <v>120</v>
      </c>
      <c r="AI18" s="256">
        <f t="shared" si="7"/>
        <v>118.50683115399652</v>
      </c>
      <c r="AJ18" s="855">
        <f t="shared" si="8"/>
        <v>1</v>
      </c>
      <c r="AK18" s="884">
        <v>120</v>
      </c>
      <c r="AL18" s="353" t="str">
        <f t="shared" si="13"/>
        <v>NO</v>
      </c>
      <c r="AM18" s="689" t="str">
        <f>VLOOKUP(B18,Input_Lic_Rate_PS!K:S,9,FALSE)</f>
        <v>TCHL01</v>
      </c>
      <c r="AN18" s="690">
        <f t="shared" si="9"/>
        <v>19326.644827711396</v>
      </c>
    </row>
    <row r="19" spans="1:40" s="71" customFormat="1">
      <c r="A19" s="417">
        <v>17</v>
      </c>
      <c r="B19" s="366" t="s">
        <v>277</v>
      </c>
      <c r="C19" s="366" t="str">
        <f>VLOOKUP(LEFT(B19,6),'GGSN-Lic'!A:AP,39,FALSE)</f>
        <v>NFV Ericsson</v>
      </c>
      <c r="D19" s="417" t="s">
        <v>15</v>
      </c>
      <c r="E19" s="418">
        <f>VLOOKUP(LEFT(B19,6),'GGSN-Lic'!A:AP,37,FALSE)*1000*AJ19</f>
        <v>4000000</v>
      </c>
      <c r="F19" s="418">
        <f>VLOOKUP(LEFT(B19,6),'GGSN-Lic'!A:AP,38,FALSE)*1000*AJ19</f>
        <v>150000</v>
      </c>
      <c r="G19" s="418">
        <f>VLOOKUP(B19,Input_Lic_Rate_PS!K:P,4,FALSE)</f>
        <v>4000000</v>
      </c>
      <c r="H19" s="418">
        <f>VLOOKUP(B19,Input_Lic_Rate_PS!K:R,5,FALSE)</f>
        <v>180000</v>
      </c>
      <c r="I19" s="418">
        <f>VLOOKUP(B19,Input_Lic_Rate_PS!K:R,7,FALSE)</f>
        <v>4063232</v>
      </c>
      <c r="J19" s="849">
        <v>0</v>
      </c>
      <c r="K19" s="849">
        <v>0</v>
      </c>
      <c r="L19" s="851">
        <f>_xlfn.IFNA(VLOOKUP(B19,Input_NOCPRO_GGSN!C:G,4,FALSE),0)</f>
        <v>2824352</v>
      </c>
      <c r="M19" s="851">
        <f t="shared" si="10"/>
        <v>1412176</v>
      </c>
      <c r="N19" s="851">
        <f>_xlfn.IFNA(VLOOKUP(B19,Input_NOCPRO_GGSN!C:G,5,FALSE),0)</f>
        <v>110213.34</v>
      </c>
      <c r="O19" s="360">
        <f t="shared" si="0"/>
        <v>0.70608800000000005</v>
      </c>
      <c r="P19" s="420">
        <f t="shared" si="1"/>
        <v>0.61229633333333333</v>
      </c>
      <c r="Q19" s="350" t="str">
        <f>VLOOKUP(B19,IMS!A:C,3,FALSE)</f>
        <v>SBPD09</v>
      </c>
      <c r="R19" s="843">
        <f t="shared" si="11"/>
        <v>2066211</v>
      </c>
      <c r="S19" s="843">
        <f t="shared" si="2"/>
        <v>1650686.6344712889</v>
      </c>
      <c r="T19" s="853">
        <f t="shared" si="12"/>
        <v>3303182.0924701742</v>
      </c>
      <c r="U19" s="854">
        <f t="shared" si="3"/>
        <v>129539.98482771139</v>
      </c>
      <c r="V19" s="854">
        <f t="shared" si="4"/>
        <v>1650686.6344712889</v>
      </c>
      <c r="W19" s="420">
        <f t="shared" si="5"/>
        <v>0.82579552311754356</v>
      </c>
      <c r="X19" s="420">
        <f t="shared" si="6"/>
        <v>0.71966658237617442</v>
      </c>
      <c r="Y19" s="1029"/>
      <c r="Z19" s="1029"/>
      <c r="AA19" s="1029"/>
      <c r="AB19" s="1055"/>
      <c r="AC19" s="1035"/>
      <c r="AD19" s="1029"/>
      <c r="AE19" s="1038"/>
      <c r="AF19" s="1041"/>
      <c r="AG19" s="1038"/>
      <c r="AH19" s="882">
        <v>120</v>
      </c>
      <c r="AI19" s="256">
        <f t="shared" si="7"/>
        <v>110.42289020875045</v>
      </c>
      <c r="AJ19" s="855">
        <f t="shared" si="8"/>
        <v>1</v>
      </c>
      <c r="AK19" s="884">
        <v>120</v>
      </c>
      <c r="AL19" s="353" t="str">
        <f t="shared" si="13"/>
        <v>NO</v>
      </c>
      <c r="AM19" s="689" t="str">
        <f>VLOOKUP(B19,Input_Lic_Rate_PS!K:S,9,FALSE)</f>
        <v>TCHL01</v>
      </c>
      <c r="AN19" s="690">
        <f t="shared" si="9"/>
        <v>19326.644827711396</v>
      </c>
    </row>
    <row r="20" spans="1:40" s="71" customFormat="1">
      <c r="A20" s="417">
        <v>18</v>
      </c>
      <c r="B20" s="366" t="s">
        <v>278</v>
      </c>
      <c r="C20" s="366" t="str">
        <f>VLOOKUP(LEFT(B20,6),'GGSN-Lic'!A:AP,39,FALSE)</f>
        <v>NFV Ericsson</v>
      </c>
      <c r="D20" s="417" t="s">
        <v>15</v>
      </c>
      <c r="E20" s="418">
        <f>VLOOKUP(LEFT(B20,6),'GGSN-Lic'!A:AP,37,FALSE)*1000*AJ20</f>
        <v>4000000</v>
      </c>
      <c r="F20" s="418">
        <f>VLOOKUP(LEFT(B20,6),'GGSN-Lic'!A:AP,38,FALSE)*1000*AJ20</f>
        <v>150000</v>
      </c>
      <c r="G20" s="418">
        <f>VLOOKUP(B20,Input_Lic_Rate_PS!K:P,4,FALSE)</f>
        <v>4000000</v>
      </c>
      <c r="H20" s="418">
        <f>VLOOKUP(B20,Input_Lic_Rate_PS!K:R,5,FALSE)</f>
        <v>180000</v>
      </c>
      <c r="I20" s="418">
        <f>VLOOKUP(B20,Input_Lic_Rate_PS!K:R,7,FALSE)</f>
        <v>4063232</v>
      </c>
      <c r="J20" s="850">
        <v>0</v>
      </c>
      <c r="K20" s="850">
        <v>0</v>
      </c>
      <c r="L20" s="851">
        <f>_xlfn.IFNA(VLOOKUP(B20,Input_NOCPRO_GGSN!C:G,4,FALSE),0)</f>
        <v>2974011</v>
      </c>
      <c r="M20" s="851">
        <f t="shared" si="10"/>
        <v>1487005.5</v>
      </c>
      <c r="N20" s="851">
        <f>_xlfn.IFNA(VLOOKUP(B20,Input_NOCPRO_GGSN!C:G,5,FALSE),0)</f>
        <v>120388.72</v>
      </c>
      <c r="O20" s="360">
        <f t="shared" si="0"/>
        <v>0.74350274999999999</v>
      </c>
      <c r="P20" s="420">
        <f t="shared" si="1"/>
        <v>0.66882622222222221</v>
      </c>
      <c r="Q20" s="350" t="str">
        <f>VLOOKUP(B20,IMS!A:C,3,FALSE)</f>
        <v>SBHA23</v>
      </c>
      <c r="R20" s="843">
        <f t="shared" si="11"/>
        <v>1487005.5</v>
      </c>
      <c r="S20" s="843">
        <f t="shared" si="2"/>
        <v>1725516.1344712889</v>
      </c>
      <c r="T20" s="853">
        <f t="shared" si="12"/>
        <v>3452841.0924701742</v>
      </c>
      <c r="U20" s="854">
        <f t="shared" si="3"/>
        <v>139715.3648277114</v>
      </c>
      <c r="V20" s="854">
        <f t="shared" si="4"/>
        <v>1725516.1344712889</v>
      </c>
      <c r="W20" s="420">
        <f t="shared" si="5"/>
        <v>0.8632102731175435</v>
      </c>
      <c r="X20" s="420">
        <f t="shared" si="6"/>
        <v>0.7761964712650633</v>
      </c>
      <c r="Y20" s="1030"/>
      <c r="Z20" s="1030"/>
      <c r="AA20" s="1030"/>
      <c r="AB20" s="1049"/>
      <c r="AC20" s="1036"/>
      <c r="AD20" s="1030"/>
      <c r="AE20" s="1039"/>
      <c r="AF20" s="1042"/>
      <c r="AG20" s="1039"/>
      <c r="AH20" s="882">
        <v>120</v>
      </c>
      <c r="AI20" s="256">
        <f t="shared" si="7"/>
        <v>120.61761680511633</v>
      </c>
      <c r="AJ20" s="855">
        <f t="shared" si="8"/>
        <v>1</v>
      </c>
      <c r="AK20" s="884">
        <v>120</v>
      </c>
      <c r="AL20" s="353" t="str">
        <f t="shared" si="13"/>
        <v>NO</v>
      </c>
      <c r="AM20" s="354" t="str">
        <f>VLOOKUP(B20,Input_Lic_Rate_PS!K:S,9,FALSE)</f>
        <v>TCHL01</v>
      </c>
      <c r="AN20" s="359">
        <f t="shared" si="9"/>
        <v>19326.644827711396</v>
      </c>
    </row>
    <row r="21" spans="1:40" s="71" customFormat="1">
      <c r="A21" s="417">
        <v>19</v>
      </c>
      <c r="B21" s="366" t="s">
        <v>72</v>
      </c>
      <c r="C21" s="366" t="str">
        <f>VLOOKUP(LEFT(B21,6),'GGSN-Lic'!A:AP,39,FALSE)</f>
        <v>NFV Ericsson</v>
      </c>
      <c r="D21" s="417" t="s">
        <v>15</v>
      </c>
      <c r="E21" s="418">
        <f>VLOOKUP(LEFT(B21,6),'GGSN-Lic'!A:AP,37,FALSE)*1000*AJ21</f>
        <v>0</v>
      </c>
      <c r="F21" s="418">
        <f>VLOOKUP(LEFT(B21,6),'GGSN-Lic'!A:AP,38,FALSE)*1000*AJ21</f>
        <v>0</v>
      </c>
      <c r="G21" s="418">
        <f>VLOOKUP(B21,Input_Lic_Rate_PS!K:P,4,FALSE)</f>
        <v>4000000</v>
      </c>
      <c r="H21" s="418">
        <f>VLOOKUP(B21,Input_Lic_Rate_PS!K:R,5,FALSE)</f>
        <v>180000</v>
      </c>
      <c r="I21" s="418">
        <f>VLOOKUP(B21,Input_Lic_Rate_PS!K:R,7,FALSE)</f>
        <v>4063232</v>
      </c>
      <c r="J21" s="850">
        <v>3615929</v>
      </c>
      <c r="K21" s="850">
        <v>127925.1</v>
      </c>
      <c r="L21" s="851">
        <f>_xlfn.IFNA(VLOOKUP(B21,Input_NOCPRO_GGSN!C:G,4,FALSE),0)</f>
        <v>2972116</v>
      </c>
      <c r="M21" s="851">
        <f t="shared" si="10"/>
        <v>1486058</v>
      </c>
      <c r="N21" s="851">
        <f>_xlfn.IFNA(VLOOKUP(B21,Input_NOCPRO_GGSN!C:G,5,FALSE),0)</f>
        <v>117764.98</v>
      </c>
      <c r="O21" s="360">
        <f t="shared" si="0"/>
        <v>0.74302900000000005</v>
      </c>
      <c r="P21" s="420">
        <f t="shared" si="1"/>
        <v>0.65424988888888891</v>
      </c>
      <c r="Q21" s="350" t="str">
        <f>VLOOKUP(B21,IMS!A:C,3,FALSE)</f>
        <v>SBHA21</v>
      </c>
      <c r="R21" s="843">
        <f t="shared" si="11"/>
        <v>1901367</v>
      </c>
      <c r="S21" s="843">
        <f t="shared" si="2"/>
        <v>474936.65861782222</v>
      </c>
      <c r="T21" s="853">
        <f t="shared" si="12"/>
        <v>0</v>
      </c>
      <c r="U21" s="854">
        <f t="shared" si="3"/>
        <v>0</v>
      </c>
      <c r="V21" s="854">
        <f t="shared" si="4"/>
        <v>0</v>
      </c>
      <c r="W21" s="420">
        <f t="shared" si="5"/>
        <v>0</v>
      </c>
      <c r="X21" s="420">
        <f t="shared" si="6"/>
        <v>0</v>
      </c>
      <c r="Y21" s="1028">
        <f>SUM(U21:U23)</f>
        <v>0</v>
      </c>
      <c r="Z21" s="1031">
        <f>Y21*$Z$1</f>
        <v>0</v>
      </c>
      <c r="AA21" s="1028">
        <f>SUM(F21:F23)</f>
        <v>0</v>
      </c>
      <c r="AB21" s="1048" t="s">
        <v>315</v>
      </c>
      <c r="AC21" s="1034">
        <f>Y21*$AC$1</f>
        <v>0</v>
      </c>
      <c r="AD21" s="1028">
        <v>416000</v>
      </c>
      <c r="AE21" s="1037" t="e">
        <f>Z21/Y21</f>
        <v>#DIV/0!</v>
      </c>
      <c r="AF21" s="1040">
        <f>AC21/AD21</f>
        <v>0</v>
      </c>
      <c r="AG21" s="1037">
        <f>(AC21-Z21)/AD21</f>
        <v>0</v>
      </c>
      <c r="AH21" s="886">
        <v>120</v>
      </c>
      <c r="AI21" s="341">
        <f t="shared" si="7"/>
        <v>117.98888825051208</v>
      </c>
      <c r="AJ21" s="856">
        <f t="shared" si="8"/>
        <v>0</v>
      </c>
      <c r="AK21" s="887">
        <v>0</v>
      </c>
      <c r="AL21" s="353" t="str">
        <f t="shared" si="13"/>
        <v>YES</v>
      </c>
      <c r="AM21" s="354" t="str">
        <f>VLOOKUP(B21,Input_Lic_Rate_PS!K:S,9,FALSE)</f>
        <v>TCHL02</v>
      </c>
      <c r="AN21" s="359">
        <f t="shared" si="9"/>
        <v>-117764.98</v>
      </c>
    </row>
    <row r="22" spans="1:40" s="64" customFormat="1">
      <c r="A22" s="417">
        <v>20</v>
      </c>
      <c r="B22" s="366" t="s">
        <v>279</v>
      </c>
      <c r="C22" s="366" t="str">
        <f>VLOOKUP(LEFT(B22,6),'GGSN-Lic'!A:AP,39,FALSE)</f>
        <v>NFV Ericsson</v>
      </c>
      <c r="D22" s="417" t="s">
        <v>15</v>
      </c>
      <c r="E22" s="418">
        <f>VLOOKUP(LEFT(B22,6),'GGSN-Lic'!A:AP,37,FALSE)*1000*AJ22</f>
        <v>0</v>
      </c>
      <c r="F22" s="418">
        <f>VLOOKUP(LEFT(B22,6),'GGSN-Lic'!A:AP,38,FALSE)*1000*AJ22</f>
        <v>0</v>
      </c>
      <c r="G22" s="418">
        <f>VLOOKUP(B22,Input_Lic_Rate_PS!K:P,4,FALSE)</f>
        <v>4000000</v>
      </c>
      <c r="H22" s="418">
        <f>VLOOKUP(B22,Input_Lic_Rate_PS!K:R,5,FALSE)</f>
        <v>180000</v>
      </c>
      <c r="I22" s="418">
        <f>VLOOKUP(B22,Input_Lic_Rate_PS!K:R,7,FALSE)</f>
        <v>4063232</v>
      </c>
      <c r="J22" s="850">
        <v>3642082</v>
      </c>
      <c r="K22" s="850">
        <v>126904.15</v>
      </c>
      <c r="L22" s="851">
        <f>_xlfn.IFNA(VLOOKUP(B22,Input_NOCPRO_GGSN!C:G,4,FALSE),0)</f>
        <v>2952798</v>
      </c>
      <c r="M22" s="851">
        <f t="shared" si="10"/>
        <v>1476399</v>
      </c>
      <c r="N22" s="851">
        <f>_xlfn.IFNA(VLOOKUP(B22,Input_NOCPRO_GGSN!C:G,5,FALSE),0)</f>
        <v>117994.18</v>
      </c>
      <c r="O22" s="360">
        <f t="shared" si="0"/>
        <v>0.73819950000000001</v>
      </c>
      <c r="P22" s="420">
        <f t="shared" si="1"/>
        <v>0.65552322222222215</v>
      </c>
      <c r="Q22" s="350" t="str">
        <f>VLOOKUP(B22,IMS!A:C,3,FALSE)</f>
        <v>SBHL16</v>
      </c>
      <c r="R22" s="843">
        <f t="shared" si="11"/>
        <v>2116830.5</v>
      </c>
      <c r="S22" s="843">
        <f t="shared" si="2"/>
        <v>1574948.9026122612</v>
      </c>
      <c r="T22" s="853">
        <f t="shared" si="12"/>
        <v>0</v>
      </c>
      <c r="U22" s="854">
        <f t="shared" si="3"/>
        <v>0</v>
      </c>
      <c r="V22" s="854">
        <f t="shared" si="4"/>
        <v>0</v>
      </c>
      <c r="W22" s="420">
        <f t="shared" si="5"/>
        <v>0</v>
      </c>
      <c r="X22" s="420">
        <f t="shared" si="6"/>
        <v>0</v>
      </c>
      <c r="Y22" s="1029"/>
      <c r="Z22" s="1029"/>
      <c r="AA22" s="1029"/>
      <c r="AB22" s="1055"/>
      <c r="AC22" s="1035"/>
      <c r="AD22" s="1029"/>
      <c r="AE22" s="1038"/>
      <c r="AF22" s="1041"/>
      <c r="AG22" s="1038"/>
      <c r="AH22" s="886">
        <v>120</v>
      </c>
      <c r="AI22" s="341">
        <f t="shared" si="7"/>
        <v>118.21852403176911</v>
      </c>
      <c r="AJ22" s="856">
        <f t="shared" si="8"/>
        <v>0</v>
      </c>
      <c r="AK22" s="887">
        <v>0</v>
      </c>
      <c r="AL22" s="353" t="str">
        <f t="shared" si="13"/>
        <v>YES</v>
      </c>
      <c r="AM22" s="354" t="str">
        <f>VLOOKUP(B22,Input_Lic_Rate_PS!K:S,9,FALSE)</f>
        <v>TCHL02</v>
      </c>
      <c r="AN22" s="359">
        <f t="shared" si="9"/>
        <v>-117994.18</v>
      </c>
    </row>
    <row r="23" spans="1:40" s="64" customFormat="1">
      <c r="A23" s="417">
        <v>21</v>
      </c>
      <c r="B23" s="366" t="s">
        <v>337</v>
      </c>
      <c r="C23" s="366" t="str">
        <f>VLOOKUP(LEFT(B23,6),'GGSN-Lic'!A:AP,39,FALSE)</f>
        <v>NFV Ericsson</v>
      </c>
      <c r="D23" s="417" t="s">
        <v>15</v>
      </c>
      <c r="E23" s="418">
        <f>VLOOKUP(LEFT(B23,6),'GGSN-Lic'!A:AP,37,FALSE)*1000*AJ23</f>
        <v>0</v>
      </c>
      <c r="F23" s="418">
        <f>VLOOKUP(LEFT(B23,6),'GGSN-Lic'!A:AP,38,FALSE)*1000*AJ23</f>
        <v>0</v>
      </c>
      <c r="G23" s="418">
        <f>VLOOKUP(B23,Input_Lic_Rate_PS!K:P,4,FALSE)</f>
        <v>4000000</v>
      </c>
      <c r="H23" s="418">
        <f>VLOOKUP(B23,Input_Lic_Rate_PS!K:R,5,FALSE)</f>
        <v>180000</v>
      </c>
      <c r="I23" s="418">
        <f>VLOOKUP(B23,Input_Lic_Rate_PS!K:R,7,FALSE)</f>
        <v>3538890</v>
      </c>
      <c r="J23" s="850">
        <v>3656975</v>
      </c>
      <c r="K23" s="850">
        <v>128155.65</v>
      </c>
      <c r="L23" s="851">
        <f>_xlfn.IFNA(VLOOKUP(B23,Input_NOCPRO_GGSN!C:G,4,FALSE),0)</f>
        <v>1309171</v>
      </c>
      <c r="M23" s="851">
        <f t="shared" si="10"/>
        <v>654585.5</v>
      </c>
      <c r="N23" s="851">
        <f>_xlfn.IFNA(VLOOKUP(B23,Input_NOCPRO_GGSN!C:G,5,FALSE),0)</f>
        <v>52732.3</v>
      </c>
      <c r="O23" s="360">
        <f t="shared" si="0"/>
        <v>0.32729275000000002</v>
      </c>
      <c r="P23" s="420">
        <f t="shared" si="1"/>
        <v>0.29295722222222226</v>
      </c>
      <c r="Q23" s="350" t="str">
        <f>VLOOKUP(B23,IMS!A:C,3,FALSE)</f>
        <v>SBHL10</v>
      </c>
      <c r="R23" s="843">
        <f t="shared" si="11"/>
        <v>2227907.5</v>
      </c>
      <c r="S23" s="843">
        <f t="shared" si="2"/>
        <v>1813820.2230918829</v>
      </c>
      <c r="T23" s="853">
        <f t="shared" si="12"/>
        <v>0</v>
      </c>
      <c r="U23" s="854">
        <f t="shared" si="3"/>
        <v>0</v>
      </c>
      <c r="V23" s="854">
        <f t="shared" si="4"/>
        <v>0</v>
      </c>
      <c r="W23" s="420">
        <f t="shared" si="5"/>
        <v>0</v>
      </c>
      <c r="X23" s="420">
        <f t="shared" si="6"/>
        <v>0</v>
      </c>
      <c r="Y23" s="1030"/>
      <c r="Z23" s="1030"/>
      <c r="AA23" s="1030"/>
      <c r="AB23" s="1049"/>
      <c r="AC23" s="1036"/>
      <c r="AD23" s="1030"/>
      <c r="AE23" s="1039"/>
      <c r="AF23" s="1042"/>
      <c r="AG23" s="1039"/>
      <c r="AH23" s="886">
        <v>50</v>
      </c>
      <c r="AI23" s="341">
        <f t="shared" si="7"/>
        <v>52.832560680539146</v>
      </c>
      <c r="AJ23" s="856">
        <f t="shared" si="8"/>
        <v>0</v>
      </c>
      <c r="AK23" s="887">
        <v>0</v>
      </c>
      <c r="AL23" s="353" t="str">
        <f t="shared" si="13"/>
        <v>YES</v>
      </c>
      <c r="AM23" s="354" t="str">
        <f>VLOOKUP(B23,Input_Lic_Rate_PS!K:S,9,FALSE)</f>
        <v>TCHL02</v>
      </c>
      <c r="AN23" s="359">
        <f t="shared" si="9"/>
        <v>-52732.3</v>
      </c>
    </row>
    <row r="24" spans="1:40" s="71" customFormat="1">
      <c r="A24" s="417">
        <v>22</v>
      </c>
      <c r="B24" s="366" t="s">
        <v>408</v>
      </c>
      <c r="C24" s="366" t="str">
        <f>VLOOKUP(LEFT(B24,6),'GGSN-Lic'!A:AP,39,FALSE)</f>
        <v>NFV Ericsson</v>
      </c>
      <c r="D24" s="417" t="s">
        <v>15</v>
      </c>
      <c r="E24" s="418">
        <f>VLOOKUP(LEFT(B24,6),'GGSN-Lic'!A:AP,37,FALSE)*1000*AJ24</f>
        <v>3500000</v>
      </c>
      <c r="F24" s="418">
        <f>VLOOKUP(LEFT(B24,6),'GGSN-Lic'!A:AP,38,FALSE)*1000*AJ24</f>
        <v>100000</v>
      </c>
      <c r="G24" s="418">
        <v>3500000</v>
      </c>
      <c r="H24" s="418">
        <f>VLOOKUP(B24,Input_Lic_Rate_PS!K:R,5,FALSE)</f>
        <v>100000</v>
      </c>
      <c r="I24" s="418">
        <f>VLOOKUP(B24,Input_Lic_Rate_PS!K:R,7,FALSE)</f>
        <v>3538944</v>
      </c>
      <c r="J24" s="850">
        <v>2392038</v>
      </c>
      <c r="K24" s="850">
        <v>83826.983973010487</v>
      </c>
      <c r="L24" s="851">
        <f>_xlfn.IFNA(VLOOKUP(B24,Input_NOCPRO_GGSN!C:G,4,FALSE),0)</f>
        <v>1957856</v>
      </c>
      <c r="M24" s="851">
        <f t="shared" si="10"/>
        <v>978928</v>
      </c>
      <c r="N24" s="851">
        <f t="shared" ref="N24:N31" si="17">$N$23*L24/$L$23</f>
        <v>78860.782853271274</v>
      </c>
      <c r="O24" s="360">
        <f t="shared" si="0"/>
        <v>0.55938742857142854</v>
      </c>
      <c r="P24" s="420">
        <f t="shared" si="1"/>
        <v>0.78860782853271272</v>
      </c>
      <c r="Q24" s="350" t="str">
        <f>VLOOKUP(B24,IMS!A:C,3,FALSE)</f>
        <v>SBHL06</v>
      </c>
      <c r="R24" s="843">
        <f t="shared" si="11"/>
        <v>1988565.5</v>
      </c>
      <c r="S24" s="843">
        <f t="shared" si="2"/>
        <v>2306579.6792950518</v>
      </c>
      <c r="T24" s="853">
        <f t="shared" si="12"/>
        <v>2277076.0616467828</v>
      </c>
      <c r="U24" s="854">
        <f t="shared" si="3"/>
        <v>91745.2127384122</v>
      </c>
      <c r="V24" s="854">
        <f t="shared" si="4"/>
        <v>1137935.0896475259</v>
      </c>
      <c r="W24" s="420">
        <f t="shared" si="5"/>
        <v>0.65059316047050941</v>
      </c>
      <c r="X24" s="420">
        <f t="shared" si="6"/>
        <v>0.91745212738412196</v>
      </c>
      <c r="Y24" s="1028">
        <f>SUM(U24:U31)</f>
        <v>772415.24074318062</v>
      </c>
      <c r="Z24" s="1031">
        <f>Y24*$Z$1</f>
        <v>419133.70265031187</v>
      </c>
      <c r="AA24" s="1094">
        <f>SUM(F24:F31)</f>
        <v>1100000</v>
      </c>
      <c r="AB24" s="1048" t="s">
        <v>830</v>
      </c>
      <c r="AC24" s="1034">
        <f>Y24*$AC$1</f>
        <v>633380.4974094081</v>
      </c>
      <c r="AD24" s="1028">
        <v>416000</v>
      </c>
      <c r="AE24" s="1037">
        <f>Z24/Y24</f>
        <v>0.54262743734450614</v>
      </c>
      <c r="AF24" s="1040">
        <f>AC24/AD24</f>
        <v>1.5225492726187695</v>
      </c>
      <c r="AG24" s="1037">
        <f>(AC24-Z24)/AD24</f>
        <v>0.51501633355551979</v>
      </c>
      <c r="AH24" s="882">
        <v>80</v>
      </c>
      <c r="AI24" s="256">
        <f t="shared" si="7"/>
        <v>79.010721994115087</v>
      </c>
      <c r="AJ24" s="855">
        <f t="shared" si="8"/>
        <v>1</v>
      </c>
      <c r="AK24" s="884">
        <v>80</v>
      </c>
      <c r="AL24" s="353" t="str">
        <f t="shared" si="13"/>
        <v>NO</v>
      </c>
      <c r="AM24" s="354" t="str">
        <f>VLOOKUP(B24,Input_Lic_Rate_PS!K:S,9,FALSE)</f>
        <v>TCHL04</v>
      </c>
      <c r="AN24" s="359">
        <f t="shared" si="9"/>
        <v>12884.429885140926</v>
      </c>
    </row>
    <row r="25" spans="1:40" s="64" customFormat="1">
      <c r="A25" s="417">
        <v>23</v>
      </c>
      <c r="B25" s="366" t="s">
        <v>410</v>
      </c>
      <c r="C25" s="366" t="str">
        <f>VLOOKUP(LEFT(B25,6),'GGSN-Lic'!A:AP,39,FALSE)</f>
        <v>NFV Ericsson</v>
      </c>
      <c r="D25" s="417" t="s">
        <v>15</v>
      </c>
      <c r="E25" s="418">
        <f>VLOOKUP(LEFT(B25,6),'GGSN-Lic'!A:AP,37,FALSE)*1000*AJ25</f>
        <v>3500000</v>
      </c>
      <c r="F25" s="418">
        <f>VLOOKUP(LEFT(B25,6),'GGSN-Lic'!A:AP,38,FALSE)*1000*AJ25</f>
        <v>100000</v>
      </c>
      <c r="G25" s="418">
        <v>3500000</v>
      </c>
      <c r="H25" s="418">
        <f>VLOOKUP(B25,Input_Lic_Rate_PS!K:R,5,FALSE)</f>
        <v>100000</v>
      </c>
      <c r="I25" s="418">
        <f>VLOOKUP(B25,Input_Lic_Rate_PS!K:R,7,FALSE)</f>
        <v>3538944</v>
      </c>
      <c r="J25" s="850">
        <v>2373193</v>
      </c>
      <c r="K25" s="850">
        <v>83166.576607838448</v>
      </c>
      <c r="L25" s="851">
        <f>_xlfn.IFNA(VLOOKUP(B25,Input_NOCPRO_GGSN!C:G,4,FALSE),0)</f>
        <v>1926401</v>
      </c>
      <c r="M25" s="851">
        <f t="shared" si="10"/>
        <v>963200.5</v>
      </c>
      <c r="N25" s="851">
        <f t="shared" si="17"/>
        <v>77593.802071921848</v>
      </c>
      <c r="O25" s="360">
        <f t="shared" si="0"/>
        <v>0.55040028571428568</v>
      </c>
      <c r="P25" s="420">
        <f t="shared" si="1"/>
        <v>0.77593802071921847</v>
      </c>
      <c r="Q25" s="350" t="str">
        <f>VLOOKUP(B25,IMS!A:C,3,FALSE)</f>
        <v>SBHL15</v>
      </c>
      <c r="R25" s="843">
        <f t="shared" si="11"/>
        <v>1821468.5</v>
      </c>
      <c r="S25" s="843">
        <f t="shared" si="2"/>
        <v>2159358.5655009924</v>
      </c>
      <c r="T25" s="853">
        <f t="shared" si="12"/>
        <v>2245621.0616467828</v>
      </c>
      <c r="U25" s="854">
        <f t="shared" si="3"/>
        <v>90478.231957062773</v>
      </c>
      <c r="V25" s="854">
        <f t="shared" si="4"/>
        <v>1122207.5896475259</v>
      </c>
      <c r="W25" s="420">
        <f t="shared" si="5"/>
        <v>0.64160601761336655</v>
      </c>
      <c r="X25" s="420">
        <f t="shared" si="6"/>
        <v>0.90478231957062771</v>
      </c>
      <c r="Y25" s="1029"/>
      <c r="Z25" s="1029"/>
      <c r="AA25" s="1095"/>
      <c r="AB25" s="1055"/>
      <c r="AC25" s="1035"/>
      <c r="AD25" s="1029"/>
      <c r="AE25" s="1038"/>
      <c r="AF25" s="1041"/>
      <c r="AG25" s="1038"/>
      <c r="AH25" s="882">
        <v>80</v>
      </c>
      <c r="AI25" s="256">
        <f t="shared" si="7"/>
        <v>77.741332283980697</v>
      </c>
      <c r="AJ25" s="855">
        <f t="shared" si="8"/>
        <v>1</v>
      </c>
      <c r="AK25" s="884">
        <v>80</v>
      </c>
      <c r="AL25" s="353" t="str">
        <f t="shared" si="13"/>
        <v>NO</v>
      </c>
      <c r="AM25" s="354" t="str">
        <f>VLOOKUP(B25,Input_Lic_Rate_PS!K:S,9,FALSE)</f>
        <v>TCHL04</v>
      </c>
      <c r="AN25" s="359">
        <f t="shared" si="9"/>
        <v>12884.429885140926</v>
      </c>
    </row>
    <row r="26" spans="1:40" s="64" customFormat="1">
      <c r="A26" s="417">
        <v>24</v>
      </c>
      <c r="B26" s="366" t="s">
        <v>411</v>
      </c>
      <c r="C26" s="366" t="str">
        <f>VLOOKUP(LEFT(B26,6),'GGSN-Lic'!A:AP,39,FALSE)</f>
        <v>NFV Ericsson</v>
      </c>
      <c r="D26" s="417" t="s">
        <v>15</v>
      </c>
      <c r="E26" s="418">
        <f>VLOOKUP(LEFT(B26,6),'GGSN-Lic'!A:AP,37,FALSE)*1000*AJ26</f>
        <v>4500000</v>
      </c>
      <c r="F26" s="418">
        <f>VLOOKUP(LEFT(B26,6),'GGSN-Lic'!A:AP,38,FALSE)*1000*AJ26</f>
        <v>150000</v>
      </c>
      <c r="G26" s="418">
        <v>4500000</v>
      </c>
      <c r="H26" s="418">
        <f>VLOOKUP(B26,Input_Lic_Rate_PS!K:R,5,FALSE)</f>
        <v>150000</v>
      </c>
      <c r="I26" s="418">
        <f>VLOOKUP(B26,Input_Lic_Rate_PS!K:R,7,FALSE)</f>
        <v>3538944</v>
      </c>
      <c r="J26" s="850">
        <v>3457932</v>
      </c>
      <c r="K26" s="850">
        <v>121180.35346585634</v>
      </c>
      <c r="L26" s="851">
        <f>_xlfn.IFNA(VLOOKUP(B26,Input_NOCPRO_GGSN!C:G,4,FALSE),0)</f>
        <v>2823390</v>
      </c>
      <c r="M26" s="851">
        <f t="shared" si="10"/>
        <v>1411695</v>
      </c>
      <c r="N26" s="851">
        <f t="shared" si="17"/>
        <v>113723.75991906329</v>
      </c>
      <c r="O26" s="360">
        <f t="shared" si="0"/>
        <v>0.62741999999999998</v>
      </c>
      <c r="P26" s="420">
        <f t="shared" si="1"/>
        <v>0.75815839946042196</v>
      </c>
      <c r="Q26" s="350" t="str">
        <f>VLOOKUP(B26,IMS!A:C,3,FALSE)</f>
        <v>SBPD14</v>
      </c>
      <c r="R26" s="843">
        <f t="shared" si="11"/>
        <v>2239701.5</v>
      </c>
      <c r="S26" s="843">
        <f t="shared" si="2"/>
        <v>2060584.6901911693</v>
      </c>
      <c r="T26" s="853">
        <f t="shared" si="12"/>
        <v>2184480.4354393068</v>
      </c>
      <c r="U26" s="854">
        <f t="shared" si="3"/>
        <v>87935.952457773848</v>
      </c>
      <c r="V26" s="854">
        <f t="shared" si="4"/>
        <v>1093446.9867495839</v>
      </c>
      <c r="W26" s="420">
        <f t="shared" si="5"/>
        <v>0.4854400967642904</v>
      </c>
      <c r="X26" s="420">
        <f t="shared" si="6"/>
        <v>0.58623968305182561</v>
      </c>
      <c r="Y26" s="1029"/>
      <c r="Z26" s="1029"/>
      <c r="AA26" s="1095"/>
      <c r="AB26" s="1055"/>
      <c r="AC26" s="1035"/>
      <c r="AD26" s="1029"/>
      <c r="AE26" s="1038"/>
      <c r="AF26" s="1041"/>
      <c r="AG26" s="1038"/>
      <c r="AH26" s="886">
        <v>120</v>
      </c>
      <c r="AI26" s="341">
        <f t="shared" si="7"/>
        <v>113.93998453970292</v>
      </c>
      <c r="AJ26" s="856">
        <f t="shared" si="8"/>
        <v>1</v>
      </c>
      <c r="AK26" s="887">
        <v>80</v>
      </c>
      <c r="AL26" s="353" t="str">
        <f t="shared" si="13"/>
        <v>YES</v>
      </c>
      <c r="AM26" s="354" t="str">
        <f>VLOOKUP(B26,Input_Lic_Rate_PS!K:S,9,FALSE)</f>
        <v>TCHL04</v>
      </c>
      <c r="AN26" s="359">
        <f t="shared" si="9"/>
        <v>-25787.807461289442</v>
      </c>
    </row>
    <row r="27" spans="1:40" s="64" customFormat="1">
      <c r="A27" s="417">
        <v>25</v>
      </c>
      <c r="B27" s="366" t="s">
        <v>1109</v>
      </c>
      <c r="C27" s="366" t="str">
        <f>VLOOKUP(LEFT(B27,6),'GGSN-Lic'!A:AP,39,FALSE)</f>
        <v>NFV Ericsson</v>
      </c>
      <c r="D27" s="417" t="s">
        <v>15</v>
      </c>
      <c r="E27" s="418">
        <f>VLOOKUP(LEFT(B27,6),'GGSN-Lic'!A:AP,37,FALSE)*1000*AJ27</f>
        <v>4500000</v>
      </c>
      <c r="F27" s="418">
        <f>VLOOKUP(LEFT(B27,6),'GGSN-Lic'!A:AP,38,FALSE)*1000*AJ27</f>
        <v>150000</v>
      </c>
      <c r="G27" s="418">
        <v>4500000</v>
      </c>
      <c r="H27" s="418">
        <f>VLOOKUP(B27,Input_Lic_Rate_PS!K:R,5,FALSE)</f>
        <v>150000</v>
      </c>
      <c r="I27" s="418">
        <f>VLOOKUP(B27,Input_Lic_Rate_PS!K:R,7,FALSE)</f>
        <v>3538944</v>
      </c>
      <c r="J27" s="850">
        <v>3491000</v>
      </c>
      <c r="K27" s="850">
        <v>122339.19404699239</v>
      </c>
      <c r="L27" s="851">
        <f>_xlfn.IFNA(VLOOKUP(B27,Input_NOCPRO_GGSN!C:G,4,FALSE),0)</f>
        <v>2868845</v>
      </c>
      <c r="M27" s="851">
        <f t="shared" si="10"/>
        <v>1434422.5</v>
      </c>
      <c r="N27" s="851">
        <f t="shared" si="17"/>
        <v>115554.64885297643</v>
      </c>
      <c r="O27" s="360">
        <f t="shared" si="0"/>
        <v>0.63752111111111109</v>
      </c>
      <c r="P27" s="420">
        <f t="shared" si="1"/>
        <v>0.77036432568650959</v>
      </c>
      <c r="Q27" s="350" t="str">
        <f>VLOOKUP(B27,IMS!A:C,3,FALSE)</f>
        <v>SBPD08</v>
      </c>
      <c r="R27" s="843">
        <f t="shared" si="11"/>
        <v>1434422.5</v>
      </c>
      <c r="S27" s="843">
        <f t="shared" si="2"/>
        <v>1672933.1344712889</v>
      </c>
      <c r="T27" s="853">
        <f t="shared" si="12"/>
        <v>3347675.0924701742</v>
      </c>
      <c r="U27" s="854">
        <f t="shared" si="3"/>
        <v>134881.29368068784</v>
      </c>
      <c r="V27" s="854">
        <f t="shared" si="4"/>
        <v>1672933.1344712889</v>
      </c>
      <c r="W27" s="420">
        <f t="shared" si="5"/>
        <v>0.74392779832670541</v>
      </c>
      <c r="X27" s="420">
        <f t="shared" si="6"/>
        <v>0.89920862453791894</v>
      </c>
      <c r="Y27" s="1029"/>
      <c r="Z27" s="1029"/>
      <c r="AA27" s="1095"/>
      <c r="AB27" s="1055"/>
      <c r="AC27" s="1035"/>
      <c r="AD27" s="1029"/>
      <c r="AE27" s="1038"/>
      <c r="AF27" s="1041"/>
      <c r="AG27" s="1038"/>
      <c r="AH27" s="882">
        <v>120</v>
      </c>
      <c r="AI27" s="256">
        <f t="shared" si="7"/>
        <v>115.77435456908327</v>
      </c>
      <c r="AJ27" s="855">
        <f t="shared" ref="AJ27:AJ30" si="18">IF(AK27=0,0,1)</f>
        <v>1</v>
      </c>
      <c r="AK27" s="884">
        <v>120</v>
      </c>
      <c r="AL27" s="353" t="str">
        <f t="shared" si="13"/>
        <v>NO</v>
      </c>
      <c r="AM27" s="354" t="str">
        <f>VLOOKUP(B27,Input_Lic_Rate_PS!K:S,9,FALSE)</f>
        <v>TCHL04</v>
      </c>
      <c r="AN27" s="359">
        <f t="shared" si="9"/>
        <v>19326.64482771141</v>
      </c>
    </row>
    <row r="28" spans="1:40" s="64" customFormat="1">
      <c r="A28" s="417">
        <v>26</v>
      </c>
      <c r="B28" s="366" t="s">
        <v>976</v>
      </c>
      <c r="C28" s="366" t="str">
        <f>VLOOKUP(LEFT(B28,6),'GGSN-Lic'!A:AP,39,FALSE)</f>
        <v>NFV Ericsson</v>
      </c>
      <c r="D28" s="417" t="s">
        <v>15</v>
      </c>
      <c r="E28" s="418">
        <f>VLOOKUP(LEFT(B28,6),'GGSN-Lic'!A:AP,37,FALSE)*1000*AJ28</f>
        <v>4500000</v>
      </c>
      <c r="F28" s="418">
        <f>VLOOKUP(LEFT(B28,6),'GGSN-Lic'!A:AP,38,FALSE)*1000*AJ28</f>
        <v>150000</v>
      </c>
      <c r="G28" s="418">
        <v>4500000</v>
      </c>
      <c r="H28" s="418">
        <v>150000</v>
      </c>
      <c r="I28" s="418">
        <v>3538944</v>
      </c>
      <c r="J28" s="850"/>
      <c r="K28" s="850"/>
      <c r="L28" s="851">
        <f>_xlfn.IFNA(VLOOKUP(B28,Input_NOCPRO_GGSN!C:G,4,FALSE),0)</f>
        <v>1656013</v>
      </c>
      <c r="M28" s="851">
        <f t="shared" si="10"/>
        <v>828006.5</v>
      </c>
      <c r="N28" s="851">
        <f t="shared" si="17"/>
        <v>66702.802246536172</v>
      </c>
      <c r="O28" s="360">
        <f t="shared" si="0"/>
        <v>0.36800288888888888</v>
      </c>
      <c r="P28" s="420">
        <f t="shared" si="1"/>
        <v>0.44468534831024115</v>
      </c>
      <c r="Q28" s="350" t="str">
        <f>VLOOKUP(B28,IMS!A:C,3,FALSE)</f>
        <v>SBPD14</v>
      </c>
      <c r="R28" s="843">
        <f t="shared" si="11"/>
        <v>2239701.5</v>
      </c>
      <c r="S28" s="843">
        <f t="shared" si="2"/>
        <v>2060584.6901911693</v>
      </c>
      <c r="T28" s="853">
        <f t="shared" si="12"/>
        <v>1935330.5539409348</v>
      </c>
      <c r="U28" s="854">
        <f t="shared" si="3"/>
        <v>77976.678396034491</v>
      </c>
      <c r="V28" s="854">
        <f t="shared" si="4"/>
        <v>967137.7034415853</v>
      </c>
      <c r="W28" s="420">
        <f t="shared" si="5"/>
        <v>0.43007345643131883</v>
      </c>
      <c r="X28" s="420">
        <f t="shared" si="6"/>
        <v>0.51984452264022996</v>
      </c>
      <c r="Y28" s="1029"/>
      <c r="Z28" s="1029"/>
      <c r="AA28" s="1095"/>
      <c r="AB28" s="1055"/>
      <c r="AC28" s="1035"/>
      <c r="AD28" s="1029"/>
      <c r="AE28" s="1038"/>
      <c r="AF28" s="1041"/>
      <c r="AG28" s="1038"/>
      <c r="AH28" s="183">
        <v>70</v>
      </c>
      <c r="AI28" s="341">
        <f t="shared" si="7"/>
        <v>66.829625243961004</v>
      </c>
      <c r="AJ28" s="856">
        <f t="shared" si="18"/>
        <v>1</v>
      </c>
      <c r="AK28" s="888">
        <v>70</v>
      </c>
      <c r="AL28" s="353" t="str">
        <f t="shared" si="13"/>
        <v>NO</v>
      </c>
      <c r="AM28" s="354" t="str">
        <f>VLOOKUP(B28,Input_Lic_Rate_PS!K:S,9,FALSE)</f>
        <v>TCHL10</v>
      </c>
      <c r="AN28" s="359">
        <f t="shared" si="9"/>
        <v>11273.876149498319</v>
      </c>
    </row>
    <row r="29" spans="1:40" s="64" customFormat="1">
      <c r="A29" s="417">
        <v>27</v>
      </c>
      <c r="B29" s="366" t="s">
        <v>979</v>
      </c>
      <c r="C29" s="366" t="str">
        <f>VLOOKUP(LEFT(B29,6),'GGSN-Lic'!A:AP,39,FALSE)</f>
        <v>NFV Ericsson</v>
      </c>
      <c r="D29" s="417" t="s">
        <v>15</v>
      </c>
      <c r="E29" s="418">
        <f>VLOOKUP(LEFT(B29,6),'GGSN-Lic'!A:AP,37,FALSE)*1000*AJ29</f>
        <v>4500000</v>
      </c>
      <c r="F29" s="418">
        <f>VLOOKUP(LEFT(B29,6),'GGSN-Lic'!A:AP,38,FALSE)*1000*AJ29</f>
        <v>150000</v>
      </c>
      <c r="G29" s="418">
        <v>4500000</v>
      </c>
      <c r="H29" s="418">
        <v>150000</v>
      </c>
      <c r="I29" s="418">
        <v>3538944</v>
      </c>
      <c r="J29" s="850"/>
      <c r="K29" s="850"/>
      <c r="L29" s="851">
        <f>_xlfn.IFNA(VLOOKUP(B29,Input_NOCPRO_GGSN!C:G,4,FALSE),0)</f>
        <v>1280863</v>
      </c>
      <c r="M29" s="851">
        <f t="shared" si="10"/>
        <v>640431.5</v>
      </c>
      <c r="N29" s="851">
        <f t="shared" si="17"/>
        <v>51592.077715516156</v>
      </c>
      <c r="O29" s="360">
        <f t="shared" si="0"/>
        <v>0.28463622222222223</v>
      </c>
      <c r="P29" s="420">
        <f t="shared" si="1"/>
        <v>0.34394718477010772</v>
      </c>
      <c r="Q29" s="350" t="str">
        <f>VLOOKUP(B29,IMS!A:C,3,FALSE)</f>
        <v>SBHL16</v>
      </c>
      <c r="R29" s="843">
        <f t="shared" si="11"/>
        <v>2116830.5</v>
      </c>
      <c r="S29" s="843">
        <f t="shared" si="2"/>
        <v>1574948.9026122612</v>
      </c>
      <c r="T29" s="853">
        <f t="shared" si="12"/>
        <v>3156985.0240755398</v>
      </c>
      <c r="U29" s="854">
        <f t="shared" si="3"/>
        <v>127316.52482723049</v>
      </c>
      <c r="V29" s="854">
        <f t="shared" si="4"/>
        <v>1574948.9026122612</v>
      </c>
      <c r="W29" s="420">
        <f t="shared" si="5"/>
        <v>0.70155222757234215</v>
      </c>
      <c r="X29" s="420">
        <f t="shared" si="6"/>
        <v>0.84877683218153654</v>
      </c>
      <c r="Y29" s="1029"/>
      <c r="Z29" s="1029"/>
      <c r="AA29" s="1095"/>
      <c r="AB29" s="1055"/>
      <c r="AC29" s="1035"/>
      <c r="AD29" s="1029"/>
      <c r="AE29" s="1038"/>
      <c r="AF29" s="1041"/>
      <c r="AG29" s="1038"/>
      <c r="AH29" s="183">
        <v>50</v>
      </c>
      <c r="AI29" s="341">
        <f t="shared" si="7"/>
        <v>51.69017047502382</v>
      </c>
      <c r="AJ29" s="856">
        <f t="shared" si="18"/>
        <v>1</v>
      </c>
      <c r="AK29" s="888">
        <v>110</v>
      </c>
      <c r="AL29" s="353" t="str">
        <f t="shared" si="13"/>
        <v>YES</v>
      </c>
      <c r="AM29" s="354" t="str">
        <f>VLOOKUP(B29,Input_Lic_Rate_PS!K:S,9,FALSE)</f>
        <v>TCHL10</v>
      </c>
      <c r="AN29" s="359">
        <f t="shared" si="9"/>
        <v>75724.44711171434</v>
      </c>
    </row>
    <row r="30" spans="1:40" s="64" customFormat="1">
      <c r="A30" s="417">
        <v>28</v>
      </c>
      <c r="B30" s="366" t="s">
        <v>980</v>
      </c>
      <c r="C30" s="366" t="str">
        <f>VLOOKUP(LEFT(B30,6),'GGSN-Lic'!A:AP,39,FALSE)</f>
        <v>NFV Ericsson</v>
      </c>
      <c r="D30" s="417" t="s">
        <v>15</v>
      </c>
      <c r="E30" s="418">
        <f>VLOOKUP(LEFT(B30,6),'GGSN-Lic'!A:AP,37,FALSE)*1000*AJ30</f>
        <v>4500000</v>
      </c>
      <c r="F30" s="418">
        <f>VLOOKUP(LEFT(B30,6),'GGSN-Lic'!A:AP,38,FALSE)*1000*AJ30</f>
        <v>150000</v>
      </c>
      <c r="G30" s="418">
        <v>4500000</v>
      </c>
      <c r="H30" s="418">
        <v>150000</v>
      </c>
      <c r="I30" s="418">
        <v>3538944</v>
      </c>
      <c r="J30" s="850"/>
      <c r="K30" s="850"/>
      <c r="L30" s="851">
        <f>_xlfn.IFNA(VLOOKUP(B30,Input_NOCPRO_GGSN!C:G,4,FALSE),0)</f>
        <v>1730152</v>
      </c>
      <c r="M30" s="851">
        <f t="shared" si="10"/>
        <v>865076</v>
      </c>
      <c r="N30" s="851">
        <f t="shared" si="17"/>
        <v>69689.058426744872</v>
      </c>
      <c r="O30" s="360">
        <f t="shared" si="0"/>
        <v>0.38447822222222222</v>
      </c>
      <c r="P30" s="420">
        <f t="shared" si="1"/>
        <v>0.46459372284496581</v>
      </c>
      <c r="Q30" s="350" t="str">
        <f>VLOOKUP(B30,IMS!A:C,3,FALSE)</f>
        <v>SBHA19</v>
      </c>
      <c r="R30" s="843">
        <f t="shared" si="11"/>
        <v>2011556.5</v>
      </c>
      <c r="S30" s="843">
        <f t="shared" si="2"/>
        <v>2110819.0140520218</v>
      </c>
      <c r="T30" s="853">
        <f t="shared" si="12"/>
        <v>2009469.5539409348</v>
      </c>
      <c r="U30" s="854">
        <f t="shared" si="3"/>
        <v>80962.934576243191</v>
      </c>
      <c r="V30" s="854">
        <f t="shared" si="4"/>
        <v>1004207.2034415853</v>
      </c>
      <c r="W30" s="420">
        <f t="shared" si="5"/>
        <v>0.44654878976465218</v>
      </c>
      <c r="X30" s="420">
        <f t="shared" si="6"/>
        <v>0.53975289717495456</v>
      </c>
      <c r="Y30" s="1029"/>
      <c r="Z30" s="1029"/>
      <c r="AA30" s="1095"/>
      <c r="AB30" s="1055"/>
      <c r="AC30" s="1035"/>
      <c r="AD30" s="1029"/>
      <c r="AE30" s="1038"/>
      <c r="AF30" s="1041"/>
      <c r="AG30" s="1038"/>
      <c r="AH30" s="883">
        <v>70</v>
      </c>
      <c r="AI30" s="256">
        <f t="shared" si="7"/>
        <v>69.821559236002145</v>
      </c>
      <c r="AJ30" s="855">
        <f t="shared" si="18"/>
        <v>1</v>
      </c>
      <c r="AK30" s="885">
        <v>70</v>
      </c>
      <c r="AL30" s="353" t="str">
        <f t="shared" si="13"/>
        <v>NO</v>
      </c>
      <c r="AM30" s="354" t="str">
        <f>VLOOKUP(B30,Input_Lic_Rate_PS!K:S,9,FALSE)</f>
        <v>TCHL10</v>
      </c>
      <c r="AN30" s="359">
        <f t="shared" si="9"/>
        <v>11273.876149498319</v>
      </c>
    </row>
    <row r="31" spans="1:40" s="64" customFormat="1">
      <c r="A31" s="417">
        <v>29</v>
      </c>
      <c r="B31" s="366" t="s">
        <v>1108</v>
      </c>
      <c r="C31" s="366" t="str">
        <f>VLOOKUP(LEFT(B31,6),'GGSN-Lic'!A:AP,39,FALSE)</f>
        <v>NFV Ericsson</v>
      </c>
      <c r="D31" s="417" t="s">
        <v>15</v>
      </c>
      <c r="E31" s="418">
        <f>VLOOKUP(LEFT(B31,6),'GGSN-Lic'!A:AP,37,FALSE)*1000*AJ31</f>
        <v>4500000</v>
      </c>
      <c r="F31" s="418">
        <f>VLOOKUP(LEFT(B31,6),'GGSN-Lic'!A:AP,38,FALSE)*1000*AJ31</f>
        <v>150000</v>
      </c>
      <c r="G31" s="418">
        <v>4500000</v>
      </c>
      <c r="H31" s="418">
        <v>150000</v>
      </c>
      <c r="I31" s="418">
        <v>3538944</v>
      </c>
      <c r="J31" s="850"/>
      <c r="K31" s="850"/>
      <c r="L31" s="851">
        <f>_xlfn.IFNA(VLOOKUP(B31,Input_NOCPRO_GGSN!C:G,4,FALSE),0)</f>
        <v>1734012</v>
      </c>
      <c r="M31" s="851">
        <f t="shared" si="10"/>
        <v>867006</v>
      </c>
      <c r="N31" s="851">
        <f t="shared" si="17"/>
        <v>69844.535960237437</v>
      </c>
      <c r="O31" s="360">
        <f t="shared" si="0"/>
        <v>0.38533600000000001</v>
      </c>
      <c r="P31" s="420">
        <f t="shared" si="1"/>
        <v>0.46563023973491624</v>
      </c>
      <c r="Q31" s="350" t="str">
        <f>VLOOKUP(B31,IMS!A:C,3,FALSE)</f>
        <v>SBHL11</v>
      </c>
      <c r="R31" s="843">
        <f t="shared" si="11"/>
        <v>1865074</v>
      </c>
      <c r="S31" s="843">
        <f t="shared" si="2"/>
        <v>2163212.2930891113</v>
      </c>
      <c r="T31" s="853">
        <f t="shared" si="12"/>
        <v>2013329.5539409348</v>
      </c>
      <c r="U31" s="854">
        <f t="shared" si="3"/>
        <v>81118.412109735757</v>
      </c>
      <c r="V31" s="854">
        <f t="shared" si="4"/>
        <v>1006137.2034415853</v>
      </c>
      <c r="W31" s="420">
        <f t="shared" si="5"/>
        <v>0.44740656754242997</v>
      </c>
      <c r="X31" s="420">
        <f t="shared" si="6"/>
        <v>0.54078941406490499</v>
      </c>
      <c r="Y31" s="1030"/>
      <c r="Z31" s="1030"/>
      <c r="AA31" s="1095"/>
      <c r="AB31" s="1049"/>
      <c r="AC31" s="1036"/>
      <c r="AD31" s="1030"/>
      <c r="AE31" s="1039"/>
      <c r="AF31" s="1042"/>
      <c r="AG31" s="1039"/>
      <c r="AH31" s="883">
        <v>70</v>
      </c>
      <c r="AI31" s="256">
        <f t="shared" si="7"/>
        <v>69.977332381165667</v>
      </c>
      <c r="AJ31" s="855">
        <f t="shared" si="8"/>
        <v>1</v>
      </c>
      <c r="AK31" s="844">
        <v>70</v>
      </c>
      <c r="AL31" s="353" t="str">
        <f t="shared" si="13"/>
        <v>NO</v>
      </c>
      <c r="AM31" s="354" t="str">
        <f>VLOOKUP(B31,Input_Lic_Rate_PS!K:S,9,FALSE)</f>
        <v>TCHL10</v>
      </c>
      <c r="AN31" s="359">
        <f t="shared" si="9"/>
        <v>11273.876149498319</v>
      </c>
    </row>
    <row r="32" spans="1:40" s="71" customFormat="1">
      <c r="A32" s="417">
        <v>26</v>
      </c>
      <c r="B32" s="361" t="s">
        <v>75</v>
      </c>
      <c r="C32" s="361" t="str">
        <f>VLOOKUP(LEFT(B32,6),'GGSN-Lic'!A:AP,39,FALSE)</f>
        <v>Native Ericsson</v>
      </c>
      <c r="D32" s="361" t="s">
        <v>25</v>
      </c>
      <c r="E32" s="341">
        <f>VLOOKUP(LEFT(B32,6),'GGSN-Lic'!A:AP,37,FALSE)*1000*AJ32</f>
        <v>1500000</v>
      </c>
      <c r="F32" s="341">
        <f>VLOOKUP(LEFT(B32,6),'GGSN-Lic'!A:AP,38,FALSE)*1000*AJ32</f>
        <v>60000</v>
      </c>
      <c r="G32" s="341">
        <f>VLOOKUP(B32,Input_Lic_Rate_PS!K:P,4,FALSE)</f>
        <v>1500000</v>
      </c>
      <c r="H32" s="341">
        <f>VLOOKUP(B32,Input_Lic_Rate_PS!K:R,5,FALSE)</f>
        <v>80000</v>
      </c>
      <c r="I32" s="341">
        <f>VLOOKUP(B32,Input_Lic_Rate_PS!K:R,7,FALSE)</f>
        <v>1690000</v>
      </c>
      <c r="J32" s="849">
        <v>1052317</v>
      </c>
      <c r="K32" s="849">
        <v>48568.88</v>
      </c>
      <c r="L32" s="849">
        <f>_xlfn.IFNA(VLOOKUP(B32,Input_NOCPRO_GGSN!C:G,4,FALSE),0)</f>
        <v>898041</v>
      </c>
      <c r="M32" s="851">
        <f t="shared" si="10"/>
        <v>449020.5</v>
      </c>
      <c r="N32" s="849">
        <f>_xlfn.IFNA(VLOOKUP(B32,Input_NOCPRO_GGSN!C:G,5,FALSE),0)</f>
        <v>41801.120000000003</v>
      </c>
      <c r="O32" s="360">
        <f t="shared" si="0"/>
        <v>0.59869399999999995</v>
      </c>
      <c r="P32" s="360">
        <f t="shared" si="1"/>
        <v>0.52251400000000003</v>
      </c>
      <c r="Q32" s="350" t="str">
        <f>VLOOKUP(B32,IMS!A:C,3,FALSE)</f>
        <v>SBHL12</v>
      </c>
      <c r="R32" s="843">
        <f t="shared" si="11"/>
        <v>449020.5</v>
      </c>
      <c r="S32" s="843">
        <f t="shared" si="2"/>
        <v>449020.5</v>
      </c>
      <c r="T32" s="857">
        <f t="shared" ref="T32:T48" si="19">(L32+(AK32/SUM($AK$32:$AK$43)-AH32/SUM($AH$32:$AH$43))*SUM($L$32:$L$43))*AJ32-$T$82*(AK32/SUM($AK$32:$AK$43)/2)</f>
        <v>898041</v>
      </c>
      <c r="U32" s="858">
        <f t="shared" ref="U32:U48" si="20">(N32+(AK32/SUM($AK$32:$AK$43)-AH32/SUM($AH$32:$AH$43))*SUM($N$32:$N$43))*AJ32-$U$82*(AK32/SUM($AK$32:$AK$43)/2)</f>
        <v>41801.120000000003</v>
      </c>
      <c r="V32" s="854">
        <f>T32*50%</f>
        <v>449020.5</v>
      </c>
      <c r="W32" s="360">
        <f t="shared" si="5"/>
        <v>0.59869399999999995</v>
      </c>
      <c r="X32" s="360">
        <f t="shared" si="6"/>
        <v>0.52251400000000003</v>
      </c>
      <c r="Y32" s="1068">
        <f>SUM(U32:U33)</f>
        <v>82981.69</v>
      </c>
      <c r="Z32" s="1050">
        <f>Y32*$Z$1</f>
        <v>45028.141791216236</v>
      </c>
      <c r="AA32" s="1047">
        <f>SUM(F32:F33)</f>
        <v>120000</v>
      </c>
      <c r="AB32" s="1048" t="s">
        <v>76</v>
      </c>
      <c r="AC32" s="1050">
        <f>Y32*$AC$1</f>
        <v>68044.985799999995</v>
      </c>
      <c r="AD32" s="1052">
        <v>103000</v>
      </c>
      <c r="AE32" s="1054">
        <f t="shared" ref="AE32" si="21">Z32/Y32</f>
        <v>0.54262743734450614</v>
      </c>
      <c r="AF32" s="1054">
        <f>AC32/AD32</f>
        <v>0.66063093009708729</v>
      </c>
      <c r="AG32" s="1054">
        <f>(AC32-Z32)/AD32</f>
        <v>0.22346450493964815</v>
      </c>
      <c r="AH32" s="256">
        <v>50</v>
      </c>
      <c r="AI32" s="341">
        <f t="shared" si="7"/>
        <v>41.880597070761155</v>
      </c>
      <c r="AJ32" s="856">
        <f t="shared" si="8"/>
        <v>1</v>
      </c>
      <c r="AK32" s="341">
        <v>50</v>
      </c>
      <c r="AL32" s="353" t="str">
        <f t="shared" si="13"/>
        <v>NO</v>
      </c>
      <c r="AM32" s="689" t="str">
        <f>VLOOKUP(B32,Input_Lic_Rate_PS!K:S,9,FALSE)</f>
        <v>SSR 8020</v>
      </c>
      <c r="AN32" s="690">
        <f t="shared" si="9"/>
        <v>0</v>
      </c>
    </row>
    <row r="33" spans="1:40" s="71" customFormat="1">
      <c r="A33" s="417">
        <v>27</v>
      </c>
      <c r="B33" s="361" t="s">
        <v>77</v>
      </c>
      <c r="C33" s="361" t="str">
        <f>VLOOKUP(LEFT(B33,6),'GGSN-Lic'!A:AP,39,FALSE)</f>
        <v>Native Ericsson</v>
      </c>
      <c r="D33" s="361" t="s">
        <v>25</v>
      </c>
      <c r="E33" s="341">
        <f>VLOOKUP(LEFT(B33,6),'GGSN-Lic'!A:AP,37,FALSE)*1000*AJ33</f>
        <v>1500000</v>
      </c>
      <c r="F33" s="341">
        <f>VLOOKUP(LEFT(B33,6),'GGSN-Lic'!A:AP,38,FALSE)*1000*AJ33</f>
        <v>60000</v>
      </c>
      <c r="G33" s="341">
        <f>VLOOKUP(B33,Input_Lic_Rate_PS!K:P,4,FALSE)</f>
        <v>1500000</v>
      </c>
      <c r="H33" s="341">
        <f>VLOOKUP(B33,Input_Lic_Rate_PS!K:R,5,FALSE)</f>
        <v>80000</v>
      </c>
      <c r="I33" s="341">
        <f>VLOOKUP(B33,Input_Lic_Rate_PS!K:R,7,FALSE)</f>
        <v>1690000</v>
      </c>
      <c r="J33" s="849">
        <v>1048708</v>
      </c>
      <c r="K33" s="849">
        <v>47482.23</v>
      </c>
      <c r="L33" s="849">
        <f>_xlfn.IFNA(VLOOKUP(B33,Input_NOCPRO_GGSN!C:G,4,FALSE),0)</f>
        <v>890806</v>
      </c>
      <c r="M33" s="851">
        <f t="shared" si="10"/>
        <v>445403</v>
      </c>
      <c r="N33" s="849">
        <f>_xlfn.IFNA(VLOOKUP(B33,Input_NOCPRO_GGSN!C:G,5,FALSE),0)</f>
        <v>41180.57</v>
      </c>
      <c r="O33" s="360">
        <f t="shared" si="0"/>
        <v>0.59387066666666666</v>
      </c>
      <c r="P33" s="360">
        <f t="shared" si="1"/>
        <v>0.51475712500000004</v>
      </c>
      <c r="Q33" s="350" t="str">
        <f>VLOOKUP(B33,IMS!A:C,3,FALSE)</f>
        <v>SBHL13</v>
      </c>
      <c r="R33" s="843">
        <f t="shared" si="11"/>
        <v>445403</v>
      </c>
      <c r="S33" s="843">
        <f t="shared" si="2"/>
        <v>445403</v>
      </c>
      <c r="T33" s="857">
        <f t="shared" si="19"/>
        <v>890806</v>
      </c>
      <c r="U33" s="858">
        <f t="shared" si="20"/>
        <v>41180.57</v>
      </c>
      <c r="V33" s="854">
        <f>T33*50%</f>
        <v>445403</v>
      </c>
      <c r="W33" s="360">
        <f t="shared" si="5"/>
        <v>0.59387066666666666</v>
      </c>
      <c r="X33" s="360">
        <f t="shared" si="6"/>
        <v>0.51475712500000004</v>
      </c>
      <c r="Y33" s="1051"/>
      <c r="Z33" s="1051"/>
      <c r="AA33" s="1047"/>
      <c r="AB33" s="1049"/>
      <c r="AC33" s="1051"/>
      <c r="AD33" s="1053"/>
      <c r="AE33" s="1054"/>
      <c r="AF33" s="1054"/>
      <c r="AG33" s="1054"/>
      <c r="AH33" s="839">
        <v>50</v>
      </c>
      <c r="AI33" s="341">
        <f t="shared" si="7"/>
        <v>41.258867210119597</v>
      </c>
      <c r="AJ33" s="856">
        <f t="shared" si="8"/>
        <v>1</v>
      </c>
      <c r="AK33" s="341">
        <v>50</v>
      </c>
      <c r="AL33" s="353" t="str">
        <f t="shared" si="13"/>
        <v>NO</v>
      </c>
      <c r="AM33" s="689" t="str">
        <f>VLOOKUP(B33,Input_Lic_Rate_PS!K:S,9,FALSE)</f>
        <v>SSR 8020</v>
      </c>
      <c r="AN33" s="690">
        <f t="shared" si="9"/>
        <v>0</v>
      </c>
    </row>
    <row r="34" spans="1:40" s="71" customFormat="1">
      <c r="A34" s="417">
        <v>28</v>
      </c>
      <c r="B34" s="361" t="s">
        <v>78</v>
      </c>
      <c r="C34" s="361" t="str">
        <f>VLOOKUP(LEFT(B34,6),'GGSN-Lic'!A:AP,39,FALSE)</f>
        <v>Native Ericsson</v>
      </c>
      <c r="D34" s="361" t="s">
        <v>25</v>
      </c>
      <c r="E34" s="341">
        <f>VLOOKUP(LEFT(B34,6),'GGSN-Lic'!A:AP,37,FALSE)*1000*AJ34</f>
        <v>2000000</v>
      </c>
      <c r="F34" s="341">
        <f>VLOOKUP(LEFT(B34,6),'GGSN-Lic'!A:AP,38,FALSE)*1000*AJ34</f>
        <v>70000</v>
      </c>
      <c r="G34" s="341">
        <f>VLOOKUP(B34,Input_Lic_Rate_PS!K:P,4,FALSE)</f>
        <v>2000000</v>
      </c>
      <c r="H34" s="341">
        <v>100000</v>
      </c>
      <c r="I34" s="341">
        <f>VLOOKUP(B34,Input_Lic_Rate_PS!K:R,7,FALSE)</f>
        <v>2148216</v>
      </c>
      <c r="J34" s="849">
        <v>1400873</v>
      </c>
      <c r="K34" s="849">
        <v>63587.6</v>
      </c>
      <c r="L34" s="849">
        <f>_xlfn.IFNA(VLOOKUP(B34,Input_NOCPRO_GGSN!C:G,4,FALSE),0)</f>
        <v>1185486</v>
      </c>
      <c r="M34" s="851">
        <f t="shared" si="10"/>
        <v>592743</v>
      </c>
      <c r="N34" s="849">
        <f>_xlfn.IFNA(VLOOKUP(B34,Input_NOCPRO_GGSN!C:G,5,FALSE),0)</f>
        <v>54339.74</v>
      </c>
      <c r="O34" s="360">
        <f t="shared" si="0"/>
        <v>0.59274300000000002</v>
      </c>
      <c r="P34" s="360">
        <f t="shared" si="1"/>
        <v>0.54339740000000003</v>
      </c>
      <c r="Q34" s="350" t="str">
        <f>VLOOKUP(B34,IMS!A:C,3,FALSE)</f>
        <v>SBHT08</v>
      </c>
      <c r="R34" s="843">
        <f t="shared" si="11"/>
        <v>2172038.5</v>
      </c>
      <c r="S34" s="843">
        <f t="shared" si="2"/>
        <v>2172038.5</v>
      </c>
      <c r="T34" s="857">
        <f t="shared" si="19"/>
        <v>1185486</v>
      </c>
      <c r="U34" s="858">
        <f t="shared" si="20"/>
        <v>54339.74</v>
      </c>
      <c r="V34" s="854">
        <f>T34*50%</f>
        <v>592743</v>
      </c>
      <c r="W34" s="360">
        <f t="shared" si="5"/>
        <v>0.59274300000000002</v>
      </c>
      <c r="X34" s="360">
        <f t="shared" si="6"/>
        <v>0.54339740000000003</v>
      </c>
      <c r="Y34" s="1068">
        <f>SUM(U34:U35)</f>
        <v>106604.18</v>
      </c>
      <c r="Z34" s="1050">
        <f>Y34*$Z$1</f>
        <v>57846.35300361245</v>
      </c>
      <c r="AA34" s="1047">
        <f>SUM(F34:F35)</f>
        <v>160000</v>
      </c>
      <c r="AB34" s="1048" t="s">
        <v>79</v>
      </c>
      <c r="AC34" s="1071">
        <f>Y34*$AC$1</f>
        <v>87415.427599999995</v>
      </c>
      <c r="AD34" s="1068">
        <v>208000</v>
      </c>
      <c r="AE34" s="1054">
        <f t="shared" ref="AE34" si="22">Z34/Y34</f>
        <v>0.54262743734450614</v>
      </c>
      <c r="AF34" s="1054">
        <f>AC34/AD34</f>
        <v>0.42026647884615381</v>
      </c>
      <c r="AG34" s="1054">
        <f>(AC34-Z34)/AD34</f>
        <v>0.14215901248263244</v>
      </c>
      <c r="AH34" s="839">
        <v>70</v>
      </c>
      <c r="AI34" s="341">
        <f t="shared" si="7"/>
        <v>54.443056929334013</v>
      </c>
      <c r="AJ34" s="856">
        <f t="shared" si="8"/>
        <v>1</v>
      </c>
      <c r="AK34" s="341">
        <v>70</v>
      </c>
      <c r="AL34" s="353" t="str">
        <f t="shared" si="13"/>
        <v>NO</v>
      </c>
      <c r="AM34" s="689" t="str">
        <f>VLOOKUP(B34,Input_Lic_Rate_PS!K:S,9,FALSE)</f>
        <v>SSR 8020</v>
      </c>
      <c r="AN34" s="690">
        <f t="shared" si="9"/>
        <v>0</v>
      </c>
    </row>
    <row r="35" spans="1:40" s="71" customFormat="1">
      <c r="A35" s="417">
        <v>29</v>
      </c>
      <c r="B35" s="361" t="s">
        <v>80</v>
      </c>
      <c r="C35" s="361" t="str">
        <f>VLOOKUP(LEFT(B35,6),'GGSN-Lic'!A:AP,39,FALSE)</f>
        <v>Native Ericsson</v>
      </c>
      <c r="D35" s="361" t="s">
        <v>25</v>
      </c>
      <c r="E35" s="341">
        <f>VLOOKUP(LEFT(B35,6),'GGSN-Lic'!A:AP,37,FALSE)*1000*AJ35</f>
        <v>1800000</v>
      </c>
      <c r="F35" s="341">
        <f>VLOOKUP(LEFT(B35,6),'GGSN-Lic'!A:AP,38,FALSE)*1000*AJ35</f>
        <v>90000</v>
      </c>
      <c r="G35" s="341">
        <f>VLOOKUP(B35,Input_Lic_Rate_PS!K:P,4,FALSE)</f>
        <v>1800000</v>
      </c>
      <c r="H35" s="341">
        <v>100000</v>
      </c>
      <c r="I35" s="341">
        <f>VLOOKUP(B35,Input_Lic_Rate_PS!K:R,7,FALSE)</f>
        <v>2015000</v>
      </c>
      <c r="J35" s="849">
        <v>1316053</v>
      </c>
      <c r="K35" s="849">
        <v>59799.35</v>
      </c>
      <c r="L35" s="849">
        <f>_xlfn.IFNA(VLOOKUP(B35,Input_NOCPRO_GGSN!C:G,4,FALSE),0)</f>
        <v>1113395</v>
      </c>
      <c r="M35" s="851">
        <f t="shared" si="10"/>
        <v>556697.5</v>
      </c>
      <c r="N35" s="849">
        <f>_xlfn.IFNA(VLOOKUP(B35,Input_NOCPRO_GGSN!C:G,5,FALSE),0)</f>
        <v>52264.44</v>
      </c>
      <c r="O35" s="360">
        <f t="shared" ref="O35:O70" si="23">IFERROR(L35/G35,0)</f>
        <v>0.61855277777777773</v>
      </c>
      <c r="P35" s="360">
        <f t="shared" ref="P35:P70" si="24">IFERROR(N35/H35,0)</f>
        <v>0.52264440000000001</v>
      </c>
      <c r="Q35" s="350" t="str">
        <f>VLOOKUP(B35,IMS!A:C,3,FALSE)</f>
        <v>SBPL12</v>
      </c>
      <c r="R35" s="843">
        <f t="shared" si="11"/>
        <v>2107701</v>
      </c>
      <c r="S35" s="843">
        <f t="shared" ref="S35:S70" si="25">SUMIF($Q$3:$Q$70,Q35,$V$3:$V$70)</f>
        <v>2107701</v>
      </c>
      <c r="T35" s="857">
        <f t="shared" si="19"/>
        <v>1113395</v>
      </c>
      <c r="U35" s="858">
        <f t="shared" si="20"/>
        <v>52264.44</v>
      </c>
      <c r="V35" s="854">
        <f>(M35+(AK35/SUM($AK$32:$AK$43)-AH35/SUM($AH$32:$AH$43))*SUM($M$32:$M$43))*AJ35-$T$82*(AK35/SUM($AK$32:$AK$43)/2)</f>
        <v>556697.5</v>
      </c>
      <c r="W35" s="360">
        <f t="shared" ref="W35:W66" si="26">IFERROR(T35/G35,0)</f>
        <v>0.61855277777777773</v>
      </c>
      <c r="X35" s="360">
        <f t="shared" ref="X35:X66" si="27">IFERROR(U35/H35,0)</f>
        <v>0.52264440000000001</v>
      </c>
      <c r="Y35" s="1051"/>
      <c r="Z35" s="1051"/>
      <c r="AA35" s="1047"/>
      <c r="AB35" s="1049"/>
      <c r="AC35" s="1053"/>
      <c r="AD35" s="1051"/>
      <c r="AE35" s="1054"/>
      <c r="AF35" s="1054"/>
      <c r="AG35" s="1054"/>
      <c r="AH35" s="839">
        <v>65</v>
      </c>
      <c r="AI35" s="341">
        <f t="shared" ref="AI35:AI70" si="28">N35/(SUM($N$7:$N$31))*SUM($AH$7:$AH$31)</f>
        <v>52.363811131591021</v>
      </c>
      <c r="AJ35" s="856">
        <f t="shared" si="8"/>
        <v>1</v>
      </c>
      <c r="AK35" s="341">
        <v>65</v>
      </c>
      <c r="AL35" s="353" t="str">
        <f t="shared" si="13"/>
        <v>NO</v>
      </c>
      <c r="AM35" s="689" t="str">
        <f>VLOOKUP(B35,Input_Lic_Rate_PS!K:S,9,FALSE)</f>
        <v>SSR 8020</v>
      </c>
      <c r="AN35" s="690">
        <f t="shared" ref="AN35:AN63" si="29">U35-N35</f>
        <v>0</v>
      </c>
    </row>
    <row r="36" spans="1:40" s="71" customFormat="1">
      <c r="A36" s="417">
        <v>30</v>
      </c>
      <c r="B36" s="361" t="s">
        <v>81</v>
      </c>
      <c r="C36" s="361" t="str">
        <f>VLOOKUP(LEFT(B36,6),'GGSN-Lic'!A:AP,39,FALSE)</f>
        <v>NFV Ericsson</v>
      </c>
      <c r="D36" s="361" t="s">
        <v>25</v>
      </c>
      <c r="E36" s="341">
        <f>VLOOKUP(LEFT(B36,6),'GGSN-Lic'!A:AP,37,FALSE)*1000*AJ36</f>
        <v>4000000</v>
      </c>
      <c r="F36" s="341">
        <f>VLOOKUP(LEFT(B36,6),'GGSN-Lic'!A:AP,38,FALSE)*1000*AJ36</f>
        <v>150000</v>
      </c>
      <c r="G36" s="341">
        <f>VLOOKUP(B36,Input_Lic_Rate_PS!K:P,4,FALSE)</f>
        <v>4000000</v>
      </c>
      <c r="H36" s="341">
        <f>VLOOKUP(B36,Input_Lic_Rate_PS!K:R,5,FALSE)</f>
        <v>180000</v>
      </c>
      <c r="I36" s="341">
        <f>VLOOKUP(B36,Input_Lic_Rate_PS!K:R,7,FALSE)</f>
        <v>4063232</v>
      </c>
      <c r="J36" s="849">
        <v>2462780</v>
      </c>
      <c r="K36" s="849">
        <v>109749.44</v>
      </c>
      <c r="L36" s="849">
        <f>_xlfn.IFNA(VLOOKUP(B36,Input_NOCPRO_GGSN!C:G,4,FALSE),0)</f>
        <v>2079113</v>
      </c>
      <c r="M36" s="851">
        <f t="shared" si="10"/>
        <v>1039556.5</v>
      </c>
      <c r="N36" s="849">
        <f>_xlfn.IFNA(VLOOKUP(B36,Input_NOCPRO_GGSN!C:G,5,FALSE),0)</f>
        <v>95184.26</v>
      </c>
      <c r="O36" s="360">
        <f t="shared" si="23"/>
        <v>0.51977825</v>
      </c>
      <c r="P36" s="360">
        <f t="shared" si="24"/>
        <v>0.52880144444444444</v>
      </c>
      <c r="Q36" s="350" t="str">
        <f>VLOOKUP(B36,IMS!A:C,3,FALSE)</f>
        <v>SBHT08</v>
      </c>
      <c r="R36" s="843">
        <f t="shared" si="11"/>
        <v>2172038.5</v>
      </c>
      <c r="S36" s="843">
        <f t="shared" si="25"/>
        <v>2172038.5</v>
      </c>
      <c r="T36" s="857">
        <f t="shared" si="19"/>
        <v>2079113</v>
      </c>
      <c r="U36" s="858">
        <f t="shared" si="20"/>
        <v>95184.26</v>
      </c>
      <c r="V36" s="854">
        <f t="shared" ref="V36:V70" si="30">T36*50%</f>
        <v>1039556.5</v>
      </c>
      <c r="W36" s="360">
        <f t="shared" si="26"/>
        <v>0.51977825</v>
      </c>
      <c r="X36" s="360">
        <f t="shared" si="27"/>
        <v>0.52880144444444444</v>
      </c>
      <c r="Y36" s="1068">
        <f>SUM(U36:U37)</f>
        <v>189381.44</v>
      </c>
      <c r="Z36" s="1050">
        <f>Y36*$Z$1</f>
        <v>102763.56546781235</v>
      </c>
      <c r="AA36" s="1047">
        <f>SUM(F36:F37)</f>
        <v>300000</v>
      </c>
      <c r="AB36" s="1048" t="s">
        <v>82</v>
      </c>
      <c r="AC36" s="1071">
        <f>Y36*$AC$1</f>
        <v>155292.78079999998</v>
      </c>
      <c r="AD36" s="1068">
        <v>260000</v>
      </c>
      <c r="AE36" s="1054">
        <f t="shared" ref="AE36" si="31">Z36/Y36</f>
        <v>0.54262743734450614</v>
      </c>
      <c r="AF36" s="1054">
        <f>AC36/AD36</f>
        <v>0.59727992615384606</v>
      </c>
      <c r="AG36" s="1054">
        <f>(AC36-Z36)/AD36</f>
        <v>0.20203544358533701</v>
      </c>
      <c r="AH36" s="839">
        <v>125</v>
      </c>
      <c r="AI36" s="341">
        <f t="shared" si="28"/>
        <v>95.365235202754562</v>
      </c>
      <c r="AJ36" s="856">
        <f t="shared" si="8"/>
        <v>1</v>
      </c>
      <c r="AK36" s="341">
        <v>125</v>
      </c>
      <c r="AL36" s="353" t="str">
        <f t="shared" si="13"/>
        <v>NO</v>
      </c>
      <c r="AM36" s="689" t="str">
        <f>VLOOKUP(B36,Input_Lic_Rate_PS!K:S,9,FALSE)</f>
        <v>TCHK01</v>
      </c>
      <c r="AN36" s="690">
        <f t="shared" si="29"/>
        <v>0</v>
      </c>
    </row>
    <row r="37" spans="1:40" s="71" customFormat="1">
      <c r="A37" s="417">
        <v>31</v>
      </c>
      <c r="B37" s="361" t="s">
        <v>83</v>
      </c>
      <c r="C37" s="361" t="str">
        <f>VLOOKUP(LEFT(B37,6),'GGSN-Lic'!A:AP,39,FALSE)</f>
        <v>NFV Ericsson</v>
      </c>
      <c r="D37" s="361" t="s">
        <v>25</v>
      </c>
      <c r="E37" s="341">
        <f>VLOOKUP(LEFT(B37,6),'GGSN-Lic'!A:AP,37,FALSE)*1000*AJ37</f>
        <v>4000000</v>
      </c>
      <c r="F37" s="341">
        <f>VLOOKUP(LEFT(B37,6),'GGSN-Lic'!A:AP,38,FALSE)*1000*AJ37</f>
        <v>150000</v>
      </c>
      <c r="G37" s="341">
        <f>VLOOKUP(B37,Input_Lic_Rate_PS!K:P,4,FALSE)</f>
        <v>4000000</v>
      </c>
      <c r="H37" s="341">
        <f>VLOOKUP(B37,Input_Lic_Rate_PS!K:R,5,FALSE)</f>
        <v>180000</v>
      </c>
      <c r="I37" s="341">
        <f>VLOOKUP(B37,Input_Lic_Rate_PS!K:R,7,FALSE)</f>
        <v>4063232</v>
      </c>
      <c r="J37" s="849">
        <v>2468456</v>
      </c>
      <c r="K37" s="849">
        <v>109997.86</v>
      </c>
      <c r="L37" s="849">
        <f>_xlfn.IFNA(VLOOKUP(B37,Input_NOCPRO_GGSN!C:G,4,FALSE),0)</f>
        <v>2081082</v>
      </c>
      <c r="M37" s="851">
        <f t="shared" si="10"/>
        <v>1040541</v>
      </c>
      <c r="N37" s="849">
        <f>_xlfn.IFNA(VLOOKUP(B37,Input_NOCPRO_GGSN!C:G,5,FALSE),0)</f>
        <v>94197.18</v>
      </c>
      <c r="O37" s="360">
        <f t="shared" si="23"/>
        <v>0.52027049999999997</v>
      </c>
      <c r="P37" s="360">
        <f t="shared" si="24"/>
        <v>0.52331766666666668</v>
      </c>
      <c r="Q37" s="350" t="str">
        <f>VLOOKUP(B37,IMS!A:C,3,FALSE)</f>
        <v>SBHT10</v>
      </c>
      <c r="R37" s="843">
        <f t="shared" si="11"/>
        <v>2238889</v>
      </c>
      <c r="S37" s="843">
        <f t="shared" si="25"/>
        <v>2238889</v>
      </c>
      <c r="T37" s="857">
        <f t="shared" si="19"/>
        <v>2081082</v>
      </c>
      <c r="U37" s="858">
        <f t="shared" si="20"/>
        <v>94197.18</v>
      </c>
      <c r="V37" s="854">
        <f t="shared" si="30"/>
        <v>1040541</v>
      </c>
      <c r="W37" s="360">
        <f t="shared" si="26"/>
        <v>0.52027049999999997</v>
      </c>
      <c r="X37" s="360">
        <f t="shared" si="27"/>
        <v>0.52331766666666668</v>
      </c>
      <c r="Y37" s="1051"/>
      <c r="Z37" s="1051"/>
      <c r="AA37" s="1047"/>
      <c r="AB37" s="1049"/>
      <c r="AC37" s="1053"/>
      <c r="AD37" s="1051"/>
      <c r="AE37" s="1054"/>
      <c r="AF37" s="1054"/>
      <c r="AG37" s="1054"/>
      <c r="AH37" s="839">
        <v>115</v>
      </c>
      <c r="AI37" s="341">
        <f t="shared" si="28"/>
        <v>94.376278453351503</v>
      </c>
      <c r="AJ37" s="856">
        <f t="shared" si="8"/>
        <v>1</v>
      </c>
      <c r="AK37" s="341">
        <v>115</v>
      </c>
      <c r="AL37" s="353" t="str">
        <f t="shared" si="13"/>
        <v>NO</v>
      </c>
      <c r="AM37" s="689" t="str">
        <f>VLOOKUP(B37,Input_Lic_Rate_PS!K:S,9,FALSE)</f>
        <v>TCHK01</v>
      </c>
      <c r="AN37" s="690">
        <f t="shared" si="29"/>
        <v>0</v>
      </c>
    </row>
    <row r="38" spans="1:40" s="71" customFormat="1" ht="30">
      <c r="A38" s="417">
        <v>32</v>
      </c>
      <c r="B38" s="361" t="s">
        <v>276</v>
      </c>
      <c r="C38" s="361" t="str">
        <f>VLOOKUP(LEFT(B38,6),'GGSN-Lic'!A:AP,39,FALSE)</f>
        <v>NFV Ericsson</v>
      </c>
      <c r="D38" s="361" t="s">
        <v>25</v>
      </c>
      <c r="E38" s="341">
        <f>VLOOKUP(LEFT(B38,6),'GGSN-Lic'!A:AP,37,FALSE)*1000*AJ38</f>
        <v>4000000</v>
      </c>
      <c r="F38" s="341">
        <f>VLOOKUP(LEFT(B38,6),'GGSN-Lic'!A:AP,38,FALSE)*1000*AJ38</f>
        <v>150000</v>
      </c>
      <c r="G38" s="341">
        <f>VLOOKUP(B38,Input_Lic_Rate_PS!K:P,4,FALSE)</f>
        <v>4000000</v>
      </c>
      <c r="H38" s="341">
        <f>VLOOKUP(B38,Input_Lic_Rate_PS!K:R,5,FALSE)</f>
        <v>180000</v>
      </c>
      <c r="I38" s="341">
        <f>VLOOKUP(B38,Input_Lic_Rate_PS!K:R,7,FALSE)</f>
        <v>4061000</v>
      </c>
      <c r="J38" s="849">
        <v>2459538</v>
      </c>
      <c r="K38" s="849">
        <v>109432.31</v>
      </c>
      <c r="L38" s="849">
        <f>_xlfn.IFNA(VLOOKUP(B38,Input_NOCPRO_GGSN!C:G,4,FALSE),0)</f>
        <v>2062796</v>
      </c>
      <c r="M38" s="851">
        <f t="shared" si="10"/>
        <v>1031398</v>
      </c>
      <c r="N38" s="849">
        <f>_xlfn.IFNA(VLOOKUP(B38,Input_NOCPRO_GGSN!C:G,5,FALSE),0)</f>
        <v>93517.55</v>
      </c>
      <c r="O38" s="360">
        <f t="shared" si="23"/>
        <v>0.51569900000000002</v>
      </c>
      <c r="P38" s="360">
        <f t="shared" si="24"/>
        <v>0.51954194444444446</v>
      </c>
      <c r="Q38" s="350" t="str">
        <f>VLOOKUP(B38,IMS!A:C,3,FALSE)</f>
        <v>SBHT10</v>
      </c>
      <c r="R38" s="843">
        <f t="shared" si="11"/>
        <v>2238889</v>
      </c>
      <c r="S38" s="843">
        <f t="shared" si="25"/>
        <v>2238889</v>
      </c>
      <c r="T38" s="857">
        <f t="shared" si="19"/>
        <v>2062796</v>
      </c>
      <c r="U38" s="858">
        <f t="shared" si="20"/>
        <v>93517.55</v>
      </c>
      <c r="V38" s="854">
        <f t="shared" si="30"/>
        <v>1031398</v>
      </c>
      <c r="W38" s="360">
        <f t="shared" si="26"/>
        <v>0.51569900000000002</v>
      </c>
      <c r="X38" s="360">
        <f t="shared" si="27"/>
        <v>0.51954194444444446</v>
      </c>
      <c r="Y38" s="859">
        <f>SUM(U38:U38)</f>
        <v>93517.55</v>
      </c>
      <c r="Z38" s="860">
        <f>Y38*$Z$1</f>
        <v>50745.188503236721</v>
      </c>
      <c r="AA38" s="859">
        <f>F38</f>
        <v>150000</v>
      </c>
      <c r="AB38" s="861" t="s">
        <v>364</v>
      </c>
      <c r="AC38" s="835">
        <f>Y38*$AC$1</f>
        <v>76684.391000000003</v>
      </c>
      <c r="AD38" s="859">
        <v>300000</v>
      </c>
      <c r="AE38" s="862">
        <f>Z38/Y38</f>
        <v>0.54262743734450614</v>
      </c>
      <c r="AF38" s="862">
        <f t="shared" ref="AF38" si="32">AC38/AD38</f>
        <v>0.25561463666666667</v>
      </c>
      <c r="AG38" s="862">
        <f t="shared" ref="AG38" si="33">(AC38-Z38)/AD38</f>
        <v>8.6464008322544278E-2</v>
      </c>
      <c r="AH38" s="839">
        <v>125</v>
      </c>
      <c r="AI38" s="341">
        <f t="shared" si="28"/>
        <v>93.695356263056098</v>
      </c>
      <c r="AJ38" s="856">
        <f t="shared" si="8"/>
        <v>1</v>
      </c>
      <c r="AK38" s="341">
        <v>125</v>
      </c>
      <c r="AL38" s="353" t="str">
        <f t="shared" si="13"/>
        <v>NO</v>
      </c>
      <c r="AM38" s="689" t="str">
        <f>VLOOKUP(B38,Input_Lic_Rate_PS!K:S,9,FALSE)</f>
        <v>TCHK01</v>
      </c>
      <c r="AN38" s="690">
        <f t="shared" si="29"/>
        <v>0</v>
      </c>
    </row>
    <row r="39" spans="1:40" s="71" customFormat="1">
      <c r="A39" s="417">
        <v>33</v>
      </c>
      <c r="B39" s="361" t="s">
        <v>359</v>
      </c>
      <c r="C39" s="361" t="str">
        <f>VLOOKUP(LEFT(B39,6),'GGSN-Lic'!A:AP,39,FALSE)</f>
        <v>NFV VHT</v>
      </c>
      <c r="D39" s="361" t="s">
        <v>25</v>
      </c>
      <c r="E39" s="341">
        <f>VLOOKUP(LEFT(B39,6),'GGSN-Lic'!A:AP,37,FALSE)*1000*AJ39</f>
        <v>4000000</v>
      </c>
      <c r="F39" s="341">
        <f>VLOOKUP(LEFT(B39,6),'GGSN-Lic'!A:AP,38,FALSE)*1000*AJ39</f>
        <v>150000</v>
      </c>
      <c r="G39" s="341">
        <v>3000000</v>
      </c>
      <c r="H39" s="341">
        <v>150000</v>
      </c>
      <c r="I39" s="341">
        <f>VLOOKUP(B39,Input_Lic_Rate_PS!K:R,7,FALSE)</f>
        <v>3500000</v>
      </c>
      <c r="J39" s="849">
        <v>1131530</v>
      </c>
      <c r="K39" s="849">
        <v>57655.76</v>
      </c>
      <c r="L39" s="849">
        <f>_xlfn.IFNA(VLOOKUP(B39,Input_NOCPRO_GGSN!C:G,4,FALSE),0)</f>
        <v>895136</v>
      </c>
      <c r="M39" s="851">
        <f t="shared" si="10"/>
        <v>447568</v>
      </c>
      <c r="N39" s="849">
        <f>_xlfn.IFNA(VLOOKUP(B39,Input_NOCPRO_GGSN!C:G,5,FALSE),0)</f>
        <v>44496.05</v>
      </c>
      <c r="O39" s="360">
        <f t="shared" si="23"/>
        <v>0.29837866666666668</v>
      </c>
      <c r="P39" s="360">
        <f t="shared" si="24"/>
        <v>0.29664033333333334</v>
      </c>
      <c r="Q39" s="350" t="str">
        <f>VLOOKUP(B39,IMS!A:C,3,FALSE)</f>
        <v>SBPL12</v>
      </c>
      <c r="R39" s="843">
        <f t="shared" si="11"/>
        <v>2107701</v>
      </c>
      <c r="S39" s="843">
        <f t="shared" si="25"/>
        <v>2107701</v>
      </c>
      <c r="T39" s="857">
        <f t="shared" si="19"/>
        <v>895136</v>
      </c>
      <c r="U39" s="858">
        <f t="shared" si="20"/>
        <v>44496.05</v>
      </c>
      <c r="V39" s="854">
        <f t="shared" si="30"/>
        <v>447568</v>
      </c>
      <c r="W39" s="360">
        <f t="shared" si="26"/>
        <v>0.29837866666666668</v>
      </c>
      <c r="X39" s="360">
        <f t="shared" si="27"/>
        <v>0.29664033333333334</v>
      </c>
      <c r="Y39" s="1068">
        <f>SUM(U39:U43)</f>
        <v>171470.19191731804</v>
      </c>
      <c r="Z39" s="1050">
        <f>Y39*Z1</f>
        <v>93044.430821064932</v>
      </c>
      <c r="AA39" s="1068">
        <f>SUM(F39:F43)</f>
        <v>750000</v>
      </c>
      <c r="AB39" s="1093" t="s">
        <v>365</v>
      </c>
      <c r="AC39" s="1071">
        <f>Y39*$AC$1</f>
        <v>140605.55737220077</v>
      </c>
      <c r="AD39" s="1068">
        <v>300000</v>
      </c>
      <c r="AE39" s="1040">
        <f>Z39/Y39</f>
        <v>0.54262743734450614</v>
      </c>
      <c r="AF39" s="1040">
        <f>AC39/AD39</f>
        <v>0.46868519124066921</v>
      </c>
      <c r="AG39" s="1040">
        <f>(AC39-Z39)/AD39</f>
        <v>0.15853708850378612</v>
      </c>
      <c r="AH39" s="839">
        <v>70</v>
      </c>
      <c r="AI39" s="341">
        <f t="shared" si="28"/>
        <v>44.580650979936465</v>
      </c>
      <c r="AJ39" s="856">
        <f t="shared" si="8"/>
        <v>1</v>
      </c>
      <c r="AK39" s="341">
        <v>70</v>
      </c>
      <c r="AL39" s="353" t="str">
        <f t="shared" si="13"/>
        <v>NO</v>
      </c>
      <c r="AM39" s="689" t="str">
        <f>VLOOKUP(B39,Input_Lic_Rate_PS!K:S,9,FALSE)</f>
        <v>TCHK02</v>
      </c>
      <c r="AN39" s="690">
        <f t="shared" si="29"/>
        <v>0</v>
      </c>
    </row>
    <row r="40" spans="1:40" s="71" customFormat="1">
      <c r="A40" s="417">
        <v>34</v>
      </c>
      <c r="B40" s="361" t="s">
        <v>360</v>
      </c>
      <c r="C40" s="361" t="str">
        <f>VLOOKUP(LEFT(B40,6),'GGSN-Lic'!A:AP,39,FALSE)</f>
        <v>NFV VHT</v>
      </c>
      <c r="D40" s="361" t="s">
        <v>25</v>
      </c>
      <c r="E40" s="341">
        <f>VLOOKUP(LEFT(B40,6),'GGSN-Lic'!A:AP,37,FALSE)*1000*AJ40</f>
        <v>4000000</v>
      </c>
      <c r="F40" s="341">
        <f>VLOOKUP(LEFT(B40,6),'GGSN-Lic'!A:AP,38,FALSE)*1000*AJ40</f>
        <v>150000</v>
      </c>
      <c r="G40" s="341">
        <v>3000000</v>
      </c>
      <c r="H40" s="341">
        <v>150000</v>
      </c>
      <c r="I40" s="341">
        <f>VLOOKUP(B40,Input_Lic_Rate_PS!K:R,7,FALSE)</f>
        <v>3500000</v>
      </c>
      <c r="J40" s="849">
        <v>981767</v>
      </c>
      <c r="K40" s="849">
        <v>49326.03</v>
      </c>
      <c r="L40" s="849">
        <f>_xlfn.IFNA(VLOOKUP(B40,Input_NOCPRO_GGSN!C:G,4,FALSE),0)</f>
        <v>771579</v>
      </c>
      <c r="M40" s="851">
        <f t="shared" si="10"/>
        <v>385789.5</v>
      </c>
      <c r="N40" s="849">
        <f>_xlfn.IFNA(VLOOKUP(B40,Input_NOCPRO_GGSN!C:G,5,FALSE),0)</f>
        <v>37852.89</v>
      </c>
      <c r="O40" s="360">
        <f t="shared" si="23"/>
        <v>0.257193</v>
      </c>
      <c r="P40" s="360">
        <f t="shared" si="24"/>
        <v>0.25235259999999998</v>
      </c>
      <c r="Q40" s="350" t="str">
        <f>VLOOKUP(B40,IMS!A:C,3,FALSE)</f>
        <v>SBHT15</v>
      </c>
      <c r="R40" s="843">
        <f t="shared" si="11"/>
        <v>2141330</v>
      </c>
      <c r="S40" s="843">
        <f t="shared" si="25"/>
        <v>2141330</v>
      </c>
      <c r="T40" s="857">
        <f t="shared" si="19"/>
        <v>771579</v>
      </c>
      <c r="U40" s="858">
        <f t="shared" si="20"/>
        <v>37852.89</v>
      </c>
      <c r="V40" s="854">
        <f t="shared" si="30"/>
        <v>385789.5</v>
      </c>
      <c r="W40" s="360">
        <f t="shared" si="26"/>
        <v>0.257193</v>
      </c>
      <c r="X40" s="360">
        <f t="shared" si="27"/>
        <v>0.25235259999999998</v>
      </c>
      <c r="Y40" s="1097"/>
      <c r="Z40" s="1097">
        <f>0.2*SUM(N40:N40)</f>
        <v>7570.5780000000004</v>
      </c>
      <c r="AA40" s="1097"/>
      <c r="AB40" s="1055"/>
      <c r="AC40" s="1103"/>
      <c r="AD40" s="1097"/>
      <c r="AE40" s="1041"/>
      <c r="AF40" s="1041"/>
      <c r="AG40" s="1041"/>
      <c r="AH40" s="839">
        <v>60</v>
      </c>
      <c r="AI40" s="341">
        <f t="shared" si="28"/>
        <v>37.924860244267236</v>
      </c>
      <c r="AJ40" s="856">
        <f t="shared" si="8"/>
        <v>1</v>
      </c>
      <c r="AK40" s="341">
        <v>60</v>
      </c>
      <c r="AL40" s="353" t="str">
        <f t="shared" si="13"/>
        <v>NO</v>
      </c>
      <c r="AM40" s="689" t="str">
        <f>VLOOKUP(B40,Input_Lic_Rate_PS!K:S,9,FALSE)</f>
        <v>TCHK02</v>
      </c>
      <c r="AN40" s="690">
        <f t="shared" si="29"/>
        <v>0</v>
      </c>
    </row>
    <row r="41" spans="1:40" s="71" customFormat="1">
      <c r="A41" s="417">
        <v>35</v>
      </c>
      <c r="B41" s="361" t="s">
        <v>361</v>
      </c>
      <c r="C41" s="361" t="str">
        <f>VLOOKUP(LEFT(B41,6),'GGSN-Lic'!A:AP,39,FALSE)</f>
        <v>NFV VHT</v>
      </c>
      <c r="D41" s="361" t="s">
        <v>25</v>
      </c>
      <c r="E41" s="341">
        <f>VLOOKUP(LEFT(B41,6),'GGSN-Lic'!A:AP,37,FALSE)*1000*AJ41</f>
        <v>4000000</v>
      </c>
      <c r="F41" s="341">
        <f>VLOOKUP(LEFT(B41,6),'GGSN-Lic'!A:AP,38,FALSE)*1000*AJ41</f>
        <v>150000</v>
      </c>
      <c r="G41" s="341">
        <v>3000000</v>
      </c>
      <c r="H41" s="341">
        <v>150000</v>
      </c>
      <c r="I41" s="341">
        <f>VLOOKUP(B41,Input_Lic_Rate_PS!K:R,7,FALSE)</f>
        <v>3500000</v>
      </c>
      <c r="J41" s="849">
        <v>978324</v>
      </c>
      <c r="K41" s="849">
        <v>49846.41</v>
      </c>
      <c r="L41" s="849">
        <f>_xlfn.IFNA(VLOOKUP(B41,Input_NOCPRO_GGSN!C:G,4,FALSE),0)</f>
        <v>773195</v>
      </c>
      <c r="M41" s="851">
        <f t="shared" si="10"/>
        <v>386597.5</v>
      </c>
      <c r="N41" s="849">
        <f>_xlfn.IFNA(VLOOKUP(B41,Input_NOCPRO_GGSN!C:G,5,FALSE),0)</f>
        <v>38171.69</v>
      </c>
      <c r="O41" s="360">
        <f t="shared" si="23"/>
        <v>0.25773166666666669</v>
      </c>
      <c r="P41" s="360">
        <f t="shared" si="24"/>
        <v>0.25447793333333335</v>
      </c>
      <c r="Q41" s="350" t="str">
        <f>VLOOKUP(B41,IMS!A:C,3,FALSE)</f>
        <v>SBHT16</v>
      </c>
      <c r="R41" s="843">
        <f t="shared" si="11"/>
        <v>2142561</v>
      </c>
      <c r="S41" s="843">
        <f t="shared" si="25"/>
        <v>2142561</v>
      </c>
      <c r="T41" s="857">
        <f t="shared" si="19"/>
        <v>773195</v>
      </c>
      <c r="U41" s="858">
        <f t="shared" si="20"/>
        <v>38171.69</v>
      </c>
      <c r="V41" s="854">
        <f t="shared" si="30"/>
        <v>386597.5</v>
      </c>
      <c r="W41" s="360">
        <f t="shared" si="26"/>
        <v>0.25773166666666669</v>
      </c>
      <c r="X41" s="360">
        <f t="shared" si="27"/>
        <v>0.25447793333333335</v>
      </c>
      <c r="Y41" s="1097"/>
      <c r="Z41" s="1097"/>
      <c r="AA41" s="1097"/>
      <c r="AB41" s="1055"/>
      <c r="AC41" s="1103"/>
      <c r="AD41" s="1097"/>
      <c r="AE41" s="1041"/>
      <c r="AF41" s="1041"/>
      <c r="AG41" s="1041"/>
      <c r="AH41" s="839">
        <v>60</v>
      </c>
      <c r="AI41" s="341">
        <f t="shared" si="28"/>
        <v>38.244266383293144</v>
      </c>
      <c r="AJ41" s="856">
        <f t="shared" si="8"/>
        <v>1</v>
      </c>
      <c r="AK41" s="341">
        <v>60</v>
      </c>
      <c r="AL41" s="353" t="str">
        <f t="shared" si="13"/>
        <v>NO</v>
      </c>
      <c r="AM41" s="689" t="str">
        <f>VLOOKUP(B41,Input_Lic_Rate_PS!K:S,9,FALSE)</f>
        <v>TCHK02</v>
      </c>
      <c r="AN41" s="690">
        <f t="shared" si="29"/>
        <v>0</v>
      </c>
    </row>
    <row r="42" spans="1:40" s="71" customFormat="1">
      <c r="A42" s="417">
        <v>36</v>
      </c>
      <c r="B42" s="361" t="s">
        <v>426</v>
      </c>
      <c r="C42" s="361" t="str">
        <f>VLOOKUP(LEFT(B42,6),'GGSN-Lic'!A:AP,39,FALSE)</f>
        <v>NFV Ericsson</v>
      </c>
      <c r="D42" s="361" t="s">
        <v>25</v>
      </c>
      <c r="E42" s="341">
        <f>VLOOKUP(LEFT(B42,6),'GGSN-Lic'!A:AP,37,FALSE)*1000*AJ42</f>
        <v>4500000</v>
      </c>
      <c r="F42" s="341">
        <f>VLOOKUP(LEFT(B42,6),'GGSN-Lic'!A:AP,38,FALSE)*1000*AJ42</f>
        <v>150000</v>
      </c>
      <c r="G42" s="341">
        <v>3000000</v>
      </c>
      <c r="H42" s="341">
        <v>150000</v>
      </c>
      <c r="I42" s="341">
        <f>VLOOKUP(B42,Input_Lic_Rate_PS!K:R,7,FALSE)</f>
        <v>1769310</v>
      </c>
      <c r="J42" s="849">
        <v>525878</v>
      </c>
      <c r="K42" s="849">
        <v>26327.082165177504</v>
      </c>
      <c r="L42" s="849">
        <f>_xlfn.IFNA(VLOOKUP(B42,Input_NOCPRO_GGSN!C:G,4,FALSE),0)</f>
        <v>447072</v>
      </c>
      <c r="M42" s="851">
        <f t="shared" si="10"/>
        <v>223536</v>
      </c>
      <c r="N42" s="849">
        <f>$N$23/($L$23*0.7)*L42</f>
        <v>25725.259753364098</v>
      </c>
      <c r="O42" s="360">
        <f t="shared" si="23"/>
        <v>0.14902399999999999</v>
      </c>
      <c r="P42" s="360">
        <f t="shared" si="24"/>
        <v>0.17150173168909399</v>
      </c>
      <c r="Q42" s="350" t="str">
        <f>VLOOKUP(B42,IMS!A:C,3,FALSE)</f>
        <v>SBHT20</v>
      </c>
      <c r="R42" s="843">
        <f t="shared" si="11"/>
        <v>2727446.5</v>
      </c>
      <c r="S42" s="843">
        <f t="shared" si="25"/>
        <v>2727446.5</v>
      </c>
      <c r="T42" s="857">
        <f t="shared" si="19"/>
        <v>447072</v>
      </c>
      <c r="U42" s="858">
        <f t="shared" si="20"/>
        <v>25725.259753364098</v>
      </c>
      <c r="V42" s="854">
        <f t="shared" si="30"/>
        <v>223536</v>
      </c>
      <c r="W42" s="360">
        <f t="shared" si="26"/>
        <v>0.14902399999999999</v>
      </c>
      <c r="X42" s="360">
        <f t="shared" si="27"/>
        <v>0.17150173168909399</v>
      </c>
      <c r="Y42" s="1097"/>
      <c r="Z42" s="1097"/>
      <c r="AA42" s="1097"/>
      <c r="AB42" s="1055"/>
      <c r="AC42" s="1103"/>
      <c r="AD42" s="1097"/>
      <c r="AE42" s="1041"/>
      <c r="AF42" s="1041"/>
      <c r="AG42" s="1041"/>
      <c r="AH42" s="839">
        <v>20</v>
      </c>
      <c r="AI42" s="341">
        <f t="shared" si="28"/>
        <v>25.774171559788591</v>
      </c>
      <c r="AJ42" s="856">
        <f t="shared" si="8"/>
        <v>1</v>
      </c>
      <c r="AK42" s="828">
        <v>20</v>
      </c>
      <c r="AL42" s="353" t="str">
        <f t="shared" si="13"/>
        <v>NO</v>
      </c>
      <c r="AM42" s="689" t="str">
        <f>VLOOKUP(B42,Input_Lic_Rate_PS!K:S,9,FALSE)</f>
        <v>TCHK03</v>
      </c>
      <c r="AN42" s="690">
        <f t="shared" si="29"/>
        <v>0</v>
      </c>
    </row>
    <row r="43" spans="1:40" s="71" customFormat="1">
      <c r="A43" s="417">
        <v>37</v>
      </c>
      <c r="B43" s="361" t="s">
        <v>1107</v>
      </c>
      <c r="C43" s="361" t="str">
        <f>VLOOKUP(LEFT(B43,6),'GGSN-Lic'!A:AP,39,FALSE)</f>
        <v>NFV Ericsson</v>
      </c>
      <c r="D43" s="361" t="s">
        <v>25</v>
      </c>
      <c r="E43" s="341">
        <f>VLOOKUP(LEFT(B43,6),'GGSN-Lic'!A:AP,37,FALSE)*1000*AJ43</f>
        <v>4500000</v>
      </c>
      <c r="F43" s="341">
        <f>VLOOKUP(LEFT(B43,6),'GGSN-Lic'!A:AP,38,FALSE)*1000*AJ43</f>
        <v>150000</v>
      </c>
      <c r="G43" s="341">
        <v>3000000</v>
      </c>
      <c r="H43" s="341">
        <v>150000</v>
      </c>
      <c r="I43" s="341">
        <f>VLOOKUP(B43,Input_Lic_Rate_PS!K:R,7,FALSE)</f>
        <v>1769310</v>
      </c>
      <c r="J43" s="849">
        <v>485739</v>
      </c>
      <c r="K43" s="849">
        <v>24317.599450502123</v>
      </c>
      <c r="L43" s="849">
        <f>_xlfn.IFNA(VLOOKUP(B43,Input_NOCPRO_GGSN!C:G,4,FALSE),0)</f>
        <v>438366</v>
      </c>
      <c r="M43" s="851">
        <f t="shared" si="10"/>
        <v>219183</v>
      </c>
      <c r="N43" s="849">
        <f>$N$23/($L$23*0.7)*L43</f>
        <v>25224.302163953918</v>
      </c>
      <c r="O43" s="360">
        <f t="shared" si="23"/>
        <v>0.146122</v>
      </c>
      <c r="P43" s="360">
        <f t="shared" si="24"/>
        <v>0.16816201442635945</v>
      </c>
      <c r="Q43" s="350" t="str">
        <f>VLOOKUP(B43,IMS!A:C,3,FALSE)</f>
        <v>SBHT13</v>
      </c>
      <c r="R43" s="843">
        <f t="shared" si="11"/>
        <v>1908121.5</v>
      </c>
      <c r="S43" s="843">
        <f t="shared" si="25"/>
        <v>1908121.5</v>
      </c>
      <c r="T43" s="857">
        <f t="shared" si="19"/>
        <v>438366</v>
      </c>
      <c r="U43" s="858">
        <f t="shared" si="20"/>
        <v>25224.302163953918</v>
      </c>
      <c r="V43" s="854">
        <f t="shared" si="30"/>
        <v>219183</v>
      </c>
      <c r="W43" s="360">
        <f t="shared" si="26"/>
        <v>0.146122</v>
      </c>
      <c r="X43" s="360">
        <f t="shared" si="27"/>
        <v>0.16816201442635945</v>
      </c>
      <c r="Y43" s="1051"/>
      <c r="Z43" s="1102">
        <f>0.2*SUM(N43:N43)</f>
        <v>5044.8604327907842</v>
      </c>
      <c r="AA43" s="1051"/>
      <c r="AB43" s="1049"/>
      <c r="AC43" s="1053"/>
      <c r="AD43" s="1051"/>
      <c r="AE43" s="1042"/>
      <c r="AF43" s="1042"/>
      <c r="AG43" s="1042"/>
      <c r="AH43" s="839">
        <v>20</v>
      </c>
      <c r="AI43" s="341">
        <f t="shared" si="28"/>
        <v>25.27226149250744</v>
      </c>
      <c r="AJ43" s="856">
        <f t="shared" si="8"/>
        <v>1</v>
      </c>
      <c r="AK43" s="341">
        <v>20</v>
      </c>
      <c r="AL43" s="353" t="str">
        <f t="shared" si="13"/>
        <v>NO</v>
      </c>
      <c r="AM43" s="689" t="str">
        <f>VLOOKUP(B43,Input_Lic_Rate_PS!K:S,9,FALSE)</f>
        <v>TCHK03</v>
      </c>
      <c r="AN43" s="690">
        <f t="shared" si="29"/>
        <v>0</v>
      </c>
    </row>
    <row r="44" spans="1:40" s="71" customFormat="1">
      <c r="A44" s="417">
        <v>38</v>
      </c>
      <c r="B44" s="361" t="s">
        <v>886</v>
      </c>
      <c r="C44" s="361" t="str">
        <f>VLOOKUP(LEFT(B44,6),'GGSN-Lic'!A:AP,39,FALSE)</f>
        <v>NFV VHT</v>
      </c>
      <c r="D44" s="361" t="s">
        <v>25</v>
      </c>
      <c r="E44" s="341">
        <f>VLOOKUP(LEFT(B44,6),'GGSN-Lic'!A:AP,37,FALSE)*1000*AJ44</f>
        <v>4000000</v>
      </c>
      <c r="F44" s="341">
        <f>VLOOKUP(LEFT(B44,6),'GGSN-Lic'!A:AP,38,FALSE)*1000*AJ44</f>
        <v>150000</v>
      </c>
      <c r="G44" s="341">
        <v>3000000</v>
      </c>
      <c r="H44" s="341">
        <v>150000</v>
      </c>
      <c r="I44" s="341"/>
      <c r="J44" s="849"/>
      <c r="K44" s="849"/>
      <c r="L44" s="849">
        <f>_xlfn.IFNA(VLOOKUP(B44,Input_NOCPRO_GGSN!C:G,4,FALSE),0)</f>
        <v>879916</v>
      </c>
      <c r="M44" s="851">
        <f t="shared" si="10"/>
        <v>439958</v>
      </c>
      <c r="N44" s="849">
        <f>_xlfn.IFNA(VLOOKUP(B44,Input_NOCPRO_GGSN!C:G,5,FALSE),0)</f>
        <v>44068.54</v>
      </c>
      <c r="O44" s="360">
        <f t="shared" si="23"/>
        <v>0.29330533333333331</v>
      </c>
      <c r="P44" s="360">
        <f t="shared" si="24"/>
        <v>0.29379026666666669</v>
      </c>
      <c r="Q44" s="350" t="str">
        <f>VLOOKUP(B44,IMS!A:C,3,FALSE)</f>
        <v>SBHT13</v>
      </c>
      <c r="R44" s="843">
        <f t="shared" si="11"/>
        <v>1908121.5</v>
      </c>
      <c r="S44" s="843">
        <f t="shared" si="25"/>
        <v>1908121.5</v>
      </c>
      <c r="T44" s="857">
        <f t="shared" si="19"/>
        <v>879916</v>
      </c>
      <c r="U44" s="858">
        <f t="shared" si="20"/>
        <v>44068.54</v>
      </c>
      <c r="V44" s="854">
        <f t="shared" si="30"/>
        <v>439958</v>
      </c>
      <c r="W44" s="360">
        <f t="shared" si="26"/>
        <v>0.29330533333333331</v>
      </c>
      <c r="X44" s="360">
        <f t="shared" si="27"/>
        <v>0.29379026666666669</v>
      </c>
      <c r="Y44" s="863"/>
      <c r="Z44" s="864"/>
      <c r="AA44" s="865"/>
      <c r="AB44" s="866"/>
      <c r="AC44" s="838"/>
      <c r="AD44" s="863"/>
      <c r="AE44" s="867"/>
      <c r="AF44" s="867"/>
      <c r="AG44" s="867"/>
      <c r="AH44" s="839">
        <v>70</v>
      </c>
      <c r="AI44" s="341">
        <f t="shared" si="28"/>
        <v>44.152328149023774</v>
      </c>
      <c r="AJ44" s="856">
        <f t="shared" si="8"/>
        <v>1</v>
      </c>
      <c r="AK44" s="341">
        <v>70</v>
      </c>
      <c r="AL44" s="353" t="str">
        <f t="shared" si="13"/>
        <v>NO</v>
      </c>
      <c r="AM44" s="689" t="str">
        <f>VLOOKUP(B44,Input_Lic_Rate_PS!K:S,9,FALSE)</f>
        <v>TCHK06</v>
      </c>
      <c r="AN44" s="690">
        <f t="shared" si="29"/>
        <v>0</v>
      </c>
    </row>
    <row r="45" spans="1:40" s="71" customFormat="1">
      <c r="A45" s="417">
        <v>39</v>
      </c>
      <c r="B45" s="361" t="s">
        <v>887</v>
      </c>
      <c r="C45" s="361" t="str">
        <f>VLOOKUP(LEFT(B45,6),'GGSN-Lic'!A:AP,39,FALSE)</f>
        <v>NFV VHT</v>
      </c>
      <c r="D45" s="361" t="s">
        <v>25</v>
      </c>
      <c r="E45" s="341">
        <f>VLOOKUP(LEFT(B45,6),'GGSN-Lic'!A:AP,37,FALSE)*1000*AJ45</f>
        <v>4000000</v>
      </c>
      <c r="F45" s="341">
        <f>VLOOKUP(LEFT(B45,6),'GGSN-Lic'!A:AP,38,FALSE)*1000*AJ45</f>
        <v>150000</v>
      </c>
      <c r="G45" s="341">
        <v>3000000</v>
      </c>
      <c r="H45" s="341">
        <v>150000</v>
      </c>
      <c r="I45" s="341"/>
      <c r="J45" s="849"/>
      <c r="K45" s="849"/>
      <c r="L45" s="849">
        <f>_xlfn.IFNA(VLOOKUP(B45,Input_NOCPRO_GGSN!C:G,4,FALSE),0)</f>
        <v>888764</v>
      </c>
      <c r="M45" s="851">
        <f t="shared" si="10"/>
        <v>444382</v>
      </c>
      <c r="N45" s="849">
        <f>_xlfn.IFNA(VLOOKUP(B45,Input_NOCPRO_GGSN!C:G,5,FALSE),0)</f>
        <v>43874.879999999997</v>
      </c>
      <c r="O45" s="360">
        <f t="shared" si="23"/>
        <v>0.29625466666666667</v>
      </c>
      <c r="P45" s="360">
        <f t="shared" si="24"/>
        <v>0.29249919999999996</v>
      </c>
      <c r="Q45" s="350" t="str">
        <f>VLOOKUP(B45,IMS!A:C,3,FALSE)</f>
        <v>SBPL07</v>
      </c>
      <c r="R45" s="843">
        <f t="shared" si="11"/>
        <v>2350783</v>
      </c>
      <c r="S45" s="843">
        <f t="shared" si="25"/>
        <v>2350783</v>
      </c>
      <c r="T45" s="857">
        <f t="shared" si="19"/>
        <v>888764</v>
      </c>
      <c r="U45" s="858">
        <f t="shared" si="20"/>
        <v>43874.879999999997</v>
      </c>
      <c r="V45" s="854">
        <f t="shared" si="30"/>
        <v>444382</v>
      </c>
      <c r="W45" s="360">
        <f t="shared" si="26"/>
        <v>0.29625466666666667</v>
      </c>
      <c r="X45" s="360">
        <f t="shared" si="27"/>
        <v>0.29249919999999996</v>
      </c>
      <c r="Y45" s="863"/>
      <c r="Z45" s="864"/>
      <c r="AA45" s="865"/>
      <c r="AB45" s="866"/>
      <c r="AC45" s="838"/>
      <c r="AD45" s="863"/>
      <c r="AE45" s="867"/>
      <c r="AF45" s="867"/>
      <c r="AG45" s="867"/>
      <c r="AH45" s="839">
        <v>70</v>
      </c>
      <c r="AI45" s="341">
        <f t="shared" si="28"/>
        <v>43.958299940479989</v>
      </c>
      <c r="AJ45" s="856">
        <f t="shared" ref="AJ45:AJ46" si="34">IF(AK45=0,0,1)</f>
        <v>1</v>
      </c>
      <c r="AK45" s="341">
        <v>70</v>
      </c>
      <c r="AL45" s="353" t="str">
        <f t="shared" si="13"/>
        <v>NO</v>
      </c>
      <c r="AM45" s="689" t="str">
        <f>VLOOKUP(B45,Input_Lic_Rate_PS!K:S,9,FALSE)</f>
        <v>TCHK06</v>
      </c>
      <c r="AN45" s="690">
        <f t="shared" si="29"/>
        <v>0</v>
      </c>
    </row>
    <row r="46" spans="1:40" s="71" customFormat="1">
      <c r="A46" s="417">
        <v>40</v>
      </c>
      <c r="B46" s="361" t="s">
        <v>882</v>
      </c>
      <c r="C46" s="361" t="str">
        <f>VLOOKUP(LEFT(B46,6),'GGSN-Lic'!A:AP,39,FALSE)</f>
        <v>NFV VHT</v>
      </c>
      <c r="D46" s="361" t="s">
        <v>25</v>
      </c>
      <c r="E46" s="341">
        <f>VLOOKUP(LEFT(B46,6),'GGSN-Lic'!A:AP,37,FALSE)*1000*AJ46</f>
        <v>4000000</v>
      </c>
      <c r="F46" s="341">
        <f>VLOOKUP(LEFT(B46,6),'GGSN-Lic'!A:AP,38,FALSE)*1000*AJ46</f>
        <v>150000</v>
      </c>
      <c r="G46" s="341">
        <v>3000000</v>
      </c>
      <c r="H46" s="341">
        <v>150000</v>
      </c>
      <c r="I46" s="341"/>
      <c r="J46" s="849"/>
      <c r="K46" s="849"/>
      <c r="L46" s="849">
        <f>_xlfn.IFNA(VLOOKUP(B46,Input_NOCPRO_GGSN!C:G,4,FALSE),0)</f>
        <v>888839</v>
      </c>
      <c r="M46" s="851">
        <f t="shared" si="10"/>
        <v>444419.5</v>
      </c>
      <c r="N46" s="849">
        <f>_xlfn.IFNA(VLOOKUP(B46,Input_NOCPRO_GGSN!C:G,5,FALSE),0)</f>
        <v>43740.57</v>
      </c>
      <c r="O46" s="360">
        <f t="shared" si="23"/>
        <v>0.29627966666666666</v>
      </c>
      <c r="P46" s="360">
        <f t="shared" si="24"/>
        <v>0.29160380000000002</v>
      </c>
      <c r="Q46" s="350" t="str">
        <f>VLOOKUP(B46,IMS!A:C,3,FALSE)</f>
        <v>SBPL07</v>
      </c>
      <c r="R46" s="843">
        <f t="shared" si="11"/>
        <v>2350783</v>
      </c>
      <c r="S46" s="843">
        <f t="shared" si="25"/>
        <v>2350783</v>
      </c>
      <c r="T46" s="857">
        <f t="shared" si="19"/>
        <v>888839</v>
      </c>
      <c r="U46" s="858">
        <f t="shared" si="20"/>
        <v>43740.57</v>
      </c>
      <c r="V46" s="854">
        <f t="shared" si="30"/>
        <v>444419.5</v>
      </c>
      <c r="W46" s="360">
        <f t="shared" si="26"/>
        <v>0.29627966666666666</v>
      </c>
      <c r="X46" s="360">
        <f t="shared" si="27"/>
        <v>0.29160380000000002</v>
      </c>
      <c r="Y46" s="863"/>
      <c r="Z46" s="864"/>
      <c r="AA46" s="865"/>
      <c r="AB46" s="866"/>
      <c r="AC46" s="838"/>
      <c r="AD46" s="863"/>
      <c r="AE46" s="867"/>
      <c r="AF46" s="867"/>
      <c r="AG46" s="867"/>
      <c r="AH46" s="839">
        <v>70</v>
      </c>
      <c r="AI46" s="341">
        <f t="shared" si="28"/>
        <v>43.823734574944957</v>
      </c>
      <c r="AJ46" s="856">
        <f t="shared" si="34"/>
        <v>1</v>
      </c>
      <c r="AK46" s="341">
        <v>70</v>
      </c>
      <c r="AL46" s="353" t="str">
        <f t="shared" si="13"/>
        <v>NO</v>
      </c>
      <c r="AM46" s="689" t="str">
        <f>VLOOKUP(B46,Input_Lic_Rate_PS!K:S,9,FALSE)</f>
        <v>TCHK07</v>
      </c>
      <c r="AN46" s="690">
        <f t="shared" si="29"/>
        <v>0</v>
      </c>
    </row>
    <row r="47" spans="1:40" s="71" customFormat="1">
      <c r="A47" s="417">
        <v>41</v>
      </c>
      <c r="B47" s="361" t="s">
        <v>883</v>
      </c>
      <c r="C47" s="361" t="str">
        <f>VLOOKUP(LEFT(B47,6),'GGSN-Lic'!A:AP,39,FALSE)</f>
        <v>NFV VHT</v>
      </c>
      <c r="D47" s="361" t="s">
        <v>25</v>
      </c>
      <c r="E47" s="341">
        <f>VLOOKUP(LEFT(B47,6),'GGSN-Lic'!A:AP,37,FALSE)*1000*AJ47</f>
        <v>4000000</v>
      </c>
      <c r="F47" s="341">
        <f>VLOOKUP(LEFT(B47,6),'GGSN-Lic'!A:AP,38,FALSE)*1000*AJ47</f>
        <v>150000</v>
      </c>
      <c r="G47" s="341">
        <v>3000000</v>
      </c>
      <c r="H47" s="341">
        <v>150000</v>
      </c>
      <c r="I47" s="341"/>
      <c r="J47" s="849"/>
      <c r="K47" s="849"/>
      <c r="L47" s="849">
        <f>_xlfn.IFNA(VLOOKUP(B47,Input_NOCPRO_GGSN!C:G,4,FALSE),0)</f>
        <v>503101</v>
      </c>
      <c r="M47" s="851">
        <f t="shared" si="10"/>
        <v>251550.5</v>
      </c>
      <c r="N47" s="849">
        <f>_xlfn.IFNA(VLOOKUP(B47,Input_NOCPRO_GGSN!C:G,5,FALSE),0)</f>
        <v>24215.93</v>
      </c>
      <c r="O47" s="360">
        <f t="shared" si="23"/>
        <v>0.16770033333333334</v>
      </c>
      <c r="P47" s="360">
        <f t="shared" si="24"/>
        <v>0.16143953333333333</v>
      </c>
      <c r="Q47" s="350" t="str">
        <f>VLOOKUP(B47,IMS!A:C,3,FALSE)</f>
        <v>SBHT06</v>
      </c>
      <c r="R47" s="843">
        <f t="shared" si="11"/>
        <v>1664002</v>
      </c>
      <c r="S47" s="843">
        <f t="shared" si="25"/>
        <v>1664002</v>
      </c>
      <c r="T47" s="857">
        <f t="shared" si="19"/>
        <v>503101</v>
      </c>
      <c r="U47" s="858">
        <f t="shared" si="20"/>
        <v>24215.93</v>
      </c>
      <c r="V47" s="854">
        <f t="shared" si="30"/>
        <v>251550.5</v>
      </c>
      <c r="W47" s="360">
        <f t="shared" si="26"/>
        <v>0.16770033333333334</v>
      </c>
      <c r="X47" s="360">
        <f t="shared" si="27"/>
        <v>0.16143953333333333</v>
      </c>
      <c r="Y47" s="863"/>
      <c r="Z47" s="864"/>
      <c r="AA47" s="865"/>
      <c r="AB47" s="866"/>
      <c r="AC47" s="838"/>
      <c r="AD47" s="863"/>
      <c r="AE47" s="867"/>
      <c r="AF47" s="867"/>
      <c r="AG47" s="867"/>
      <c r="AH47" s="839">
        <v>40</v>
      </c>
      <c r="AI47" s="341">
        <f t="shared" si="28"/>
        <v>24.261972096052858</v>
      </c>
      <c r="AJ47" s="856">
        <f t="shared" si="8"/>
        <v>1</v>
      </c>
      <c r="AK47" s="341">
        <v>40</v>
      </c>
      <c r="AL47" s="353" t="str">
        <f t="shared" si="13"/>
        <v>NO</v>
      </c>
      <c r="AM47" s="689" t="str">
        <f>VLOOKUP(B47,Input_Lic_Rate_PS!K:S,9,FALSE)</f>
        <v>TCHK07</v>
      </c>
      <c r="AN47" s="690">
        <f t="shared" si="29"/>
        <v>0</v>
      </c>
    </row>
    <row r="48" spans="1:40" s="71" customFormat="1">
      <c r="A48" s="417">
        <v>42</v>
      </c>
      <c r="B48" s="361" t="s">
        <v>884</v>
      </c>
      <c r="C48" s="361" t="str">
        <f>VLOOKUP(LEFT(B48,6),'GGSN-Lic'!A:AP,39,FALSE)</f>
        <v>NFV VHT</v>
      </c>
      <c r="D48" s="361" t="s">
        <v>25</v>
      </c>
      <c r="E48" s="341">
        <f>VLOOKUP(LEFT(B48,6),'GGSN-Lic'!A:AP,37,FALSE)*1000*AJ48</f>
        <v>4000000</v>
      </c>
      <c r="F48" s="341">
        <f>VLOOKUP(LEFT(B48,6),'GGSN-Lic'!A:AP,38,FALSE)*1000*AJ48</f>
        <v>150000</v>
      </c>
      <c r="G48" s="341">
        <v>3000000</v>
      </c>
      <c r="H48" s="341">
        <v>150000</v>
      </c>
      <c r="I48" s="341"/>
      <c r="J48" s="849"/>
      <c r="K48" s="849"/>
      <c r="L48" s="849">
        <f>_xlfn.IFNA(VLOOKUP(B48,Input_NOCPRO_GGSN!C:G,4,FALSE),0)</f>
        <v>508167</v>
      </c>
      <c r="M48" s="851">
        <f t="shared" si="10"/>
        <v>254083.5</v>
      </c>
      <c r="N48" s="849">
        <f>_xlfn.IFNA(VLOOKUP(B48,Input_NOCPRO_GGSN!C:G,5,FALSE),0)</f>
        <v>24914.81</v>
      </c>
      <c r="O48" s="360">
        <f t="shared" si="23"/>
        <v>0.16938900000000001</v>
      </c>
      <c r="P48" s="360">
        <f t="shared" si="24"/>
        <v>0.16609873333333333</v>
      </c>
      <c r="Q48" s="350" t="str">
        <f>VLOOKUP(B48,IMS!A:C,3,FALSE)</f>
        <v>SBHT06</v>
      </c>
      <c r="R48" s="843">
        <f t="shared" si="11"/>
        <v>1664002</v>
      </c>
      <c r="S48" s="843">
        <f t="shared" si="25"/>
        <v>1664002</v>
      </c>
      <c r="T48" s="857">
        <f t="shared" si="19"/>
        <v>508167</v>
      </c>
      <c r="U48" s="858">
        <f t="shared" si="20"/>
        <v>24914.81</v>
      </c>
      <c r="V48" s="854">
        <f t="shared" si="30"/>
        <v>254083.5</v>
      </c>
      <c r="W48" s="360">
        <f t="shared" si="26"/>
        <v>0.16938900000000001</v>
      </c>
      <c r="X48" s="360">
        <f t="shared" si="27"/>
        <v>0.16609873333333333</v>
      </c>
      <c r="Y48" s="863"/>
      <c r="Z48" s="864"/>
      <c r="AA48" s="865"/>
      <c r="AB48" s="866"/>
      <c r="AC48" s="838"/>
      <c r="AD48" s="863"/>
      <c r="AE48" s="867"/>
      <c r="AF48" s="867"/>
      <c r="AG48" s="867"/>
      <c r="AH48" s="839">
        <v>40</v>
      </c>
      <c r="AI48" s="341">
        <f t="shared" si="28"/>
        <v>24.962180886650184</v>
      </c>
      <c r="AJ48" s="856">
        <f t="shared" ref="AJ48" si="35">IF(AK48=0,0,1)</f>
        <v>1</v>
      </c>
      <c r="AK48" s="341">
        <v>40</v>
      </c>
      <c r="AL48" s="353" t="str">
        <f t="shared" si="13"/>
        <v>NO</v>
      </c>
      <c r="AM48" s="689" t="str">
        <f>VLOOKUP(B48,Input_Lic_Rate_PS!K:S,9,FALSE)</f>
        <v>TCHK07</v>
      </c>
      <c r="AN48" s="690">
        <f t="shared" si="29"/>
        <v>0</v>
      </c>
    </row>
    <row r="49" spans="1:40" s="199" customFormat="1">
      <c r="A49" s="417">
        <v>43</v>
      </c>
      <c r="B49" s="254" t="s">
        <v>84</v>
      </c>
      <c r="C49" s="254" t="str">
        <f>VLOOKUP(LEFT(B49,6),'GGSN-Lic'!A:AP,39,FALSE)</f>
        <v>Native Ericsson</v>
      </c>
      <c r="D49" s="254" t="s">
        <v>30</v>
      </c>
      <c r="E49" s="418">
        <f>VLOOKUP(LEFT(B49,6),'GGSN-Lic'!A:AP,37,FALSE)*1000*AJ49</f>
        <v>1500000</v>
      </c>
      <c r="F49" s="418">
        <f>VLOOKUP(LEFT(B49,6),'GGSN-Lic'!A:AP,38,FALSE)*1000*AJ49</f>
        <v>60000</v>
      </c>
      <c r="G49" s="256">
        <f>VLOOKUP(B49,Input_Lic_Rate_PS!K:P,4,FALSE)</f>
        <v>1500000</v>
      </c>
      <c r="H49" s="256">
        <f>VLOOKUP(B49,Input_Lic_Rate_PS!K:R,5,FALSE)</f>
        <v>80000</v>
      </c>
      <c r="I49" s="256">
        <f>VLOOKUP(B49,Input_Lic_Rate_PS!K:R,7,FALSE)</f>
        <v>1690000</v>
      </c>
      <c r="J49" s="850">
        <v>1010615</v>
      </c>
      <c r="K49" s="850">
        <v>39778.5</v>
      </c>
      <c r="L49" s="850">
        <f>_xlfn.IFNA(VLOOKUP(B49,Input_NOCPRO_GGSN!C:G,4,FALSE),0)</f>
        <v>995643</v>
      </c>
      <c r="M49" s="851">
        <f t="shared" si="10"/>
        <v>497821.5</v>
      </c>
      <c r="N49" s="850">
        <f>_xlfn.IFNA(VLOOKUP(B49,Input_NOCPRO_GGSN!C:G,5,FALSE),0)</f>
        <v>43258.27</v>
      </c>
      <c r="O49" s="360">
        <f t="shared" si="23"/>
        <v>0.66376199999999996</v>
      </c>
      <c r="P49" s="420">
        <f t="shared" si="24"/>
        <v>0.54072837499999993</v>
      </c>
      <c r="Q49" s="350" t="str">
        <f>VLOOKUP(B49,IMS!A:C,3,FALSE)</f>
        <v>SBHT20</v>
      </c>
      <c r="R49" s="843">
        <f t="shared" si="11"/>
        <v>2727446.5</v>
      </c>
      <c r="S49" s="843">
        <f t="shared" si="25"/>
        <v>2727446.5</v>
      </c>
      <c r="T49" s="850">
        <f t="shared" ref="T49:T63" si="36">(L49+(AK49/SUM($AK$49:$AK$63)-AH49/SUM($AH$49:$AH$63))*SUM($L$49:$L$63))*AJ49+$T$82*(AK49/SUM($AK$49:$AK$63))</f>
        <v>995643</v>
      </c>
      <c r="U49" s="868">
        <f t="shared" ref="U49:U63" si="37">(N49+(AK49/SUM($AK$49:$AK$63)-AH49/SUM($AH$49:$AH$63))*SUM($N$49:$N$63))*AJ49+$U$82*(AK49/SUM($AK$49:$AK$63))</f>
        <v>43258.27</v>
      </c>
      <c r="V49" s="854">
        <f t="shared" si="30"/>
        <v>497821.5</v>
      </c>
      <c r="W49" s="420">
        <f t="shared" si="26"/>
        <v>0.66376199999999996</v>
      </c>
      <c r="X49" s="420">
        <f t="shared" si="27"/>
        <v>0.54072837499999993</v>
      </c>
      <c r="Y49" s="1075">
        <f>SUM(U49:U50)</f>
        <v>86698.18</v>
      </c>
      <c r="Z49" s="1069">
        <f>Y49*$Z$1</f>
        <v>47044.811235832713</v>
      </c>
      <c r="AA49" s="1045">
        <f>SUM(F49:F50)</f>
        <v>120000</v>
      </c>
      <c r="AB49" s="1076" t="s">
        <v>85</v>
      </c>
      <c r="AC49" s="1077">
        <f>Y49*$AC$1</f>
        <v>71092.507599999997</v>
      </c>
      <c r="AD49" s="1079">
        <v>103000</v>
      </c>
      <c r="AE49" s="1046">
        <f>Z49/Y49</f>
        <v>0.54262743734450614</v>
      </c>
      <c r="AF49" s="1046">
        <f>AC49/AD49</f>
        <v>0.69021852038834952</v>
      </c>
      <c r="AG49" s="1046">
        <f>(AC49-Z49)/AD49</f>
        <v>0.23347278023463383</v>
      </c>
      <c r="AH49" s="839">
        <v>40</v>
      </c>
      <c r="AI49" s="256">
        <f t="shared" si="28"/>
        <v>43.340517571017109</v>
      </c>
      <c r="AJ49" s="855">
        <f t="shared" si="8"/>
        <v>1</v>
      </c>
      <c r="AK49" s="372">
        <v>40</v>
      </c>
      <c r="AL49" s="353" t="str">
        <f t="shared" si="13"/>
        <v>NO</v>
      </c>
      <c r="AM49" s="354" t="str">
        <f>VLOOKUP(B49,Input_Lic_Rate_PS!K:S,9,FALSE)</f>
        <v>SSR 8020</v>
      </c>
      <c r="AN49" s="355">
        <f t="shared" si="29"/>
        <v>0</v>
      </c>
    </row>
    <row r="50" spans="1:40" s="199" customFormat="1">
      <c r="A50" s="417">
        <v>44</v>
      </c>
      <c r="B50" s="254" t="s">
        <v>86</v>
      </c>
      <c r="C50" s="254" t="str">
        <f>VLOOKUP(LEFT(B50,6),'GGSN-Lic'!A:AP,39,FALSE)</f>
        <v>Native Ericsson</v>
      </c>
      <c r="D50" s="254" t="s">
        <v>30</v>
      </c>
      <c r="E50" s="418">
        <f>VLOOKUP(LEFT(B50,6),'GGSN-Lic'!A:AP,37,FALSE)*1000*AJ50</f>
        <v>1500000</v>
      </c>
      <c r="F50" s="418">
        <f>VLOOKUP(LEFT(B50,6),'GGSN-Lic'!A:AP,38,FALSE)*1000*AJ50</f>
        <v>60000</v>
      </c>
      <c r="G50" s="256">
        <f>VLOOKUP(B50,Input_Lic_Rate_PS!K:P,4,FALSE)</f>
        <v>1500000</v>
      </c>
      <c r="H50" s="256">
        <f>VLOOKUP(B50,Input_Lic_Rate_PS!K:R,5,FALSE)</f>
        <v>80000</v>
      </c>
      <c r="I50" s="256">
        <v>1690000</v>
      </c>
      <c r="J50" s="850">
        <v>997366</v>
      </c>
      <c r="K50" s="850">
        <v>38080.07</v>
      </c>
      <c r="L50" s="850">
        <f>_xlfn.IFNA(VLOOKUP(B50,Input_NOCPRO_GGSN!C:G,4,FALSE),0)</f>
        <v>997475</v>
      </c>
      <c r="M50" s="851">
        <f t="shared" si="10"/>
        <v>498737.5</v>
      </c>
      <c r="N50" s="850">
        <f>_xlfn.IFNA(VLOOKUP(B50,Input_NOCPRO_GGSN!C:G,5,FALSE),0)</f>
        <v>43439.91</v>
      </c>
      <c r="O50" s="360">
        <f t="shared" si="23"/>
        <v>0.66498333333333337</v>
      </c>
      <c r="P50" s="420">
        <f t="shared" si="24"/>
        <v>0.54299887499999999</v>
      </c>
      <c r="Q50" s="350" t="str">
        <f>VLOOKUP(B50,IMS!A:C,3,FALSE)</f>
        <v>SBHT20</v>
      </c>
      <c r="R50" s="843">
        <f t="shared" si="11"/>
        <v>2727446.5</v>
      </c>
      <c r="S50" s="843">
        <f t="shared" si="25"/>
        <v>2727446.5</v>
      </c>
      <c r="T50" s="850">
        <f t="shared" si="36"/>
        <v>997475</v>
      </c>
      <c r="U50" s="868">
        <f t="shared" si="37"/>
        <v>43439.91</v>
      </c>
      <c r="V50" s="854">
        <f t="shared" si="30"/>
        <v>498737.5</v>
      </c>
      <c r="W50" s="420">
        <f t="shared" si="26"/>
        <v>0.66498333333333337</v>
      </c>
      <c r="X50" s="420">
        <f t="shared" si="27"/>
        <v>0.54299887499999999</v>
      </c>
      <c r="Y50" s="1070"/>
      <c r="Z50" s="1070"/>
      <c r="AA50" s="1045"/>
      <c r="AB50" s="1076"/>
      <c r="AC50" s="1078"/>
      <c r="AD50" s="1078"/>
      <c r="AE50" s="1046"/>
      <c r="AF50" s="1046"/>
      <c r="AG50" s="1046"/>
      <c r="AH50" s="839">
        <v>40</v>
      </c>
      <c r="AI50" s="256">
        <f t="shared" si="28"/>
        <v>43.522502925761998</v>
      </c>
      <c r="AJ50" s="855">
        <f t="shared" si="8"/>
        <v>1</v>
      </c>
      <c r="AK50" s="372">
        <v>40</v>
      </c>
      <c r="AL50" s="353" t="str">
        <f t="shared" si="13"/>
        <v>NO</v>
      </c>
      <c r="AM50" s="354" t="str">
        <f>VLOOKUP(B50,Input_Lic_Rate_PS!K:S,9,FALSE)</f>
        <v>SSR 8020</v>
      </c>
      <c r="AN50" s="355">
        <f t="shared" si="29"/>
        <v>0</v>
      </c>
    </row>
    <row r="51" spans="1:40" s="199" customFormat="1">
      <c r="A51" s="417">
        <v>45</v>
      </c>
      <c r="B51" s="254" t="s">
        <v>89</v>
      </c>
      <c r="C51" s="254" t="str">
        <f>VLOOKUP(LEFT(B51,6),'GGSN-Lic'!A:AP,39,FALSE)</f>
        <v>Native Ericsson</v>
      </c>
      <c r="D51" s="254" t="s">
        <v>30</v>
      </c>
      <c r="E51" s="418">
        <f>VLOOKUP(LEFT(B51,6),'GGSN-Lic'!A:AP,37,FALSE)*1000*AJ51</f>
        <v>1500000</v>
      </c>
      <c r="F51" s="418">
        <f>VLOOKUP(LEFT(B51,6),'GGSN-Lic'!A:AP,38,FALSE)*1000*AJ51</f>
        <v>60000</v>
      </c>
      <c r="G51" s="256">
        <f>VLOOKUP(B51,Input_Lic_Rate_PS!K:P,4,FALSE)</f>
        <v>1500000</v>
      </c>
      <c r="H51" s="256">
        <f>VLOOKUP(B51,Input_Lic_Rate_PS!K:R,5,FALSE)</f>
        <v>80000</v>
      </c>
      <c r="I51" s="256">
        <f>VLOOKUP(B51,Input_Lic_Rate_PS!K:R,7,FALSE)</f>
        <v>1690000</v>
      </c>
      <c r="J51" s="850">
        <v>1084741</v>
      </c>
      <c r="K51" s="850">
        <v>40169.919999999998</v>
      </c>
      <c r="L51" s="850">
        <f>_xlfn.IFNA(VLOOKUP(B51,Input_NOCPRO_GGSN!C:G,4,FALSE),0)</f>
        <v>1079478</v>
      </c>
      <c r="M51" s="851">
        <f t="shared" si="10"/>
        <v>539739</v>
      </c>
      <c r="N51" s="850">
        <f>_xlfn.IFNA(VLOOKUP(B51,Input_NOCPRO_GGSN!C:G,5,FALSE),0)</f>
        <v>42459.34</v>
      </c>
      <c r="O51" s="360">
        <f t="shared" si="23"/>
        <v>0.71965199999999996</v>
      </c>
      <c r="P51" s="420">
        <f t="shared" si="24"/>
        <v>0.5307417499999999</v>
      </c>
      <c r="Q51" s="350" t="str">
        <f>VLOOKUP(B51,IMS!A:C,3,FALSE)</f>
        <v>SBHT08</v>
      </c>
      <c r="R51" s="843">
        <f t="shared" si="11"/>
        <v>2172038.5</v>
      </c>
      <c r="S51" s="843">
        <f t="shared" si="25"/>
        <v>2172038.5</v>
      </c>
      <c r="T51" s="850">
        <f t="shared" si="36"/>
        <v>1079478</v>
      </c>
      <c r="U51" s="868">
        <f t="shared" si="37"/>
        <v>42459.34</v>
      </c>
      <c r="V51" s="854">
        <f t="shared" si="30"/>
        <v>539739</v>
      </c>
      <c r="W51" s="420">
        <f t="shared" si="26"/>
        <v>0.71965199999999996</v>
      </c>
      <c r="X51" s="420">
        <f t="shared" si="27"/>
        <v>0.5307417499999999</v>
      </c>
      <c r="Y51" s="1075">
        <f>SUM(U51:U52)</f>
        <v>137768.56</v>
      </c>
      <c r="Z51" s="1069">
        <f>Y51*$Z$1</f>
        <v>74757.000659442827</v>
      </c>
      <c r="AA51" s="1045">
        <f>SUM(F51:F52)</f>
        <v>190000</v>
      </c>
      <c r="AB51" s="1076" t="s">
        <v>342</v>
      </c>
      <c r="AC51" s="1077">
        <f>Y51*$AC$1</f>
        <v>112970.21919999999</v>
      </c>
      <c r="AD51" s="1079">
        <v>260000</v>
      </c>
      <c r="AE51" s="1046">
        <f>Z51/Y51</f>
        <v>0.54262743734450614</v>
      </c>
      <c r="AF51" s="1046">
        <f>AC51/AD51</f>
        <v>0.43450084307692305</v>
      </c>
      <c r="AG51" s="1046">
        <f>(AC51-Z51)/AD51</f>
        <v>0.14697391746368141</v>
      </c>
      <c r="AH51" s="839">
        <v>40</v>
      </c>
      <c r="AI51" s="256">
        <f t="shared" si="28"/>
        <v>42.540068553915582</v>
      </c>
      <c r="AJ51" s="855">
        <f t="shared" si="8"/>
        <v>1</v>
      </c>
      <c r="AK51" s="372">
        <v>40</v>
      </c>
      <c r="AL51" s="353" t="str">
        <f t="shared" si="13"/>
        <v>NO</v>
      </c>
      <c r="AM51" s="354" t="str">
        <f>VLOOKUP(B51,Input_Lic_Rate_PS!K:S,9,FALSE)</f>
        <v>SSR 8020</v>
      </c>
      <c r="AN51" s="355">
        <f t="shared" si="29"/>
        <v>0</v>
      </c>
    </row>
    <row r="52" spans="1:40" s="199" customFormat="1">
      <c r="A52" s="417">
        <v>46</v>
      </c>
      <c r="B52" s="254" t="s">
        <v>90</v>
      </c>
      <c r="C52" s="254" t="str">
        <f>VLOOKUP(LEFT(B52,6),'GGSN-Lic'!A:AP,39,FALSE)</f>
        <v>Native Ericsson</v>
      </c>
      <c r="D52" s="254" t="s">
        <v>30</v>
      </c>
      <c r="E52" s="418">
        <f>VLOOKUP(LEFT(B52,6),'GGSN-Lic'!A:AP,37,FALSE)*1000*AJ52</f>
        <v>2700000</v>
      </c>
      <c r="F52" s="418">
        <f>VLOOKUP(LEFT(B52,6),'GGSN-Lic'!A:AP,38,FALSE)*1000*AJ52</f>
        <v>130000</v>
      </c>
      <c r="G52" s="256">
        <f>VLOOKUP(B52,Input_Lic_Rate_PS!K:P,4,FALSE)</f>
        <v>2700000</v>
      </c>
      <c r="H52" s="256">
        <f>VLOOKUP(B52,Input_Lic_Rate_PS!K:R,5,FALSE)</f>
        <v>150000</v>
      </c>
      <c r="I52" s="256">
        <f>VLOOKUP(B52,Input_Lic_Rate_PS!K:R,7,FALSE)</f>
        <v>2990000</v>
      </c>
      <c r="J52" s="850">
        <v>2377193</v>
      </c>
      <c r="K52" s="850">
        <v>88821.69</v>
      </c>
      <c r="L52" s="850">
        <f>_xlfn.IFNA(VLOOKUP(B52,Input_NOCPRO_GGSN!C:G,4,FALSE),0)</f>
        <v>2316736</v>
      </c>
      <c r="M52" s="851">
        <f t="shared" si="10"/>
        <v>1158368</v>
      </c>
      <c r="N52" s="850">
        <f>_xlfn.IFNA(VLOOKUP(B52,Input_NOCPRO_GGSN!C:G,5,FALSE),0)</f>
        <v>95309.22</v>
      </c>
      <c r="O52" s="360">
        <f t="shared" si="23"/>
        <v>0.85805037037037035</v>
      </c>
      <c r="P52" s="420">
        <f t="shared" si="24"/>
        <v>0.63539480000000004</v>
      </c>
      <c r="Q52" s="350" t="str">
        <f>VLOOKUP(B52,IMS!A:C,3,FALSE)</f>
        <v>SBHT06</v>
      </c>
      <c r="R52" s="843">
        <f t="shared" si="11"/>
        <v>1664002</v>
      </c>
      <c r="S52" s="843">
        <f t="shared" si="25"/>
        <v>1664002</v>
      </c>
      <c r="T52" s="850">
        <f t="shared" si="36"/>
        <v>2316736</v>
      </c>
      <c r="U52" s="868">
        <f t="shared" si="37"/>
        <v>95309.22</v>
      </c>
      <c r="V52" s="854">
        <f t="shared" si="30"/>
        <v>1158368</v>
      </c>
      <c r="W52" s="420">
        <f t="shared" si="26"/>
        <v>0.85805037037037035</v>
      </c>
      <c r="X52" s="420">
        <f t="shared" si="27"/>
        <v>0.63539480000000004</v>
      </c>
      <c r="Y52" s="1070"/>
      <c r="Z52" s="1070"/>
      <c r="AA52" s="1045"/>
      <c r="AB52" s="1076"/>
      <c r="AC52" s="1078"/>
      <c r="AD52" s="1078"/>
      <c r="AE52" s="1046"/>
      <c r="AF52" s="1046"/>
      <c r="AG52" s="1046"/>
      <c r="AH52" s="839">
        <v>100</v>
      </c>
      <c r="AI52" s="256">
        <f t="shared" si="28"/>
        <v>95.490432791000103</v>
      </c>
      <c r="AJ52" s="855">
        <f t="shared" si="8"/>
        <v>1</v>
      </c>
      <c r="AK52" s="256">
        <v>100</v>
      </c>
      <c r="AL52" s="353" t="str">
        <f t="shared" si="13"/>
        <v>NO</v>
      </c>
      <c r="AM52" s="354" t="str">
        <f>VLOOKUP(B52,Input_Lic_Rate_PS!K:S,9,FALSE)</f>
        <v>SSR 8020</v>
      </c>
      <c r="AN52" s="355">
        <f t="shared" si="29"/>
        <v>0</v>
      </c>
    </row>
    <row r="53" spans="1:40" s="71" customFormat="1">
      <c r="A53" s="417">
        <v>47</v>
      </c>
      <c r="B53" s="361" t="s">
        <v>87</v>
      </c>
      <c r="C53" s="361" t="str">
        <f>VLOOKUP(LEFT(B53,6),'GGSN-Lic'!A:AP,39,FALSE)</f>
        <v>Native Ericsson</v>
      </c>
      <c r="D53" s="361" t="s">
        <v>30</v>
      </c>
      <c r="E53" s="341">
        <f>VLOOKUP(LEFT(B53,6),'GGSN-Lic'!A:AP,37,FALSE)*1000*AJ53</f>
        <v>1500000</v>
      </c>
      <c r="F53" s="341">
        <f>VLOOKUP(LEFT(B53,6),'GGSN-Lic'!A:AP,38,FALSE)*1000*AJ53</f>
        <v>60000</v>
      </c>
      <c r="G53" s="341">
        <f>VLOOKUP(B53,Input_Lic_Rate_PS!K:P,4,FALSE)</f>
        <v>1500000</v>
      </c>
      <c r="H53" s="341">
        <f>VLOOKUP(B53,Input_Lic_Rate_PS!K:R,5,FALSE)</f>
        <v>80000</v>
      </c>
      <c r="I53" s="341">
        <v>1690000</v>
      </c>
      <c r="J53" s="849">
        <v>436185</v>
      </c>
      <c r="K53" s="849">
        <v>15199.98</v>
      </c>
      <c r="L53" s="850">
        <f>_xlfn.IFNA(VLOOKUP(B53,Input_NOCPRO_GGSN!C:G,4,FALSE),0)</f>
        <v>333900</v>
      </c>
      <c r="M53" s="851">
        <f t="shared" si="10"/>
        <v>166950</v>
      </c>
      <c r="N53" s="849">
        <f>_xlfn.IFNA(VLOOKUP(B53,Input_NOCPRO_GGSN!C:G,5,FALSE),0)</f>
        <v>1199.05</v>
      </c>
      <c r="O53" s="360">
        <f t="shared" si="23"/>
        <v>0.22259999999999999</v>
      </c>
      <c r="P53" s="360">
        <f t="shared" si="24"/>
        <v>1.4988125E-2</v>
      </c>
      <c r="Q53" s="350" t="str">
        <f>VLOOKUP(B53,IMS!A:C,3,FALSE)</f>
        <v>SBHT10</v>
      </c>
      <c r="R53" s="843">
        <f t="shared" si="11"/>
        <v>2238889</v>
      </c>
      <c r="S53" s="843">
        <f t="shared" si="25"/>
        <v>2238889</v>
      </c>
      <c r="T53" s="849">
        <f t="shared" si="36"/>
        <v>333900</v>
      </c>
      <c r="U53" s="858">
        <f t="shared" si="37"/>
        <v>1199.05</v>
      </c>
      <c r="V53" s="854">
        <f t="shared" si="30"/>
        <v>166950</v>
      </c>
      <c r="W53" s="360">
        <f t="shared" si="26"/>
        <v>0.22259999999999999</v>
      </c>
      <c r="X53" s="360">
        <f t="shared" si="27"/>
        <v>1.4988125E-2</v>
      </c>
      <c r="Y53" s="1028">
        <f>SUM(U53:U55)</f>
        <v>182581.98</v>
      </c>
      <c r="Z53" s="1031">
        <f>Y53*$Z$1</f>
        <v>99073.991912685873</v>
      </c>
      <c r="AA53" s="1028">
        <v>160000</v>
      </c>
      <c r="AB53" s="1048" t="s">
        <v>88</v>
      </c>
      <c r="AC53" s="1034">
        <f>Y53*$AC$1</f>
        <v>149717.2236</v>
      </c>
      <c r="AD53" s="1028">
        <v>364000</v>
      </c>
      <c r="AE53" s="1037">
        <f>Z53/Y53</f>
        <v>0.54262743734450614</v>
      </c>
      <c r="AF53" s="1040">
        <f>AC53/AD53</f>
        <v>0.41131105384615385</v>
      </c>
      <c r="AG53" s="1037">
        <f>(AC53-Z53)/AD53</f>
        <v>0.13912975738273112</v>
      </c>
      <c r="AH53" s="256">
        <v>1</v>
      </c>
      <c r="AI53" s="341">
        <f t="shared" si="28"/>
        <v>1.2013297710132207</v>
      </c>
      <c r="AJ53" s="856">
        <f t="shared" si="8"/>
        <v>1</v>
      </c>
      <c r="AK53" s="341">
        <v>1</v>
      </c>
      <c r="AL53" s="353" t="str">
        <f t="shared" si="13"/>
        <v>NO</v>
      </c>
      <c r="AM53" s="689" t="str">
        <f>VLOOKUP(B53,Input_Lic_Rate_PS!K:S,9,FALSE)</f>
        <v>SSR 8020</v>
      </c>
      <c r="AN53" s="690">
        <f t="shared" si="29"/>
        <v>0</v>
      </c>
    </row>
    <row r="54" spans="1:40" s="199" customFormat="1" ht="15" customHeight="1">
      <c r="A54" s="417">
        <v>48</v>
      </c>
      <c r="B54" s="254" t="s">
        <v>91</v>
      </c>
      <c r="C54" s="254" t="str">
        <f>VLOOKUP(LEFT(B54,6),'GGSN-Lic'!A:AP,39,FALSE)</f>
        <v>Native Ericsson</v>
      </c>
      <c r="D54" s="254" t="s">
        <v>30</v>
      </c>
      <c r="E54" s="418">
        <f>VLOOKUP(LEFT(B54,6),'GGSN-Lic'!A:AP,37,FALSE)*1000*AJ54</f>
        <v>2500000</v>
      </c>
      <c r="F54" s="418">
        <f>VLOOKUP(LEFT(B54,6),'GGSN-Lic'!A:AP,38,FALSE)*1000*AJ54</f>
        <v>120000</v>
      </c>
      <c r="G54" s="256">
        <f>VLOOKUP(B54,Input_Lic_Rate_PS!K:P,4,FALSE)</f>
        <v>2500000</v>
      </c>
      <c r="H54" s="256">
        <f>VLOOKUP(B54,Input_Lic_Rate_PS!K:R,5,FALSE)</f>
        <v>150000</v>
      </c>
      <c r="I54" s="256">
        <f>VLOOKUP(B54,Input_Lic_Rate_PS!K:R,7,FALSE)</f>
        <v>2470000</v>
      </c>
      <c r="J54" s="850">
        <v>2263372</v>
      </c>
      <c r="K54" s="850">
        <v>83876.289999999994</v>
      </c>
      <c r="L54" s="850">
        <f>_xlfn.IFNA(VLOOKUP(B54,Input_NOCPRO_GGSN!C:G,4,FALSE),0)</f>
        <v>2206871</v>
      </c>
      <c r="M54" s="851">
        <f t="shared" si="10"/>
        <v>1103435.5</v>
      </c>
      <c r="N54" s="850">
        <f>_xlfn.IFNA(VLOOKUP(B54,Input_NOCPRO_GGSN!C:G,5,FALSE),0)</f>
        <v>88292.66</v>
      </c>
      <c r="O54" s="360">
        <f t="shared" si="23"/>
        <v>0.88274839999999999</v>
      </c>
      <c r="P54" s="420">
        <f t="shared" si="24"/>
        <v>0.58861773333333334</v>
      </c>
      <c r="Q54" s="350" t="str">
        <f>VLOOKUP(B54,IMS!A:C,3,FALSE)</f>
        <v>SBPL12</v>
      </c>
      <c r="R54" s="843">
        <f t="shared" si="11"/>
        <v>2107701</v>
      </c>
      <c r="S54" s="843">
        <f t="shared" si="25"/>
        <v>2107701</v>
      </c>
      <c r="T54" s="850">
        <f t="shared" si="36"/>
        <v>2206871</v>
      </c>
      <c r="U54" s="868">
        <f t="shared" si="37"/>
        <v>88292.66</v>
      </c>
      <c r="V54" s="854">
        <f t="shared" si="30"/>
        <v>1103435.5</v>
      </c>
      <c r="W54" s="420">
        <f t="shared" si="26"/>
        <v>0.88274839999999999</v>
      </c>
      <c r="X54" s="420">
        <f t="shared" si="27"/>
        <v>0.58861773333333334</v>
      </c>
      <c r="Y54" s="1029"/>
      <c r="Z54" s="1032">
        <f>0.2*SUM(N54:N54)</f>
        <v>17658.532000000003</v>
      </c>
      <c r="AA54" s="1029"/>
      <c r="AB54" s="1055"/>
      <c r="AC54" s="1035"/>
      <c r="AD54" s="1029"/>
      <c r="AE54" s="1038"/>
      <c r="AF54" s="1041"/>
      <c r="AG54" s="1038"/>
      <c r="AH54" s="839">
        <v>95</v>
      </c>
      <c r="AI54" s="256">
        <f t="shared" si="28"/>
        <v>88.460532104539553</v>
      </c>
      <c r="AJ54" s="855">
        <f t="shared" si="8"/>
        <v>1</v>
      </c>
      <c r="AK54" s="256">
        <v>95</v>
      </c>
      <c r="AL54" s="353" t="str">
        <f t="shared" si="13"/>
        <v>NO</v>
      </c>
      <c r="AM54" s="354" t="str">
        <f>VLOOKUP(B54,Input_Lic_Rate_PS!K:S,9,FALSE)</f>
        <v>SSR 8020</v>
      </c>
      <c r="AN54" s="355">
        <f t="shared" si="29"/>
        <v>0</v>
      </c>
    </row>
    <row r="55" spans="1:40" s="199" customFormat="1">
      <c r="A55" s="417">
        <v>49</v>
      </c>
      <c r="B55" s="254" t="s">
        <v>93</v>
      </c>
      <c r="C55" s="254" t="str">
        <f>VLOOKUP(LEFT(B55,6),'GGSN-Lic'!A:AP,39,FALSE)</f>
        <v>Native Ericsson</v>
      </c>
      <c r="D55" s="254" t="s">
        <v>30</v>
      </c>
      <c r="E55" s="418">
        <f>VLOOKUP(LEFT(B55,6),'GGSN-Lic'!A:AP,37,FALSE)*1000*AJ55</f>
        <v>2700000</v>
      </c>
      <c r="F55" s="418">
        <f>VLOOKUP(LEFT(B55,6),'GGSN-Lic'!A:AP,38,FALSE)*1000*AJ55</f>
        <v>130000</v>
      </c>
      <c r="G55" s="256">
        <f>VLOOKUP(B55,Input_Lic_Rate_PS!K:P,4,FALSE)</f>
        <v>2700000</v>
      </c>
      <c r="H55" s="256">
        <f>VLOOKUP(B55,Input_Lic_Rate_PS!K:R,5,FALSE)</f>
        <v>150000</v>
      </c>
      <c r="I55" s="256">
        <f>VLOOKUP(B55,Input_Lic_Rate_PS!K:R,7,FALSE)</f>
        <v>2985000</v>
      </c>
      <c r="J55" s="850">
        <v>2393160</v>
      </c>
      <c r="K55" s="850">
        <v>87378.34</v>
      </c>
      <c r="L55" s="850">
        <f>_xlfn.IFNA(VLOOKUP(B55,Input_NOCPRO_GGSN!C:G,4,FALSE),0)</f>
        <v>2324008</v>
      </c>
      <c r="M55" s="851">
        <f t="shared" si="10"/>
        <v>1162004</v>
      </c>
      <c r="N55" s="850">
        <f>_xlfn.IFNA(VLOOKUP(B55,Input_NOCPRO_GGSN!C:G,5,FALSE),0)</f>
        <v>93090.27</v>
      </c>
      <c r="O55" s="360">
        <f t="shared" si="23"/>
        <v>0.86074370370370368</v>
      </c>
      <c r="P55" s="420">
        <f t="shared" si="24"/>
        <v>0.62060179999999998</v>
      </c>
      <c r="Q55" s="350" t="str">
        <f>VLOOKUP(B55,IMS!A:C,3,FALSE)</f>
        <v>SBHT14</v>
      </c>
      <c r="R55" s="843">
        <f t="shared" si="11"/>
        <v>2606167</v>
      </c>
      <c r="S55" s="843">
        <f t="shared" si="25"/>
        <v>2606167</v>
      </c>
      <c r="T55" s="850">
        <f t="shared" si="36"/>
        <v>2324008</v>
      </c>
      <c r="U55" s="868">
        <f t="shared" si="37"/>
        <v>93090.27</v>
      </c>
      <c r="V55" s="854">
        <f t="shared" si="30"/>
        <v>1162004</v>
      </c>
      <c r="W55" s="420">
        <f t="shared" si="26"/>
        <v>0.86074370370370368</v>
      </c>
      <c r="X55" s="420">
        <f t="shared" si="27"/>
        <v>0.62060179999999998</v>
      </c>
      <c r="Y55" s="1030"/>
      <c r="Z55" s="1033">
        <f>0.2*SUM(N55:N55)</f>
        <v>18618.054</v>
      </c>
      <c r="AA55" s="1030"/>
      <c r="AB55" s="1049"/>
      <c r="AC55" s="1036"/>
      <c r="AD55" s="1030"/>
      <c r="AE55" s="1039"/>
      <c r="AF55" s="1042"/>
      <c r="AG55" s="1039"/>
      <c r="AH55" s="839">
        <v>100</v>
      </c>
      <c r="AI55" s="256">
        <f t="shared" si="28"/>
        <v>93.267263869445728</v>
      </c>
      <c r="AJ55" s="855">
        <f t="shared" si="8"/>
        <v>1</v>
      </c>
      <c r="AK55" s="256">
        <v>100</v>
      </c>
      <c r="AL55" s="353" t="str">
        <f t="shared" si="13"/>
        <v>NO</v>
      </c>
      <c r="AM55" s="354" t="str">
        <f>VLOOKUP(B55,Input_Lic_Rate_PS!K:S,9,FALSE)</f>
        <v>SSR 8020</v>
      </c>
      <c r="AN55" s="355">
        <f t="shared" si="29"/>
        <v>0</v>
      </c>
    </row>
    <row r="56" spans="1:40" s="71" customFormat="1">
      <c r="A56" s="417">
        <v>50</v>
      </c>
      <c r="B56" s="361" t="s">
        <v>451</v>
      </c>
      <c r="C56" s="361" t="str">
        <f>VLOOKUP(LEFT(B56,6),'GGSN-Lic'!A:AP,39,FALSE)</f>
        <v>NFV VHT</v>
      </c>
      <c r="D56" s="254" t="s">
        <v>30</v>
      </c>
      <c r="E56" s="418">
        <f>VLOOKUP(LEFT(B56,6),'GGSN-Lic'!A:AP,37,FALSE)*1000*AJ56</f>
        <v>4000000</v>
      </c>
      <c r="F56" s="418">
        <f>VLOOKUP(LEFT(B56,6),'GGSN-Lic'!A:AP,38,FALSE)*1000*AJ56</f>
        <v>150000</v>
      </c>
      <c r="G56" s="256">
        <f>VLOOKUP(B56,Input_Lic_Rate_PS!K:P,4,FALSE)</f>
        <v>4500000</v>
      </c>
      <c r="H56" s="256">
        <f>VLOOKUP(B56,Input_Lic_Rate_PS!K:R,5,FALSE)</f>
        <v>150000</v>
      </c>
      <c r="I56" s="256">
        <f>VLOOKUP(B56,Input_Lic_Rate_PS!K:R,7,FALSE)</f>
        <v>4500000</v>
      </c>
      <c r="J56" s="850">
        <v>2694401</v>
      </c>
      <c r="K56" s="850">
        <v>119678.22</v>
      </c>
      <c r="L56" s="850">
        <f>_xlfn.IFNA(VLOOKUP(B56,Input_NOCPRO_GGSN!C:G,4,FALSE),0)</f>
        <v>2497961</v>
      </c>
      <c r="M56" s="851">
        <f t="shared" si="10"/>
        <v>1248980.5</v>
      </c>
      <c r="N56" s="850">
        <f>_xlfn.IFNA(VLOOKUP(B56,Input_NOCPRO_GGSN!C:G,5,FALSE),0)</f>
        <v>115301.17</v>
      </c>
      <c r="O56" s="360">
        <f t="shared" si="23"/>
        <v>0.55510244444444445</v>
      </c>
      <c r="P56" s="420">
        <f t="shared" si="24"/>
        <v>0.76867446666666661</v>
      </c>
      <c r="Q56" s="350" t="str">
        <f>VLOOKUP(B56,IMS!A:C,3,FALSE)</f>
        <v>SBHT13</v>
      </c>
      <c r="R56" s="843">
        <f t="shared" si="11"/>
        <v>1908121.5</v>
      </c>
      <c r="S56" s="843">
        <f t="shared" si="25"/>
        <v>1908121.5</v>
      </c>
      <c r="T56" s="850">
        <f t="shared" si="36"/>
        <v>2497961</v>
      </c>
      <c r="U56" s="868">
        <f t="shared" si="37"/>
        <v>115301.17</v>
      </c>
      <c r="V56" s="854">
        <f t="shared" si="30"/>
        <v>1248980.5</v>
      </c>
      <c r="W56" s="420">
        <f t="shared" si="26"/>
        <v>0.55510244444444445</v>
      </c>
      <c r="X56" s="420">
        <f t="shared" si="27"/>
        <v>0.76867446666666661</v>
      </c>
      <c r="Y56" s="1056">
        <f>SUM(U56:U59)</f>
        <v>465228.49</v>
      </c>
      <c r="Z56" s="1059">
        <f>Y56*$Z$1</f>
        <v>252445.7433083542</v>
      </c>
      <c r="AA56" s="1056">
        <f>SUM(F56:F59)</f>
        <v>550000</v>
      </c>
      <c r="AB56" s="1062" t="s">
        <v>448</v>
      </c>
      <c r="AC56" s="1059">
        <f>Y56*$AC$1</f>
        <v>381487.36179999996</v>
      </c>
      <c r="AD56" s="1056">
        <v>450000</v>
      </c>
      <c r="AE56" s="1065">
        <f>Z56/Y56</f>
        <v>0.54262743734450614</v>
      </c>
      <c r="AF56" s="1065">
        <f>AC56/AD56</f>
        <v>0.8477496928888888</v>
      </c>
      <c r="AG56" s="1065">
        <f>(AC56-Z56)/AD56</f>
        <v>0.28675915220365722</v>
      </c>
      <c r="AH56" s="839">
        <v>150</v>
      </c>
      <c r="AI56" s="256">
        <f t="shared" si="28"/>
        <v>115.52039377311741</v>
      </c>
      <c r="AJ56" s="855">
        <f t="shared" si="8"/>
        <v>1</v>
      </c>
      <c r="AK56" s="256">
        <v>150</v>
      </c>
      <c r="AL56" s="353" t="str">
        <f t="shared" si="13"/>
        <v>NO</v>
      </c>
      <c r="AM56" s="354" t="str">
        <f>VLOOKUP(B56,Input_Lic_Rate_PS!K:S,9,FALSE)</f>
        <v>TCPL04</v>
      </c>
      <c r="AN56" s="359">
        <f t="shared" si="29"/>
        <v>0</v>
      </c>
    </row>
    <row r="57" spans="1:40" s="71" customFormat="1">
      <c r="A57" s="417">
        <v>51</v>
      </c>
      <c r="B57" s="361" t="s">
        <v>452</v>
      </c>
      <c r="C57" s="361" t="str">
        <f>VLOOKUP(LEFT(B57,6),'GGSN-Lic'!A:AP,39,FALSE)</f>
        <v>NFV VHT</v>
      </c>
      <c r="D57" s="254" t="s">
        <v>30</v>
      </c>
      <c r="E57" s="418">
        <f>VLOOKUP(LEFT(B57,6),'GGSN-Lic'!A:AP,37,FALSE)*1000*AJ57</f>
        <v>4000000</v>
      </c>
      <c r="F57" s="418">
        <f>VLOOKUP(LEFT(B57,6),'GGSN-Lic'!A:AP,38,FALSE)*1000*AJ57</f>
        <v>150000</v>
      </c>
      <c r="G57" s="256">
        <f>VLOOKUP(B57,Input_Lic_Rate_PS!K:P,4,FALSE)</f>
        <v>4500000</v>
      </c>
      <c r="H57" s="256">
        <f>VLOOKUP(B57,Input_Lic_Rate_PS!K:R,5,FALSE)</f>
        <v>150000</v>
      </c>
      <c r="I57" s="256">
        <f>VLOOKUP(B57,Input_Lic_Rate_PS!K:R,7,FALSE)</f>
        <v>4500000</v>
      </c>
      <c r="J57" s="850">
        <v>2700474</v>
      </c>
      <c r="K57" s="850">
        <v>118893.65</v>
      </c>
      <c r="L57" s="850">
        <f>_xlfn.IFNA(VLOOKUP(B57,Input_NOCPRO_GGSN!C:G,4,FALSE),0)</f>
        <v>2504709</v>
      </c>
      <c r="M57" s="851">
        <f t="shared" si="10"/>
        <v>1252354.5</v>
      </c>
      <c r="N57" s="850">
        <f>_xlfn.IFNA(VLOOKUP(B57,Input_NOCPRO_GGSN!C:G,5,FALSE),0)</f>
        <v>116595.53</v>
      </c>
      <c r="O57" s="360">
        <f t="shared" si="23"/>
        <v>0.55660200000000004</v>
      </c>
      <c r="P57" s="420">
        <f t="shared" si="24"/>
        <v>0.77730353333333335</v>
      </c>
      <c r="Q57" s="350" t="str">
        <f>VLOOKUP(B57,IMS!A:C,3,FALSE)</f>
        <v>SBHT16</v>
      </c>
      <c r="R57" s="843">
        <f t="shared" si="11"/>
        <v>2142561</v>
      </c>
      <c r="S57" s="843">
        <f t="shared" si="25"/>
        <v>2142561</v>
      </c>
      <c r="T57" s="850">
        <f t="shared" si="36"/>
        <v>2504709</v>
      </c>
      <c r="U57" s="868">
        <f t="shared" si="37"/>
        <v>116595.53</v>
      </c>
      <c r="V57" s="854">
        <f t="shared" si="30"/>
        <v>1252354.5</v>
      </c>
      <c r="W57" s="420">
        <f t="shared" si="26"/>
        <v>0.55660200000000004</v>
      </c>
      <c r="X57" s="420">
        <f t="shared" si="27"/>
        <v>0.77730353333333335</v>
      </c>
      <c r="Y57" s="1057"/>
      <c r="Z57" s="1060"/>
      <c r="AA57" s="1057"/>
      <c r="AB57" s="1063"/>
      <c r="AC57" s="1060"/>
      <c r="AD57" s="1057"/>
      <c r="AE57" s="1066"/>
      <c r="AF57" s="1066"/>
      <c r="AG57" s="1066"/>
      <c r="AH57" s="839">
        <v>150</v>
      </c>
      <c r="AI57" s="256">
        <f t="shared" si="28"/>
        <v>116.81721475840465</v>
      </c>
      <c r="AJ57" s="855">
        <f t="shared" si="8"/>
        <v>1</v>
      </c>
      <c r="AK57" s="256">
        <v>150</v>
      </c>
      <c r="AL57" s="353" t="str">
        <f t="shared" si="13"/>
        <v>NO</v>
      </c>
      <c r="AM57" s="354" t="str">
        <f>VLOOKUP(B57,Input_Lic_Rate_PS!K:S,9,FALSE)</f>
        <v>TCPL04</v>
      </c>
      <c r="AN57" s="359">
        <f t="shared" si="29"/>
        <v>0</v>
      </c>
    </row>
    <row r="58" spans="1:40" s="71" customFormat="1">
      <c r="A58" s="417">
        <v>52</v>
      </c>
      <c r="B58" s="361" t="s">
        <v>453</v>
      </c>
      <c r="C58" s="361" t="str">
        <f>VLOOKUP(LEFT(B58,6),'GGSN-Lic'!A:AP,39,FALSE)</f>
        <v>NFV VHT</v>
      </c>
      <c r="D58" s="254" t="s">
        <v>30</v>
      </c>
      <c r="E58" s="418">
        <v>4000000</v>
      </c>
      <c r="F58" s="418">
        <f>VLOOKUP(LEFT(B58,6),'GGSN-Lic'!A:AP,38,FALSE)*1000*AJ58</f>
        <v>100000</v>
      </c>
      <c r="G58" s="256">
        <f>VLOOKUP(B58,Input_Lic_Rate_PS!K:P,4,FALSE)</f>
        <v>4500000</v>
      </c>
      <c r="H58" s="256">
        <f>VLOOKUP(B58,Input_Lic_Rate_PS!K:R,5,FALSE)</f>
        <v>150000</v>
      </c>
      <c r="I58" s="256">
        <f>VLOOKUP(B58,Input_Lic_Rate_PS!K:R,7,FALSE)</f>
        <v>4500000</v>
      </c>
      <c r="J58" s="850">
        <v>2706493</v>
      </c>
      <c r="K58" s="850">
        <v>119415.63</v>
      </c>
      <c r="L58" s="850">
        <f>_xlfn.IFNA(VLOOKUP(B58,Input_NOCPRO_GGSN!C:G,4,FALSE),0)</f>
        <v>2523194</v>
      </c>
      <c r="M58" s="851">
        <f t="shared" si="10"/>
        <v>1261597</v>
      </c>
      <c r="N58" s="850">
        <f>_xlfn.IFNA(VLOOKUP(B58,Input_NOCPRO_GGSN!C:G,5,FALSE),0)</f>
        <v>117053.61</v>
      </c>
      <c r="O58" s="360">
        <f t="shared" si="23"/>
        <v>0.56070977777777775</v>
      </c>
      <c r="P58" s="420">
        <f t="shared" si="24"/>
        <v>0.78035739999999998</v>
      </c>
      <c r="Q58" s="350" t="str">
        <f>VLOOKUP(B58,IMS!A:C,3,FALSE)</f>
        <v>SBHT21</v>
      </c>
      <c r="R58" s="843">
        <f t="shared" si="11"/>
        <v>1261597</v>
      </c>
      <c r="S58" s="843">
        <f t="shared" si="25"/>
        <v>1261597</v>
      </c>
      <c r="T58" s="850">
        <f t="shared" si="36"/>
        <v>2523194</v>
      </c>
      <c r="U58" s="868">
        <f t="shared" si="37"/>
        <v>117053.61</v>
      </c>
      <c r="V58" s="854">
        <f t="shared" si="30"/>
        <v>1261597</v>
      </c>
      <c r="W58" s="420">
        <f t="shared" si="26"/>
        <v>0.56070977777777775</v>
      </c>
      <c r="X58" s="420">
        <f t="shared" si="27"/>
        <v>0.78035739999999998</v>
      </c>
      <c r="Y58" s="1057"/>
      <c r="Z58" s="1060"/>
      <c r="AA58" s="1057"/>
      <c r="AB58" s="1063"/>
      <c r="AC58" s="1060"/>
      <c r="AD58" s="1057"/>
      <c r="AE58" s="1066"/>
      <c r="AF58" s="1066"/>
      <c r="AG58" s="1066"/>
      <c r="AH58" s="839">
        <v>150</v>
      </c>
      <c r="AI58" s="256">
        <f t="shared" si="28"/>
        <v>117.2761657124981</v>
      </c>
      <c r="AJ58" s="855">
        <f t="shared" si="8"/>
        <v>1</v>
      </c>
      <c r="AK58" s="256">
        <v>150</v>
      </c>
      <c r="AL58" s="353" t="str">
        <f t="shared" si="13"/>
        <v>NO</v>
      </c>
      <c r="AM58" s="354" t="str">
        <f>VLOOKUP(B58,Input_Lic_Rate_PS!K:S,9,FALSE)</f>
        <v>TCPL04</v>
      </c>
      <c r="AN58" s="359">
        <f t="shared" si="29"/>
        <v>0</v>
      </c>
    </row>
    <row r="59" spans="1:40" s="71" customFormat="1">
      <c r="A59" s="417">
        <v>53</v>
      </c>
      <c r="B59" s="361" t="s">
        <v>491</v>
      </c>
      <c r="C59" s="361" t="str">
        <f>VLOOKUP(LEFT(B59,6),'GGSN-Lic'!A:AP,39,FALSE)</f>
        <v>NFV VHT</v>
      </c>
      <c r="D59" s="254" t="s">
        <v>30</v>
      </c>
      <c r="E59" s="418">
        <f>VLOOKUP(LEFT(B59,6),'GGSN-Lic'!A:AP,37,FALSE)*1000*AJ59</f>
        <v>4000000</v>
      </c>
      <c r="F59" s="418">
        <f>VLOOKUP(LEFT(B59,6),'GGSN-Lic'!A:AP,38,FALSE)*1000*AJ59</f>
        <v>150000</v>
      </c>
      <c r="G59" s="256">
        <f>VLOOKUP(B59,Input_Lic_Rate_PS!K:P,4,FALSE)</f>
        <v>4500000</v>
      </c>
      <c r="H59" s="256">
        <f>VLOOKUP(B59,Input_Lic_Rate_PS!K:R,5,FALSE)</f>
        <v>150000</v>
      </c>
      <c r="I59" s="256">
        <f>VLOOKUP(B59,Input_Lic_Rate_PS!K:R,7,FALSE)</f>
        <v>4500000</v>
      </c>
      <c r="J59" s="850">
        <v>2727873</v>
      </c>
      <c r="K59" s="850">
        <v>119167.54</v>
      </c>
      <c r="L59" s="850">
        <f>_xlfn.IFNA(VLOOKUP(B59,Input_NOCPRO_GGSN!C:G,4,FALSE),0)</f>
        <v>2501604</v>
      </c>
      <c r="M59" s="851">
        <f t="shared" si="10"/>
        <v>1250802</v>
      </c>
      <c r="N59" s="850">
        <f>_xlfn.IFNA(VLOOKUP(B59,Input_NOCPRO_GGSN!C:G,5,FALSE),0)</f>
        <v>116278.18</v>
      </c>
      <c r="O59" s="360">
        <f t="shared" si="23"/>
        <v>0.55591199999999996</v>
      </c>
      <c r="P59" s="420">
        <f t="shared" si="24"/>
        <v>0.77518786666666661</v>
      </c>
      <c r="Q59" s="350" t="str">
        <f>VLOOKUP(B59,IMS!A:C,3,FALSE)</f>
        <v>SBHT15</v>
      </c>
      <c r="R59" s="843">
        <f t="shared" si="11"/>
        <v>2141330</v>
      </c>
      <c r="S59" s="843">
        <f t="shared" si="25"/>
        <v>2141330</v>
      </c>
      <c r="T59" s="850">
        <f t="shared" si="36"/>
        <v>2501604</v>
      </c>
      <c r="U59" s="868">
        <f t="shared" si="37"/>
        <v>116278.18</v>
      </c>
      <c r="V59" s="854">
        <f t="shared" si="30"/>
        <v>1250802</v>
      </c>
      <c r="W59" s="420">
        <f t="shared" si="26"/>
        <v>0.55591199999999996</v>
      </c>
      <c r="X59" s="420">
        <f t="shared" si="27"/>
        <v>0.77518786666666661</v>
      </c>
      <c r="Y59" s="1058"/>
      <c r="Z59" s="1061"/>
      <c r="AA59" s="1058"/>
      <c r="AB59" s="1064"/>
      <c r="AC59" s="1061"/>
      <c r="AD59" s="1058"/>
      <c r="AE59" s="1067"/>
      <c r="AF59" s="1067"/>
      <c r="AG59" s="1067"/>
      <c r="AH59" s="839">
        <v>150</v>
      </c>
      <c r="AI59" s="256">
        <f t="shared" si="28"/>
        <v>116.49926137628459</v>
      </c>
      <c r="AJ59" s="855">
        <f t="shared" si="8"/>
        <v>1</v>
      </c>
      <c r="AK59" s="256">
        <v>150</v>
      </c>
      <c r="AL59" s="353" t="str">
        <f t="shared" si="13"/>
        <v>NO</v>
      </c>
      <c r="AM59" s="354" t="str">
        <f>VLOOKUP(B59,Input_Lic_Rate_PS!K:S,9,FALSE)</f>
        <v>TCPL04</v>
      </c>
      <c r="AN59" s="359">
        <f t="shared" si="29"/>
        <v>0</v>
      </c>
    </row>
    <row r="60" spans="1:40" s="71" customFormat="1">
      <c r="A60" s="417">
        <v>54</v>
      </c>
      <c r="B60" s="254" t="s">
        <v>445</v>
      </c>
      <c r="C60" s="254" t="str">
        <f>VLOOKUP(LEFT(B60,6),'GGSN-Lic'!A:AP,39,FALSE)</f>
        <v>NFV Ericsson</v>
      </c>
      <c r="D60" s="254" t="s">
        <v>30</v>
      </c>
      <c r="E60" s="418">
        <f>VLOOKUP(LEFT(B60,6),'GGSN-Lic'!A:AP,37,FALSE)*1000*AJ60</f>
        <v>4500000</v>
      </c>
      <c r="F60" s="418">
        <f>VLOOKUP(LEFT(B60,6),'GGSN-Lic'!A:AP,38,FALSE)*1000*AJ60</f>
        <v>150000</v>
      </c>
      <c r="G60" s="256">
        <f>VLOOKUP(B60,Input_Lic_Rate_PS!K:P,4,FALSE)</f>
        <v>4500000</v>
      </c>
      <c r="H60" s="256">
        <f>VLOOKUP(B60,Input_Lic_Rate_PS!K:R,5,FALSE)</f>
        <v>150000</v>
      </c>
      <c r="I60" s="256">
        <f>VLOOKUP(B60,Input_Lic_Rate_PS!K:R,7,FALSE)</f>
        <v>3537000</v>
      </c>
      <c r="J60" s="850">
        <v>2902949</v>
      </c>
      <c r="K60" s="850">
        <v>126815.76124528523</v>
      </c>
      <c r="L60" s="850">
        <f>_xlfn.IFNA(VLOOKUP(B60,Input_NOCPRO_GGSN!C:G,4,FALSE),0)</f>
        <v>2923963</v>
      </c>
      <c r="M60" s="851">
        <f t="shared" si="10"/>
        <v>1461981.5</v>
      </c>
      <c r="N60" s="850">
        <f>L60*$N$59/$L$59</f>
        <v>135910.03853021501</v>
      </c>
      <c r="O60" s="360">
        <f t="shared" si="23"/>
        <v>0.6497695555555556</v>
      </c>
      <c r="P60" s="420">
        <f t="shared" si="24"/>
        <v>0.9060669235347667</v>
      </c>
      <c r="Q60" s="350" t="str">
        <f>VLOOKUP(B60,IMS!A:C,3,FALSE)</f>
        <v>SBPL07</v>
      </c>
      <c r="R60" s="843">
        <f t="shared" si="11"/>
        <v>2350783</v>
      </c>
      <c r="S60" s="843">
        <f t="shared" si="25"/>
        <v>2350783</v>
      </c>
      <c r="T60" s="850">
        <f t="shared" si="36"/>
        <v>2923963</v>
      </c>
      <c r="U60" s="868">
        <f t="shared" si="37"/>
        <v>135910.03853021501</v>
      </c>
      <c r="V60" s="854">
        <f t="shared" si="30"/>
        <v>1461981.5</v>
      </c>
      <c r="W60" s="420">
        <f t="shared" si="26"/>
        <v>0.6497695555555556</v>
      </c>
      <c r="X60" s="420">
        <f t="shared" si="27"/>
        <v>0.9060669235347667</v>
      </c>
      <c r="Y60" s="1028">
        <f>SUM(U60:U62)</f>
        <v>410291.38290255365</v>
      </c>
      <c r="Z60" s="1031">
        <f>Y60*$Z$1</f>
        <v>222635.36166894622</v>
      </c>
      <c r="AA60" s="1028">
        <f>SUM(F60:F62)+F67</f>
        <v>450000</v>
      </c>
      <c r="AB60" s="1025" t="s">
        <v>366</v>
      </c>
      <c r="AC60" s="1034">
        <f>Y60*$AC$1</f>
        <v>336438.93398009398</v>
      </c>
      <c r="AD60" s="1028">
        <v>364000</v>
      </c>
      <c r="AE60" s="1037">
        <f>Z60/Y60</f>
        <v>0.54262743734450614</v>
      </c>
      <c r="AF60" s="1040">
        <f>AC60/AD60</f>
        <v>0.92428278565959887</v>
      </c>
      <c r="AG60" s="1037">
        <f>(AC60-Z60)/AD60</f>
        <v>0.31264717667897735</v>
      </c>
      <c r="AH60" s="839">
        <v>150</v>
      </c>
      <c r="AI60" s="256">
        <f t="shared" si="28"/>
        <v>136.16844624152554</v>
      </c>
      <c r="AJ60" s="855">
        <f t="shared" ref="AJ60" si="38">IF(AK60=0,0,1)</f>
        <v>1</v>
      </c>
      <c r="AK60" s="256">
        <v>150</v>
      </c>
      <c r="AL60" s="353" t="str">
        <f t="shared" si="13"/>
        <v>NO</v>
      </c>
      <c r="AM60" s="354" t="str">
        <f>VLOOKUP(B60,Input_Lic_Rate_PS!K:S,9,FALSE)</f>
        <v>TCHT04</v>
      </c>
      <c r="AN60" s="359">
        <f t="shared" si="29"/>
        <v>0</v>
      </c>
    </row>
    <row r="61" spans="1:40" s="71" customFormat="1">
      <c r="A61" s="417">
        <v>55</v>
      </c>
      <c r="B61" s="254" t="s">
        <v>446</v>
      </c>
      <c r="C61" s="254" t="str">
        <f>VLOOKUP(LEFT(B61,6),'GGSN-Lic'!A:AP,39,FALSE)</f>
        <v>NFV Ericsson</v>
      </c>
      <c r="D61" s="254" t="s">
        <v>30</v>
      </c>
      <c r="E61" s="418">
        <f>VLOOKUP(LEFT(B61,6),'GGSN-Lic'!A:AP,37,FALSE)*1000*AJ61</f>
        <v>4500000</v>
      </c>
      <c r="F61" s="418">
        <f>VLOOKUP(LEFT(B61,6),'GGSN-Lic'!A:AP,38,FALSE)*1000*AJ61</f>
        <v>150000</v>
      </c>
      <c r="G61" s="256">
        <f>VLOOKUP(B61,Input_Lic_Rate_PS!K:P,4,FALSE)</f>
        <v>4500000</v>
      </c>
      <c r="H61" s="256">
        <f>VLOOKUP(B61,Input_Lic_Rate_PS!K:R,5,FALSE)</f>
        <v>150000</v>
      </c>
      <c r="I61" s="256">
        <f>VLOOKUP(B61,Input_Lic_Rate_PS!K:R,7,FALSE)</f>
        <v>3537000</v>
      </c>
      <c r="J61" s="850">
        <v>2907767</v>
      </c>
      <c r="K61" s="850">
        <v>127026.2362958906</v>
      </c>
      <c r="L61" s="850">
        <f>_xlfn.IFNA(VLOOKUP(B61,Input_NOCPRO_GGSN!C:G,4,FALSE),0)</f>
        <v>2888326</v>
      </c>
      <c r="M61" s="851">
        <f t="shared" si="10"/>
        <v>1444163</v>
      </c>
      <c r="N61" s="850">
        <f>L61*$N$59/$L$59</f>
        <v>134253.57911431225</v>
      </c>
      <c r="O61" s="360">
        <f t="shared" si="23"/>
        <v>0.64185022222222221</v>
      </c>
      <c r="P61" s="420">
        <f t="shared" si="24"/>
        <v>0.89502386076208162</v>
      </c>
      <c r="Q61" s="350" t="str">
        <f>VLOOKUP(B61,IMS!A:C,3,FALSE)</f>
        <v>SBHT14</v>
      </c>
      <c r="R61" s="843">
        <f t="shared" si="11"/>
        <v>2606167</v>
      </c>
      <c r="S61" s="843">
        <f t="shared" si="25"/>
        <v>2606167</v>
      </c>
      <c r="T61" s="850">
        <f t="shared" si="36"/>
        <v>2888326</v>
      </c>
      <c r="U61" s="868">
        <f t="shared" si="37"/>
        <v>134253.57911431225</v>
      </c>
      <c r="V61" s="854">
        <f t="shared" si="30"/>
        <v>1444163</v>
      </c>
      <c r="W61" s="420">
        <f t="shared" si="26"/>
        <v>0.64185022222222221</v>
      </c>
      <c r="X61" s="420">
        <f t="shared" si="27"/>
        <v>0.89502386076208162</v>
      </c>
      <c r="Y61" s="1029"/>
      <c r="Z61" s="1032">
        <f>0.2*SUM(N61:N61)</f>
        <v>26850.71582286245</v>
      </c>
      <c r="AA61" s="1029"/>
      <c r="AB61" s="1026"/>
      <c r="AC61" s="1035"/>
      <c r="AD61" s="1029"/>
      <c r="AE61" s="1038"/>
      <c r="AF61" s="1041"/>
      <c r="AG61" s="1038"/>
      <c r="AH61" s="839">
        <v>150</v>
      </c>
      <c r="AI61" s="256">
        <f t="shared" si="28"/>
        <v>134.50883737550731</v>
      </c>
      <c r="AJ61" s="855">
        <f t="shared" si="8"/>
        <v>1</v>
      </c>
      <c r="AK61" s="256">
        <v>150</v>
      </c>
      <c r="AL61" s="353" t="str">
        <f t="shared" si="13"/>
        <v>NO</v>
      </c>
      <c r="AM61" s="354" t="str">
        <f>VLOOKUP(B61,Input_Lic_Rate_PS!K:S,9,FALSE)</f>
        <v>TCHT04</v>
      </c>
      <c r="AN61" s="359">
        <f t="shared" si="29"/>
        <v>0</v>
      </c>
    </row>
    <row r="62" spans="1:40" s="71" customFormat="1">
      <c r="A62" s="417">
        <v>56</v>
      </c>
      <c r="B62" s="254" t="s">
        <v>1110</v>
      </c>
      <c r="C62" s="254" t="str">
        <f>VLOOKUP(LEFT(B62,6),'GGSN-Lic'!A:AP,39,FALSE)</f>
        <v>NFV Ericsson</v>
      </c>
      <c r="D62" s="254" t="s">
        <v>30</v>
      </c>
      <c r="E62" s="418">
        <f>VLOOKUP(LEFT(B62,6),'GGSN-Lic'!A:AP,37,FALSE)*1000*AJ62</f>
        <v>4500000</v>
      </c>
      <c r="F62" s="418">
        <f>VLOOKUP(LEFT(B62,6),'GGSN-Lic'!A:AP,38,FALSE)*1000*AJ62</f>
        <v>150000</v>
      </c>
      <c r="G62" s="256">
        <f>VLOOKUP(B62,Input_Lic_Rate_PS!K:P,4,FALSE)</f>
        <v>4500000</v>
      </c>
      <c r="H62" s="256">
        <f>VLOOKUP(B62,Input_Lic_Rate_PS!K:R,5,FALSE)</f>
        <v>150000</v>
      </c>
      <c r="I62" s="256">
        <f>VLOOKUP(B62,Input_Lic_Rate_PS!K:R,7,FALSE)</f>
        <v>3537000</v>
      </c>
      <c r="J62" s="850">
        <v>2912212</v>
      </c>
      <c r="K62" s="850">
        <v>127220.41678570812</v>
      </c>
      <c r="L62" s="850">
        <f>_xlfn.IFNA(VLOOKUP(B62,Input_NOCPRO_GGSN!C:G,4,FALSE),0)</f>
        <v>3014703</v>
      </c>
      <c r="M62" s="851">
        <f t="shared" si="10"/>
        <v>1507351.5</v>
      </c>
      <c r="N62" s="850">
        <f>L62*$N$59/$L$59</f>
        <v>140127.76525802645</v>
      </c>
      <c r="O62" s="360">
        <f t="shared" si="23"/>
        <v>0.66993400000000003</v>
      </c>
      <c r="P62" s="420">
        <f t="shared" si="24"/>
        <v>0.93418510172017633</v>
      </c>
      <c r="Q62" s="350" t="str">
        <f>VLOOKUP(B62,IMS!A:C,3,FALSE)</f>
        <v>SBHT20</v>
      </c>
      <c r="R62" s="843">
        <f t="shared" si="11"/>
        <v>2727446.5</v>
      </c>
      <c r="S62" s="843">
        <f t="shared" si="25"/>
        <v>2727446.5</v>
      </c>
      <c r="T62" s="850">
        <f t="shared" si="36"/>
        <v>3014703</v>
      </c>
      <c r="U62" s="868">
        <f t="shared" si="37"/>
        <v>140127.76525802645</v>
      </c>
      <c r="V62" s="854">
        <f t="shared" si="30"/>
        <v>1507351.5</v>
      </c>
      <c r="W62" s="420">
        <f t="shared" si="26"/>
        <v>0.66993400000000003</v>
      </c>
      <c r="X62" s="420">
        <f t="shared" si="27"/>
        <v>0.93418510172017633</v>
      </c>
      <c r="Y62" s="1030"/>
      <c r="Z62" s="1033">
        <f>0.2*SUM(N62:N62)</f>
        <v>28025.553051605293</v>
      </c>
      <c r="AA62" s="1030"/>
      <c r="AB62" s="1027"/>
      <c r="AC62" s="1036"/>
      <c r="AD62" s="1030"/>
      <c r="AE62" s="1039"/>
      <c r="AF62" s="1042"/>
      <c r="AG62" s="1039"/>
      <c r="AH62" s="839">
        <v>150</v>
      </c>
      <c r="AI62" s="256">
        <f t="shared" si="28"/>
        <v>140.39419219383615</v>
      </c>
      <c r="AJ62" s="855">
        <f t="shared" si="8"/>
        <v>1</v>
      </c>
      <c r="AK62" s="256">
        <v>150</v>
      </c>
      <c r="AL62" s="353" t="str">
        <f t="shared" si="13"/>
        <v>NO</v>
      </c>
      <c r="AM62" s="354" t="str">
        <f>VLOOKUP(B62,Input_Lic_Rate_PS!K:S,9,FALSE)</f>
        <v>TCHT04</v>
      </c>
      <c r="AN62" s="359">
        <f t="shared" si="29"/>
        <v>0</v>
      </c>
    </row>
    <row r="63" spans="1:40" s="71" customFormat="1">
      <c r="A63" s="417">
        <v>57</v>
      </c>
      <c r="B63" s="254" t="s">
        <v>328</v>
      </c>
      <c r="C63" s="254" t="str">
        <f>VLOOKUP(LEFT(B63,6),'GGSN-Lic'!A:AP,39,FALSE)</f>
        <v>NFV Ericsson</v>
      </c>
      <c r="D63" s="254" t="s">
        <v>30</v>
      </c>
      <c r="E63" s="418">
        <f>VLOOKUP(LEFT(B63,6),'GGSN-Lic'!A:AP,37,FALSE)*1000*AJ63</f>
        <v>4000000</v>
      </c>
      <c r="F63" s="418">
        <f>VLOOKUP(LEFT(B63,6),'GGSN-Lic'!A:AP,38,FALSE)*1000*AJ63</f>
        <v>150000</v>
      </c>
      <c r="G63" s="256">
        <v>4000000</v>
      </c>
      <c r="H63" s="256">
        <f>VLOOKUP(B63,Input_Lic_Rate_PS!K:R,5,FALSE)</f>
        <v>150000</v>
      </c>
      <c r="I63" s="256">
        <f>VLOOKUP(B63,Input_Lic_Rate_PS!K:R,7,FALSE)</f>
        <v>3537000</v>
      </c>
      <c r="J63" s="850">
        <v>3522880</v>
      </c>
      <c r="K63" s="850">
        <v>128541.1</v>
      </c>
      <c r="L63" s="850">
        <f>_xlfn.IFNA(VLOOKUP(B63,Input_NOCPRO_GGSN!C:G,4,FALSE),0)</f>
        <v>3415377</v>
      </c>
      <c r="M63" s="851">
        <f t="shared" si="10"/>
        <v>1707688.5</v>
      </c>
      <c r="N63" s="850">
        <f>_xlfn.IFNA(VLOOKUP(B63,Input_NOCPRO_GGSN!C:G,5,FALSE),0)</f>
        <v>133373.26999999999</v>
      </c>
      <c r="O63" s="360">
        <f t="shared" si="23"/>
        <v>0.85384424999999997</v>
      </c>
      <c r="P63" s="420">
        <f t="shared" si="24"/>
        <v>0.88915513333333329</v>
      </c>
      <c r="Q63" s="350" t="str">
        <f>VLOOKUP(B63,IMS!A:C,3,FALSE)</f>
        <v>SBHT11</v>
      </c>
      <c r="R63" s="843">
        <f t="shared" si="11"/>
        <v>2210109</v>
      </c>
      <c r="S63" s="843">
        <f t="shared" si="25"/>
        <v>2210109</v>
      </c>
      <c r="T63" s="850">
        <f t="shared" si="36"/>
        <v>3415377</v>
      </c>
      <c r="U63" s="868">
        <f t="shared" si="37"/>
        <v>133373.26999999999</v>
      </c>
      <c r="V63" s="854">
        <f t="shared" si="30"/>
        <v>1707688.5</v>
      </c>
      <c r="W63" s="420">
        <f t="shared" si="26"/>
        <v>0.85384424999999997</v>
      </c>
      <c r="X63" s="420">
        <f t="shared" si="27"/>
        <v>0.88915513333333329</v>
      </c>
      <c r="Y63" s="1080">
        <f>SUM(U63:U66)</f>
        <v>133373.26999999999</v>
      </c>
      <c r="Z63" s="1080">
        <f>VLOOKUP($B63,Input_TaiNguyenNode__GGSN_Daily!$D:$AC,8,FALSE)+SUM(U64:U66)*0.35</f>
        <v>61342.39</v>
      </c>
      <c r="AA63" s="1080">
        <f>SUM(F63:F66)</f>
        <v>150000</v>
      </c>
      <c r="AB63" s="1083" t="s">
        <v>317</v>
      </c>
      <c r="AC63" s="1086">
        <f>Y63*$AC$1</f>
        <v>109366.08139999998</v>
      </c>
      <c r="AD63" s="1089">
        <v>312000</v>
      </c>
      <c r="AE63" s="1090">
        <f>Z63/Y63</f>
        <v>0.4599301644175029</v>
      </c>
      <c r="AF63" s="1072">
        <f t="shared" ref="AF63" si="39">AC63/AD63</f>
        <v>0.3505323121794871</v>
      </c>
      <c r="AG63" s="1072">
        <f t="shared" ref="AG63" si="40">(AC63-Z63)/AD63</f>
        <v>0.15392208782051275</v>
      </c>
      <c r="AH63" s="839">
        <v>150</v>
      </c>
      <c r="AI63" s="256">
        <f t="shared" si="28"/>
        <v>133.62685451681284</v>
      </c>
      <c r="AJ63" s="855">
        <f t="shared" si="8"/>
        <v>1</v>
      </c>
      <c r="AK63" s="341">
        <v>150</v>
      </c>
      <c r="AL63" s="353" t="str">
        <f t="shared" si="13"/>
        <v>NO</v>
      </c>
      <c r="AM63" s="354" t="str">
        <f>VLOOKUP(B63,Input_Lic_Rate_PS!K:S,9,FALSE)</f>
        <v>TCHT01</v>
      </c>
      <c r="AN63" s="359">
        <f t="shared" si="29"/>
        <v>0</v>
      </c>
    </row>
    <row r="64" spans="1:40" s="157" customFormat="1">
      <c r="A64" s="417">
        <v>58</v>
      </c>
      <c r="B64" s="373" t="s">
        <v>250</v>
      </c>
      <c r="C64" s="373" t="str">
        <f>VLOOKUP(LEFT(B64,6),'GGSN-Lic'!A:AP,39,FALSE)</f>
        <v>NFV Cisco</v>
      </c>
      <c r="D64" s="254" t="s">
        <v>30</v>
      </c>
      <c r="E64" s="418">
        <f>VLOOKUP(LEFT(B64,6),'GGSN-Lic'!A:AP,37,FALSE)*1000*AJ64</f>
        <v>0</v>
      </c>
      <c r="F64" s="418">
        <f>VLOOKUP(LEFT(B64,6),'GGSN-Lic'!A:AP,38,FALSE)*1000*AJ64</f>
        <v>0</v>
      </c>
      <c r="G64" s="256">
        <f>VLOOKUP(B64,Input_Lic_Rate_PS!K:P,4,FALSE)</f>
        <v>1700000</v>
      </c>
      <c r="H64" s="374">
        <v>100000</v>
      </c>
      <c r="I64" s="374">
        <v>3200000</v>
      </c>
      <c r="J64" s="850">
        <v>0</v>
      </c>
      <c r="K64" s="850">
        <v>0</v>
      </c>
      <c r="L64" s="850">
        <f>_xlfn.IFNA(VLOOKUP(B64,Input_NOCPRO_GGSN!C:G,4,FALSE),0)</f>
        <v>0</v>
      </c>
      <c r="M64" s="851">
        <f t="shared" si="10"/>
        <v>0</v>
      </c>
      <c r="N64" s="850">
        <f>_xlfn.IFNA(VLOOKUP(B64,Input_NOCPRO_GGSN!C:G,5,FALSE),0)</f>
        <v>0</v>
      </c>
      <c r="O64" s="360">
        <f t="shared" si="23"/>
        <v>0</v>
      </c>
      <c r="P64" s="420">
        <f t="shared" si="24"/>
        <v>0</v>
      </c>
      <c r="Q64" s="350"/>
      <c r="R64" s="843">
        <f t="shared" si="11"/>
        <v>0</v>
      </c>
      <c r="S64" s="843">
        <f t="shared" si="25"/>
        <v>0</v>
      </c>
      <c r="T64" s="869">
        <f>L64</f>
        <v>0</v>
      </c>
      <c r="U64" s="870">
        <f>N64</f>
        <v>0</v>
      </c>
      <c r="V64" s="854">
        <f t="shared" si="30"/>
        <v>0</v>
      </c>
      <c r="W64" s="420">
        <f t="shared" si="26"/>
        <v>0</v>
      </c>
      <c r="X64" s="420">
        <f t="shared" si="27"/>
        <v>0</v>
      </c>
      <c r="Y64" s="1081"/>
      <c r="Z64" s="1081"/>
      <c r="AA64" s="1081"/>
      <c r="AB64" s="1084"/>
      <c r="AC64" s="1087"/>
      <c r="AD64" s="1087"/>
      <c r="AE64" s="1091"/>
      <c r="AF64" s="1073"/>
      <c r="AG64" s="1073"/>
      <c r="AH64" s="256">
        <v>0</v>
      </c>
      <c r="AI64" s="256">
        <f t="shared" si="28"/>
        <v>0</v>
      </c>
      <c r="AJ64" s="855">
        <f t="shared" si="8"/>
        <v>0</v>
      </c>
      <c r="AK64" s="256">
        <v>0</v>
      </c>
      <c r="AL64" s="353" t="str">
        <f t="shared" si="13"/>
        <v>NO</v>
      </c>
      <c r="AM64" s="354" t="str">
        <f>VLOOKUP(B64,Input_Lic_Rate_PS!K:S,9,FALSE)</f>
        <v>TCHT02</v>
      </c>
      <c r="AN64" s="378"/>
    </row>
    <row r="65" spans="1:40" s="157" customFormat="1" ht="15" customHeight="1">
      <c r="A65" s="417">
        <v>59</v>
      </c>
      <c r="B65" s="373" t="s">
        <v>252</v>
      </c>
      <c r="C65" s="373" t="str">
        <f>VLOOKUP(LEFT(B65,6),'GGSN-Lic'!A:AP,39,FALSE)</f>
        <v>NFV Cisco</v>
      </c>
      <c r="D65" s="254" t="s">
        <v>30</v>
      </c>
      <c r="E65" s="418">
        <f>VLOOKUP(LEFT(B65,6),'GGSN-Lic'!A:AP,37,FALSE)*1000*AJ65</f>
        <v>0</v>
      </c>
      <c r="F65" s="418">
        <f>VLOOKUP(LEFT(B65,6),'GGSN-Lic'!A:AP,38,FALSE)*1000*AJ65</f>
        <v>0</v>
      </c>
      <c r="G65" s="256">
        <f>VLOOKUP(B65,Input_Lic_Rate_PS!K:P,4,FALSE)</f>
        <v>1700000</v>
      </c>
      <c r="H65" s="374">
        <v>100000</v>
      </c>
      <c r="I65" s="374">
        <f>VLOOKUP(B65,Input_Lic_Rate_PS!K:R,7,FALSE)</f>
        <v>3200000</v>
      </c>
      <c r="J65" s="850">
        <v>0</v>
      </c>
      <c r="K65" s="850">
        <v>0</v>
      </c>
      <c r="L65" s="850">
        <f>_xlfn.IFNA(VLOOKUP(B65,Input_NOCPRO_GGSN!C:G,4,FALSE),0)</f>
        <v>0</v>
      </c>
      <c r="M65" s="851">
        <f t="shared" si="10"/>
        <v>0</v>
      </c>
      <c r="N65" s="850">
        <f>_xlfn.IFNA(VLOOKUP(B65,Input_NOCPRO_GGSN!C:G,5,FALSE),0)</f>
        <v>0</v>
      </c>
      <c r="O65" s="360">
        <f t="shared" si="23"/>
        <v>0</v>
      </c>
      <c r="P65" s="420">
        <f t="shared" si="24"/>
        <v>0</v>
      </c>
      <c r="Q65" s="350"/>
      <c r="R65" s="843">
        <f t="shared" si="11"/>
        <v>0</v>
      </c>
      <c r="S65" s="843">
        <f t="shared" si="25"/>
        <v>0</v>
      </c>
      <c r="T65" s="869">
        <f>L65</f>
        <v>0</v>
      </c>
      <c r="U65" s="870">
        <f>N65</f>
        <v>0</v>
      </c>
      <c r="V65" s="854">
        <f t="shared" si="30"/>
        <v>0</v>
      </c>
      <c r="W65" s="420">
        <f t="shared" si="26"/>
        <v>0</v>
      </c>
      <c r="X65" s="420">
        <f t="shared" si="27"/>
        <v>0</v>
      </c>
      <c r="Y65" s="1081"/>
      <c r="Z65" s="1081"/>
      <c r="AA65" s="1081"/>
      <c r="AB65" s="1084"/>
      <c r="AC65" s="1087"/>
      <c r="AD65" s="1087"/>
      <c r="AE65" s="1091"/>
      <c r="AF65" s="1073"/>
      <c r="AG65" s="1073"/>
      <c r="AH65" s="256">
        <v>0</v>
      </c>
      <c r="AI65" s="256">
        <f t="shared" si="28"/>
        <v>0</v>
      </c>
      <c r="AJ65" s="855">
        <f t="shared" si="8"/>
        <v>0</v>
      </c>
      <c r="AK65" s="256">
        <v>0</v>
      </c>
      <c r="AL65" s="353" t="str">
        <f t="shared" si="13"/>
        <v>NO</v>
      </c>
      <c r="AM65" s="354" t="str">
        <f>VLOOKUP(B65,Input_Lic_Rate_PS!K:S,9,FALSE)</f>
        <v>TCHT03</v>
      </c>
      <c r="AN65" s="378"/>
    </row>
    <row r="66" spans="1:40" s="157" customFormat="1">
      <c r="A66" s="417">
        <v>60</v>
      </c>
      <c r="B66" s="373" t="s">
        <v>253</v>
      </c>
      <c r="C66" s="373" t="str">
        <f>VLOOKUP(LEFT(B66,6),'GGSN-Lic'!A:AP,39,FALSE)</f>
        <v>NFV Cisco</v>
      </c>
      <c r="D66" s="254" t="s">
        <v>30</v>
      </c>
      <c r="E66" s="418">
        <f>VLOOKUP(LEFT(B66,6),'GGSN-Lic'!A:AP,37,FALSE)*1000*AJ66</f>
        <v>0</v>
      </c>
      <c r="F66" s="418">
        <f>VLOOKUP(LEFT(B66,6),'GGSN-Lic'!A:AP,38,FALSE)*1000*AJ66</f>
        <v>0</v>
      </c>
      <c r="G66" s="256">
        <f>VLOOKUP(B66,Input_Lic_Rate_PS!K:P,4,FALSE)</f>
        <v>1700000</v>
      </c>
      <c r="H66" s="374">
        <v>100000</v>
      </c>
      <c r="I66" s="374">
        <f>VLOOKUP(B66,Input_Lic_Rate_PS!K:R,7,FALSE)</f>
        <v>3200000</v>
      </c>
      <c r="J66" s="850">
        <v>0</v>
      </c>
      <c r="K66" s="850">
        <v>0</v>
      </c>
      <c r="L66" s="850">
        <f>_xlfn.IFNA(VLOOKUP(B66,Input_NOCPRO_GGSN!C:G,4,FALSE),0)</f>
        <v>0</v>
      </c>
      <c r="M66" s="851">
        <f t="shared" si="10"/>
        <v>0</v>
      </c>
      <c r="N66" s="850">
        <f>_xlfn.IFNA(VLOOKUP(B66,Input_NOCPRO_GGSN!C:G,5,FALSE),0)</f>
        <v>0</v>
      </c>
      <c r="O66" s="360">
        <f t="shared" si="23"/>
        <v>0</v>
      </c>
      <c r="P66" s="420">
        <f t="shared" si="24"/>
        <v>0</v>
      </c>
      <c r="Q66" s="350"/>
      <c r="R66" s="843">
        <f t="shared" si="11"/>
        <v>0</v>
      </c>
      <c r="S66" s="843">
        <f t="shared" si="25"/>
        <v>0</v>
      </c>
      <c r="T66" s="869">
        <f>L66</f>
        <v>0</v>
      </c>
      <c r="U66" s="870">
        <f>N66</f>
        <v>0</v>
      </c>
      <c r="V66" s="854">
        <f t="shared" si="30"/>
        <v>0</v>
      </c>
      <c r="W66" s="420">
        <f t="shared" si="26"/>
        <v>0</v>
      </c>
      <c r="X66" s="420">
        <f t="shared" si="27"/>
        <v>0</v>
      </c>
      <c r="Y66" s="1082"/>
      <c r="Z66" s="1082"/>
      <c r="AA66" s="1082"/>
      <c r="AB66" s="1085"/>
      <c r="AC66" s="1088"/>
      <c r="AD66" s="1088"/>
      <c r="AE66" s="1092"/>
      <c r="AF66" s="1074"/>
      <c r="AG66" s="1074"/>
      <c r="AH66" s="256">
        <v>0</v>
      </c>
      <c r="AI66" s="256">
        <f t="shared" si="28"/>
        <v>0</v>
      </c>
      <c r="AJ66" s="855">
        <f t="shared" si="8"/>
        <v>0</v>
      </c>
      <c r="AK66" s="256">
        <v>0</v>
      </c>
      <c r="AL66" s="353" t="str">
        <f t="shared" si="13"/>
        <v>NO</v>
      </c>
      <c r="AM66" s="354" t="str">
        <f>VLOOKUP(B66,Input_Lic_Rate_PS!K:S,9,FALSE)</f>
        <v>TCHT03</v>
      </c>
      <c r="AN66" s="378"/>
    </row>
    <row r="67" spans="1:40" s="157" customFormat="1" ht="30">
      <c r="A67" s="417">
        <v>61</v>
      </c>
      <c r="B67" s="373" t="s">
        <v>338</v>
      </c>
      <c r="C67" s="373" t="str">
        <f>VLOOKUP(LEFT(B67,6),'GGSN-Lic'!A:AP,39,FALSE)</f>
        <v>NFV Cisco</v>
      </c>
      <c r="D67" s="254" t="s">
        <v>30</v>
      </c>
      <c r="E67" s="418">
        <f>VLOOKUP(LEFT(B67,6),'GGSN-Lic'!A:AP,37,FALSE)*1000*AJ67</f>
        <v>0</v>
      </c>
      <c r="F67" s="418">
        <f>VLOOKUP(LEFT(B67,6),'GGSN-Lic'!A:AP,38,FALSE)*1000*AJ67</f>
        <v>0</v>
      </c>
      <c r="G67" s="256">
        <f>VLOOKUP(B67,Input_Lic_Rate_PS!K:P,4,FALSE)</f>
        <v>1700000</v>
      </c>
      <c r="H67" s="374">
        <v>100000</v>
      </c>
      <c r="I67" s="374">
        <f>VLOOKUP(B67,Input_Lic_Rate_PS!K:R,7,FALSE)</f>
        <v>3200000</v>
      </c>
      <c r="J67" s="850">
        <v>0</v>
      </c>
      <c r="K67" s="850">
        <v>0</v>
      </c>
      <c r="L67" s="850">
        <f>_xlfn.IFNA(VLOOKUP(B67,Input_NOCPRO_GGSN!C:G,4,FALSE),0)</f>
        <v>0</v>
      </c>
      <c r="M67" s="851">
        <f t="shared" si="10"/>
        <v>0</v>
      </c>
      <c r="N67" s="850">
        <f>_xlfn.IFNA(VLOOKUP(B67,Input_NOCPRO_GGSN!C:G,5,FALSE),0)</f>
        <v>0</v>
      </c>
      <c r="O67" s="360">
        <f t="shared" si="23"/>
        <v>0</v>
      </c>
      <c r="P67" s="420">
        <f t="shared" si="24"/>
        <v>0</v>
      </c>
      <c r="Q67" s="350"/>
      <c r="R67" s="843">
        <f t="shared" si="11"/>
        <v>0</v>
      </c>
      <c r="S67" s="843">
        <f t="shared" si="25"/>
        <v>0</v>
      </c>
      <c r="T67" s="869">
        <f>L67</f>
        <v>0</v>
      </c>
      <c r="U67" s="870">
        <f>N67</f>
        <v>0</v>
      </c>
      <c r="V67" s="854">
        <f t="shared" si="30"/>
        <v>0</v>
      </c>
      <c r="W67" s="420">
        <f t="shared" ref="W67:W73" si="41">IFERROR(T67/G67,0)</f>
        <v>0</v>
      </c>
      <c r="X67" s="420">
        <f t="shared" ref="X67:X73" si="42">IFERROR(U67/H67,0)</f>
        <v>0</v>
      </c>
      <c r="Y67" s="871">
        <f>SUM(U67:U67)</f>
        <v>0</v>
      </c>
      <c r="Z67" s="872">
        <f>Y67*$Z$1</f>
        <v>0</v>
      </c>
      <c r="AA67" s="871">
        <f>AA60</f>
        <v>450000</v>
      </c>
      <c r="AB67" s="873" t="s">
        <v>366</v>
      </c>
      <c r="AC67" s="836">
        <f>Y67*$AC$1</f>
        <v>0</v>
      </c>
      <c r="AD67" s="836">
        <v>312000</v>
      </c>
      <c r="AE67" s="837" t="e">
        <f>Z67/Y67</f>
        <v>#DIV/0!</v>
      </c>
      <c r="AF67" s="874">
        <f>AC67/AD67</f>
        <v>0</v>
      </c>
      <c r="AG67" s="874">
        <f>(AC67-Z67)/AD67</f>
        <v>0</v>
      </c>
      <c r="AH67" s="256">
        <v>0</v>
      </c>
      <c r="AI67" s="256">
        <f t="shared" si="28"/>
        <v>0</v>
      </c>
      <c r="AJ67" s="855">
        <f t="shared" si="8"/>
        <v>0</v>
      </c>
      <c r="AK67" s="256">
        <v>0</v>
      </c>
      <c r="AL67" s="353" t="str">
        <f t="shared" si="13"/>
        <v>NO</v>
      </c>
      <c r="AM67" s="354" t="s">
        <v>434</v>
      </c>
      <c r="AN67" s="378"/>
    </row>
    <row r="68" spans="1:40" s="71" customFormat="1">
      <c r="A68" s="417">
        <v>62</v>
      </c>
      <c r="B68" s="361" t="s">
        <v>889</v>
      </c>
      <c r="C68" s="361" t="str">
        <f>VLOOKUP(LEFT(B68,6),'GGSN-Lic'!A:AP,39,FALSE)</f>
        <v>NFV VHT</v>
      </c>
      <c r="D68" s="254" t="s">
        <v>30</v>
      </c>
      <c r="E68" s="418">
        <f>VLOOKUP(LEFT(B68,6),'GGSN-Lic'!A:AP,37,FALSE)*1000*AJ68</f>
        <v>4000000</v>
      </c>
      <c r="F68" s="418">
        <f>VLOOKUP(LEFT(B68,6),'GGSN-Lic'!A:AP,38,FALSE)*1000*AJ68</f>
        <v>150000</v>
      </c>
      <c r="G68" s="256">
        <f>VLOOKUP(B68,Input_Lic_Rate_PS!K:P,4,FALSE)</f>
        <v>3500000</v>
      </c>
      <c r="H68" s="256">
        <f>VLOOKUP(B68,Input_Lic_Rate_PS!K:R,5,FALSE)</f>
        <v>150000</v>
      </c>
      <c r="I68" s="256">
        <v>4500000</v>
      </c>
      <c r="J68" s="850"/>
      <c r="K68" s="850"/>
      <c r="L68" s="850">
        <f>_xlfn.IFNA(VLOOKUP(B68,Input_NOCPRO_GGSN!C:G,4,FALSE),0)</f>
        <v>1004841</v>
      </c>
      <c r="M68" s="851">
        <f t="shared" ref="M68:M73" si="43">L68*50%</f>
        <v>502420.5</v>
      </c>
      <c r="N68" s="850">
        <f>_xlfn.IFNA(VLOOKUP(B68,Input_NOCPRO_GGSN!C:G,5,FALSE),0)</f>
        <v>45737.33</v>
      </c>
      <c r="O68" s="360">
        <f t="shared" si="23"/>
        <v>0.28709742857142856</v>
      </c>
      <c r="P68" s="420">
        <f t="shared" si="24"/>
        <v>0.30491553333333332</v>
      </c>
      <c r="Q68" s="420" t="str">
        <f>VLOOKUP(B68,IMS!A:C,3,FALSE)</f>
        <v>SBHT11</v>
      </c>
      <c r="R68" s="843">
        <f>SUMIF($Q$3:$Q$70,Q68,$M$3:$M$70)</f>
        <v>2210109</v>
      </c>
      <c r="S68" s="842">
        <f t="shared" si="25"/>
        <v>2210109</v>
      </c>
      <c r="T68" s="850">
        <f>(L68+(AK68/SUM($AK$49:$AK$63)-AH68/SUM($AH$49:$AH$63))*SUM($L$49:$L$63))*AJ68+$T$82*(AK68/SUM($AK$49:$AK$63))</f>
        <v>1004841</v>
      </c>
      <c r="U68" s="868">
        <f>(N68+(AK68/SUM($AK$49:$AK$63)-AH68/SUM($AH$49:$AH$63))*SUM($N$49:$N$63))*AJ68+$U$82*(AK68/SUM($AK$49:$AK$63))</f>
        <v>45737.33</v>
      </c>
      <c r="V68" s="854">
        <f t="shared" si="30"/>
        <v>502420.5</v>
      </c>
      <c r="W68" s="420">
        <f t="shared" si="41"/>
        <v>0.28709742857142856</v>
      </c>
      <c r="X68" s="420">
        <f t="shared" si="42"/>
        <v>0.30491553333333332</v>
      </c>
      <c r="Y68" s="871"/>
      <c r="Z68" s="875"/>
      <c r="AA68" s="871"/>
      <c r="AB68" s="873"/>
      <c r="AC68" s="836"/>
      <c r="AD68" s="836"/>
      <c r="AE68" s="837"/>
      <c r="AF68" s="874"/>
      <c r="AG68" s="874"/>
      <c r="AH68" s="256">
        <v>60</v>
      </c>
      <c r="AI68" s="256">
        <f t="shared" si="28"/>
        <v>45.824291043456164</v>
      </c>
      <c r="AJ68" s="855">
        <f t="shared" si="8"/>
        <v>1</v>
      </c>
      <c r="AK68" s="256">
        <v>60</v>
      </c>
      <c r="AL68" s="353" t="str">
        <f t="shared" ref="AL68:AL70" si="44">IF(VALUE(AH68)=AK68,"NO","YES")</f>
        <v>NO</v>
      </c>
      <c r="AM68" s="354" t="str">
        <f>VLOOKUP(B68,Input_Lic_Rate_PS!K:S,9,FALSE)</f>
        <v>TCHT10</v>
      </c>
      <c r="AN68" s="359">
        <f>U68-N68</f>
        <v>0</v>
      </c>
    </row>
    <row r="69" spans="1:40" s="71" customFormat="1">
      <c r="A69" s="417">
        <v>63</v>
      </c>
      <c r="B69" s="361" t="s">
        <v>891</v>
      </c>
      <c r="C69" s="361" t="str">
        <f>VLOOKUP(LEFT(B69,6),'GGSN-Lic'!A:AP,39,FALSE)</f>
        <v>NFV VHT</v>
      </c>
      <c r="D69" s="254" t="s">
        <v>30</v>
      </c>
      <c r="E69" s="418">
        <f>VLOOKUP(LEFT(B69,6),'GGSN-Lic'!A:AP,37,FALSE)*1000*AJ69</f>
        <v>4000000</v>
      </c>
      <c r="F69" s="418">
        <f>VLOOKUP(LEFT(B69,6),'GGSN-Lic'!A:AP,38,FALSE)*1000*AJ69</f>
        <v>150000</v>
      </c>
      <c r="G69" s="256">
        <f>VLOOKUP(B69,Input_Lic_Rate_PS!K:P,4,FALSE)</f>
        <v>3500000</v>
      </c>
      <c r="H69" s="256">
        <f>VLOOKUP(B69,Input_Lic_Rate_PS!K:R,5,FALSE)</f>
        <v>150000</v>
      </c>
      <c r="I69" s="256">
        <v>4500000</v>
      </c>
      <c r="J69" s="850"/>
      <c r="K69" s="850"/>
      <c r="L69" s="850">
        <f>_xlfn.IFNA(VLOOKUP(B69,Input_NOCPRO_GGSN!C:G,4,FALSE),0)</f>
        <v>1009477</v>
      </c>
      <c r="M69" s="851">
        <f t="shared" si="43"/>
        <v>504738.5</v>
      </c>
      <c r="N69" s="850">
        <f>_xlfn.IFNA(VLOOKUP(B69,Input_NOCPRO_GGSN!C:G,5,FALSE),0)</f>
        <v>46647.16</v>
      </c>
      <c r="O69" s="360">
        <f t="shared" si="23"/>
        <v>0.28842200000000001</v>
      </c>
      <c r="P69" s="420">
        <f t="shared" si="24"/>
        <v>0.31098106666666669</v>
      </c>
      <c r="Q69" s="420" t="str">
        <f>VLOOKUP(B69,IMS!A:C,3,FALSE)</f>
        <v>SBHT15</v>
      </c>
      <c r="R69" s="843">
        <f t="shared" si="11"/>
        <v>2141330</v>
      </c>
      <c r="S69" s="842">
        <f t="shared" si="25"/>
        <v>2141330</v>
      </c>
      <c r="T69" s="850">
        <f>(L69+(AK69/SUM($AK$49:$AK$63)-AH69/SUM($AH$49:$AH$63))*SUM($L$49:$L$63))*AJ69+$T$82*(AK69/SUM($AK$49:$AK$63))</f>
        <v>1009477</v>
      </c>
      <c r="U69" s="868">
        <f>(N69+(AK69/SUM($AK$49:$AK$63)-AH69/SUM($AH$49:$AH$63))*SUM($N$49:$N$63))*AJ69+$U$82*(AK69/SUM($AK$49:$AK$63))</f>
        <v>46647.16</v>
      </c>
      <c r="V69" s="854">
        <f t="shared" si="30"/>
        <v>504738.5</v>
      </c>
      <c r="W69" s="420">
        <f t="shared" si="41"/>
        <v>0.28842200000000001</v>
      </c>
      <c r="X69" s="420">
        <f t="shared" si="42"/>
        <v>0.31098106666666669</v>
      </c>
      <c r="Y69" s="871"/>
      <c r="Z69" s="875"/>
      <c r="AA69" s="871"/>
      <c r="AB69" s="873"/>
      <c r="AC69" s="836"/>
      <c r="AD69" s="836"/>
      <c r="AE69" s="837"/>
      <c r="AF69" s="874"/>
      <c r="AG69" s="874"/>
      <c r="AH69" s="256">
        <v>60</v>
      </c>
      <c r="AI69" s="256">
        <f t="shared" si="28"/>
        <v>46.735850916322981</v>
      </c>
      <c r="AJ69" s="855">
        <f t="shared" si="8"/>
        <v>1</v>
      </c>
      <c r="AK69" s="256">
        <v>60</v>
      </c>
      <c r="AL69" s="353" t="str">
        <f t="shared" si="44"/>
        <v>NO</v>
      </c>
      <c r="AM69" s="354" t="str">
        <f>VLOOKUP(B69,Input_Lic_Rate_PS!K:S,9,FALSE)</f>
        <v>TCHT10</v>
      </c>
      <c r="AN69" s="359">
        <f>U69-N69</f>
        <v>0</v>
      </c>
    </row>
    <row r="70" spans="1:40" s="71" customFormat="1">
      <c r="A70" s="417">
        <v>64</v>
      </c>
      <c r="B70" s="361" t="s">
        <v>892</v>
      </c>
      <c r="C70" s="361" t="str">
        <f>VLOOKUP(LEFT(B70,6),'GGSN-Lic'!A:AP,39,FALSE)</f>
        <v>NFV VHT</v>
      </c>
      <c r="D70" s="254" t="s">
        <v>30</v>
      </c>
      <c r="E70" s="418">
        <f>VLOOKUP(LEFT(B70,6),'GGSN-Lic'!A:AP,37,FALSE)*1000*AJ70</f>
        <v>4000000</v>
      </c>
      <c r="F70" s="418">
        <f>VLOOKUP(LEFT(B70,6),'GGSN-Lic'!A:AP,38,FALSE)*1000*AJ70</f>
        <v>150000</v>
      </c>
      <c r="G70" s="256">
        <f>VLOOKUP(B70,Input_Lic_Rate_PS!K:P,4,FALSE)</f>
        <v>3500000</v>
      </c>
      <c r="H70" s="256">
        <f>VLOOKUP(B70,Input_Lic_Rate_PS!K:R,5,FALSE)</f>
        <v>150000</v>
      </c>
      <c r="I70" s="256">
        <v>4500000</v>
      </c>
      <c r="J70" s="850"/>
      <c r="K70" s="850"/>
      <c r="L70" s="850">
        <f>_xlfn.IFNA(VLOOKUP(B70,Input_NOCPRO_GGSN!C:G,4,FALSE),0)</f>
        <v>1007218</v>
      </c>
      <c r="M70" s="851">
        <f t="shared" si="43"/>
        <v>503609</v>
      </c>
      <c r="N70" s="850">
        <f>_xlfn.IFNA(VLOOKUP(B70,Input_NOCPRO_GGSN!C:G,5,FALSE),0)</f>
        <v>45208.24</v>
      </c>
      <c r="O70" s="360">
        <f t="shared" si="23"/>
        <v>0.28777657142857144</v>
      </c>
      <c r="P70" s="420">
        <f t="shared" si="24"/>
        <v>0.30138826666666663</v>
      </c>
      <c r="Q70" s="420" t="str">
        <f>VLOOKUP(B70,IMS!A:C,3,FALSE)</f>
        <v>SBHT16</v>
      </c>
      <c r="R70" s="843">
        <f t="shared" ref="R70" si="45">SUMIF($Q$3:$Q$70,Q70,$M$3:$M$70)</f>
        <v>2142561</v>
      </c>
      <c r="S70" s="842">
        <f t="shared" si="25"/>
        <v>2142561</v>
      </c>
      <c r="T70" s="850">
        <f>(L70+(AK70/SUM($AK$49:$AK$63)-AH70/SUM($AH$49:$AH$63))*SUM($L$49:$L$63))*AJ70+$T$82*(AK70/SUM($AK$49:$AK$63))</f>
        <v>1007218</v>
      </c>
      <c r="U70" s="868">
        <f>(N70+(AK70/SUM($AK$49:$AK$63)-AH70/SUM($AH$49:$AH$63))*SUM($N$49:$N$63))*AJ70+$U$82*(AK70/SUM($AK$49:$AK$63))</f>
        <v>45208.24</v>
      </c>
      <c r="V70" s="854">
        <f t="shared" si="30"/>
        <v>503609</v>
      </c>
      <c r="W70" s="420">
        <f t="shared" si="41"/>
        <v>0.28777657142857144</v>
      </c>
      <c r="X70" s="420">
        <f t="shared" si="42"/>
        <v>0.30138826666666663</v>
      </c>
      <c r="Y70" s="871"/>
      <c r="Z70" s="875"/>
      <c r="AA70" s="871"/>
      <c r="AB70" s="873"/>
      <c r="AC70" s="836"/>
      <c r="AD70" s="836"/>
      <c r="AE70" s="837"/>
      <c r="AF70" s="874"/>
      <c r="AG70" s="874"/>
      <c r="AH70" s="256">
        <v>60</v>
      </c>
      <c r="AI70" s="256">
        <f t="shared" si="28"/>
        <v>45.294195077028249</v>
      </c>
      <c r="AJ70" s="855">
        <f t="shared" ref="AJ70" si="46">IF(AK70=0,0,1)</f>
        <v>1</v>
      </c>
      <c r="AK70" s="256">
        <v>60</v>
      </c>
      <c r="AL70" s="353" t="str">
        <f t="shared" si="44"/>
        <v>NO</v>
      </c>
      <c r="AM70" s="354" t="str">
        <f>VLOOKUP(B70,Input_Lic_Rate_PS!K:S,9,FALSE)</f>
        <v>TCHT10</v>
      </c>
      <c r="AN70" s="359">
        <f>U70-N70</f>
        <v>0</v>
      </c>
    </row>
    <row r="71" spans="1:40">
      <c r="A71" s="339"/>
      <c r="B71" s="339" t="s">
        <v>94</v>
      </c>
      <c r="C71" s="339" t="s">
        <v>38</v>
      </c>
      <c r="D71" s="339" t="s">
        <v>15</v>
      </c>
      <c r="E71" s="44">
        <f ca="1">SUMIF($D$3:$F$67,D71,$E$3:$E$67)</f>
        <v>87100000</v>
      </c>
      <c r="F71" s="44">
        <f ca="1">SUMIF($D$3:$F$67,D71,$F$3:$F$67)</f>
        <v>3130000</v>
      </c>
      <c r="G71" s="256">
        <f ca="1">SUMIF($D3:$I67,$D71,G$3:G$67)</f>
        <v>103600000</v>
      </c>
      <c r="H71" s="256">
        <f ca="1">SUMIF($D3:$I67,$D71,H$3:H$67)</f>
        <v>4160000</v>
      </c>
      <c r="I71" s="357"/>
      <c r="J71" s="381">
        <v>52642863</v>
      </c>
      <c r="K71" s="379">
        <v>1483325.6880936977</v>
      </c>
      <c r="L71" s="381">
        <f>SUMIF($D3:$D$67,"KV1",L$3:L$67)</f>
        <v>57032666</v>
      </c>
      <c r="M71" s="851">
        <f t="shared" si="43"/>
        <v>28516333</v>
      </c>
      <c r="N71" s="379">
        <f>SUMIF($D7:$D$67,"KV1",N$7:N$67)</f>
        <v>1957278.5980462674</v>
      </c>
      <c r="O71" s="380">
        <f ca="1">L71/E71</f>
        <v>0.65479524684270951</v>
      </c>
      <c r="P71" s="380">
        <f ca="1">N71/F71</f>
        <v>0.62532862557388735</v>
      </c>
      <c r="Q71" s="380"/>
      <c r="R71" s="380"/>
      <c r="S71" s="380"/>
      <c r="T71" s="379">
        <f>SUMIF($D3:$D67,"KV1",T3:T67)</f>
        <v>56634612.822763547</v>
      </c>
      <c r="U71" s="379">
        <f>SUMIF($D7:$D55,"KV1",U7:U55)</f>
        <v>1898799.2047384363</v>
      </c>
      <c r="V71" s="379">
        <f>SUMIF($D3:$D67,"KV1",V3:V67)</f>
        <v>28194200.874632511</v>
      </c>
      <c r="W71" s="420">
        <f t="shared" ca="1" si="41"/>
        <v>0.54666614693787208</v>
      </c>
      <c r="X71" s="420">
        <f t="shared" ca="1" si="42"/>
        <v>0.45644211652366257</v>
      </c>
      <c r="Y71" s="857"/>
      <c r="Z71" s="857"/>
      <c r="AA71" s="857"/>
      <c r="AB71" s="346"/>
      <c r="AC71" s="341"/>
      <c r="AD71" s="341"/>
      <c r="AE71" s="341"/>
      <c r="AF71" s="342"/>
      <c r="AG71" s="342"/>
      <c r="AH71" s="256"/>
      <c r="AI71" s="344"/>
      <c r="AJ71" s="344"/>
      <c r="AK71" s="381">
        <f>SUMIF($D7:$D63,"KV1",AK7:AK63)</f>
        <v>1641</v>
      </c>
      <c r="AL71" s="344"/>
      <c r="AM71" s="347"/>
      <c r="AN71" s="348"/>
    </row>
    <row r="72" spans="1:40">
      <c r="A72" s="339"/>
      <c r="B72" s="339" t="s">
        <v>95</v>
      </c>
      <c r="C72" s="339" t="s">
        <v>38</v>
      </c>
      <c r="D72" s="339" t="s">
        <v>25</v>
      </c>
      <c r="E72" s="44">
        <f t="shared" ref="E72:E73" ca="1" si="47">SUMIF($D$3:$F$67,D72,$E$3:$E$67)</f>
        <v>59800000</v>
      </c>
      <c r="F72" s="44">
        <f t="shared" ref="F72:F73" ca="1" si="48">SUMIF($D$3:$F$67,D72,$F$3:$F$67)</f>
        <v>2230000</v>
      </c>
      <c r="G72" s="256">
        <f t="shared" ref="G72:G73" ca="1" si="49">SUMIF(D$3:I$67,D72,G$3:G$67)</f>
        <v>48800000</v>
      </c>
      <c r="H72" s="256">
        <f ca="1">SUMIF($D4:$I71,$D72,H$3:H$67)</f>
        <v>2400000</v>
      </c>
      <c r="I72" s="357"/>
      <c r="J72" s="381">
        <v>16311963</v>
      </c>
      <c r="K72" s="379">
        <v>854112.1462121699</v>
      </c>
      <c r="L72" s="381">
        <f>SUMIF($D3:$D$67,"KV2",L$3:L$67)</f>
        <v>17304854</v>
      </c>
      <c r="M72" s="851">
        <f t="shared" si="43"/>
        <v>8652427</v>
      </c>
      <c r="N72" s="379">
        <f>SUMIF($D8:$D$67,"KV2",N$7:N$67)</f>
        <v>869699.50787755556</v>
      </c>
      <c r="O72" s="380">
        <f ca="1">L72/E72</f>
        <v>0.28937882943143811</v>
      </c>
      <c r="P72" s="380">
        <f ca="1">N72/F72</f>
        <v>0.38999977931728946</v>
      </c>
      <c r="Q72" s="380"/>
      <c r="R72" s="380"/>
      <c r="S72" s="380"/>
      <c r="T72" s="379">
        <f>SUMIF($D3:$D67,"KV2",T3:T67)</f>
        <v>17304854</v>
      </c>
      <c r="U72" s="379">
        <f>SUMIF($D7:$D55,"KV2",U7:U55)</f>
        <v>824769.78191731812</v>
      </c>
      <c r="V72" s="379">
        <f>SUMIF($D3:$D67,"KV2",V3:V67)</f>
        <v>8652427</v>
      </c>
      <c r="W72" s="420">
        <f t="shared" ca="1" si="41"/>
        <v>0.35460766393442622</v>
      </c>
      <c r="X72" s="420">
        <f t="shared" ca="1" si="42"/>
        <v>0.34365407579888257</v>
      </c>
      <c r="Y72" s="857"/>
      <c r="Z72" s="857"/>
      <c r="AA72" s="857"/>
      <c r="AB72" s="346"/>
      <c r="AC72" s="341"/>
      <c r="AD72" s="341"/>
      <c r="AE72" s="341"/>
      <c r="AF72" s="342"/>
      <c r="AG72" s="342"/>
      <c r="AH72" s="256"/>
      <c r="AI72" s="344"/>
      <c r="AJ72" s="344"/>
      <c r="AK72" s="381">
        <f>SUMIF($D7:$D55,"KV2",AK7:AK55)</f>
        <v>1120</v>
      </c>
      <c r="AL72" s="344"/>
      <c r="AM72" s="347"/>
      <c r="AN72" s="348"/>
    </row>
    <row r="73" spans="1:40">
      <c r="A73" s="339"/>
      <c r="B73" s="339" t="s">
        <v>96</v>
      </c>
      <c r="C73" s="339" t="s">
        <v>38</v>
      </c>
      <c r="D73" s="339" t="s">
        <v>30</v>
      </c>
      <c r="E73" s="44">
        <f t="shared" ca="1" si="47"/>
        <v>47400000</v>
      </c>
      <c r="F73" s="44">
        <f t="shared" ca="1" si="48"/>
        <v>1770000</v>
      </c>
      <c r="G73" s="256">
        <f t="shared" ca="1" si="49"/>
        <v>56200000</v>
      </c>
      <c r="H73" s="256">
        <f ca="1">SUMIF($D5:$I72,$D73,H$3:H$67)</f>
        <v>2820000</v>
      </c>
      <c r="I73" s="357"/>
      <c r="J73" s="381">
        <v>33637681</v>
      </c>
      <c r="K73" s="379">
        <v>1430708.0259425638</v>
      </c>
      <c r="L73" s="381">
        <f>SUMIF($D3:$D$67,"KV3",L$3:L$67)</f>
        <v>32523948</v>
      </c>
      <c r="M73" s="851">
        <f t="shared" si="43"/>
        <v>16261974</v>
      </c>
      <c r="N73" s="379">
        <f>SUMIF($D9:$D$67,"KV3",N$7:N$67)</f>
        <v>1465072.6029025537</v>
      </c>
      <c r="O73" s="380">
        <f ca="1">L73/E73</f>
        <v>0.68615924050632915</v>
      </c>
      <c r="P73" s="380">
        <f ca="1">N73/F73</f>
        <v>0.82772463440822241</v>
      </c>
      <c r="Q73" s="380"/>
      <c r="R73" s="380"/>
      <c r="S73" s="380"/>
      <c r="T73" s="379">
        <f>SUMIF($D3:$D67,"KV3",T3:T67)</f>
        <v>32523948</v>
      </c>
      <c r="U73" s="379">
        <f>SUMIF($D7:$D67,"KV3",U7:U67)</f>
        <v>1415941.8629025538</v>
      </c>
      <c r="V73" s="379">
        <f>SUMIF($D3:$D67,"KV3",V3:V67)</f>
        <v>16261974</v>
      </c>
      <c r="W73" s="420">
        <f t="shared" ca="1" si="41"/>
        <v>0.57871793594306054</v>
      </c>
      <c r="X73" s="420">
        <f t="shared" ca="1" si="42"/>
        <v>0.50210704358246583</v>
      </c>
      <c r="Y73" s="876"/>
      <c r="Z73" s="876"/>
      <c r="AA73" s="876"/>
      <c r="AB73" s="877"/>
      <c r="AC73" s="876"/>
      <c r="AD73" s="876"/>
      <c r="AE73" s="878"/>
      <c r="AF73" s="879"/>
      <c r="AG73" s="880"/>
      <c r="AH73" s="256"/>
      <c r="AI73" s="344"/>
      <c r="AJ73" s="344"/>
      <c r="AK73" s="379">
        <f>SUMIF($D7:$D63,"KV3",AK7:AK63)</f>
        <v>1616</v>
      </c>
      <c r="AL73" s="344"/>
      <c r="AM73" s="347"/>
      <c r="AN73" s="348"/>
    </row>
    <row r="74" spans="1:40">
      <c r="A74" s="339"/>
      <c r="B74" s="382" t="s">
        <v>97</v>
      </c>
      <c r="C74" s="382" t="s">
        <v>38</v>
      </c>
      <c r="D74" s="382"/>
      <c r="E74" s="815">
        <f ca="1">SUM(E71:E73)</f>
        <v>194300000</v>
      </c>
      <c r="F74" s="815">
        <f ca="1">SUM(F71:F73)</f>
        <v>7130000</v>
      </c>
      <c r="G74" s="256">
        <f ca="1">SUM(G71:G73)</f>
        <v>208600000</v>
      </c>
      <c r="H74" s="256">
        <f ca="1">SUM(H71:H73)</f>
        <v>9380000</v>
      </c>
      <c r="I74" s="357"/>
      <c r="J74" s="381">
        <v>102592507</v>
      </c>
      <c r="K74" s="379">
        <v>3768145.8602484316</v>
      </c>
      <c r="L74" s="381">
        <f>SUM(L71:L73)</f>
        <v>106861468</v>
      </c>
      <c r="M74" s="379">
        <f>SUM(M71:M73)</f>
        <v>53430734</v>
      </c>
      <c r="N74" s="379">
        <f>SUM(N71:N73)</f>
        <v>4292050.7088263771</v>
      </c>
      <c r="O74" s="380">
        <f ca="1">L74/E74</f>
        <v>0.54998182192485845</v>
      </c>
      <c r="P74" s="380">
        <f ca="1">N74/F74</f>
        <v>0.60197064639921138</v>
      </c>
      <c r="Q74" s="420"/>
      <c r="R74" s="420"/>
      <c r="S74" s="420"/>
      <c r="T74" s="379">
        <f>SUM(T71:T73)</f>
        <v>106463414.82276355</v>
      </c>
      <c r="U74" s="379">
        <f>SUM(U71:U73)</f>
        <v>4139510.8495583083</v>
      </c>
      <c r="V74" s="379">
        <f>SUM(V71:V73)</f>
        <v>53108601.874632508</v>
      </c>
      <c r="W74" s="379"/>
      <c r="X74" s="379"/>
      <c r="Y74" s="383">
        <f>SUM(Y7:Y73)</f>
        <v>3958696.1195583083</v>
      </c>
      <c r="Z74" s="344"/>
      <c r="AA74" s="344"/>
      <c r="AB74" s="344"/>
      <c r="AC74" s="383">
        <f>SUM(AC7:AC73)</f>
        <v>3246130.8180378126</v>
      </c>
      <c r="AD74" s="383">
        <f>SUM(AD7:AD73)</f>
        <v>5523000</v>
      </c>
      <c r="AE74" s="344"/>
      <c r="AF74" s="344"/>
      <c r="AG74" s="344"/>
      <c r="AH74" s="256"/>
      <c r="AI74" s="344"/>
      <c r="AJ74" s="344"/>
      <c r="AK74" s="381">
        <f>SUM(AK71:AK73)</f>
        <v>4377</v>
      </c>
      <c r="AL74" s="344"/>
      <c r="AM74" s="347"/>
      <c r="AN74" s="348"/>
    </row>
    <row r="75" spans="1:40">
      <c r="A75" s="348"/>
      <c r="B75" s="348"/>
      <c r="C75" s="348"/>
      <c r="D75" s="348"/>
      <c r="E75" s="348"/>
      <c r="F75" s="348"/>
      <c r="G75" s="348"/>
      <c r="H75" s="348"/>
      <c r="I75" s="348"/>
      <c r="J75" s="384"/>
      <c r="K75" s="384"/>
      <c r="L75" s="384"/>
      <c r="M75" s="384"/>
      <c r="N75" s="384"/>
      <c r="O75" s="348"/>
      <c r="P75" s="348"/>
      <c r="Q75" s="348"/>
      <c r="R75" s="348"/>
      <c r="S75" s="348"/>
      <c r="T75" s="384"/>
      <c r="U75" s="384"/>
      <c r="V75" s="384"/>
      <c r="W75" s="384"/>
      <c r="X75" s="384"/>
      <c r="Y75" s="385"/>
      <c r="Z75" s="385"/>
      <c r="AA75" s="385"/>
      <c r="AB75" s="385"/>
      <c r="AC75" s="385"/>
      <c r="AD75" s="385"/>
      <c r="AE75" s="385"/>
      <c r="AF75" s="385"/>
      <c r="AG75" s="385"/>
      <c r="AH75" s="378"/>
      <c r="AI75" s="385"/>
      <c r="AJ75" s="385"/>
      <c r="AK75" s="384"/>
      <c r="AL75" s="385"/>
      <c r="AM75" s="385"/>
      <c r="AN75" s="348"/>
    </row>
    <row r="76" spans="1:40" s="69" customFormat="1">
      <c r="A76" s="348"/>
      <c r="B76" s="386" t="s">
        <v>42</v>
      </c>
      <c r="C76" s="348"/>
      <c r="D76" s="348"/>
      <c r="E76" s="348"/>
      <c r="F76" s="348"/>
      <c r="G76" s="348"/>
      <c r="H76" s="348"/>
      <c r="I76" s="348"/>
      <c r="J76" s="348"/>
      <c r="K76" s="348"/>
      <c r="L76" s="348"/>
      <c r="M76" s="348"/>
      <c r="N76" s="348"/>
      <c r="O76" s="348"/>
      <c r="P76" s="348"/>
      <c r="Q76" s="348"/>
      <c r="R76" s="348"/>
      <c r="S76" s="348"/>
      <c r="T76" s="384"/>
      <c r="U76" s="384"/>
      <c r="V76" s="384"/>
      <c r="W76" s="384"/>
      <c r="X76" s="384"/>
      <c r="Y76" s="385"/>
      <c r="Z76" s="385"/>
      <c r="AA76" s="385"/>
      <c r="AB76" s="385"/>
      <c r="AC76" s="385"/>
      <c r="AD76" s="385"/>
      <c r="AE76" s="385"/>
      <c r="AF76" s="385"/>
      <c r="AG76" s="385"/>
      <c r="AH76" s="378"/>
      <c r="AI76" s="385"/>
      <c r="AJ76" s="385"/>
      <c r="AK76" s="384"/>
      <c r="AL76" s="385"/>
      <c r="AM76" s="385"/>
      <c r="AN76" s="348"/>
    </row>
    <row r="77" spans="1:40" ht="15" customHeight="1">
      <c r="A77" s="348"/>
      <c r="B77" s="348"/>
      <c r="C77" s="348"/>
      <c r="D77" s="348"/>
      <c r="E77" s="348"/>
      <c r="F77" s="418">
        <v>31196413</v>
      </c>
      <c r="G77" s="348">
        <f>F77*$G$80/$F$80</f>
        <v>45992328.411088862</v>
      </c>
      <c r="H77" s="348"/>
      <c r="I77" s="348"/>
      <c r="J77" s="384"/>
      <c r="K77" s="384"/>
      <c r="L77" s="1018" t="s">
        <v>271</v>
      </c>
      <c r="M77" s="387" t="s">
        <v>103</v>
      </c>
      <c r="N77" s="387" t="s">
        <v>103</v>
      </c>
      <c r="O77" s="387" t="s">
        <v>270</v>
      </c>
      <c r="P77" s="387" t="s">
        <v>264</v>
      </c>
      <c r="Q77" s="387"/>
      <c r="R77" s="387"/>
      <c r="S77" s="387"/>
      <c r="T77" s="387" t="s">
        <v>45</v>
      </c>
      <c r="U77" s="387" t="s">
        <v>46</v>
      </c>
      <c r="V77" s="387"/>
      <c r="W77" s="340" t="s">
        <v>299</v>
      </c>
      <c r="X77" s="340" t="s">
        <v>1102</v>
      </c>
      <c r="Y77" s="388" t="s">
        <v>302</v>
      </c>
      <c r="Z77" s="388"/>
      <c r="AA77" s="385"/>
      <c r="AB77" s="385"/>
      <c r="AC77" s="385"/>
      <c r="AD77" s="385"/>
      <c r="AE77" s="385"/>
      <c r="AF77" s="385"/>
      <c r="AG77" s="385"/>
      <c r="AH77" s="378" t="s">
        <v>3</v>
      </c>
      <c r="AI77" s="385"/>
      <c r="AJ77" s="385"/>
      <c r="AK77" s="384"/>
      <c r="AL77" s="385"/>
      <c r="AM77" s="385"/>
      <c r="AN77" s="348"/>
    </row>
    <row r="78" spans="1:40">
      <c r="A78" s="348"/>
      <c r="B78" s="348"/>
      <c r="C78" s="348"/>
      <c r="D78" s="348"/>
      <c r="E78" s="348"/>
      <c r="F78" s="418">
        <v>10081380</v>
      </c>
      <c r="G78" s="348">
        <f t="shared" ref="G78:G79" si="50">F78*$G$80/$F$80</f>
        <v>14862802.970231961</v>
      </c>
      <c r="H78" s="348"/>
      <c r="I78" s="348"/>
      <c r="J78" s="384"/>
      <c r="K78" s="384"/>
      <c r="L78" s="1018"/>
      <c r="M78" s="387" t="s">
        <v>15</v>
      </c>
      <c r="N78" s="387" t="s">
        <v>15</v>
      </c>
      <c r="O78" s="387" t="s">
        <v>74</v>
      </c>
      <c r="P78" s="387"/>
      <c r="Q78" s="387"/>
      <c r="R78" s="387"/>
      <c r="S78" s="387"/>
      <c r="T78" s="389"/>
      <c r="U78" s="390"/>
      <c r="V78" s="826"/>
      <c r="W78" s="391" t="s">
        <v>303</v>
      </c>
      <c r="X78" s="392"/>
      <c r="Y78" s="393"/>
      <c r="Z78" s="394"/>
      <c r="AA78" s="385"/>
      <c r="AB78" s="385"/>
      <c r="AC78" s="385"/>
      <c r="AD78" s="385"/>
      <c r="AE78" s="385"/>
      <c r="AF78" s="385"/>
      <c r="AG78" s="385"/>
      <c r="AH78" s="395">
        <f>SUM(X78:X78)</f>
        <v>0</v>
      </c>
      <c r="AI78" s="385"/>
      <c r="AJ78" s="385"/>
      <c r="AK78" s="384"/>
      <c r="AL78" s="385"/>
      <c r="AM78" s="385"/>
      <c r="AN78" s="348"/>
    </row>
    <row r="79" spans="1:40">
      <c r="A79" s="348"/>
      <c r="B79" s="348"/>
      <c r="C79" s="348"/>
      <c r="D79" s="348"/>
      <c r="E79" s="348"/>
      <c r="F79" s="418">
        <v>20044623</v>
      </c>
      <c r="G79" s="348">
        <f t="shared" si="50"/>
        <v>29551438.618679181</v>
      </c>
      <c r="H79" s="348"/>
      <c r="I79" s="348"/>
      <c r="J79" s="384"/>
      <c r="K79" s="384"/>
      <c r="L79" s="1018"/>
      <c r="M79" s="387" t="s">
        <v>25</v>
      </c>
      <c r="N79" s="387" t="s">
        <v>25</v>
      </c>
      <c r="O79" s="387" t="s">
        <v>276</v>
      </c>
      <c r="P79" s="387"/>
      <c r="Q79" s="387"/>
      <c r="R79" s="387"/>
      <c r="S79" s="387"/>
      <c r="T79" s="389"/>
      <c r="U79" s="390"/>
      <c r="V79" s="826"/>
      <c r="W79" s="384"/>
      <c r="X79" s="384"/>
      <c r="Y79" s="385"/>
      <c r="Z79" s="385"/>
      <c r="AA79" s="385"/>
      <c r="AB79" s="385"/>
      <c r="AC79" s="385"/>
      <c r="AD79" s="385"/>
      <c r="AE79" s="385"/>
      <c r="AF79" s="385"/>
      <c r="AG79" s="385"/>
      <c r="AH79" s="378"/>
      <c r="AI79" s="385"/>
      <c r="AJ79" s="385"/>
      <c r="AK79" s="384"/>
      <c r="AL79" s="385"/>
      <c r="AM79" s="385"/>
      <c r="AN79" s="348"/>
    </row>
    <row r="80" spans="1:40">
      <c r="A80" s="348"/>
      <c r="B80" s="348"/>
      <c r="C80" s="348"/>
      <c r="D80" s="348"/>
      <c r="E80" s="348"/>
      <c r="F80" s="418">
        <v>61322416</v>
      </c>
      <c r="G80" s="348">
        <v>90406570</v>
      </c>
      <c r="H80" s="348"/>
      <c r="I80" s="348"/>
      <c r="J80" s="384"/>
      <c r="K80" s="384"/>
      <c r="L80" s="1018"/>
      <c r="M80" s="387" t="s">
        <v>30</v>
      </c>
      <c r="N80" s="387" t="s">
        <v>30</v>
      </c>
      <c r="O80" s="387" t="s">
        <v>328</v>
      </c>
      <c r="P80" s="387"/>
      <c r="Q80" s="387"/>
      <c r="R80" s="387"/>
      <c r="S80" s="387"/>
      <c r="T80" s="389"/>
      <c r="U80" s="390"/>
      <c r="V80" s="826"/>
      <c r="W80" s="384"/>
      <c r="X80" s="384"/>
      <c r="Y80" s="385"/>
      <c r="Z80" s="385"/>
      <c r="AA80" s="385"/>
      <c r="AB80" s="385"/>
      <c r="AC80" s="385"/>
      <c r="AD80" s="385"/>
      <c r="AE80" s="385"/>
      <c r="AF80" s="385"/>
      <c r="AG80" s="385"/>
      <c r="AH80" s="378"/>
      <c r="AI80" s="385"/>
      <c r="AJ80" s="385"/>
      <c r="AK80" s="384"/>
      <c r="AL80" s="385"/>
      <c r="AM80" s="385"/>
      <c r="AN80" s="348"/>
    </row>
    <row r="81" spans="1:40">
      <c r="A81" s="348"/>
      <c r="B81" s="348"/>
      <c r="C81" s="348"/>
      <c r="D81" s="348"/>
      <c r="E81" s="348"/>
      <c r="F81" s="348"/>
      <c r="G81" s="348"/>
      <c r="H81" s="348"/>
      <c r="I81" s="348"/>
      <c r="J81" s="384"/>
      <c r="K81" s="384"/>
      <c r="L81" s="823"/>
      <c r="M81" s="824"/>
      <c r="N81" s="824"/>
      <c r="O81" s="824"/>
      <c r="P81" s="824"/>
      <c r="Q81" s="824"/>
      <c r="R81" s="824"/>
      <c r="S81" s="824"/>
      <c r="T81" s="825"/>
      <c r="U81" s="826"/>
      <c r="V81" s="826"/>
      <c r="W81" s="384"/>
      <c r="X81" s="384"/>
      <c r="Y81" s="385"/>
      <c r="Z81" s="385"/>
      <c r="AA81" s="385"/>
      <c r="AB81" s="385"/>
      <c r="AC81" s="385"/>
      <c r="AD81" s="385"/>
      <c r="AE81" s="385"/>
      <c r="AF81" s="385"/>
      <c r="AG81" s="385"/>
      <c r="AH81" s="378"/>
      <c r="AI81" s="385"/>
      <c r="AJ81" s="385"/>
      <c r="AK81" s="384"/>
      <c r="AL81" s="385"/>
      <c r="AM81" s="385"/>
      <c r="AN81" s="348"/>
    </row>
    <row r="82" spans="1:40">
      <c r="L82" s="348"/>
      <c r="M82" s="348"/>
      <c r="N82" s="348"/>
      <c r="O82" s="348" t="s">
        <v>1103</v>
      </c>
      <c r="P82" s="348"/>
      <c r="Q82" s="348"/>
      <c r="R82" s="348"/>
      <c r="S82" s="348"/>
      <c r="T82" s="389">
        <f>$G$80/$F$80*0</f>
        <v>0</v>
      </c>
      <c r="U82" s="827">
        <f>T82*N63/L63</f>
        <v>0</v>
      </c>
      <c r="V82" s="827"/>
    </row>
    <row r="83" spans="1:40">
      <c r="G83" s="65">
        <v>1000000</v>
      </c>
      <c r="H83" s="65">
        <v>380000</v>
      </c>
    </row>
    <row r="84" spans="1:40">
      <c r="G84" s="65">
        <v>1800000</v>
      </c>
      <c r="H84" s="65">
        <f>G84*H83/G83</f>
        <v>684000</v>
      </c>
      <c r="M84" s="169"/>
      <c r="N84" s="169"/>
      <c r="O84" s="172"/>
    </row>
    <row r="86" spans="1:40">
      <c r="M86" s="171"/>
      <c r="N86" s="171"/>
    </row>
  </sheetData>
  <autoFilter ref="A1:AP74">
    <filterColumn colId="4" showButton="0"/>
    <filterColumn colId="6" showButton="0"/>
    <filterColumn colId="7" showButton="0"/>
    <filterColumn colId="9" showButton="0"/>
    <filterColumn colId="11" showButton="0"/>
    <filterColumn colId="12" showButton="0"/>
    <filterColumn colId="14" showButton="0"/>
    <filterColumn colId="19" showButton="0"/>
    <filterColumn colId="20" showButton="0"/>
    <filterColumn colId="21" showButton="0"/>
    <filterColumn colId="22" showButton="0"/>
  </autoFilter>
  <mergeCells count="169">
    <mergeCell ref="AD53:AD55"/>
    <mergeCell ref="AE53:AE55"/>
    <mergeCell ref="AF53:AF55"/>
    <mergeCell ref="AG53:AG55"/>
    <mergeCell ref="AE39:AE43"/>
    <mergeCell ref="AF39:AF43"/>
    <mergeCell ref="AG39:AG43"/>
    <mergeCell ref="Y39:Y43"/>
    <mergeCell ref="Z39:Z43"/>
    <mergeCell ref="AA39:AA43"/>
    <mergeCell ref="AB39:AB43"/>
    <mergeCell ref="AC39:AC43"/>
    <mergeCell ref="AD39:AD43"/>
    <mergeCell ref="Y24:Y31"/>
    <mergeCell ref="Z24:Z31"/>
    <mergeCell ref="AA24:AA31"/>
    <mergeCell ref="AB24:AB31"/>
    <mergeCell ref="AC24:AC31"/>
    <mergeCell ref="AD24:AD31"/>
    <mergeCell ref="AE24:AE31"/>
    <mergeCell ref="AF24:AF31"/>
    <mergeCell ref="AG24:AG31"/>
    <mergeCell ref="AE16:AE17"/>
    <mergeCell ref="AF16:AF17"/>
    <mergeCell ref="AG16:AG17"/>
    <mergeCell ref="Y18:Y20"/>
    <mergeCell ref="Z18:Z20"/>
    <mergeCell ref="AA18:AA20"/>
    <mergeCell ref="AB18:AB20"/>
    <mergeCell ref="AC18:AC20"/>
    <mergeCell ref="AD18:AD20"/>
    <mergeCell ref="AE18:AE20"/>
    <mergeCell ref="AF18:AF20"/>
    <mergeCell ref="AG18:AG20"/>
    <mergeCell ref="Y16:Y17"/>
    <mergeCell ref="Z16:Z17"/>
    <mergeCell ref="AA16:AA17"/>
    <mergeCell ref="AB16:AB17"/>
    <mergeCell ref="AC16:AC17"/>
    <mergeCell ref="AD16:AD17"/>
    <mergeCell ref="Z13:Z15"/>
    <mergeCell ref="AA13:AA15"/>
    <mergeCell ref="AB13:AB15"/>
    <mergeCell ref="AC13:AC15"/>
    <mergeCell ref="AD13:AD15"/>
    <mergeCell ref="AE13:AE15"/>
    <mergeCell ref="AF13:AF15"/>
    <mergeCell ref="AG13:AG15"/>
    <mergeCell ref="Y9:Y12"/>
    <mergeCell ref="Z9:Z12"/>
    <mergeCell ref="AA9:AA12"/>
    <mergeCell ref="AB9:AB12"/>
    <mergeCell ref="AC9:AC12"/>
    <mergeCell ref="AD9:AD12"/>
    <mergeCell ref="AE9:AE12"/>
    <mergeCell ref="AF9:AF12"/>
    <mergeCell ref="AG9:AG12"/>
    <mergeCell ref="L77:L80"/>
    <mergeCell ref="Y63:Y66"/>
    <mergeCell ref="Z63:Z66"/>
    <mergeCell ref="AA63:AA66"/>
    <mergeCell ref="AB63:AB66"/>
    <mergeCell ref="AC63:AC66"/>
    <mergeCell ref="AD63:AD66"/>
    <mergeCell ref="AE63:AE66"/>
    <mergeCell ref="AF63:AF66"/>
    <mergeCell ref="AG63:AG66"/>
    <mergeCell ref="Y51:Y52"/>
    <mergeCell ref="Z51:Z52"/>
    <mergeCell ref="AA51:AA52"/>
    <mergeCell ref="AB51:AB52"/>
    <mergeCell ref="Y49:Y50"/>
    <mergeCell ref="Z49:Z50"/>
    <mergeCell ref="AA49:AA50"/>
    <mergeCell ref="AB49:AB50"/>
    <mergeCell ref="AC49:AC50"/>
    <mergeCell ref="AD49:AD50"/>
    <mergeCell ref="AE49:AE50"/>
    <mergeCell ref="AF49:AF50"/>
    <mergeCell ref="AG49:AG50"/>
    <mergeCell ref="AC51:AC52"/>
    <mergeCell ref="AD51:AD52"/>
    <mergeCell ref="AE51:AE52"/>
    <mergeCell ref="AF51:AF52"/>
    <mergeCell ref="AG51:AG52"/>
    <mergeCell ref="Y53:Y55"/>
    <mergeCell ref="Z53:Z55"/>
    <mergeCell ref="AA53:AA55"/>
    <mergeCell ref="AB53:AB55"/>
    <mergeCell ref="AC53:AC55"/>
    <mergeCell ref="AG32:AG33"/>
    <mergeCell ref="Y34:Y35"/>
    <mergeCell ref="Z34:Z35"/>
    <mergeCell ref="AA34:AA35"/>
    <mergeCell ref="AB34:AB35"/>
    <mergeCell ref="AC34:AC35"/>
    <mergeCell ref="AD34:AD35"/>
    <mergeCell ref="Y36:Y37"/>
    <mergeCell ref="Z36:Z37"/>
    <mergeCell ref="AA36:AA37"/>
    <mergeCell ref="AB36:AB37"/>
    <mergeCell ref="AC36:AC37"/>
    <mergeCell ref="AD36:AD37"/>
    <mergeCell ref="AE36:AE37"/>
    <mergeCell ref="AF36:AF37"/>
    <mergeCell ref="AG36:AG37"/>
    <mergeCell ref="AG7:AG8"/>
    <mergeCell ref="T1:X1"/>
    <mergeCell ref="Y7:Y8"/>
    <mergeCell ref="Z7:Z8"/>
    <mergeCell ref="AA7:AA8"/>
    <mergeCell ref="AB7:AB8"/>
    <mergeCell ref="Y3:Y6"/>
    <mergeCell ref="Z3:Z6"/>
    <mergeCell ref="AA3:AA6"/>
    <mergeCell ref="AB3:AB6"/>
    <mergeCell ref="AC3:AC6"/>
    <mergeCell ref="AD3:AD6"/>
    <mergeCell ref="AE3:AE6"/>
    <mergeCell ref="AF3:AF6"/>
    <mergeCell ref="AG3:AG6"/>
    <mergeCell ref="AG60:AG62"/>
    <mergeCell ref="Y21:Y23"/>
    <mergeCell ref="Z21:Z23"/>
    <mergeCell ref="AA21:AA23"/>
    <mergeCell ref="AB21:AB23"/>
    <mergeCell ref="AC21:AC23"/>
    <mergeCell ref="AD21:AD23"/>
    <mergeCell ref="AE21:AE23"/>
    <mergeCell ref="AF21:AF23"/>
    <mergeCell ref="AG21:AG23"/>
    <mergeCell ref="Y56:Y59"/>
    <mergeCell ref="Z56:Z59"/>
    <mergeCell ref="AA56:AA59"/>
    <mergeCell ref="AB56:AB59"/>
    <mergeCell ref="AC56:AC59"/>
    <mergeCell ref="AD56:AD59"/>
    <mergeCell ref="AE56:AE59"/>
    <mergeCell ref="AF56:AF59"/>
    <mergeCell ref="AG56:AG59"/>
    <mergeCell ref="AE34:AE35"/>
    <mergeCell ref="AF34:AF35"/>
    <mergeCell ref="AG34:AG35"/>
    <mergeCell ref="Y32:Y33"/>
    <mergeCell ref="Z32:Z33"/>
    <mergeCell ref="E1:F1"/>
    <mergeCell ref="AB60:AB62"/>
    <mergeCell ref="Y60:Y62"/>
    <mergeCell ref="Z60:Z62"/>
    <mergeCell ref="AA60:AA62"/>
    <mergeCell ref="AC60:AC62"/>
    <mergeCell ref="AD60:AD62"/>
    <mergeCell ref="AE60:AE62"/>
    <mergeCell ref="AF60:AF62"/>
    <mergeCell ref="J1:K1"/>
    <mergeCell ref="L1:N1"/>
    <mergeCell ref="O1:P1"/>
    <mergeCell ref="G1:I1"/>
    <mergeCell ref="AC7:AC8"/>
    <mergeCell ref="AD7:AD8"/>
    <mergeCell ref="AE7:AE8"/>
    <mergeCell ref="AF7:AF8"/>
    <mergeCell ref="AA32:AA33"/>
    <mergeCell ref="AB32:AB33"/>
    <mergeCell ref="AC32:AC33"/>
    <mergeCell ref="AD32:AD33"/>
    <mergeCell ref="AE32:AE33"/>
    <mergeCell ref="AF32:AF33"/>
    <mergeCell ref="Y13:Y15"/>
  </mergeCells>
  <conditionalFormatting sqref="O49:P55 O31:P38 O64:P65 O24 O7:P20 X7:X20 O67:P67 O83:S1048576 O71:S81 Q1:S1">
    <cfRule type="cellIs" dxfId="237" priority="317" operator="greaterThan">
      <formula>0.9</formula>
    </cfRule>
  </conditionalFormatting>
  <conditionalFormatting sqref="X49:X55 X31:X38 X64:X65 X24 X67 X71:X73 X75:X1048576">
    <cfRule type="cellIs" dxfId="236" priority="316" operator="greaterThan">
      <formula>0.9</formula>
    </cfRule>
  </conditionalFormatting>
  <conditionalFormatting sqref="O66:P66">
    <cfRule type="cellIs" dxfId="235" priority="314" operator="greaterThan">
      <formula>0.9</formula>
    </cfRule>
  </conditionalFormatting>
  <conditionalFormatting sqref="X66">
    <cfRule type="cellIs" dxfId="234" priority="313" operator="greaterThan">
      <formula>0.9</formula>
    </cfRule>
  </conditionalFormatting>
  <conditionalFormatting sqref="O39:P40 O43:P43">
    <cfRule type="cellIs" dxfId="233" priority="312" operator="greaterThan">
      <formula>0.9</formula>
    </cfRule>
  </conditionalFormatting>
  <conditionalFormatting sqref="X39:X40 X43">
    <cfRule type="cellIs" dxfId="232" priority="311" operator="greaterThan">
      <formula>0.9</formula>
    </cfRule>
  </conditionalFormatting>
  <conditionalFormatting sqref="O25:P25">
    <cfRule type="cellIs" dxfId="231" priority="310" operator="greaterThan">
      <formula>0.9</formula>
    </cfRule>
  </conditionalFormatting>
  <conditionalFormatting sqref="X25">
    <cfRule type="cellIs" dxfId="230" priority="309" operator="greaterThan">
      <formula>0.9</formula>
    </cfRule>
  </conditionalFormatting>
  <conditionalFormatting sqref="X1">
    <cfRule type="cellIs" dxfId="229" priority="308" operator="greaterThan">
      <formula>0.9</formula>
    </cfRule>
  </conditionalFormatting>
  <conditionalFormatting sqref="AB1:AB2 AB39:AB40 AB18:AB20 AB43 AB24:AB25 AB31:AB35 AB64:AB67 AB7:AB16 AB71:AB1048576 AB49:AB55">
    <cfRule type="containsText" dxfId="228" priority="307" operator="containsText" text="new">
      <formula>NOT(ISERROR(SEARCH("new",AB1)))</formula>
    </cfRule>
  </conditionalFormatting>
  <conditionalFormatting sqref="AB36:AB37">
    <cfRule type="containsText" dxfId="227" priority="306" operator="containsText" text="new">
      <formula>NOT(ISERROR(SEARCH("new",AB36)))</formula>
    </cfRule>
  </conditionalFormatting>
  <conditionalFormatting sqref="AB38">
    <cfRule type="containsText" dxfId="226" priority="305" operator="containsText" text="new">
      <formula>NOT(ISERROR(SEARCH("new",AB38)))</formula>
    </cfRule>
  </conditionalFormatting>
  <conditionalFormatting sqref="AB71:AB1048576 AB64:AB67 AB1:AB2 AB7:AB20 AB43 AB24:AB25 AB31:AB40 AB49:AB55">
    <cfRule type="duplicateValues" dxfId="225" priority="304"/>
  </conditionalFormatting>
  <conditionalFormatting sqref="O43 O24:O25 O31:O40 O7:O20 O64:O67 O83:O1048576 O71:O81 O49:O55">
    <cfRule type="cellIs" dxfId="224" priority="303" operator="equal">
      <formula>0</formula>
    </cfRule>
  </conditionalFormatting>
  <conditionalFormatting sqref="AK49:AK52 AK1:AK2 AK32:AK35 AK71:AK1048576 AK7:AK15 AK54:AK55">
    <cfRule type="cellIs" dxfId="223" priority="302" operator="equal">
      <formula>0</formula>
    </cfRule>
  </conditionalFormatting>
  <conditionalFormatting sqref="AH71:AH73">
    <cfRule type="iconSet" priority="301">
      <iconSet iconSet="3Arrows">
        <cfvo type="percent" val="0"/>
        <cfvo type="percent" val="33"/>
        <cfvo type="percent" val="67"/>
      </iconSet>
    </cfRule>
  </conditionalFormatting>
  <conditionalFormatting sqref="O59:P59">
    <cfRule type="cellIs" dxfId="222" priority="276" operator="greaterThan">
      <formula>0.9</formula>
    </cfRule>
  </conditionalFormatting>
  <conditionalFormatting sqref="X59">
    <cfRule type="cellIs" dxfId="221" priority="275" operator="greaterThan">
      <formula>0.9</formula>
    </cfRule>
  </conditionalFormatting>
  <conditionalFormatting sqref="O59">
    <cfRule type="cellIs" dxfId="220" priority="272" operator="equal">
      <formula>0</formula>
    </cfRule>
  </conditionalFormatting>
  <conditionalFormatting sqref="O58:P58">
    <cfRule type="cellIs" dxfId="219" priority="270" operator="greaterThan">
      <formula>0.9</formula>
    </cfRule>
  </conditionalFormatting>
  <conditionalFormatting sqref="X58">
    <cfRule type="cellIs" dxfId="218" priority="269" operator="greaterThan">
      <formula>0.9</formula>
    </cfRule>
  </conditionalFormatting>
  <conditionalFormatting sqref="O58">
    <cfRule type="cellIs" dxfId="217" priority="266" operator="equal">
      <formula>0</formula>
    </cfRule>
  </conditionalFormatting>
  <conditionalFormatting sqref="O57:P57">
    <cfRule type="cellIs" dxfId="216" priority="264" operator="greaterThan">
      <formula>0.9</formula>
    </cfRule>
  </conditionalFormatting>
  <conditionalFormatting sqref="X57">
    <cfRule type="cellIs" dxfId="215" priority="263" operator="greaterThan">
      <formula>0.9</formula>
    </cfRule>
  </conditionalFormatting>
  <conditionalFormatting sqref="O57">
    <cfRule type="cellIs" dxfId="214" priority="260" operator="equal">
      <formula>0</formula>
    </cfRule>
  </conditionalFormatting>
  <conditionalFormatting sqref="O56:P56">
    <cfRule type="cellIs" dxfId="213" priority="258" operator="greaterThan">
      <formula>0.9</formula>
    </cfRule>
  </conditionalFormatting>
  <conditionalFormatting sqref="X56">
    <cfRule type="cellIs" dxfId="212" priority="257" operator="greaterThan">
      <formula>0.9</formula>
    </cfRule>
  </conditionalFormatting>
  <conditionalFormatting sqref="O56">
    <cfRule type="cellIs" dxfId="211" priority="254" operator="equal">
      <formula>0</formula>
    </cfRule>
  </conditionalFormatting>
  <conditionalFormatting sqref="O5:P6">
    <cfRule type="cellIs" dxfId="210" priority="243" operator="greaterThan">
      <formula>0.9</formula>
    </cfRule>
  </conditionalFormatting>
  <conditionalFormatting sqref="O4:P4 P49:P67 P31:P43 P3:P26">
    <cfRule type="cellIs" dxfId="209" priority="249" operator="greaterThan">
      <formula>0.9</formula>
    </cfRule>
  </conditionalFormatting>
  <conditionalFormatting sqref="X3:X26 X71:X73 X49:X67 X31:X43">
    <cfRule type="cellIs" dxfId="208" priority="248" operator="greaterThan">
      <formula>0.9</formula>
    </cfRule>
  </conditionalFormatting>
  <conditionalFormatting sqref="AB3">
    <cfRule type="containsText" dxfId="207" priority="247" operator="containsText" text="new">
      <formula>NOT(ISERROR(SEARCH("new",AB3)))</formula>
    </cfRule>
  </conditionalFormatting>
  <conditionalFormatting sqref="AB3">
    <cfRule type="duplicateValues" dxfId="206" priority="246"/>
  </conditionalFormatting>
  <conditionalFormatting sqref="O4">
    <cfRule type="cellIs" dxfId="205" priority="245" operator="equal">
      <formula>0</formula>
    </cfRule>
  </conditionalFormatting>
  <conditionalFormatting sqref="X5:X6">
    <cfRule type="cellIs" dxfId="204" priority="242" operator="greaterThan">
      <formula>0.9</formula>
    </cfRule>
  </conditionalFormatting>
  <conditionalFormatting sqref="O5:O6">
    <cfRule type="cellIs" dxfId="203" priority="239" operator="equal">
      <formula>0</formula>
    </cfRule>
  </conditionalFormatting>
  <conditionalFormatting sqref="AB56">
    <cfRule type="containsText" dxfId="202" priority="237" operator="containsText" text="new">
      <formula>NOT(ISERROR(SEARCH("new",AB56)))</formula>
    </cfRule>
  </conditionalFormatting>
  <conditionalFormatting sqref="AB56">
    <cfRule type="duplicateValues" dxfId="201" priority="236"/>
  </conditionalFormatting>
  <conditionalFormatting sqref="X41">
    <cfRule type="cellIs" dxfId="200" priority="228" operator="greaterThan">
      <formula>0.9</formula>
    </cfRule>
  </conditionalFormatting>
  <conditionalFormatting sqref="O41:P41">
    <cfRule type="cellIs" dxfId="199" priority="229" operator="greaterThan">
      <formula>0.9</formula>
    </cfRule>
  </conditionalFormatting>
  <conditionalFormatting sqref="AB41">
    <cfRule type="containsText" dxfId="198" priority="227" operator="containsText" text="new">
      <formula>NOT(ISERROR(SEARCH("new",AB41)))</formula>
    </cfRule>
  </conditionalFormatting>
  <conditionalFormatting sqref="AB41">
    <cfRule type="duplicateValues" dxfId="197" priority="226"/>
  </conditionalFormatting>
  <conditionalFormatting sqref="O41">
    <cfRule type="cellIs" dxfId="196" priority="225" operator="equal">
      <formula>0</formula>
    </cfRule>
  </conditionalFormatting>
  <conditionalFormatting sqref="O42:P42">
    <cfRule type="cellIs" dxfId="195" priority="224" operator="greaterThan">
      <formula>0.9</formula>
    </cfRule>
  </conditionalFormatting>
  <conditionalFormatting sqref="X42">
    <cfRule type="cellIs" dxfId="194" priority="223" operator="greaterThan">
      <formula>0.9</formula>
    </cfRule>
  </conditionalFormatting>
  <conditionalFormatting sqref="AB42">
    <cfRule type="containsText" dxfId="193" priority="222" operator="containsText" text="new">
      <formula>NOT(ISERROR(SEARCH("new",AB42)))</formula>
    </cfRule>
  </conditionalFormatting>
  <conditionalFormatting sqref="AB42">
    <cfRule type="duplicateValues" dxfId="192" priority="221"/>
  </conditionalFormatting>
  <conditionalFormatting sqref="O42">
    <cfRule type="cellIs" dxfId="191" priority="220" operator="equal">
      <formula>0</formula>
    </cfRule>
  </conditionalFormatting>
  <conditionalFormatting sqref="AK42">
    <cfRule type="cellIs" dxfId="190" priority="219" operator="equal">
      <formula>0</formula>
    </cfRule>
  </conditionalFormatting>
  <conditionalFormatting sqref="O23:P23 O21:P21">
    <cfRule type="cellIs" dxfId="189" priority="218" operator="greaterThan">
      <formula>0.9</formula>
    </cfRule>
  </conditionalFormatting>
  <conditionalFormatting sqref="X23 X21">
    <cfRule type="cellIs" dxfId="188" priority="217" operator="greaterThan">
      <formula>0.9</formula>
    </cfRule>
  </conditionalFormatting>
  <conditionalFormatting sqref="O22:P22">
    <cfRule type="cellIs" dxfId="187" priority="216" operator="greaterThan">
      <formula>0.9</formula>
    </cfRule>
  </conditionalFormatting>
  <conditionalFormatting sqref="X22">
    <cfRule type="cellIs" dxfId="186" priority="215" operator="greaterThan">
      <formula>0.9</formula>
    </cfRule>
  </conditionalFormatting>
  <conditionalFormatting sqref="AB21:AB23">
    <cfRule type="containsText" dxfId="185" priority="214" operator="containsText" text="new">
      <formula>NOT(ISERROR(SEARCH("new",AB21)))</formula>
    </cfRule>
  </conditionalFormatting>
  <conditionalFormatting sqref="AB21:AB23">
    <cfRule type="duplicateValues" dxfId="184" priority="213"/>
  </conditionalFormatting>
  <conditionalFormatting sqref="O21:O23">
    <cfRule type="cellIs" dxfId="183" priority="212" operator="equal">
      <formula>0</formula>
    </cfRule>
  </conditionalFormatting>
  <conditionalFormatting sqref="O26:P26">
    <cfRule type="cellIs" dxfId="182" priority="210" operator="greaterThan">
      <formula>0.9</formula>
    </cfRule>
  </conditionalFormatting>
  <conditionalFormatting sqref="X26">
    <cfRule type="cellIs" dxfId="181" priority="209" operator="greaterThan">
      <formula>0.9</formula>
    </cfRule>
  </conditionalFormatting>
  <conditionalFormatting sqref="AB26">
    <cfRule type="containsText" dxfId="180" priority="208" operator="containsText" text="new">
      <formula>NOT(ISERROR(SEARCH("new",AB26)))</formula>
    </cfRule>
  </conditionalFormatting>
  <conditionalFormatting sqref="AB26">
    <cfRule type="duplicateValues" dxfId="179" priority="207"/>
  </conditionalFormatting>
  <conditionalFormatting sqref="O26">
    <cfRule type="cellIs" dxfId="178" priority="206" operator="equal">
      <formula>0</formula>
    </cfRule>
  </conditionalFormatting>
  <conditionalFormatting sqref="AK6">
    <cfRule type="cellIs" dxfId="177" priority="204" operator="equal">
      <formula>0</formula>
    </cfRule>
  </conditionalFormatting>
  <conditionalFormatting sqref="AL1:AL1048576">
    <cfRule type="cellIs" dxfId="176" priority="202" operator="equal">
      <formula>"YES"</formula>
    </cfRule>
  </conditionalFormatting>
  <conditionalFormatting sqref="AK3:AK6">
    <cfRule type="cellIs" dxfId="175" priority="201" operator="equal">
      <formula>0</formula>
    </cfRule>
  </conditionalFormatting>
  <conditionalFormatting sqref="O62:P62">
    <cfRule type="cellIs" dxfId="174" priority="173" operator="greaterThan">
      <formula>0.9</formula>
    </cfRule>
  </conditionalFormatting>
  <conditionalFormatting sqref="X62">
    <cfRule type="cellIs" dxfId="173" priority="172" operator="greaterThan">
      <formula>0.9</formula>
    </cfRule>
  </conditionalFormatting>
  <conditionalFormatting sqref="O62">
    <cfRule type="cellIs" dxfId="172" priority="171" operator="equal">
      <formula>0</formula>
    </cfRule>
  </conditionalFormatting>
  <conditionalFormatting sqref="O61:P61">
    <cfRule type="cellIs" dxfId="171" priority="166" operator="greaterThan">
      <formula>0.9</formula>
    </cfRule>
  </conditionalFormatting>
  <conditionalFormatting sqref="X61">
    <cfRule type="cellIs" dxfId="170" priority="165" operator="greaterThan">
      <formula>0.9</formula>
    </cfRule>
  </conditionalFormatting>
  <conditionalFormatting sqref="O61">
    <cfRule type="cellIs" dxfId="169" priority="164" operator="equal">
      <formula>0</formula>
    </cfRule>
  </conditionalFormatting>
  <conditionalFormatting sqref="O60:P60">
    <cfRule type="cellIs" dxfId="168" priority="159" operator="greaterThan">
      <formula>0.9</formula>
    </cfRule>
  </conditionalFormatting>
  <conditionalFormatting sqref="X60">
    <cfRule type="cellIs" dxfId="167" priority="158" operator="greaterThan">
      <formula>0.9</formula>
    </cfRule>
  </conditionalFormatting>
  <conditionalFormatting sqref="O60">
    <cfRule type="cellIs" dxfId="166" priority="157" operator="equal">
      <formula>0</formula>
    </cfRule>
  </conditionalFormatting>
  <conditionalFormatting sqref="AB63">
    <cfRule type="containsText" dxfId="165" priority="155" operator="containsText" text="new">
      <formula>NOT(ISERROR(SEARCH("new",AB63)))</formula>
    </cfRule>
  </conditionalFormatting>
  <conditionalFormatting sqref="AB63">
    <cfRule type="duplicateValues" dxfId="164" priority="154"/>
  </conditionalFormatting>
  <conditionalFormatting sqref="O63:P63">
    <cfRule type="cellIs" dxfId="163" priority="152" operator="greaterThan">
      <formula>0.9</formula>
    </cfRule>
  </conditionalFormatting>
  <conditionalFormatting sqref="X63">
    <cfRule type="cellIs" dxfId="162" priority="151" operator="greaterThan">
      <formula>0.9</formula>
    </cfRule>
  </conditionalFormatting>
  <conditionalFormatting sqref="O63">
    <cfRule type="cellIs" dxfId="161" priority="150" operator="equal">
      <formula>0</formula>
    </cfRule>
  </conditionalFormatting>
  <conditionalFormatting sqref="AB60:AB62">
    <cfRule type="containsText" dxfId="160" priority="147" operator="containsText" text="new">
      <formula>NOT(ISERROR(SEARCH("new",AB60)))</formula>
    </cfRule>
  </conditionalFormatting>
  <conditionalFormatting sqref="AB60:AB62">
    <cfRule type="duplicateValues" dxfId="159" priority="146"/>
  </conditionalFormatting>
  <conditionalFormatting sqref="P24">
    <cfRule type="cellIs" dxfId="158" priority="145" operator="greaterThan">
      <formula>0.9</formula>
    </cfRule>
  </conditionalFormatting>
  <conditionalFormatting sqref="P74:S74">
    <cfRule type="cellIs" dxfId="157" priority="144" operator="equal">
      <formula>0</formula>
    </cfRule>
  </conditionalFormatting>
  <conditionalFormatting sqref="O3:O26 O49:O67 O31:O43">
    <cfRule type="cellIs" dxfId="156" priority="143" operator="greaterThan">
      <formula>0.9</formula>
    </cfRule>
  </conditionalFormatting>
  <conditionalFormatting sqref="O3:O26 O49:O67 O31:O43">
    <cfRule type="cellIs" dxfId="155" priority="142" operator="equal">
      <formula>0</formula>
    </cfRule>
  </conditionalFormatting>
  <conditionalFormatting sqref="N76">
    <cfRule type="cellIs" dxfId="154" priority="141" operator="greaterThan">
      <formula>0.9</formula>
    </cfRule>
  </conditionalFormatting>
  <conditionalFormatting sqref="N76">
    <cfRule type="cellIs" dxfId="153" priority="140" operator="equal">
      <formula>0</formula>
    </cfRule>
  </conditionalFormatting>
  <conditionalFormatting sqref="N82">
    <cfRule type="cellIs" dxfId="152" priority="139" operator="greaterThan">
      <formula>0.9</formula>
    </cfRule>
  </conditionalFormatting>
  <conditionalFormatting sqref="N82">
    <cfRule type="cellIs" dxfId="151" priority="138" operator="equal">
      <formula>0</formula>
    </cfRule>
  </conditionalFormatting>
  <conditionalFormatting sqref="L82">
    <cfRule type="cellIs" dxfId="150" priority="137" operator="greaterThan">
      <formula>0.9</formula>
    </cfRule>
  </conditionalFormatting>
  <conditionalFormatting sqref="L82">
    <cfRule type="cellIs" dxfId="149" priority="136" operator="equal">
      <formula>0</formula>
    </cfRule>
  </conditionalFormatting>
  <conditionalFormatting sqref="P82:S82">
    <cfRule type="cellIs" dxfId="148" priority="135" operator="greaterThan">
      <formula>0.9</formula>
    </cfRule>
  </conditionalFormatting>
  <conditionalFormatting sqref="P82:S82">
    <cfRule type="cellIs" dxfId="147" priority="134" operator="equal">
      <formula>0</formula>
    </cfRule>
  </conditionalFormatting>
  <conditionalFormatting sqref="O82">
    <cfRule type="cellIs" dxfId="146" priority="133" operator="greaterThan">
      <formula>0.9</formula>
    </cfRule>
  </conditionalFormatting>
  <conditionalFormatting sqref="O82">
    <cfRule type="cellIs" dxfId="145" priority="132" operator="equal">
      <formula>0</formula>
    </cfRule>
  </conditionalFormatting>
  <conditionalFormatting sqref="AH63">
    <cfRule type="cellIs" dxfId="144" priority="131" operator="equal">
      <formula>0</formula>
    </cfRule>
  </conditionalFormatting>
  <conditionalFormatting sqref="AH63">
    <cfRule type="cellIs" dxfId="143" priority="130" operator="equal">
      <formula>0</formula>
    </cfRule>
  </conditionalFormatting>
  <conditionalFormatting sqref="AK63">
    <cfRule type="cellIs" dxfId="142" priority="129" operator="equal">
      <formula>0</formula>
    </cfRule>
  </conditionalFormatting>
  <conditionalFormatting sqref="AK63">
    <cfRule type="cellIs" dxfId="141" priority="128" operator="equal">
      <formula>0</formula>
    </cfRule>
  </conditionalFormatting>
  <conditionalFormatting sqref="O70:P70">
    <cfRule type="cellIs" dxfId="140" priority="127" operator="greaterThan">
      <formula>0.9</formula>
    </cfRule>
  </conditionalFormatting>
  <conditionalFormatting sqref="X70">
    <cfRule type="cellIs" dxfId="139" priority="126" operator="greaterThan">
      <formula>0.9</formula>
    </cfRule>
  </conditionalFormatting>
  <conditionalFormatting sqref="O70">
    <cfRule type="cellIs" dxfId="138" priority="125" operator="equal">
      <formula>0</formula>
    </cfRule>
  </conditionalFormatting>
  <conditionalFormatting sqref="P70">
    <cfRule type="cellIs" dxfId="137" priority="124" operator="greaterThan">
      <formula>0.9</formula>
    </cfRule>
  </conditionalFormatting>
  <conditionalFormatting sqref="X70">
    <cfRule type="cellIs" dxfId="136" priority="123" operator="greaterThan">
      <formula>0.9</formula>
    </cfRule>
  </conditionalFormatting>
  <conditionalFormatting sqref="O70">
    <cfRule type="cellIs" dxfId="135" priority="121" operator="greaterThan">
      <formula>0.9</formula>
    </cfRule>
  </conditionalFormatting>
  <conditionalFormatting sqref="O70">
    <cfRule type="cellIs" dxfId="134" priority="120" operator="equal">
      <formula>0</formula>
    </cfRule>
  </conditionalFormatting>
  <conditionalFormatting sqref="O68:P68">
    <cfRule type="cellIs" dxfId="133" priority="119" operator="greaterThan">
      <formula>0.9</formula>
    </cfRule>
  </conditionalFormatting>
  <conditionalFormatting sqref="X68">
    <cfRule type="cellIs" dxfId="132" priority="118" operator="greaterThan">
      <formula>0.9</formula>
    </cfRule>
  </conditionalFormatting>
  <conditionalFormatting sqref="O68">
    <cfRule type="cellIs" dxfId="131" priority="117" operator="equal">
      <formula>0</formula>
    </cfRule>
  </conditionalFormatting>
  <conditionalFormatting sqref="P68">
    <cfRule type="cellIs" dxfId="130" priority="116" operator="greaterThan">
      <formula>0.9</formula>
    </cfRule>
  </conditionalFormatting>
  <conditionalFormatting sqref="X68">
    <cfRule type="cellIs" dxfId="129" priority="115" operator="greaterThan">
      <formula>0.9</formula>
    </cfRule>
  </conditionalFormatting>
  <conditionalFormatting sqref="O68">
    <cfRule type="cellIs" dxfId="128" priority="113" operator="greaterThan">
      <formula>0.9</formula>
    </cfRule>
  </conditionalFormatting>
  <conditionalFormatting sqref="O68">
    <cfRule type="cellIs" dxfId="127" priority="112" operator="equal">
      <formula>0</formula>
    </cfRule>
  </conditionalFormatting>
  <conditionalFormatting sqref="O69:P69">
    <cfRule type="cellIs" dxfId="126" priority="111" operator="greaterThan">
      <formula>0.9</formula>
    </cfRule>
  </conditionalFormatting>
  <conditionalFormatting sqref="X69">
    <cfRule type="cellIs" dxfId="125" priority="110" operator="greaterThan">
      <formula>0.9</formula>
    </cfRule>
  </conditionalFormatting>
  <conditionalFormatting sqref="O69">
    <cfRule type="cellIs" dxfId="124" priority="109" operator="equal">
      <formula>0</formula>
    </cfRule>
  </conditionalFormatting>
  <conditionalFormatting sqref="P69">
    <cfRule type="cellIs" dxfId="123" priority="108" operator="greaterThan">
      <formula>0.9</formula>
    </cfRule>
  </conditionalFormatting>
  <conditionalFormatting sqref="X69">
    <cfRule type="cellIs" dxfId="122" priority="107" operator="greaterThan">
      <formula>0.9</formula>
    </cfRule>
  </conditionalFormatting>
  <conditionalFormatting sqref="O69">
    <cfRule type="cellIs" dxfId="121" priority="105" operator="greaterThan">
      <formula>0.9</formula>
    </cfRule>
  </conditionalFormatting>
  <conditionalFormatting sqref="O69">
    <cfRule type="cellIs" dxfId="120" priority="104" operator="equal">
      <formula>0</formula>
    </cfRule>
  </conditionalFormatting>
  <conditionalFormatting sqref="P48">
    <cfRule type="cellIs" dxfId="119" priority="103" operator="greaterThan">
      <formula>0.9</formula>
    </cfRule>
  </conditionalFormatting>
  <conditionalFormatting sqref="X48">
    <cfRule type="cellIs" dxfId="118" priority="102" operator="greaterThan">
      <formula>0.9</formula>
    </cfRule>
  </conditionalFormatting>
  <conditionalFormatting sqref="X48">
    <cfRule type="cellIs" dxfId="117" priority="100" operator="greaterThan">
      <formula>0.9</formula>
    </cfRule>
  </conditionalFormatting>
  <conditionalFormatting sqref="O48:P48">
    <cfRule type="cellIs" dxfId="116" priority="101" operator="greaterThan">
      <formula>0.9</formula>
    </cfRule>
  </conditionalFormatting>
  <conditionalFormatting sqref="AB48">
    <cfRule type="containsText" dxfId="115" priority="99" operator="containsText" text="new">
      <formula>NOT(ISERROR(SEARCH("new",AB48)))</formula>
    </cfRule>
  </conditionalFormatting>
  <conditionalFormatting sqref="AB48">
    <cfRule type="duplicateValues" dxfId="114" priority="98"/>
  </conditionalFormatting>
  <conditionalFormatting sqref="O48">
    <cfRule type="cellIs" dxfId="113" priority="97" operator="equal">
      <formula>0</formula>
    </cfRule>
  </conditionalFormatting>
  <conditionalFormatting sqref="O48">
    <cfRule type="cellIs" dxfId="112" priority="95" operator="greaterThan">
      <formula>0.9</formula>
    </cfRule>
  </conditionalFormatting>
  <conditionalFormatting sqref="O48">
    <cfRule type="cellIs" dxfId="111" priority="94" operator="equal">
      <formula>0</formula>
    </cfRule>
  </conditionalFormatting>
  <conditionalFormatting sqref="P44">
    <cfRule type="cellIs" dxfId="110" priority="93" operator="greaterThan">
      <formula>0.9</formula>
    </cfRule>
  </conditionalFormatting>
  <conditionalFormatting sqref="X44">
    <cfRule type="cellIs" dxfId="109" priority="92" operator="greaterThan">
      <formula>0.9</formula>
    </cfRule>
  </conditionalFormatting>
  <conditionalFormatting sqref="X44">
    <cfRule type="cellIs" dxfId="108" priority="90" operator="greaterThan">
      <formula>0.9</formula>
    </cfRule>
  </conditionalFormatting>
  <conditionalFormatting sqref="O44:P44">
    <cfRule type="cellIs" dxfId="107" priority="91" operator="greaterThan">
      <formula>0.9</formula>
    </cfRule>
  </conditionalFormatting>
  <conditionalFormatting sqref="AB44">
    <cfRule type="containsText" dxfId="106" priority="89" operator="containsText" text="new">
      <formula>NOT(ISERROR(SEARCH("new",AB44)))</formula>
    </cfRule>
  </conditionalFormatting>
  <conditionalFormatting sqref="AB44">
    <cfRule type="duplicateValues" dxfId="105" priority="88"/>
  </conditionalFormatting>
  <conditionalFormatting sqref="O44">
    <cfRule type="cellIs" dxfId="104" priority="87" operator="equal">
      <formula>0</formula>
    </cfRule>
  </conditionalFormatting>
  <conditionalFormatting sqref="O44">
    <cfRule type="cellIs" dxfId="103" priority="85" operator="greaterThan">
      <formula>0.9</formula>
    </cfRule>
  </conditionalFormatting>
  <conditionalFormatting sqref="O44">
    <cfRule type="cellIs" dxfId="102" priority="84" operator="equal">
      <formula>0</formula>
    </cfRule>
  </conditionalFormatting>
  <conditionalFormatting sqref="P47">
    <cfRule type="cellIs" dxfId="101" priority="83" operator="greaterThan">
      <formula>0.9</formula>
    </cfRule>
  </conditionalFormatting>
  <conditionalFormatting sqref="X47">
    <cfRule type="cellIs" dxfId="100" priority="82" operator="greaterThan">
      <formula>0.9</formula>
    </cfRule>
  </conditionalFormatting>
  <conditionalFormatting sqref="X47">
    <cfRule type="cellIs" dxfId="99" priority="80" operator="greaterThan">
      <formula>0.9</formula>
    </cfRule>
  </conditionalFormatting>
  <conditionalFormatting sqref="O47:P47">
    <cfRule type="cellIs" dxfId="98" priority="81" operator="greaterThan">
      <formula>0.9</formula>
    </cfRule>
  </conditionalFormatting>
  <conditionalFormatting sqref="AB47">
    <cfRule type="containsText" dxfId="97" priority="79" operator="containsText" text="new">
      <formula>NOT(ISERROR(SEARCH("new",AB47)))</formula>
    </cfRule>
  </conditionalFormatting>
  <conditionalFormatting sqref="AB47">
    <cfRule type="duplicateValues" dxfId="96" priority="78"/>
  </conditionalFormatting>
  <conditionalFormatting sqref="O47">
    <cfRule type="cellIs" dxfId="95" priority="77" operator="equal">
      <formula>0</formula>
    </cfRule>
  </conditionalFormatting>
  <conditionalFormatting sqref="O47">
    <cfRule type="cellIs" dxfId="94" priority="75" operator="greaterThan">
      <formula>0.9</formula>
    </cfRule>
  </conditionalFormatting>
  <conditionalFormatting sqref="O47">
    <cfRule type="cellIs" dxfId="93" priority="74" operator="equal">
      <formula>0</formula>
    </cfRule>
  </conditionalFormatting>
  <conditionalFormatting sqref="P46">
    <cfRule type="cellIs" dxfId="92" priority="73" operator="greaterThan">
      <formula>0.9</formula>
    </cfRule>
  </conditionalFormatting>
  <conditionalFormatting sqref="X46">
    <cfRule type="cellIs" dxfId="91" priority="72" operator="greaterThan">
      <formula>0.9</formula>
    </cfRule>
  </conditionalFormatting>
  <conditionalFormatting sqref="X46">
    <cfRule type="cellIs" dxfId="90" priority="70" operator="greaterThan">
      <formula>0.9</formula>
    </cfRule>
  </conditionalFormatting>
  <conditionalFormatting sqref="O46:P46">
    <cfRule type="cellIs" dxfId="89" priority="71" operator="greaterThan">
      <formula>0.9</formula>
    </cfRule>
  </conditionalFormatting>
  <conditionalFormatting sqref="AB46">
    <cfRule type="containsText" dxfId="88" priority="69" operator="containsText" text="new">
      <formula>NOT(ISERROR(SEARCH("new",AB46)))</formula>
    </cfRule>
  </conditionalFormatting>
  <conditionalFormatting sqref="AB46">
    <cfRule type="duplicateValues" dxfId="87" priority="68"/>
  </conditionalFormatting>
  <conditionalFormatting sqref="O46">
    <cfRule type="cellIs" dxfId="86" priority="67" operator="equal">
      <formula>0</formula>
    </cfRule>
  </conditionalFormatting>
  <conditionalFormatting sqref="O46">
    <cfRule type="cellIs" dxfId="85" priority="65" operator="greaterThan">
      <formula>0.9</formula>
    </cfRule>
  </conditionalFormatting>
  <conditionalFormatting sqref="O46">
    <cfRule type="cellIs" dxfId="84" priority="64" operator="equal">
      <formula>0</formula>
    </cfRule>
  </conditionalFormatting>
  <conditionalFormatting sqref="P45">
    <cfRule type="cellIs" dxfId="83" priority="63" operator="greaterThan">
      <formula>0.9</formula>
    </cfRule>
  </conditionalFormatting>
  <conditionalFormatting sqref="X45">
    <cfRule type="cellIs" dxfId="82" priority="62" operator="greaterThan">
      <formula>0.9</formula>
    </cfRule>
  </conditionalFormatting>
  <conditionalFormatting sqref="X45">
    <cfRule type="cellIs" dxfId="81" priority="60" operator="greaterThan">
      <formula>0.9</formula>
    </cfRule>
  </conditionalFormatting>
  <conditionalFormatting sqref="O45:P45">
    <cfRule type="cellIs" dxfId="80" priority="61" operator="greaterThan">
      <formula>0.9</formula>
    </cfRule>
  </conditionalFormatting>
  <conditionalFormatting sqref="AB45">
    <cfRule type="containsText" dxfId="79" priority="59" operator="containsText" text="new">
      <formula>NOT(ISERROR(SEARCH("new",AB45)))</formula>
    </cfRule>
  </conditionalFormatting>
  <conditionalFormatting sqref="AB45">
    <cfRule type="duplicateValues" dxfId="78" priority="58"/>
  </conditionalFormatting>
  <conditionalFormatting sqref="O45">
    <cfRule type="cellIs" dxfId="77" priority="57" operator="equal">
      <formula>0</formula>
    </cfRule>
  </conditionalFormatting>
  <conditionalFormatting sqref="O45">
    <cfRule type="cellIs" dxfId="76" priority="55" operator="greaterThan">
      <formula>0.9</formula>
    </cfRule>
  </conditionalFormatting>
  <conditionalFormatting sqref="O45">
    <cfRule type="cellIs" dxfId="75" priority="54" operator="equal">
      <formula>0</formula>
    </cfRule>
  </conditionalFormatting>
  <conditionalFormatting sqref="O27:P27">
    <cfRule type="cellIs" dxfId="74" priority="53" operator="greaterThan">
      <formula>0.9</formula>
    </cfRule>
  </conditionalFormatting>
  <conditionalFormatting sqref="X27">
    <cfRule type="cellIs" dxfId="73" priority="52" operator="greaterThan">
      <formula>0.9</formula>
    </cfRule>
  </conditionalFormatting>
  <conditionalFormatting sqref="AB27">
    <cfRule type="containsText" dxfId="72" priority="51" operator="containsText" text="new">
      <formula>NOT(ISERROR(SEARCH("new",AB27)))</formula>
    </cfRule>
  </conditionalFormatting>
  <conditionalFormatting sqref="AB27">
    <cfRule type="duplicateValues" dxfId="71" priority="50"/>
  </conditionalFormatting>
  <conditionalFormatting sqref="O27">
    <cfRule type="cellIs" dxfId="70" priority="49" operator="equal">
      <formula>0</formula>
    </cfRule>
  </conditionalFormatting>
  <conditionalFormatting sqref="P27">
    <cfRule type="cellIs" dxfId="69" priority="48" operator="greaterThan">
      <formula>0.9</formula>
    </cfRule>
  </conditionalFormatting>
  <conditionalFormatting sqref="X27">
    <cfRule type="cellIs" dxfId="68" priority="47" operator="greaterThan">
      <formula>0.9</formula>
    </cfRule>
  </conditionalFormatting>
  <conditionalFormatting sqref="O27">
    <cfRule type="cellIs" dxfId="67" priority="45" operator="greaterThan">
      <formula>0.9</formula>
    </cfRule>
  </conditionalFormatting>
  <conditionalFormatting sqref="O27">
    <cfRule type="cellIs" dxfId="66" priority="44" operator="equal">
      <formula>0</formula>
    </cfRule>
  </conditionalFormatting>
  <conditionalFormatting sqref="O28:P28">
    <cfRule type="cellIs" dxfId="65" priority="43" operator="greaterThan">
      <formula>0.9</formula>
    </cfRule>
  </conditionalFormatting>
  <conditionalFormatting sqref="X28">
    <cfRule type="cellIs" dxfId="64" priority="42" operator="greaterThan">
      <formula>0.9</formula>
    </cfRule>
  </conditionalFormatting>
  <conditionalFormatting sqref="AB28">
    <cfRule type="containsText" dxfId="63" priority="41" operator="containsText" text="new">
      <formula>NOT(ISERROR(SEARCH("new",AB28)))</formula>
    </cfRule>
  </conditionalFormatting>
  <conditionalFormatting sqref="AB28">
    <cfRule type="duplicateValues" dxfId="62" priority="40"/>
  </conditionalFormatting>
  <conditionalFormatting sqref="O28">
    <cfRule type="cellIs" dxfId="61" priority="39" operator="equal">
      <formula>0</formula>
    </cfRule>
  </conditionalFormatting>
  <conditionalFormatting sqref="P28">
    <cfRule type="cellIs" dxfId="60" priority="38" operator="greaterThan">
      <formula>0.9</formula>
    </cfRule>
  </conditionalFormatting>
  <conditionalFormatting sqref="X28">
    <cfRule type="cellIs" dxfId="59" priority="37" operator="greaterThan">
      <formula>0.9</formula>
    </cfRule>
  </conditionalFormatting>
  <conditionalFormatting sqref="O28">
    <cfRule type="cellIs" dxfId="58" priority="35" operator="greaterThan">
      <formula>0.9</formula>
    </cfRule>
  </conditionalFormatting>
  <conditionalFormatting sqref="O28">
    <cfRule type="cellIs" dxfId="57" priority="34" operator="equal">
      <formula>0</formula>
    </cfRule>
  </conditionalFormatting>
  <conditionalFormatting sqref="O29:P29">
    <cfRule type="cellIs" dxfId="56" priority="33" operator="greaterThan">
      <formula>0.9</formula>
    </cfRule>
  </conditionalFormatting>
  <conditionalFormatting sqref="X29">
    <cfRule type="cellIs" dxfId="55" priority="32" operator="greaterThan">
      <formula>0.9</formula>
    </cfRule>
  </conditionalFormatting>
  <conditionalFormatting sqref="AB29">
    <cfRule type="containsText" dxfId="54" priority="31" operator="containsText" text="new">
      <formula>NOT(ISERROR(SEARCH("new",AB29)))</formula>
    </cfRule>
  </conditionalFormatting>
  <conditionalFormatting sqref="AB29">
    <cfRule type="duplicateValues" dxfId="53" priority="30"/>
  </conditionalFormatting>
  <conditionalFormatting sqref="O29">
    <cfRule type="cellIs" dxfId="52" priority="29" operator="equal">
      <formula>0</formula>
    </cfRule>
  </conditionalFormatting>
  <conditionalFormatting sqref="P29">
    <cfRule type="cellIs" dxfId="51" priority="28" operator="greaterThan">
      <formula>0.9</formula>
    </cfRule>
  </conditionalFormatting>
  <conditionalFormatting sqref="X29">
    <cfRule type="cellIs" dxfId="50" priority="27" operator="greaterThan">
      <formula>0.9</formula>
    </cfRule>
  </conditionalFormatting>
  <conditionalFormatting sqref="O29">
    <cfRule type="cellIs" dxfId="49" priority="25" operator="greaterThan">
      <formula>0.9</formula>
    </cfRule>
  </conditionalFormatting>
  <conditionalFormatting sqref="O29">
    <cfRule type="cellIs" dxfId="48" priority="24" operator="equal">
      <formula>0</formula>
    </cfRule>
  </conditionalFormatting>
  <conditionalFormatting sqref="O30:P30">
    <cfRule type="cellIs" dxfId="47" priority="23" operator="greaterThan">
      <formula>0.9</formula>
    </cfRule>
  </conditionalFormatting>
  <conditionalFormatting sqref="X30">
    <cfRule type="cellIs" dxfId="46" priority="22" operator="greaterThan">
      <formula>0.9</formula>
    </cfRule>
  </conditionalFormatting>
  <conditionalFormatting sqref="AB30">
    <cfRule type="containsText" dxfId="45" priority="21" operator="containsText" text="new">
      <formula>NOT(ISERROR(SEARCH("new",AB30)))</formula>
    </cfRule>
  </conditionalFormatting>
  <conditionalFormatting sqref="AB30">
    <cfRule type="duplicateValues" dxfId="44" priority="20"/>
  </conditionalFormatting>
  <conditionalFormatting sqref="O30">
    <cfRule type="cellIs" dxfId="43" priority="19" operator="equal">
      <formula>0</formula>
    </cfRule>
  </conditionalFormatting>
  <conditionalFormatting sqref="P30">
    <cfRule type="cellIs" dxfId="42" priority="18" operator="greaterThan">
      <formula>0.9</formula>
    </cfRule>
  </conditionalFormatting>
  <conditionalFormatting sqref="X30">
    <cfRule type="cellIs" dxfId="41" priority="17" operator="greaterThan">
      <formula>0.9</formula>
    </cfRule>
  </conditionalFormatting>
  <conditionalFormatting sqref="O30">
    <cfRule type="cellIs" dxfId="40" priority="15" operator="greaterThan">
      <formula>0.9</formula>
    </cfRule>
  </conditionalFormatting>
  <conditionalFormatting sqref="O30">
    <cfRule type="cellIs" dxfId="39" priority="14" operator="equal">
      <formula>0</formula>
    </cfRule>
  </conditionalFormatting>
  <conditionalFormatting sqref="M76">
    <cfRule type="cellIs" dxfId="38" priority="13" operator="greaterThan">
      <formula>0.9</formula>
    </cfRule>
  </conditionalFormatting>
  <conditionalFormatting sqref="M76">
    <cfRule type="cellIs" dxfId="37" priority="12" operator="equal">
      <formula>0</formula>
    </cfRule>
  </conditionalFormatting>
  <conditionalFormatting sqref="M82">
    <cfRule type="cellIs" dxfId="36" priority="11" operator="greaterThan">
      <formula>0.9</formula>
    </cfRule>
  </conditionalFormatting>
  <conditionalFormatting sqref="M82">
    <cfRule type="cellIs" dxfId="35" priority="10" operator="equal">
      <formula>0</formula>
    </cfRule>
  </conditionalFormatting>
  <conditionalFormatting sqref="O3:O1048576">
    <cfRule type="cellIs" dxfId="34" priority="8" operator="greaterThan">
      <formula>0.85</formula>
    </cfRule>
  </conditionalFormatting>
  <conditionalFormatting sqref="W1 W3:W1048576">
    <cfRule type="cellIs" dxfId="33" priority="7" operator="greaterThan">
      <formula>0.85</formula>
    </cfRule>
  </conditionalFormatting>
  <conditionalFormatting sqref="AL3:AL70">
    <cfRule type="duplicateValues" dxfId="32" priority="6"/>
  </conditionalFormatting>
  <conditionalFormatting sqref="S3:S31">
    <cfRule type="cellIs" dxfId="31" priority="1" operator="greaterThan">
      <formula>2300000</formula>
    </cfRule>
    <cfRule type="cellIs" dxfId="30" priority="3" operator="between">
      <formula>1500000</formula>
      <formula>2000000</formula>
    </cfRule>
    <cfRule type="cellIs" dxfId="29" priority="4" operator="between">
      <formula>0</formula>
      <formula>1500000</formula>
    </cfRule>
  </conditionalFormatting>
  <hyperlinks>
    <hyperlink ref="B76" location="'Gioi Thieu Tai lieu'!A1" display="'Gioi Thieu Tai lieu'!A1"/>
  </hyperlinks>
  <pageMargins left="0.7" right="0.7" top="0.75" bottom="0.75" header="0.3" footer="0.3"/>
  <pageSetup orientation="portrait" horizontalDpi="1200" verticalDpi="1200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:AB65"/>
  <sheetViews>
    <sheetView zoomScale="85" zoomScaleNormal="85" workbookViewId="0">
      <pane xSplit="4" ySplit="2" topLeftCell="E3" activePane="bottomRight" state="frozen"/>
      <selection activeCell="K56" sqref="K56"/>
      <selection pane="topRight" activeCell="K56" sqref="K56"/>
      <selection pane="bottomLeft" activeCell="K56" sqref="K56"/>
      <selection pane="bottomRight" activeCell="O6" sqref="O6"/>
    </sheetView>
  </sheetViews>
  <sheetFormatPr defaultRowHeight="15"/>
  <cols>
    <col min="1" max="1" width="4.42578125" bestFit="1" customWidth="1"/>
    <col min="2" max="2" width="27.7109375" bestFit="1" customWidth="1"/>
    <col min="3" max="3" width="7.7109375" bestFit="1" customWidth="1"/>
    <col min="4" max="4" width="7.42578125" bestFit="1" customWidth="1"/>
    <col min="5" max="5" width="12.7109375" bestFit="1" customWidth="1"/>
    <col min="6" max="6" width="12.28515625" bestFit="1" customWidth="1"/>
    <col min="7" max="7" width="15.28515625" customWidth="1"/>
    <col min="8" max="11" width="11" hidden="1" customWidth="1"/>
    <col min="12" max="12" width="12.42578125" bestFit="1" customWidth="1"/>
    <col min="13" max="13" width="11.7109375" style="821" bestFit="1" customWidth="1"/>
    <col min="14" max="14" width="11.5703125" bestFit="1" customWidth="1"/>
    <col min="15" max="15" width="14.5703125" bestFit="1" customWidth="1"/>
    <col min="16" max="16" width="22.140625" customWidth="1"/>
    <col min="17" max="18" width="16" style="137" customWidth="1"/>
    <col min="19" max="20" width="19.42578125" style="137" customWidth="1"/>
    <col min="21" max="22" width="19.28515625" customWidth="1"/>
    <col min="23" max="26" width="16.140625" customWidth="1"/>
    <col min="27" max="27" width="19.140625" bestFit="1" customWidth="1"/>
    <col min="28" max="28" width="16.28515625" bestFit="1" customWidth="1"/>
  </cols>
  <sheetData>
    <row r="1" spans="1:28">
      <c r="A1" s="1016" t="s">
        <v>0</v>
      </c>
      <c r="B1" s="1016" t="s">
        <v>7</v>
      </c>
      <c r="C1" s="1016" t="s">
        <v>43</v>
      </c>
      <c r="D1" s="1016" t="s">
        <v>103</v>
      </c>
      <c r="E1" s="1015" t="s">
        <v>5</v>
      </c>
      <c r="F1" s="1015"/>
      <c r="G1" s="1015"/>
      <c r="H1" s="1105">
        <v>45658</v>
      </c>
      <c r="I1" s="1016"/>
      <c r="J1" s="1016"/>
      <c r="K1" s="1016"/>
      <c r="L1" s="1104" t="str">
        <f>"Hiện tại ("&amp;DAY(Input_NOCPRO_SGSN!B2)&amp;"/"&amp;MONTH(Input_NOCPRO_SGSN!B2)&amp;")"</f>
        <v>Hiện tại (20/5)</v>
      </c>
      <c r="M1" s="1104"/>
      <c r="N1" s="1104"/>
      <c r="O1" s="1104"/>
      <c r="P1" s="324" t="s">
        <v>6</v>
      </c>
      <c r="Q1" s="324"/>
      <c r="R1" s="3"/>
      <c r="S1"/>
      <c r="T1"/>
      <c r="U1" s="322"/>
      <c r="V1" s="832"/>
      <c r="W1" s="3"/>
      <c r="X1" s="3"/>
      <c r="Y1" s="3"/>
      <c r="Z1" s="3"/>
      <c r="AA1" s="3"/>
    </row>
    <row r="2" spans="1:28" ht="45">
      <c r="A2" s="1016"/>
      <c r="B2" s="1016"/>
      <c r="C2" s="1016"/>
      <c r="D2" s="1016"/>
      <c r="E2" s="8" t="s">
        <v>10</v>
      </c>
      <c r="F2" s="9" t="s">
        <v>11</v>
      </c>
      <c r="G2" s="186" t="s">
        <v>322</v>
      </c>
      <c r="H2" s="10" t="s">
        <v>109</v>
      </c>
      <c r="I2" s="11" t="s">
        <v>110</v>
      </c>
      <c r="J2" s="12" t="s">
        <v>111</v>
      </c>
      <c r="K2" s="12" t="s">
        <v>112</v>
      </c>
      <c r="L2" s="10" t="s">
        <v>109</v>
      </c>
      <c r="M2" s="816" t="s">
        <v>110</v>
      </c>
      <c r="N2" s="12" t="s">
        <v>111</v>
      </c>
      <c r="O2" s="12" t="s">
        <v>112</v>
      </c>
      <c r="P2" s="11" t="s">
        <v>13</v>
      </c>
      <c r="Q2" s="187" t="s">
        <v>320</v>
      </c>
      <c r="R2" s="187" t="s">
        <v>321</v>
      </c>
      <c r="S2" s="188" t="s">
        <v>323</v>
      </c>
      <c r="T2" s="188" t="s">
        <v>324</v>
      </c>
      <c r="U2" s="11" t="s">
        <v>268</v>
      </c>
      <c r="V2" s="11" t="s">
        <v>318</v>
      </c>
      <c r="W2" s="7" t="s">
        <v>1100</v>
      </c>
      <c r="X2" s="7" t="s">
        <v>1101</v>
      </c>
      <c r="Y2" s="7" t="s">
        <v>1099</v>
      </c>
      <c r="Z2" s="7" t="s">
        <v>355</v>
      </c>
      <c r="AA2" s="7" t="s">
        <v>14</v>
      </c>
      <c r="AB2" s="326" t="s">
        <v>1098</v>
      </c>
    </row>
    <row r="3" spans="1:28">
      <c r="A3" s="13">
        <v>1</v>
      </c>
      <c r="B3" s="14" t="s">
        <v>16</v>
      </c>
      <c r="C3" s="14" t="s">
        <v>4</v>
      </c>
      <c r="D3" s="15" t="s">
        <v>15</v>
      </c>
      <c r="E3" s="16">
        <f>VLOOKUP(LEFT(B3,6),MME_Lic!A:R,12,FALSE)*1000</f>
        <v>2500000</v>
      </c>
      <c r="F3" s="16">
        <f>VLOOKUP(B3,Input_Lic_Rate_PS!B:H,5,FALSE)</f>
        <v>2800000</v>
      </c>
      <c r="G3" s="16">
        <v>2800000</v>
      </c>
      <c r="H3" s="16">
        <v>1892216</v>
      </c>
      <c r="I3" s="16">
        <v>2063971</v>
      </c>
      <c r="J3" s="4">
        <v>2711067</v>
      </c>
      <c r="K3" s="4">
        <v>2790567</v>
      </c>
      <c r="L3" s="16">
        <f>_xlfn.IFNA(VLOOKUP(B3,Input_NOCPRO_SGSN!C:AA,10,FALSE),0)</f>
        <v>1907372</v>
      </c>
      <c r="M3" s="817">
        <f>_xlfn.IFNA(VLOOKUP(B3,Input_NOCPRO_SGSN!C:AA,11,FALSE),0)</f>
        <v>2016294</v>
      </c>
      <c r="N3" s="16">
        <f>_xlfn.IFNA(VLOOKUP(B3,Input_NOCPRO_SGSN!C:AA,4,FALSE),0)</f>
        <v>3291044</v>
      </c>
      <c r="O3" s="16">
        <f>_xlfn.IFNA(VLOOKUP(B3,Input_NOCPRO_SGSN!C:AA,7,FALSE),0)</f>
        <v>3335437</v>
      </c>
      <c r="P3" s="18">
        <f>M3/G3</f>
        <v>0.720105</v>
      </c>
      <c r="Q3" s="194">
        <f>VLOOKUP(B3,Input_Lic_Rate_PS!X:Y,2,FALSE)</f>
        <v>18</v>
      </c>
      <c r="R3" s="194">
        <v>18</v>
      </c>
      <c r="S3" s="190">
        <f>IF(U3=0,0,M3+(R3/SUM($R$3:$R$14)-Q3/SUM($Q$3:$Q$14))*SUM($M$3:$M$14))*U3</f>
        <v>1829182.4189435337</v>
      </c>
      <c r="T3" s="191">
        <f t="shared" ref="T3:T14" si="0">S3/G3</f>
        <v>0.6532794353369763</v>
      </c>
      <c r="U3" s="4">
        <f t="shared" ref="U3:U39" si="1">IF(R3=0,0,1)</f>
        <v>1</v>
      </c>
      <c r="V3" s="4" t="str">
        <f>IF(Q3=R3,"No","Yes")</f>
        <v>No</v>
      </c>
      <c r="W3" s="212">
        <f t="shared" ref="W3:W14" si="2">S3+R3/$R$15*$M$25</f>
        <v>1829182.4189435337</v>
      </c>
      <c r="X3" s="203">
        <f>W3/G3</f>
        <v>0.6532794353369763</v>
      </c>
      <c r="Y3" s="190">
        <f t="shared" ref="Y3:Y14" si="3">$M$15*R3/$R$15</f>
        <v>1630543.7777777778</v>
      </c>
      <c r="Z3" s="191">
        <f t="shared" ref="Z3:Z14" si="4">Y3/G3</f>
        <v>0.58233706349206349</v>
      </c>
      <c r="AA3" s="15" t="str">
        <f>VLOOKUP(B3,Input_Lic_Rate_PS!B:G,6,FALSE)</f>
        <v>MkVIII</v>
      </c>
    </row>
    <row r="4" spans="1:28">
      <c r="A4" s="13">
        <f>COUNTA(A2,0,0)</f>
        <v>2</v>
      </c>
      <c r="B4" s="14" t="s">
        <v>17</v>
      </c>
      <c r="C4" s="14" t="s">
        <v>4</v>
      </c>
      <c r="D4" s="15" t="s">
        <v>15</v>
      </c>
      <c r="E4" s="16">
        <f>VLOOKUP(LEFT(B4,6),MME_Lic!A:R,12,FALSE)*1000</f>
        <v>2500000</v>
      </c>
      <c r="F4" s="16">
        <f>VLOOKUP(B4,Input_Lic_Rate_PS!B:H,5,FALSE)</f>
        <v>2800000</v>
      </c>
      <c r="G4" s="16">
        <v>2800000</v>
      </c>
      <c r="H4" s="16">
        <v>2078848</v>
      </c>
      <c r="I4" s="16">
        <v>2255621</v>
      </c>
      <c r="J4" s="4">
        <v>3002849</v>
      </c>
      <c r="K4" s="4">
        <v>3086920</v>
      </c>
      <c r="L4" s="16">
        <f>_xlfn.IFNA(VLOOKUP(B4,Input_NOCPRO_SGSN!C:AA,10,FALSE),0)</f>
        <v>2114496</v>
      </c>
      <c r="M4" s="817">
        <f>_xlfn.IFNA(VLOOKUP(B4,Input_NOCPRO_SGSN!C:AA,11,FALSE),0)</f>
        <v>2225314</v>
      </c>
      <c r="N4" s="16">
        <f>_xlfn.IFNA(VLOOKUP(B4,Input_NOCPRO_SGSN!C:AA,4,FALSE),0)</f>
        <v>3682540</v>
      </c>
      <c r="O4" s="16">
        <f>_xlfn.IFNA(VLOOKUP(B4,Input_NOCPRO_SGSN!C:AA,7,FALSE),0)</f>
        <v>3730358</v>
      </c>
      <c r="P4" s="18">
        <f t="shared" ref="P4:P50" si="5">M4/G4</f>
        <v>0.79475499999999999</v>
      </c>
      <c r="Q4" s="194">
        <f>VLOOKUP(B4,Input_Lic_Rate_PS!X:Y,2,FALSE)</f>
        <v>18</v>
      </c>
      <c r="R4" s="194">
        <v>18</v>
      </c>
      <c r="S4" s="190">
        <f t="shared" ref="S4:S14" si="6">IF(U4=0,0,M4+(R4/SUM($R$3:$R$14)-Q4/SUM($Q$3:$Q$14))*SUM($M$3:$M$14))*U4</f>
        <v>2038202.4189435337</v>
      </c>
      <c r="T4" s="191">
        <f t="shared" si="0"/>
        <v>0.72792943533697629</v>
      </c>
      <c r="U4" s="4">
        <f t="shared" si="1"/>
        <v>1</v>
      </c>
      <c r="V4" s="4" t="str">
        <f t="shared" ref="V4:V58" si="7">IF(Q4=R4,"No","Yes")</f>
        <v>No</v>
      </c>
      <c r="W4" s="212">
        <f t="shared" si="2"/>
        <v>2038202.4189435337</v>
      </c>
      <c r="X4" s="203">
        <f t="shared" ref="X4:X14" si="8">W4/G4</f>
        <v>0.72792943533697629</v>
      </c>
      <c r="Y4" s="190">
        <f t="shared" si="3"/>
        <v>1630543.7777777778</v>
      </c>
      <c r="Z4" s="191">
        <f t="shared" si="4"/>
        <v>0.58233706349206349</v>
      </c>
      <c r="AA4" s="15" t="str">
        <f>VLOOKUP(B4,Input_Lic_Rate_PS!B:G,6,FALSE)</f>
        <v>MkVIII</v>
      </c>
    </row>
    <row r="5" spans="1:28">
      <c r="A5" s="13">
        <v>3</v>
      </c>
      <c r="B5" s="14" t="s">
        <v>18</v>
      </c>
      <c r="C5" s="14" t="s">
        <v>4</v>
      </c>
      <c r="D5" s="15" t="s">
        <v>15</v>
      </c>
      <c r="E5" s="16">
        <f>VLOOKUP(LEFT(B5,6),MME_Lic!A:R,12,FALSE)*1000</f>
        <v>3300000</v>
      </c>
      <c r="F5" s="16">
        <f>VLOOKUP(B5,Input_Lic_Rate_PS!B:H,5,FALSE)</f>
        <v>3300000</v>
      </c>
      <c r="G5" s="16">
        <v>4000000</v>
      </c>
      <c r="H5" s="16">
        <v>2897225</v>
      </c>
      <c r="I5" s="16">
        <v>3084977</v>
      </c>
      <c r="J5" s="4">
        <v>4244699</v>
      </c>
      <c r="K5" s="4">
        <v>4345601</v>
      </c>
      <c r="L5" s="16">
        <f>_xlfn.IFNA(VLOOKUP(B5,Input_NOCPRO_SGSN!C:AA,10,FALSE),0)</f>
        <v>3301131</v>
      </c>
      <c r="M5" s="817">
        <f>_xlfn.IFNA(VLOOKUP(B5,Input_NOCPRO_SGSN!C:AA,11,FALSE),0)</f>
        <v>3429786</v>
      </c>
      <c r="N5" s="16">
        <f>_xlfn.IFNA(VLOOKUP(B5,Input_NOCPRO_SGSN!C:AA,4,FALSE),0)</f>
        <v>5719133</v>
      </c>
      <c r="O5" s="16">
        <f>_xlfn.IFNA(VLOOKUP(B5,Input_NOCPRO_SGSN!C:AA,7,FALSE),0)</f>
        <v>5781453</v>
      </c>
      <c r="P5" s="18">
        <f t="shared" si="5"/>
        <v>0.8574465</v>
      </c>
      <c r="Q5" s="194">
        <f>VLOOKUP(B5,Input_Lic_Rate_PS!X:Y,2,FALSE)</f>
        <v>38</v>
      </c>
      <c r="R5" s="194">
        <v>38</v>
      </c>
      <c r="S5" s="190">
        <f t="shared" si="6"/>
        <v>3034772.6622141269</v>
      </c>
      <c r="T5" s="191">
        <f t="shared" si="0"/>
        <v>0.75869316555353172</v>
      </c>
      <c r="U5" s="4">
        <f t="shared" si="1"/>
        <v>1</v>
      </c>
      <c r="V5" s="4" t="str">
        <f t="shared" si="7"/>
        <v>No</v>
      </c>
      <c r="W5" s="212">
        <f t="shared" si="2"/>
        <v>3034772.6622141269</v>
      </c>
      <c r="X5" s="203">
        <f t="shared" si="8"/>
        <v>0.75869316555353172</v>
      </c>
      <c r="Y5" s="190">
        <f t="shared" si="3"/>
        <v>3442259.0864197533</v>
      </c>
      <c r="Z5" s="191">
        <f t="shared" si="4"/>
        <v>0.86056477160493827</v>
      </c>
      <c r="AA5" s="15" t="str">
        <f>VLOOKUP(B5,Input_Lic_Rate_PS!B:G,6,FALSE)</f>
        <v>MkX</v>
      </c>
    </row>
    <row r="6" spans="1:28">
      <c r="A6" s="13">
        <v>4</v>
      </c>
      <c r="B6" s="14" t="s">
        <v>19</v>
      </c>
      <c r="C6" s="14" t="s">
        <v>4</v>
      </c>
      <c r="D6" s="15" t="s">
        <v>15</v>
      </c>
      <c r="E6" s="16">
        <f>VLOOKUP(LEFT(B6,6),MME_Lic!A:R,12,FALSE)*1000</f>
        <v>3300000</v>
      </c>
      <c r="F6" s="16">
        <f>VLOOKUP(B6,Input_Lic_Rate_PS!B:H,5,FALSE)</f>
        <v>3300000</v>
      </c>
      <c r="G6" s="16">
        <v>4000000</v>
      </c>
      <c r="H6" s="16">
        <v>2826717</v>
      </c>
      <c r="I6" s="16">
        <v>2974308</v>
      </c>
      <c r="J6" s="4">
        <v>4186480</v>
      </c>
      <c r="K6" s="4">
        <v>4278669</v>
      </c>
      <c r="L6" s="16">
        <f>_xlfn.IFNA(VLOOKUP(B6,Input_NOCPRO_SGSN!C:AA,10,FALSE),0)</f>
        <v>3145146</v>
      </c>
      <c r="M6" s="817">
        <f>_xlfn.IFNA(VLOOKUP(B6,Input_NOCPRO_SGSN!C:AA,11,FALSE),0)</f>
        <v>3263428</v>
      </c>
      <c r="N6" s="16">
        <f>_xlfn.IFNA(VLOOKUP(B6,Input_NOCPRO_SGSN!C:AA,4,FALSE),0)</f>
        <v>5453761</v>
      </c>
      <c r="O6" s="16">
        <f>_xlfn.IFNA(VLOOKUP(B6,Input_NOCPRO_SGSN!C:AA,7,FALSE),0)</f>
        <v>5512865</v>
      </c>
      <c r="P6" s="18">
        <f t="shared" si="5"/>
        <v>0.81585700000000005</v>
      </c>
      <c r="Q6" s="194">
        <f>VLOOKUP(B6,Input_Lic_Rate_PS!X:Y,2,FALSE)</f>
        <v>38</v>
      </c>
      <c r="R6" s="194">
        <v>38</v>
      </c>
      <c r="S6" s="190">
        <f t="shared" si="6"/>
        <v>2868414.6622141269</v>
      </c>
      <c r="T6" s="191">
        <f t="shared" si="0"/>
        <v>0.71710366555353178</v>
      </c>
      <c r="U6" s="4">
        <f t="shared" si="1"/>
        <v>1</v>
      </c>
      <c r="V6" s="4" t="str">
        <f t="shared" si="7"/>
        <v>No</v>
      </c>
      <c r="W6" s="212">
        <f t="shared" si="2"/>
        <v>2868414.6622141269</v>
      </c>
      <c r="X6" s="203">
        <f t="shared" si="8"/>
        <v>0.71710366555353178</v>
      </c>
      <c r="Y6" s="190">
        <f t="shared" si="3"/>
        <v>3442259.0864197533</v>
      </c>
      <c r="Z6" s="191">
        <f t="shared" si="4"/>
        <v>0.86056477160493827</v>
      </c>
      <c r="AA6" s="15" t="str">
        <f>VLOOKUP(B6,Input_Lic_Rate_PS!B:G,6,FALSE)</f>
        <v>MkX</v>
      </c>
    </row>
    <row r="7" spans="1:28">
      <c r="A7" s="13">
        <v>5</v>
      </c>
      <c r="B7" s="14" t="s">
        <v>20</v>
      </c>
      <c r="C7" s="14" t="s">
        <v>4</v>
      </c>
      <c r="D7" s="15" t="s">
        <v>15</v>
      </c>
      <c r="E7" s="16">
        <f>VLOOKUP(LEFT(B7,6),MME_Lic!A:R,12,FALSE)*1000</f>
        <v>3300000</v>
      </c>
      <c r="F7" s="16">
        <f>VLOOKUP(B7,Input_Lic_Rate_PS!B:H,5,FALSE)</f>
        <v>3300000</v>
      </c>
      <c r="G7" s="16">
        <v>4000000</v>
      </c>
      <c r="H7" s="16">
        <v>3114681</v>
      </c>
      <c r="I7" s="16">
        <v>3258010</v>
      </c>
      <c r="J7" s="4">
        <v>4699222</v>
      </c>
      <c r="K7" s="4">
        <v>4795839</v>
      </c>
      <c r="L7" s="16">
        <f>_xlfn.IFNA(VLOOKUP(B7,Input_NOCPRO_SGSN!C:AA,10,FALSE),0)</f>
        <v>3464923</v>
      </c>
      <c r="M7" s="817">
        <f>_xlfn.IFNA(VLOOKUP(B7,Input_NOCPRO_SGSN!C:AA,11,FALSE),0)</f>
        <v>3589673</v>
      </c>
      <c r="N7" s="16">
        <f>_xlfn.IFNA(VLOOKUP(B7,Input_NOCPRO_SGSN!C:AA,4,FALSE),0)</f>
        <v>6080990</v>
      </c>
      <c r="O7" s="16">
        <f>_xlfn.IFNA(VLOOKUP(B7,Input_NOCPRO_SGSN!C:AA,7,FALSE),0)</f>
        <v>6143868</v>
      </c>
      <c r="P7" s="18">
        <f t="shared" si="5"/>
        <v>0.89741824999999997</v>
      </c>
      <c r="Q7" s="194">
        <f>VLOOKUP(B7,Input_Lic_Rate_PS!X:Y,2,FALSE)</f>
        <v>38</v>
      </c>
      <c r="R7" s="194">
        <v>30</v>
      </c>
      <c r="S7" s="190">
        <f t="shared" si="6"/>
        <v>2553134.2414490995</v>
      </c>
      <c r="T7" s="191">
        <f t="shared" si="0"/>
        <v>0.63828356036227485</v>
      </c>
      <c r="U7" s="4">
        <f t="shared" si="1"/>
        <v>1</v>
      </c>
      <c r="V7" s="4" t="str">
        <f t="shared" si="7"/>
        <v>Yes</v>
      </c>
      <c r="W7" s="212">
        <f t="shared" si="2"/>
        <v>2553134.2414490995</v>
      </c>
      <c r="X7" s="203">
        <f t="shared" si="8"/>
        <v>0.63828356036227485</v>
      </c>
      <c r="Y7" s="190">
        <f t="shared" si="3"/>
        <v>2717572.9629629632</v>
      </c>
      <c r="Z7" s="191">
        <f t="shared" si="4"/>
        <v>0.67939324074074081</v>
      </c>
      <c r="AA7" s="15" t="str">
        <f>VLOOKUP(B7,Input_Lic_Rate_PS!B:G,6,FALSE)</f>
        <v>MkX</v>
      </c>
    </row>
    <row r="8" spans="1:28">
      <c r="A8" s="13">
        <v>6</v>
      </c>
      <c r="B8" s="14" t="s">
        <v>21</v>
      </c>
      <c r="C8" s="14" t="s">
        <v>4</v>
      </c>
      <c r="D8" s="15" t="s">
        <v>15</v>
      </c>
      <c r="E8" s="16">
        <f>VLOOKUP(LEFT(B8,6),MME_Lic!A:R,12,FALSE)*1000</f>
        <v>3300000</v>
      </c>
      <c r="F8" s="16">
        <f>VLOOKUP(B8,Input_Lic_Rate_PS!B:H,5,FALSE)</f>
        <v>3300000</v>
      </c>
      <c r="G8" s="16">
        <v>4000000</v>
      </c>
      <c r="H8" s="16">
        <v>2857033</v>
      </c>
      <c r="I8" s="16">
        <v>3066044</v>
      </c>
      <c r="J8" s="4">
        <v>4145109</v>
      </c>
      <c r="K8" s="4">
        <v>4248493</v>
      </c>
      <c r="L8" s="16">
        <f>_xlfn.IFNA(VLOOKUP(B8,Input_NOCPRO_SGSN!C:AA,10,FALSE),0)</f>
        <v>3283092</v>
      </c>
      <c r="M8" s="817">
        <f>_xlfn.IFNA(VLOOKUP(B8,Input_NOCPRO_SGSN!C:AA,11,FALSE),0)</f>
        <v>3392031</v>
      </c>
      <c r="N8" s="16">
        <f>_xlfn.IFNA(VLOOKUP(B8,Input_NOCPRO_SGSN!C:AA,4,FALSE),0)</f>
        <v>5698230</v>
      </c>
      <c r="O8" s="16">
        <f>_xlfn.IFNA(VLOOKUP(B8,Input_NOCPRO_SGSN!C:AA,7,FALSE),0)</f>
        <v>5755882</v>
      </c>
      <c r="P8" s="18">
        <f t="shared" si="5"/>
        <v>0.84800774999999995</v>
      </c>
      <c r="Q8" s="194">
        <f>VLOOKUP(B8,Input_Lic_Rate_PS!X:Y,2,FALSE)</f>
        <v>38</v>
      </c>
      <c r="R8" s="194">
        <v>38</v>
      </c>
      <c r="S8" s="190">
        <f t="shared" si="6"/>
        <v>2997017.6622141269</v>
      </c>
      <c r="T8" s="191">
        <f t="shared" si="0"/>
        <v>0.74925441555353167</v>
      </c>
      <c r="U8" s="4">
        <f t="shared" si="1"/>
        <v>1</v>
      </c>
      <c r="V8" s="4" t="str">
        <f t="shared" si="7"/>
        <v>No</v>
      </c>
      <c r="W8" s="212">
        <f t="shared" si="2"/>
        <v>2997017.6622141269</v>
      </c>
      <c r="X8" s="203">
        <f t="shared" si="8"/>
        <v>0.74925441555353167</v>
      </c>
      <c r="Y8" s="190">
        <f t="shared" si="3"/>
        <v>3442259.0864197533</v>
      </c>
      <c r="Z8" s="191">
        <f t="shared" si="4"/>
        <v>0.86056477160493827</v>
      </c>
      <c r="AA8" s="15" t="str">
        <f>VLOOKUP(B8,Input_Lic_Rate_PS!B:G,6,FALSE)</f>
        <v>MkX</v>
      </c>
    </row>
    <row r="9" spans="1:28">
      <c r="A9" s="13">
        <v>7</v>
      </c>
      <c r="B9" s="14" t="s">
        <v>22</v>
      </c>
      <c r="C9" s="14" t="s">
        <v>4</v>
      </c>
      <c r="D9" s="15" t="s">
        <v>15</v>
      </c>
      <c r="E9" s="16">
        <f>VLOOKUP(LEFT(B9,6),MME_Lic!A:R,12,FALSE)*1000</f>
        <v>3300000</v>
      </c>
      <c r="F9" s="16">
        <f>VLOOKUP(B9,Input_Lic_Rate_PS!B:H,5,FALSE)</f>
        <v>3300000</v>
      </c>
      <c r="G9" s="16">
        <v>4000000</v>
      </c>
      <c r="H9" s="16">
        <v>2521502</v>
      </c>
      <c r="I9" s="16">
        <v>2650840</v>
      </c>
      <c r="J9" s="4">
        <v>3602813</v>
      </c>
      <c r="K9" s="4">
        <v>3675132</v>
      </c>
      <c r="L9" s="16">
        <f>_xlfn.IFNA(VLOOKUP(B9,Input_NOCPRO_SGSN!C:AA,10,FALSE),0)</f>
        <v>1619353</v>
      </c>
      <c r="M9" s="817">
        <f>_xlfn.IFNA(VLOOKUP(B9,Input_NOCPRO_SGSN!C:AA,11,FALSE),0)</f>
        <v>1684074</v>
      </c>
      <c r="N9" s="16">
        <f>_xlfn.IFNA(VLOOKUP(B9,Input_NOCPRO_SGSN!C:AA,4,FALSE),0)</f>
        <v>2847351</v>
      </c>
      <c r="O9" s="16">
        <f>_xlfn.IFNA(VLOOKUP(B9,Input_NOCPRO_SGSN!C:AA,7,FALSE),0)</f>
        <v>2884270</v>
      </c>
      <c r="P9" s="18">
        <f t="shared" si="5"/>
        <v>0.42101850000000002</v>
      </c>
      <c r="Q9" s="194">
        <f>VLOOKUP(B9,Input_Lic_Rate_PS!X:Y,2,FALSE)</f>
        <v>10</v>
      </c>
      <c r="R9" s="194">
        <v>30</v>
      </c>
      <c r="S9" s="190">
        <f t="shared" si="6"/>
        <v>3183936.6735478649</v>
      </c>
      <c r="T9" s="191">
        <f t="shared" si="0"/>
        <v>0.79598416838696617</v>
      </c>
      <c r="U9" s="4">
        <f t="shared" si="1"/>
        <v>1</v>
      </c>
      <c r="V9" s="4" t="str">
        <f t="shared" si="7"/>
        <v>Yes</v>
      </c>
      <c r="W9" s="212">
        <f t="shared" si="2"/>
        <v>3183936.6735478649</v>
      </c>
      <c r="X9" s="203">
        <f t="shared" si="8"/>
        <v>0.79598416838696617</v>
      </c>
      <c r="Y9" s="190">
        <f t="shared" si="3"/>
        <v>2717572.9629629632</v>
      </c>
      <c r="Z9" s="191">
        <f t="shared" si="4"/>
        <v>0.67939324074074081</v>
      </c>
      <c r="AA9" s="15" t="str">
        <f>VLOOKUP(B9,Input_Lic_Rate_PS!B:G,6,FALSE)</f>
        <v>Cloud-TCHL01</v>
      </c>
    </row>
    <row r="10" spans="1:28" ht="34.5" customHeight="1">
      <c r="A10" s="13">
        <v>8</v>
      </c>
      <c r="B10" s="14" t="s">
        <v>106</v>
      </c>
      <c r="C10" s="14" t="s">
        <v>4</v>
      </c>
      <c r="D10" s="15" t="s">
        <v>15</v>
      </c>
      <c r="E10" s="16">
        <f>VLOOKUP(LEFT(B10,6),MME_Lic!A:R,12,FALSE)*1000</f>
        <v>3300000</v>
      </c>
      <c r="F10" s="16">
        <f>VLOOKUP(B10,Input_Lic_Rate_PS!B:H,5,FALSE)</f>
        <v>3300000</v>
      </c>
      <c r="G10" s="16">
        <v>4000000</v>
      </c>
      <c r="H10" s="16">
        <v>2850689</v>
      </c>
      <c r="I10" s="16">
        <v>3005007</v>
      </c>
      <c r="J10" s="4">
        <v>4125178</v>
      </c>
      <c r="K10" s="4">
        <v>4209936</v>
      </c>
      <c r="L10" s="16">
        <f>_xlfn.IFNA(VLOOKUP(B10,Input_NOCPRO_SGSN!C:AA,10,FALSE),0)</f>
        <v>1687981</v>
      </c>
      <c r="M10" s="817">
        <f>_xlfn.IFNA(VLOOKUP(B10,Input_NOCPRO_SGSN!C:AA,11,FALSE),0)</f>
        <v>1759423</v>
      </c>
      <c r="N10" s="16">
        <f>_xlfn.IFNA(VLOOKUP(B10,Input_NOCPRO_SGSN!C:AA,4,FALSE),0)</f>
        <v>2971286</v>
      </c>
      <c r="O10" s="16">
        <f>_xlfn.IFNA(VLOOKUP(B10,Input_NOCPRO_SGSN!C:AA,7,FALSE),0)</f>
        <v>3011330</v>
      </c>
      <c r="P10" s="18">
        <f t="shared" si="5"/>
        <v>0.43985574999999999</v>
      </c>
      <c r="Q10" s="194">
        <f>VLOOKUP(B10,Input_Lic_Rate_PS!X:Y,2,FALSE)</f>
        <v>10</v>
      </c>
      <c r="R10" s="194">
        <v>30</v>
      </c>
      <c r="S10" s="190">
        <f t="shared" si="6"/>
        <v>3259285.6735478649</v>
      </c>
      <c r="T10" s="191">
        <f t="shared" si="0"/>
        <v>0.8148214183869662</v>
      </c>
      <c r="U10" s="4">
        <f t="shared" si="1"/>
        <v>1</v>
      </c>
      <c r="V10" s="4" t="str">
        <f t="shared" si="7"/>
        <v>Yes</v>
      </c>
      <c r="W10" s="212">
        <f t="shared" si="2"/>
        <v>3259285.6735478649</v>
      </c>
      <c r="X10" s="203">
        <f t="shared" si="8"/>
        <v>0.8148214183869662</v>
      </c>
      <c r="Y10" s="190">
        <f t="shared" si="3"/>
        <v>2717572.9629629632</v>
      </c>
      <c r="Z10" s="191">
        <f t="shared" si="4"/>
        <v>0.67939324074074081</v>
      </c>
      <c r="AA10" s="15" t="str">
        <f>VLOOKUP(B10,Input_Lic_Rate_PS!B:G,6,FALSE)</f>
        <v>Cloud-TCHL01</v>
      </c>
      <c r="AB10" s="56"/>
    </row>
    <row r="11" spans="1:28" ht="34.5" customHeight="1">
      <c r="A11" s="13">
        <v>9</v>
      </c>
      <c r="B11" s="14" t="s">
        <v>107</v>
      </c>
      <c r="C11" s="14" t="s">
        <v>4</v>
      </c>
      <c r="D11" s="15" t="s">
        <v>15</v>
      </c>
      <c r="E11" s="16">
        <f>VLOOKUP(LEFT(B11,6),MME_Lic!A:R,12,FALSE)*1000</f>
        <v>3300000</v>
      </c>
      <c r="F11" s="16">
        <f>VLOOKUP(B11,Input_Lic_Rate_PS!B:H,5,FALSE)</f>
        <v>3300000</v>
      </c>
      <c r="G11" s="16">
        <v>4000000</v>
      </c>
      <c r="H11" s="16">
        <v>2582741</v>
      </c>
      <c r="I11" s="16">
        <v>2733285</v>
      </c>
      <c r="J11" s="4">
        <v>3758553</v>
      </c>
      <c r="K11" s="4">
        <v>3840846</v>
      </c>
      <c r="L11" s="16">
        <f>_xlfn.IFNA(VLOOKUP(B11,Input_NOCPRO_SGSN!C:AA,10,FALSE),0)</f>
        <v>2586765</v>
      </c>
      <c r="M11" s="817">
        <f>_xlfn.IFNA(VLOOKUP(B11,Input_NOCPRO_SGSN!C:AA,11,FALSE),0)</f>
        <v>2685692</v>
      </c>
      <c r="N11" s="16">
        <f>_xlfn.IFNA(VLOOKUP(B11,Input_NOCPRO_SGSN!C:AA,4,FALSE),0)</f>
        <v>4489680</v>
      </c>
      <c r="O11" s="16">
        <f>_xlfn.IFNA(VLOOKUP(B11,Input_NOCPRO_SGSN!C:AA,7,FALSE),0)</f>
        <v>4541066</v>
      </c>
      <c r="P11" s="18">
        <f t="shared" si="5"/>
        <v>0.67142299999999999</v>
      </c>
      <c r="Q11" s="194">
        <f>VLOOKUP(B11,Input_Lic_Rate_PS!X:Y,2,FALSE)</f>
        <v>38</v>
      </c>
      <c r="R11" s="194">
        <v>38</v>
      </c>
      <c r="S11" s="190">
        <f t="shared" si="6"/>
        <v>2290678.6622141269</v>
      </c>
      <c r="T11" s="191">
        <f t="shared" si="0"/>
        <v>0.57266966555353171</v>
      </c>
      <c r="U11" s="4">
        <f t="shared" si="1"/>
        <v>1</v>
      </c>
      <c r="V11" s="4" t="str">
        <f t="shared" si="7"/>
        <v>No</v>
      </c>
      <c r="W11" s="212">
        <f t="shared" si="2"/>
        <v>2290678.6622141269</v>
      </c>
      <c r="X11" s="203">
        <f t="shared" si="8"/>
        <v>0.57266966555353171</v>
      </c>
      <c r="Y11" s="190">
        <f t="shared" si="3"/>
        <v>3442259.0864197533</v>
      </c>
      <c r="Z11" s="191">
        <f t="shared" si="4"/>
        <v>0.86056477160493827</v>
      </c>
      <c r="AA11" s="15" t="str">
        <f>VLOOKUP(B11,Input_Lic_Rate_PS!B:G,6,FALSE)</f>
        <v>Cloud-TCHL02</v>
      </c>
      <c r="AB11" s="56"/>
    </row>
    <row r="12" spans="1:28" ht="34.5" customHeight="1">
      <c r="A12" s="13">
        <v>10</v>
      </c>
      <c r="B12" s="14" t="s">
        <v>108</v>
      </c>
      <c r="C12" s="14" t="s">
        <v>4</v>
      </c>
      <c r="D12" s="15" t="s">
        <v>15</v>
      </c>
      <c r="E12" s="16">
        <f>VLOOKUP(LEFT(B12,6),MME_Lic!A:R,12,FALSE)*1000</f>
        <v>3300000</v>
      </c>
      <c r="F12" s="16">
        <f>VLOOKUP(B12,Input_Lic_Rate_PS!B:H,5,FALSE)</f>
        <v>3300000</v>
      </c>
      <c r="G12" s="16">
        <v>4000000</v>
      </c>
      <c r="H12" s="16">
        <v>2583665</v>
      </c>
      <c r="I12" s="16">
        <v>2732954</v>
      </c>
      <c r="J12" s="4">
        <v>3762111</v>
      </c>
      <c r="K12" s="4">
        <v>3843989</v>
      </c>
      <c r="L12" s="16">
        <f>_xlfn.IFNA(VLOOKUP(B12,Input_NOCPRO_SGSN!C:AA,10,FALSE),0)</f>
        <v>2567066</v>
      </c>
      <c r="M12" s="817">
        <f>_xlfn.IFNA(VLOOKUP(B12,Input_NOCPRO_SGSN!C:AA,11,FALSE),0)</f>
        <v>2664238</v>
      </c>
      <c r="N12" s="16">
        <f>_xlfn.IFNA(VLOOKUP(B12,Input_NOCPRO_SGSN!C:AA,4,FALSE),0)</f>
        <v>4454244</v>
      </c>
      <c r="O12" s="16">
        <f>_xlfn.IFNA(VLOOKUP(B12,Input_NOCPRO_SGSN!C:AA,7,FALSE),0)</f>
        <v>4504658</v>
      </c>
      <c r="P12" s="18">
        <f t="shared" si="5"/>
        <v>0.66605950000000003</v>
      </c>
      <c r="Q12" s="194">
        <f>VLOOKUP(B12,Input_Lic_Rate_PS!X:Y,2,FALSE)</f>
        <v>38</v>
      </c>
      <c r="R12" s="194">
        <v>38</v>
      </c>
      <c r="S12" s="190">
        <f t="shared" si="6"/>
        <v>2269224.6622141269</v>
      </c>
      <c r="T12" s="191">
        <f t="shared" si="0"/>
        <v>0.56730616555353175</v>
      </c>
      <c r="U12" s="4">
        <f t="shared" si="1"/>
        <v>1</v>
      </c>
      <c r="V12" s="4" t="str">
        <f t="shared" si="7"/>
        <v>No</v>
      </c>
      <c r="W12" s="212">
        <f t="shared" si="2"/>
        <v>2269224.6622141269</v>
      </c>
      <c r="X12" s="203">
        <f t="shared" si="8"/>
        <v>0.56730616555353175</v>
      </c>
      <c r="Y12" s="190">
        <f t="shared" si="3"/>
        <v>3442259.0864197533</v>
      </c>
      <c r="Z12" s="191">
        <f t="shared" si="4"/>
        <v>0.86056477160493827</v>
      </c>
      <c r="AA12" s="15" t="str">
        <f>VLOOKUP(B12,Input_Lic_Rate_PS!B:G,6,FALSE)</f>
        <v>Cloud-TCHL02</v>
      </c>
      <c r="AB12" s="56"/>
    </row>
    <row r="13" spans="1:28" ht="34.5" customHeight="1">
      <c r="A13" s="13">
        <v>11</v>
      </c>
      <c r="B13" s="14" t="s">
        <v>345</v>
      </c>
      <c r="C13" s="14" t="s">
        <v>4</v>
      </c>
      <c r="D13" s="15" t="s">
        <v>15</v>
      </c>
      <c r="E13" s="16">
        <f>VLOOKUP(A13,Input_Lic_Rate_PS!A:G,5,FALSE)</f>
        <v>2000000</v>
      </c>
      <c r="F13" s="16">
        <f>VLOOKUP(B13,Input_Lic_Rate_PS!B:H,5,FALSE)</f>
        <v>2000000</v>
      </c>
      <c r="G13" s="16">
        <v>2000000</v>
      </c>
      <c r="H13" s="16">
        <v>879534</v>
      </c>
      <c r="I13" s="16">
        <v>911579</v>
      </c>
      <c r="J13" s="4">
        <v>1242573</v>
      </c>
      <c r="K13" s="4">
        <v>1261394</v>
      </c>
      <c r="L13" s="16">
        <f>_xlfn.IFNA(VLOOKUP(B13,Input_NOCPRO_SGSN!C:AA,10,FALSE),0)</f>
        <v>1138330</v>
      </c>
      <c r="M13" s="817">
        <f>_xlfn.IFNA(VLOOKUP(B13,Input_NOCPRO_SGSN!C:AA,11,FALSE),0)</f>
        <v>1184926</v>
      </c>
      <c r="N13" s="16">
        <f>_xlfn.IFNA(VLOOKUP(B13,Input_NOCPRO_SGSN!C:AA,4,FALSE),0)</f>
        <v>2014652</v>
      </c>
      <c r="O13" s="16">
        <f>_xlfn.IFNA(VLOOKUP(B13,Input_NOCPRO_SGSN!C:AA,7,FALSE),0)</f>
        <v>2042551</v>
      </c>
      <c r="P13" s="18">
        <f t="shared" si="5"/>
        <v>0.59246299999999996</v>
      </c>
      <c r="Q13" s="194">
        <f>VLOOKUP(B13,Input_Lic_Rate_PS!X:Y,2,FALSE)</f>
        <v>10</v>
      </c>
      <c r="R13" s="194">
        <v>20</v>
      </c>
      <c r="S13" s="190">
        <f t="shared" si="6"/>
        <v>1882881.8975915806</v>
      </c>
      <c r="T13" s="191">
        <f t="shared" si="0"/>
        <v>0.94144094879579032</v>
      </c>
      <c r="U13" s="4">
        <f t="shared" si="1"/>
        <v>1</v>
      </c>
      <c r="V13" s="4" t="str">
        <f t="shared" si="7"/>
        <v>Yes</v>
      </c>
      <c r="W13" s="212">
        <f t="shared" si="2"/>
        <v>1882881.8975915806</v>
      </c>
      <c r="X13" s="203">
        <f t="shared" si="8"/>
        <v>0.94144094879579032</v>
      </c>
      <c r="Y13" s="190">
        <f t="shared" si="3"/>
        <v>1811715.3086419753</v>
      </c>
      <c r="Z13" s="191">
        <f t="shared" si="4"/>
        <v>0.90585765432098764</v>
      </c>
      <c r="AA13" s="15" t="str">
        <f>VLOOKUP(B13,Input_Lic_Rate_PS!B:G,6,FALSE)</f>
        <v>Cloud-TCHL01</v>
      </c>
      <c r="AB13" s="56"/>
    </row>
    <row r="14" spans="1:28" ht="34.5" customHeight="1">
      <c r="A14" s="13">
        <v>12</v>
      </c>
      <c r="B14" s="14" t="s">
        <v>346</v>
      </c>
      <c r="C14" s="14" t="s">
        <v>4</v>
      </c>
      <c r="D14" s="15" t="s">
        <v>15</v>
      </c>
      <c r="E14" s="16">
        <f>VLOOKUP(LEFT(B14,6),MME_Lic!A:R,12,FALSE)*1000</f>
        <v>2000000</v>
      </c>
      <c r="F14" s="16">
        <f>VLOOKUP(B14,Input_Lic_Rate_PS!B:H,5,FALSE)</f>
        <v>2000000</v>
      </c>
      <c r="G14" s="16">
        <v>2000000</v>
      </c>
      <c r="H14" s="16">
        <v>759613</v>
      </c>
      <c r="I14" s="16">
        <v>791140</v>
      </c>
      <c r="J14" s="4">
        <v>1089193</v>
      </c>
      <c r="K14" s="4">
        <v>1107696</v>
      </c>
      <c r="L14" s="16">
        <f>_xlfn.IFNA(VLOOKUP(B14,Input_NOCPRO_SGSN!C:AA,10,FALSE),0)</f>
        <v>1401706</v>
      </c>
      <c r="M14" s="817">
        <f>_xlfn.IFNA(VLOOKUP(B14,Input_NOCPRO_SGSN!C:AA,11,FALSE),0)</f>
        <v>1454909</v>
      </c>
      <c r="N14" s="16">
        <f>_xlfn.IFNA(VLOOKUP(B14,Input_NOCPRO_SGSN!C:AA,4,FALSE),0)</f>
        <v>2443942</v>
      </c>
      <c r="O14" s="16">
        <f>_xlfn.IFNA(VLOOKUP(B14,Input_NOCPRO_SGSN!C:AA,7,FALSE),0)</f>
        <v>2474173</v>
      </c>
      <c r="P14" s="18">
        <f t="shared" si="5"/>
        <v>0.7274545</v>
      </c>
      <c r="Q14" s="194">
        <f>VLOOKUP(B14,Input_Lic_Rate_PS!X:Y,2,FALSE)</f>
        <v>30</v>
      </c>
      <c r="R14" s="194">
        <v>30</v>
      </c>
      <c r="S14" s="190">
        <f t="shared" si="6"/>
        <v>1143056.3649058896</v>
      </c>
      <c r="T14" s="191">
        <f t="shared" si="0"/>
        <v>0.57152818245294479</v>
      </c>
      <c r="U14" s="4">
        <f t="shared" si="1"/>
        <v>1</v>
      </c>
      <c r="V14" s="4" t="str">
        <f t="shared" si="7"/>
        <v>No</v>
      </c>
      <c r="W14" s="212">
        <f t="shared" si="2"/>
        <v>1143056.3649058896</v>
      </c>
      <c r="X14" s="203">
        <f t="shared" si="8"/>
        <v>0.57152818245294479</v>
      </c>
      <c r="Y14" s="190">
        <f t="shared" si="3"/>
        <v>2717572.9629629632</v>
      </c>
      <c r="Z14" s="191">
        <f t="shared" si="4"/>
        <v>1.3587864814814816</v>
      </c>
      <c r="AA14" s="15" t="str">
        <f>VLOOKUP(B14,Input_Lic_Rate_PS!B:G,6,FALSE)</f>
        <v>Cloud-TCHL02</v>
      </c>
      <c r="AB14" s="56"/>
    </row>
    <row r="15" spans="1:28">
      <c r="A15" s="62"/>
      <c r="B15" s="62" t="s">
        <v>826</v>
      </c>
      <c r="C15" s="62" t="s">
        <v>4</v>
      </c>
      <c r="D15" s="62"/>
      <c r="E15" s="181">
        <f>SUM(E3:E14)</f>
        <v>35400000</v>
      </c>
      <c r="F15" s="181">
        <f>SUM(F3:F14)</f>
        <v>36000000</v>
      </c>
      <c r="G15" s="181">
        <f>SUM(G3:G14)</f>
        <v>41600000</v>
      </c>
      <c r="H15" s="181">
        <v>27844464</v>
      </c>
      <c r="I15" s="181">
        <v>29527736</v>
      </c>
      <c r="J15" s="181">
        <v>40569847</v>
      </c>
      <c r="K15" s="181">
        <v>41485082</v>
      </c>
      <c r="L15" s="181">
        <f>SUM(L3:L14)</f>
        <v>28217361</v>
      </c>
      <c r="M15" s="818">
        <f>SUM(M3:M14)</f>
        <v>29349788</v>
      </c>
      <c r="N15" s="181">
        <f>SUM(N3:N14)</f>
        <v>49146853</v>
      </c>
      <c r="O15" s="181">
        <f>SUM(O3:O14)</f>
        <v>49717911</v>
      </c>
      <c r="P15" s="18">
        <f t="shared" si="5"/>
        <v>0.70552375000000001</v>
      </c>
      <c r="Q15" s="194">
        <f>SUM(Q3:Q14)</f>
        <v>324</v>
      </c>
      <c r="R15" s="194">
        <v>324</v>
      </c>
      <c r="S15" s="192"/>
      <c r="T15" s="192"/>
      <c r="U15" s="4">
        <f t="shared" si="1"/>
        <v>1</v>
      </c>
      <c r="V15" s="4" t="str">
        <f t="shared" si="7"/>
        <v>No</v>
      </c>
      <c r="W15" s="212"/>
      <c r="X15" s="203"/>
      <c r="Y15" s="211">
        <f>SUM(Y3:Y14)</f>
        <v>33154390.148148149</v>
      </c>
      <c r="Z15" s="211"/>
      <c r="AA15" s="62"/>
    </row>
    <row r="16" spans="1:28" ht="34.5" customHeight="1">
      <c r="A16" s="13">
        <v>10</v>
      </c>
      <c r="B16" s="14" t="s">
        <v>689</v>
      </c>
      <c r="C16" s="14" t="s">
        <v>4</v>
      </c>
      <c r="D16" s="15" t="s">
        <v>15</v>
      </c>
      <c r="E16" s="16">
        <f>VLOOKUP(LEFT(B16,6),MME_Lic!A:R,12,FALSE)*1000</f>
        <v>2000000</v>
      </c>
      <c r="F16" s="16">
        <f>VLOOKUP(B16,Input_Lic_Rate_PS!B:H,5,FALSE)</f>
        <v>2000000</v>
      </c>
      <c r="G16" s="16">
        <v>2000000</v>
      </c>
      <c r="H16" s="16">
        <v>867126</v>
      </c>
      <c r="I16" s="16">
        <v>921502</v>
      </c>
      <c r="J16" s="4">
        <v>1240438</v>
      </c>
      <c r="K16" s="4">
        <v>1268913</v>
      </c>
      <c r="L16" s="16">
        <f>_xlfn.IFNA(VLOOKUP(B16,Input_NOCPRO_SGSN!C:AA,10,FALSE),0)</f>
        <v>1123606</v>
      </c>
      <c r="M16" s="817">
        <f>_xlfn.IFNA(VLOOKUP(B16,Input_NOCPRO_SGSN!C:AA,11,FALSE),0)</f>
        <v>1155046</v>
      </c>
      <c r="N16" s="16">
        <f>_xlfn.IFNA(VLOOKUP(B16,Input_NOCPRO_SGSN!C:AA,4,FALSE),0)</f>
        <v>1920361</v>
      </c>
      <c r="O16" s="16">
        <f>_xlfn.IFNA(VLOOKUP(B16,Input_NOCPRO_SGSN!C:AA,7,FALSE),0)</f>
        <v>1936992</v>
      </c>
      <c r="P16" s="18">
        <f t="shared" ref="P16:P21" si="9">M16/G16</f>
        <v>0.57752300000000001</v>
      </c>
      <c r="Q16" s="194">
        <f>VLOOKUP(B16,Input_Lic_Rate_PS!X:Y,2,FALSE)</f>
        <v>20</v>
      </c>
      <c r="R16" s="194">
        <v>20</v>
      </c>
      <c r="S16" s="190">
        <f>IF(U16=0,0,M16+(R16/SUM($R$16:$R$20)-Q16/SUM($Q$16:$Q$20))*SUM($M$16:$M$20))*U16</f>
        <v>1155046</v>
      </c>
      <c r="T16" s="191">
        <f t="shared" ref="T16:T18" si="10">S16/G16</f>
        <v>0.57752300000000001</v>
      </c>
      <c r="U16" s="4">
        <f t="shared" si="1"/>
        <v>1</v>
      </c>
      <c r="V16" s="4" t="str">
        <f t="shared" si="7"/>
        <v>No</v>
      </c>
      <c r="W16" s="212">
        <f>S16+R16/$R$15*$M$25</f>
        <v>1155046</v>
      </c>
      <c r="X16" s="203">
        <f t="shared" ref="X16:X18" si="11">W16/G16</f>
        <v>0.57752300000000001</v>
      </c>
      <c r="Y16" s="190">
        <f t="shared" ref="Y16:Y18" si="12">$M$15*R16/$R$15</f>
        <v>1811715.3086419753</v>
      </c>
      <c r="Z16" s="191">
        <f t="shared" ref="Z16:Z18" si="13">Y16/G16</f>
        <v>0.90585765432098764</v>
      </c>
      <c r="AA16" s="15" t="str">
        <f>VLOOKUP(B16,Input_Lic_Rate_PS!B:G,6,FALSE)</f>
        <v>Cloud-TCHL04</v>
      </c>
      <c r="AB16" s="56"/>
    </row>
    <row r="17" spans="1:28" ht="34.5" customHeight="1">
      <c r="A17" s="13">
        <v>11</v>
      </c>
      <c r="B17" s="14" t="s">
        <v>690</v>
      </c>
      <c r="C17" s="14" t="s">
        <v>4</v>
      </c>
      <c r="D17" s="15" t="s">
        <v>15</v>
      </c>
      <c r="E17" s="16">
        <f>VLOOKUP(LEFT(B17,6),MME_Lic!A:R,12,FALSE)*1000</f>
        <v>2000000</v>
      </c>
      <c r="F17" s="16">
        <f>VLOOKUP(B17,Input_Lic_Rate_PS!B:H,5,FALSE)</f>
        <v>2000000</v>
      </c>
      <c r="G17" s="16">
        <v>2000000</v>
      </c>
      <c r="H17" s="16">
        <v>811038</v>
      </c>
      <c r="I17" s="16">
        <v>863855</v>
      </c>
      <c r="J17" s="4">
        <v>1151658</v>
      </c>
      <c r="K17" s="4">
        <v>1178960</v>
      </c>
      <c r="L17" s="16">
        <f>_xlfn.IFNA(VLOOKUP(B17,Input_NOCPRO_SGSN!C:AA,10,FALSE),0)</f>
        <v>945893</v>
      </c>
      <c r="M17" s="817">
        <f>_xlfn.IFNA(VLOOKUP(B17,Input_NOCPRO_SGSN!C:AA,11,FALSE),0)</f>
        <v>975615</v>
      </c>
      <c r="N17" s="16">
        <f>_xlfn.IFNA(VLOOKUP(B17,Input_NOCPRO_SGSN!C:AA,4,FALSE),0)</f>
        <v>1599567</v>
      </c>
      <c r="O17" s="16">
        <f>_xlfn.IFNA(VLOOKUP(B17,Input_NOCPRO_SGSN!C:AA,7,FALSE),0)</f>
        <v>1614531</v>
      </c>
      <c r="P17" s="18">
        <f t="shared" si="9"/>
        <v>0.4878075</v>
      </c>
      <c r="Q17" s="194">
        <f>VLOOKUP(B17,Input_Lic_Rate_PS!X:Y,2,FALSE)</f>
        <v>20</v>
      </c>
      <c r="R17" s="156">
        <v>20</v>
      </c>
      <c r="S17" s="190">
        <f t="shared" ref="S17:S20" si="14">IF(U17=0,0,M17+(R17/SUM($R$16:$R$20)-Q17/SUM($Q$16:$Q$20))*SUM($M$16:$M$20))*U17</f>
        <v>975615</v>
      </c>
      <c r="T17" s="191">
        <f t="shared" si="10"/>
        <v>0.4878075</v>
      </c>
      <c r="U17" s="4">
        <f t="shared" si="1"/>
        <v>1</v>
      </c>
      <c r="V17" s="4" t="str">
        <f t="shared" si="7"/>
        <v>No</v>
      </c>
      <c r="W17" s="212">
        <f>S17+R17/$R$15*$M$25</f>
        <v>975615</v>
      </c>
      <c r="X17" s="203">
        <f t="shared" si="11"/>
        <v>0.4878075</v>
      </c>
      <c r="Y17" s="190">
        <f t="shared" si="12"/>
        <v>1811715.3086419753</v>
      </c>
      <c r="Z17" s="191">
        <f t="shared" si="13"/>
        <v>0.90585765432098764</v>
      </c>
      <c r="AA17" s="15" t="str">
        <f>VLOOKUP(B17,Input_Lic_Rate_PS!B:G,6,FALSE)</f>
        <v>Cloud-TCHL04</v>
      </c>
      <c r="AB17" s="56"/>
    </row>
    <row r="18" spans="1:28" ht="34.5" customHeight="1">
      <c r="A18" s="13">
        <v>12</v>
      </c>
      <c r="B18" s="14" t="s">
        <v>691</v>
      </c>
      <c r="C18" s="14" t="s">
        <v>4</v>
      </c>
      <c r="D18" s="15" t="s">
        <v>15</v>
      </c>
      <c r="E18" s="16">
        <f>VLOOKUP(LEFT(B18,6),MME_Lic!A:R,12,FALSE)*1000</f>
        <v>2000000</v>
      </c>
      <c r="F18" s="16">
        <f>VLOOKUP(B18,Input_Lic_Rate_PS!B:H,5,FALSE)</f>
        <v>2000000</v>
      </c>
      <c r="G18" s="16">
        <v>2000000</v>
      </c>
      <c r="H18" s="16">
        <v>810884</v>
      </c>
      <c r="I18" s="16">
        <v>863881</v>
      </c>
      <c r="J18" s="4">
        <v>1150895</v>
      </c>
      <c r="K18" s="4">
        <v>1178417</v>
      </c>
      <c r="L18" s="16">
        <f>_xlfn.IFNA(VLOOKUP(B18,Input_NOCPRO_SGSN!C:AA,10,FALSE),0)</f>
        <v>943208</v>
      </c>
      <c r="M18" s="817">
        <f>_xlfn.IFNA(VLOOKUP(B18,Input_NOCPRO_SGSN!C:AA,11,FALSE),0)</f>
        <v>973139</v>
      </c>
      <c r="N18" s="16">
        <f>_xlfn.IFNA(VLOOKUP(B18,Input_NOCPRO_SGSN!C:AA,4,FALSE),0)</f>
        <v>1596003</v>
      </c>
      <c r="O18" s="16">
        <f>_xlfn.IFNA(VLOOKUP(B18,Input_NOCPRO_SGSN!C:AA,7,FALSE),0)</f>
        <v>1611191</v>
      </c>
      <c r="P18" s="18">
        <f t="shared" si="9"/>
        <v>0.48656949999999999</v>
      </c>
      <c r="Q18" s="194">
        <f>VLOOKUP(B18,Input_Lic_Rate_PS!X:Y,2,FALSE)</f>
        <v>20</v>
      </c>
      <c r="R18" s="194">
        <v>20</v>
      </c>
      <c r="S18" s="190">
        <f t="shared" si="14"/>
        <v>973139</v>
      </c>
      <c r="T18" s="191">
        <f t="shared" si="10"/>
        <v>0.48656949999999999</v>
      </c>
      <c r="U18" s="4">
        <f t="shared" si="1"/>
        <v>1</v>
      </c>
      <c r="V18" s="4" t="str">
        <f t="shared" si="7"/>
        <v>No</v>
      </c>
      <c r="W18" s="212">
        <f>S18+R18/$R$15*$M$25</f>
        <v>973139</v>
      </c>
      <c r="X18" s="203">
        <f t="shared" si="11"/>
        <v>0.48656949999999999</v>
      </c>
      <c r="Y18" s="190">
        <f t="shared" si="12"/>
        <v>1811715.3086419753</v>
      </c>
      <c r="Z18" s="191">
        <f t="shared" si="13"/>
        <v>0.90585765432098764</v>
      </c>
      <c r="AA18" s="15" t="str">
        <f>VLOOKUP(B18,Input_Lic_Rate_PS!B:G,6,FALSE)</f>
        <v>Cloud-TCHL04</v>
      </c>
      <c r="AB18" s="56"/>
    </row>
    <row r="19" spans="1:28" ht="34.5" customHeight="1">
      <c r="A19" s="13">
        <v>12</v>
      </c>
      <c r="B19" s="14" t="s">
        <v>1111</v>
      </c>
      <c r="C19" s="14" t="s">
        <v>4</v>
      </c>
      <c r="D19" s="15" t="s">
        <v>15</v>
      </c>
      <c r="E19" s="16">
        <f>VLOOKUP(LEFT(B19,6),MME_Lic!A:R,12,FALSE)*1000</f>
        <v>3000000</v>
      </c>
      <c r="F19" s="16" t="e">
        <f>VLOOKUP(B19,Input_Lic_Rate_PS!B:H,5,FALSE)</f>
        <v>#N/A</v>
      </c>
      <c r="G19" s="16">
        <v>2000000</v>
      </c>
      <c r="H19" s="16">
        <v>810884</v>
      </c>
      <c r="I19" s="16">
        <v>863881</v>
      </c>
      <c r="J19" s="4">
        <v>1150895</v>
      </c>
      <c r="K19" s="4">
        <v>1178417</v>
      </c>
      <c r="L19" s="16">
        <f>_xlfn.IFNA(VLOOKUP(B19,Input_NOCPRO_SGSN!C:AA,10,FALSE),0)</f>
        <v>506096</v>
      </c>
      <c r="M19" s="817">
        <f>_xlfn.IFNA(VLOOKUP(B19,Input_NOCPRO_SGSN!C:AA,11,FALSE),0)</f>
        <v>519509</v>
      </c>
      <c r="N19" s="16">
        <f>_xlfn.IFNA(VLOOKUP(B19,Input_NOCPRO_SGSN!C:AA,4,FALSE),0)</f>
        <v>860216</v>
      </c>
      <c r="O19" s="16">
        <f>_xlfn.IFNA(VLOOKUP(B19,Input_NOCPRO_SGSN!C:AA,7,FALSE),0)</f>
        <v>866920</v>
      </c>
      <c r="P19" s="18">
        <f t="shared" ref="P19" si="15">M19/G19</f>
        <v>0.2597545</v>
      </c>
      <c r="Q19" s="194">
        <f>VLOOKUP(B19,Input_Lic_Rate_PS!X:Y,2,FALSE)</f>
        <v>20</v>
      </c>
      <c r="R19" s="194">
        <v>20</v>
      </c>
      <c r="S19" s="190">
        <f t="shared" si="14"/>
        <v>519509</v>
      </c>
      <c r="T19" s="191">
        <f t="shared" ref="T19" si="16">S19/G19</f>
        <v>0.2597545</v>
      </c>
      <c r="U19" s="4">
        <f t="shared" si="1"/>
        <v>1</v>
      </c>
      <c r="V19" s="4" t="str">
        <f t="shared" si="7"/>
        <v>No</v>
      </c>
      <c r="W19" s="212">
        <f>S19+R19/$R$15*$M$25</f>
        <v>519509</v>
      </c>
      <c r="X19" s="203">
        <f t="shared" ref="X19" si="17">W19/G19</f>
        <v>0.2597545</v>
      </c>
      <c r="Y19" s="190">
        <f t="shared" ref="Y19" si="18">$M$15*R19/$R$15</f>
        <v>1811715.3086419753</v>
      </c>
      <c r="Z19" s="191">
        <f t="shared" ref="Z19" si="19">Y19/G19</f>
        <v>0.90585765432098764</v>
      </c>
      <c r="AA19" s="15" t="e">
        <f>VLOOKUP(B19,Input_Lic_Rate_PS!B:G,6,FALSE)</f>
        <v>#N/A</v>
      </c>
      <c r="AB19" s="56"/>
    </row>
    <row r="20" spans="1:28" ht="34.5" customHeight="1">
      <c r="A20" s="13">
        <v>12</v>
      </c>
      <c r="B20" s="14" t="s">
        <v>1112</v>
      </c>
      <c r="C20" s="14" t="s">
        <v>4</v>
      </c>
      <c r="D20" s="15" t="s">
        <v>15</v>
      </c>
      <c r="E20" s="16">
        <f>VLOOKUP(LEFT(B20,6),MME_Lic!A:R,12,FALSE)*1000</f>
        <v>3000000</v>
      </c>
      <c r="F20" s="16" t="e">
        <f>VLOOKUP(B20,Input_Lic_Rate_PS!B:H,5,FALSE)</f>
        <v>#N/A</v>
      </c>
      <c r="G20" s="16">
        <v>2000000</v>
      </c>
      <c r="H20" s="16">
        <v>810884</v>
      </c>
      <c r="I20" s="16">
        <v>863881</v>
      </c>
      <c r="J20" s="4">
        <v>1150895</v>
      </c>
      <c r="K20" s="4">
        <v>1178417</v>
      </c>
      <c r="L20" s="16">
        <f>_xlfn.IFNA(VLOOKUP(B20,Input_NOCPRO_SGSN!C:AA,10,FALSE),0)</f>
        <v>509156</v>
      </c>
      <c r="M20" s="817">
        <f>_xlfn.IFNA(VLOOKUP(B20,Input_NOCPRO_SGSN!C:AA,11,FALSE),0)</f>
        <v>522553</v>
      </c>
      <c r="N20" s="16">
        <f>_xlfn.IFNA(VLOOKUP(B20,Input_NOCPRO_SGSN!C:AA,4,FALSE),0)</f>
        <v>865228</v>
      </c>
      <c r="O20" s="16">
        <f>_xlfn.IFNA(VLOOKUP(B20,Input_NOCPRO_SGSN!C:AA,7,FALSE),0)</f>
        <v>871930</v>
      </c>
      <c r="P20" s="18">
        <f t="shared" ref="P20" si="20">M20/G20</f>
        <v>0.26127650000000002</v>
      </c>
      <c r="Q20" s="194">
        <f>VLOOKUP(B20,Input_Lic_Rate_PS!X:Y,2,FALSE)</f>
        <v>20</v>
      </c>
      <c r="R20" s="194">
        <v>20</v>
      </c>
      <c r="S20" s="190">
        <f t="shared" si="14"/>
        <v>522553</v>
      </c>
      <c r="T20" s="191">
        <f t="shared" ref="T20" si="21">S20/G20</f>
        <v>0.26127650000000002</v>
      </c>
      <c r="U20" s="4">
        <f t="shared" si="1"/>
        <v>1</v>
      </c>
      <c r="V20" s="4" t="str">
        <f t="shared" si="7"/>
        <v>No</v>
      </c>
      <c r="W20" s="212">
        <f>S20+R20/$R$15*$M$25</f>
        <v>522553</v>
      </c>
      <c r="X20" s="203">
        <f t="shared" ref="X20" si="22">W20/G20</f>
        <v>0.26127650000000002</v>
      </c>
      <c r="Y20" s="190">
        <f t="shared" ref="Y20" si="23">$M$15*R20/$R$15</f>
        <v>1811715.3086419753</v>
      </c>
      <c r="Z20" s="191">
        <f t="shared" ref="Z20" si="24">Y20/G20</f>
        <v>0.90585765432098764</v>
      </c>
      <c r="AA20" s="15" t="e">
        <f>VLOOKUP(B20,Input_Lic_Rate_PS!B:G,6,FALSE)</f>
        <v>#N/A</v>
      </c>
      <c r="AB20" s="56"/>
    </row>
    <row r="21" spans="1:28">
      <c r="A21" s="62"/>
      <c r="B21" s="62" t="s">
        <v>827</v>
      </c>
      <c r="C21" s="62" t="s">
        <v>4</v>
      </c>
      <c r="D21" s="62"/>
      <c r="E21" s="181">
        <f t="shared" ref="E21:O21" si="25">SUM(E16:E18)</f>
        <v>6000000</v>
      </c>
      <c r="F21" s="181">
        <f t="shared" si="25"/>
        <v>6000000</v>
      </c>
      <c r="G21" s="181">
        <f t="shared" si="25"/>
        <v>6000000</v>
      </c>
      <c r="H21" s="181">
        <f t="shared" si="25"/>
        <v>2489048</v>
      </c>
      <c r="I21" s="181">
        <f t="shared" si="25"/>
        <v>2649238</v>
      </c>
      <c r="J21" s="181">
        <f t="shared" si="25"/>
        <v>3542991</v>
      </c>
      <c r="K21" s="181">
        <f t="shared" si="25"/>
        <v>3626290</v>
      </c>
      <c r="L21" s="181">
        <f t="shared" si="25"/>
        <v>3012707</v>
      </c>
      <c r="M21" s="818">
        <f t="shared" si="25"/>
        <v>3103800</v>
      </c>
      <c r="N21" s="181">
        <f t="shared" si="25"/>
        <v>5115931</v>
      </c>
      <c r="O21" s="181">
        <f t="shared" si="25"/>
        <v>5162714</v>
      </c>
      <c r="P21" s="18">
        <f t="shared" si="9"/>
        <v>0.51729999999999998</v>
      </c>
      <c r="Q21" s="194">
        <f>SUM(Q16:Q20)</f>
        <v>100</v>
      </c>
      <c r="R21" s="194">
        <v>100</v>
      </c>
      <c r="S21" s="193"/>
      <c r="T21" s="193"/>
      <c r="U21" s="4">
        <f t="shared" si="1"/>
        <v>1</v>
      </c>
      <c r="V21" s="4" t="str">
        <f t="shared" si="7"/>
        <v>No</v>
      </c>
      <c r="W21" s="212"/>
      <c r="X21" s="203"/>
      <c r="Y21" s="211">
        <f>SUM(Y7:Y18)</f>
        <v>61598320.493827172</v>
      </c>
      <c r="Z21" s="211"/>
      <c r="AA21" s="62"/>
    </row>
    <row r="22" spans="1:28">
      <c r="A22" s="114">
        <v>13</v>
      </c>
      <c r="B22" s="115" t="s">
        <v>351</v>
      </c>
      <c r="C22" s="115" t="s">
        <v>249</v>
      </c>
      <c r="D22" s="116" t="s">
        <v>25</v>
      </c>
      <c r="E22" s="37">
        <f>VLOOKUP(B22,Input_Lic_Rate_PS!B:H,4,FALSE)</f>
        <v>1000000</v>
      </c>
      <c r="F22" s="37">
        <f>VLOOKUP(B22,Input_Lic_Rate_PS!B:H,5,FALSE)</f>
        <v>1000000</v>
      </c>
      <c r="G22" s="37">
        <v>1000000</v>
      </c>
      <c r="H22" s="37">
        <v>190220</v>
      </c>
      <c r="I22" s="37">
        <v>190220</v>
      </c>
      <c r="J22" s="55">
        <v>0</v>
      </c>
      <c r="K22" s="55">
        <v>0</v>
      </c>
      <c r="L22" s="16">
        <f>_xlfn.IFNA(VLOOKUP(B22,Input_NOCPRO_SGSN!C:AA,10,FALSE),0)</f>
        <v>0</v>
      </c>
      <c r="M22" s="817">
        <f>_xlfn.IFNA(VLOOKUP(B22,Input_NOCPRO_SGSN!C:AA,11,FALSE),0)</f>
        <v>0</v>
      </c>
      <c r="N22" s="16">
        <f>_xlfn.IFNA(VLOOKUP(B22,Input_NOCPRO_SGSN!C:AA,4,FALSE),0)</f>
        <v>0</v>
      </c>
      <c r="O22" s="16">
        <f>_xlfn.IFNA(VLOOKUP(B22,Input_NOCPRO_SGSN!C:AA,7,FALSE),0)</f>
        <v>0</v>
      </c>
      <c r="P22" s="18">
        <f t="shared" si="5"/>
        <v>0</v>
      </c>
      <c r="Q22" s="194"/>
      <c r="R22" s="55"/>
      <c r="S22" s="207"/>
      <c r="T22" s="206"/>
      <c r="U22" s="4">
        <f t="shared" si="1"/>
        <v>0</v>
      </c>
      <c r="V22" s="4" t="str">
        <f t="shared" si="7"/>
        <v>No</v>
      </c>
      <c r="W22" s="116"/>
      <c r="X22" s="116"/>
      <c r="Y22" s="116"/>
      <c r="Z22" s="116"/>
      <c r="AA22" s="116"/>
    </row>
    <row r="23" spans="1:28">
      <c r="A23" s="114">
        <v>14</v>
      </c>
      <c r="B23" s="115" t="s">
        <v>352</v>
      </c>
      <c r="C23" s="115" t="s">
        <v>249</v>
      </c>
      <c r="D23" s="116" t="s">
        <v>25</v>
      </c>
      <c r="E23" s="37">
        <f>VLOOKUP(B23,Input_Lic_Rate_PS!B:H,4,FALSE)</f>
        <v>1000000</v>
      </c>
      <c r="F23" s="37">
        <f>VLOOKUP(B23,Input_Lic_Rate_PS!B:H,5,FALSE)</f>
        <v>1000000</v>
      </c>
      <c r="G23" s="37">
        <v>1000000</v>
      </c>
      <c r="H23" s="37">
        <v>0</v>
      </c>
      <c r="I23" s="37">
        <v>0</v>
      </c>
      <c r="J23" s="55">
        <v>0</v>
      </c>
      <c r="K23" s="55">
        <v>0</v>
      </c>
      <c r="L23" s="16">
        <f>_xlfn.IFNA(VLOOKUP(B23,Input_NOCPRO_SGSN!C:AA,10,FALSE),0)</f>
        <v>0</v>
      </c>
      <c r="M23" s="817">
        <f>_xlfn.IFNA(VLOOKUP(B23,Input_NOCPRO_SGSN!C:AA,11,FALSE),0)</f>
        <v>0</v>
      </c>
      <c r="N23" s="16">
        <f>_xlfn.IFNA(VLOOKUP(B23,Input_NOCPRO_SGSN!C:AA,4,FALSE),0)</f>
        <v>0</v>
      </c>
      <c r="O23" s="16">
        <f>_xlfn.IFNA(VLOOKUP(B23,Input_NOCPRO_SGSN!C:AA,7,FALSE),0)</f>
        <v>0</v>
      </c>
      <c r="P23" s="18">
        <f t="shared" si="5"/>
        <v>0</v>
      </c>
      <c r="Q23" s="194"/>
      <c r="R23" s="55"/>
      <c r="S23" s="207"/>
      <c r="T23" s="206"/>
      <c r="U23" s="4">
        <f t="shared" si="1"/>
        <v>0</v>
      </c>
      <c r="V23" s="4" t="str">
        <f t="shared" si="7"/>
        <v>No</v>
      </c>
      <c r="W23" s="116"/>
      <c r="X23" s="116"/>
      <c r="Y23" s="116"/>
      <c r="Z23" s="116"/>
      <c r="AA23" s="116"/>
    </row>
    <row r="24" spans="1:28">
      <c r="A24" s="114">
        <v>15</v>
      </c>
      <c r="B24" s="115" t="s">
        <v>353</v>
      </c>
      <c r="C24" s="115" t="s">
        <v>249</v>
      </c>
      <c r="D24" s="116" t="s">
        <v>25</v>
      </c>
      <c r="E24" s="37">
        <f>VLOOKUP(B24,Input_Lic_Rate_PS!B:H,4,FALSE)</f>
        <v>1000000</v>
      </c>
      <c r="F24" s="37">
        <f>VLOOKUP(B24,Input_Lic_Rate_PS!B:H,5,FALSE)</f>
        <v>1000000</v>
      </c>
      <c r="G24" s="37">
        <v>1000000</v>
      </c>
      <c r="H24" s="37">
        <v>0</v>
      </c>
      <c r="I24" s="37">
        <v>0</v>
      </c>
      <c r="J24" s="55">
        <v>0</v>
      </c>
      <c r="K24" s="55">
        <v>0</v>
      </c>
      <c r="L24" s="16">
        <f>_xlfn.IFNA(VLOOKUP(B24,Input_NOCPRO_SGSN!C:AA,10,FALSE),0)</f>
        <v>0</v>
      </c>
      <c r="M24" s="817">
        <f>_xlfn.IFNA(VLOOKUP(B24,Input_NOCPRO_SGSN!C:AA,11,FALSE),0)</f>
        <v>0</v>
      </c>
      <c r="N24" s="16">
        <f>_xlfn.IFNA(VLOOKUP(B24,Input_NOCPRO_SGSN!C:AA,4,FALSE),0)</f>
        <v>0</v>
      </c>
      <c r="O24" s="16">
        <f>_xlfn.IFNA(VLOOKUP(B24,Input_NOCPRO_SGSN!C:AA,7,FALSE),0)</f>
        <v>0</v>
      </c>
      <c r="P24" s="18">
        <f t="shared" si="5"/>
        <v>0</v>
      </c>
      <c r="Q24" s="194"/>
      <c r="R24" s="55"/>
      <c r="S24" s="207"/>
      <c r="T24" s="206"/>
      <c r="U24" s="4">
        <f t="shared" si="1"/>
        <v>0</v>
      </c>
      <c r="V24" s="4" t="str">
        <f t="shared" si="7"/>
        <v>No</v>
      </c>
      <c r="W24" s="116"/>
      <c r="X24" s="116"/>
      <c r="Y24" s="116"/>
      <c r="Z24" s="116"/>
      <c r="AA24" s="116"/>
    </row>
    <row r="25" spans="1:28">
      <c r="A25" s="62"/>
      <c r="B25" s="62" t="s">
        <v>23</v>
      </c>
      <c r="C25" s="62" t="s">
        <v>249</v>
      </c>
      <c r="D25" s="62"/>
      <c r="E25" s="62"/>
      <c r="F25" s="181">
        <f>SUM(F22:F24)</f>
        <v>3000000</v>
      </c>
      <c r="G25" s="181">
        <f>SUM(G22:G24)</f>
        <v>3000000</v>
      </c>
      <c r="H25" s="181">
        <v>190220</v>
      </c>
      <c r="I25" s="181">
        <v>190220</v>
      </c>
      <c r="J25" s="181">
        <v>0</v>
      </c>
      <c r="K25" s="181">
        <v>0</v>
      </c>
      <c r="L25" s="181">
        <f>SUM(L22:L24)</f>
        <v>0</v>
      </c>
      <c r="M25" s="818">
        <f t="shared" ref="M25:O25" si="26">SUM(M22:M24)</f>
        <v>0</v>
      </c>
      <c r="N25" s="181">
        <f t="shared" si="26"/>
        <v>0</v>
      </c>
      <c r="O25" s="181">
        <f t="shared" si="26"/>
        <v>0</v>
      </c>
      <c r="P25" s="18">
        <f t="shared" si="5"/>
        <v>0</v>
      </c>
      <c r="Q25" s="194"/>
      <c r="R25" s="192"/>
      <c r="S25" s="193"/>
      <c r="T25" s="193"/>
      <c r="U25" s="4">
        <f t="shared" si="1"/>
        <v>0</v>
      </c>
      <c r="V25" s="4" t="str">
        <f t="shared" si="7"/>
        <v>No</v>
      </c>
      <c r="W25" s="62"/>
      <c r="X25" s="62"/>
      <c r="Y25" s="62"/>
      <c r="Z25" s="62"/>
      <c r="AA25" s="62"/>
      <c r="AB25" s="56"/>
    </row>
    <row r="26" spans="1:28">
      <c r="A26" s="13">
        <v>15</v>
      </c>
      <c r="B26" s="14" t="s">
        <v>24</v>
      </c>
      <c r="C26" s="14" t="s">
        <v>4</v>
      </c>
      <c r="D26" s="15" t="s">
        <v>25</v>
      </c>
      <c r="E26" s="16">
        <f>VLOOKUP(LEFT(B26,6),MME_Lic!A:R,12,FALSE)*1000</f>
        <v>2300000</v>
      </c>
      <c r="F26" s="16">
        <f>VLOOKUP(B26,Input_Lic_Rate_PS!B:H,5,FALSE)</f>
        <v>2300000</v>
      </c>
      <c r="G26" s="16">
        <v>2500000</v>
      </c>
      <c r="H26" s="16">
        <v>1716654</v>
      </c>
      <c r="I26" s="16">
        <v>1810620</v>
      </c>
      <c r="J26" s="4">
        <v>2321832</v>
      </c>
      <c r="K26" s="4">
        <v>2367740</v>
      </c>
      <c r="L26" s="16">
        <f>_xlfn.IFNA(VLOOKUP(B26,Input_NOCPRO_SGSN!C:AA,10,FALSE),0)</f>
        <v>1122039</v>
      </c>
      <c r="M26" s="817">
        <f>_xlfn.IFNA(VLOOKUP(B26,Input_NOCPRO_SGSN!C:AA,11,FALSE),0)</f>
        <v>1179040</v>
      </c>
      <c r="N26" s="16">
        <f>_xlfn.IFNA(VLOOKUP(B26,Input_NOCPRO_SGSN!C:AA,4,FALSE),0)</f>
        <v>1875782</v>
      </c>
      <c r="O26" s="16">
        <f>_xlfn.IFNA(VLOOKUP(B26,Input_NOCPRO_SGSN!C:AA,7,FALSE),0)</f>
        <v>1903817</v>
      </c>
      <c r="P26" s="18">
        <f t="shared" si="5"/>
        <v>0.47161599999999998</v>
      </c>
      <c r="Q26" s="194">
        <f>VLOOKUP(B26,Input_Lic_Rate_PS!X:Y,2,FALSE)</f>
        <v>25</v>
      </c>
      <c r="R26" s="194">
        <v>25</v>
      </c>
      <c r="S26" s="190">
        <f>IF(U26=0,0,M26+(R26/SUM($R$26:$R$31)-Q26/SUM($Q$26:$Q$31))*SUM($M$26:$M$31))*U26</f>
        <v>1179040</v>
      </c>
      <c r="T26" s="191">
        <f t="shared" ref="T26:T39" si="27">S26/G26</f>
        <v>0.47161599999999998</v>
      </c>
      <c r="U26" s="4">
        <f t="shared" si="1"/>
        <v>1</v>
      </c>
      <c r="V26" s="4" t="str">
        <f t="shared" si="7"/>
        <v>No</v>
      </c>
      <c r="W26" s="212">
        <f t="shared" ref="W26:W31" si="28">S26+R26/SUM($R$26:$R$31)*$M$40</f>
        <v>1696834.1666666665</v>
      </c>
      <c r="X26" s="203">
        <f>W26/G26</f>
        <v>0.67873366666666657</v>
      </c>
      <c r="Y26" s="659">
        <f t="shared" ref="Y26:Y31" si="29">W26+R26/SUM($R$26:$R$31)*$AB$26</f>
        <v>1530167.4999999998</v>
      </c>
      <c r="Z26" s="191">
        <f t="shared" ref="Z26:Z31" si="30">Y26/G26</f>
        <v>0.61206699999999992</v>
      </c>
      <c r="AA26" s="15" t="str">
        <f>VLOOKUP(B26,Input_Lic_Rate_PS!B:G,6,FALSE)</f>
        <v>MkVIII</v>
      </c>
      <c r="AB26" s="660">
        <v>-1000000</v>
      </c>
    </row>
    <row r="27" spans="1:28">
      <c r="A27" s="13">
        <v>12</v>
      </c>
      <c r="B27" s="14" t="s">
        <v>26</v>
      </c>
      <c r="C27" s="14" t="s">
        <v>4</v>
      </c>
      <c r="D27" s="15" t="s">
        <v>25</v>
      </c>
      <c r="E27" s="16">
        <f>VLOOKUP(LEFT(B27,6),MME_Lic!A:R,12,FALSE)*1000</f>
        <v>2300000</v>
      </c>
      <c r="F27" s="16">
        <f>VLOOKUP(B27,Input_Lic_Rate_PS!B:H,5,FALSE)</f>
        <v>2300000</v>
      </c>
      <c r="G27" s="16">
        <v>2500000</v>
      </c>
      <c r="H27" s="16">
        <v>1717947</v>
      </c>
      <c r="I27" s="16">
        <v>1815565</v>
      </c>
      <c r="J27" s="4">
        <v>2306640</v>
      </c>
      <c r="K27" s="4">
        <v>2350444</v>
      </c>
      <c r="L27" s="16">
        <f>_xlfn.IFNA(VLOOKUP(B27,Input_NOCPRO_SGSN!C:AA,10,FALSE),0)</f>
        <v>1139599</v>
      </c>
      <c r="M27" s="817">
        <f>_xlfn.IFNA(VLOOKUP(B27,Input_NOCPRO_SGSN!C:AA,11,FALSE),0)</f>
        <v>1195588</v>
      </c>
      <c r="N27" s="16">
        <f>_xlfn.IFNA(VLOOKUP(B27,Input_NOCPRO_SGSN!C:AA,4,FALSE),0)</f>
        <v>1896173</v>
      </c>
      <c r="O27" s="16">
        <f>_xlfn.IFNA(VLOOKUP(B27,Input_NOCPRO_SGSN!C:AA,7,FALSE),0)</f>
        <v>1921658</v>
      </c>
      <c r="P27" s="18">
        <f t="shared" si="5"/>
        <v>0.47823520000000003</v>
      </c>
      <c r="Q27" s="194">
        <f>VLOOKUP(B27,Input_Lic_Rate_PS!X:Y,2,FALSE)</f>
        <v>25</v>
      </c>
      <c r="R27" s="194">
        <v>25</v>
      </c>
      <c r="S27" s="190">
        <f t="shared" ref="S27:S31" si="31">IF(U27=0,0,M27+(R27/SUM($R$26:$R$31)-Q27/SUM($Q$26:$Q$31))*SUM($M$26:$M$31))*U27</f>
        <v>1195588</v>
      </c>
      <c r="T27" s="191">
        <f t="shared" si="27"/>
        <v>0.47823520000000003</v>
      </c>
      <c r="U27" s="4">
        <f t="shared" si="1"/>
        <v>1</v>
      </c>
      <c r="V27" s="4" t="str">
        <f t="shared" si="7"/>
        <v>No</v>
      </c>
      <c r="W27" s="212">
        <f t="shared" si="28"/>
        <v>1713382.1666666665</v>
      </c>
      <c r="X27" s="203">
        <f t="shared" ref="X27:X31" si="32">W27/G27</f>
        <v>0.68535286666666662</v>
      </c>
      <c r="Y27" s="659">
        <f t="shared" si="29"/>
        <v>1546715.4999999998</v>
      </c>
      <c r="Z27" s="191">
        <f t="shared" si="30"/>
        <v>0.61868619999999985</v>
      </c>
      <c r="AA27" s="15" t="str">
        <f>VLOOKUP(B27,Input_Lic_Rate_PS!B:G,6,FALSE)</f>
        <v>MkVIII</v>
      </c>
    </row>
    <row r="28" spans="1:28">
      <c r="A28" s="13">
        <v>13</v>
      </c>
      <c r="B28" s="14" t="s">
        <v>27</v>
      </c>
      <c r="C28" s="14" t="s">
        <v>4</v>
      </c>
      <c r="D28" s="15" t="s">
        <v>25</v>
      </c>
      <c r="E28" s="16">
        <f>VLOOKUP(LEFT(B28,6),MME_Lic!A:R,12,FALSE)*1000</f>
        <v>2300000</v>
      </c>
      <c r="F28" s="16">
        <f>VLOOKUP(B28,Input_Lic_Rate_PS!B:H,5,FALSE)</f>
        <v>2300000</v>
      </c>
      <c r="G28" s="16">
        <v>2500000</v>
      </c>
      <c r="H28" s="16">
        <v>1704919</v>
      </c>
      <c r="I28" s="16">
        <v>1800141</v>
      </c>
      <c r="J28" s="4">
        <v>2288242</v>
      </c>
      <c r="K28" s="4">
        <v>2332655</v>
      </c>
      <c r="L28" s="16">
        <f>_xlfn.IFNA(VLOOKUP(B28,Input_NOCPRO_SGSN!C:AA,10,FALSE),0)</f>
        <v>1085415</v>
      </c>
      <c r="M28" s="817">
        <f>_xlfn.IFNA(VLOOKUP(B28,Input_NOCPRO_SGSN!C:AA,11,FALSE),0)</f>
        <v>1138395</v>
      </c>
      <c r="N28" s="16">
        <f>_xlfn.IFNA(VLOOKUP(B28,Input_NOCPRO_SGSN!C:AA,4,FALSE),0)</f>
        <v>1810898</v>
      </c>
      <c r="O28" s="16">
        <f>_xlfn.IFNA(VLOOKUP(B28,Input_NOCPRO_SGSN!C:AA,7,FALSE),0)</f>
        <v>1836347</v>
      </c>
      <c r="P28" s="18">
        <f t="shared" ref="P28:P29" si="33">M28/G28</f>
        <v>0.45535799999999998</v>
      </c>
      <c r="Q28" s="194">
        <f>VLOOKUP(B28,Input_Lic_Rate_PS!X:Y,2,FALSE)</f>
        <v>25</v>
      </c>
      <c r="R28" s="194">
        <v>25</v>
      </c>
      <c r="S28" s="190">
        <f t="shared" si="31"/>
        <v>1138395</v>
      </c>
      <c r="T28" s="191">
        <f t="shared" si="27"/>
        <v>0.45535799999999998</v>
      </c>
      <c r="U28" s="4">
        <f t="shared" si="1"/>
        <v>1</v>
      </c>
      <c r="V28" s="4" t="str">
        <f t="shared" si="7"/>
        <v>No</v>
      </c>
      <c r="W28" s="212">
        <f t="shared" si="28"/>
        <v>1656189.1666666665</v>
      </c>
      <c r="X28" s="203">
        <f t="shared" ref="X28:X29" si="34">W28/G28</f>
        <v>0.66247566666666657</v>
      </c>
      <c r="Y28" s="659">
        <f t="shared" si="29"/>
        <v>1489522.4999999998</v>
      </c>
      <c r="Z28" s="191">
        <f t="shared" si="30"/>
        <v>0.59580899999999992</v>
      </c>
      <c r="AA28" s="15" t="str">
        <f>VLOOKUP(B28,Input_Lic_Rate_PS!B:G,6,FALSE)</f>
        <v>MkX</v>
      </c>
    </row>
    <row r="29" spans="1:28">
      <c r="A29" s="13">
        <v>14</v>
      </c>
      <c r="B29" s="14" t="s">
        <v>105</v>
      </c>
      <c r="C29" s="14" t="s">
        <v>4</v>
      </c>
      <c r="D29" s="15" t="s">
        <v>25</v>
      </c>
      <c r="E29" s="16">
        <f>VLOOKUP(LEFT(B29,6),MME_Lic!A:R,12,FALSE)*1000</f>
        <v>2300000</v>
      </c>
      <c r="F29" s="16">
        <f>VLOOKUP(B29,Input_Lic_Rate_PS!B:H,5,FALSE)</f>
        <v>2300000</v>
      </c>
      <c r="G29" s="16">
        <v>3000000</v>
      </c>
      <c r="H29" s="16">
        <v>2122729</v>
      </c>
      <c r="I29" s="16">
        <v>2222370</v>
      </c>
      <c r="J29" s="4">
        <v>2928596</v>
      </c>
      <c r="K29" s="4">
        <v>2975381</v>
      </c>
      <c r="L29" s="16">
        <f>_xlfn.IFNA(VLOOKUP(B29,Input_NOCPRO_SGSN!C:AA,10,FALSE),0)</f>
        <v>1462542</v>
      </c>
      <c r="M29" s="817">
        <f>_xlfn.IFNA(VLOOKUP(B29,Input_NOCPRO_SGSN!C:AA,11,FALSE),0)</f>
        <v>1516227</v>
      </c>
      <c r="N29" s="16">
        <f>_xlfn.IFNA(VLOOKUP(B29,Input_NOCPRO_SGSN!C:AA,4,FALSE),0)</f>
        <v>2471695</v>
      </c>
      <c r="O29" s="16">
        <f>_xlfn.IFNA(VLOOKUP(B29,Input_NOCPRO_SGSN!C:AA,7,FALSE),0)</f>
        <v>2499102</v>
      </c>
      <c r="P29" s="18">
        <f t="shared" si="33"/>
        <v>0.505409</v>
      </c>
      <c r="Q29" s="194">
        <f>VLOOKUP(B29,Input_Lic_Rate_PS!X:Y,2,FALSE)</f>
        <v>25</v>
      </c>
      <c r="R29" s="194">
        <v>25</v>
      </c>
      <c r="S29" s="190">
        <f t="shared" si="31"/>
        <v>1516227</v>
      </c>
      <c r="T29" s="191">
        <f t="shared" si="27"/>
        <v>0.505409</v>
      </c>
      <c r="U29" s="4">
        <f t="shared" si="1"/>
        <v>1</v>
      </c>
      <c r="V29" s="4" t="str">
        <f t="shared" si="7"/>
        <v>No</v>
      </c>
      <c r="W29" s="212">
        <f t="shared" si="28"/>
        <v>2034021.1666666665</v>
      </c>
      <c r="X29" s="203">
        <f t="shared" si="34"/>
        <v>0.67800705555555552</v>
      </c>
      <c r="Y29" s="659">
        <f t="shared" si="29"/>
        <v>1867354.4999999998</v>
      </c>
      <c r="Z29" s="191">
        <f t="shared" si="30"/>
        <v>0.62245149999999994</v>
      </c>
      <c r="AA29" s="15" t="str">
        <f>VLOOKUP(B29,Input_Lic_Rate_PS!B:G,6,FALSE)</f>
        <v>Cloud-TCHK01</v>
      </c>
      <c r="AB29" s="56"/>
    </row>
    <row r="30" spans="1:28">
      <c r="A30" s="13">
        <v>13</v>
      </c>
      <c r="B30" s="14" t="s">
        <v>1067</v>
      </c>
      <c r="C30" s="14" t="s">
        <v>4</v>
      </c>
      <c r="D30" s="15" t="s">
        <v>25</v>
      </c>
      <c r="E30" s="16">
        <f>VLOOKUP(LEFT(B30,6),MME_Lic!A:R,12,FALSE)*1000</f>
        <v>1500000</v>
      </c>
      <c r="F30" s="16">
        <v>1500000</v>
      </c>
      <c r="G30" s="16">
        <v>2500000</v>
      </c>
      <c r="H30" s="16">
        <v>1704919</v>
      </c>
      <c r="I30" s="16">
        <v>1800141</v>
      </c>
      <c r="J30" s="4">
        <v>2288242</v>
      </c>
      <c r="K30" s="4">
        <v>2332655</v>
      </c>
      <c r="L30" s="16">
        <f>_xlfn.IFNA(VLOOKUP(B30,Input_NOCPRO_SGSN!C:AA,10,FALSE),0)</f>
        <v>371753</v>
      </c>
      <c r="M30" s="817">
        <f>_xlfn.IFNA(VLOOKUP(B30,Input_NOCPRO_SGSN!C:AA,11,FALSE),0)</f>
        <v>393590</v>
      </c>
      <c r="N30" s="16">
        <f>_xlfn.IFNA(VLOOKUP(B30,Input_NOCPRO_SGSN!C:AA,4,FALSE),0)</f>
        <v>611633</v>
      </c>
      <c r="O30" s="16">
        <f>_xlfn.IFNA(VLOOKUP(B30,Input_NOCPRO_SGSN!C:AA,7,FALSE),0)</f>
        <v>622268</v>
      </c>
      <c r="P30" s="18">
        <f t="shared" si="5"/>
        <v>0.15743599999999999</v>
      </c>
      <c r="Q30" s="194">
        <f>VLOOKUP(B30,Input_Lic_Rate_PS!X:Y,2,FALSE)</f>
        <v>25</v>
      </c>
      <c r="R30" s="194">
        <v>25</v>
      </c>
      <c r="S30" s="190">
        <f t="shared" si="31"/>
        <v>393590</v>
      </c>
      <c r="T30" s="191">
        <f t="shared" si="27"/>
        <v>0.15743599999999999</v>
      </c>
      <c r="U30" s="4">
        <f t="shared" si="1"/>
        <v>1</v>
      </c>
      <c r="V30" s="4" t="str">
        <f t="shared" si="7"/>
        <v>No</v>
      </c>
      <c r="W30" s="212">
        <f t="shared" si="28"/>
        <v>911384.16666666663</v>
      </c>
      <c r="X30" s="203">
        <f t="shared" si="32"/>
        <v>0.36455366666666666</v>
      </c>
      <c r="Y30" s="659">
        <f t="shared" si="29"/>
        <v>744717.5</v>
      </c>
      <c r="Z30" s="191">
        <f t="shared" si="30"/>
        <v>0.29788700000000001</v>
      </c>
      <c r="AA30" s="15" t="e">
        <f>VLOOKUP(B30,Input_Lic_Rate_PS!B:G,6,FALSE)</f>
        <v>#N/A</v>
      </c>
    </row>
    <row r="31" spans="1:28">
      <c r="A31" s="13">
        <v>14</v>
      </c>
      <c r="B31" s="14" t="s">
        <v>1068</v>
      </c>
      <c r="C31" s="14" t="s">
        <v>4</v>
      </c>
      <c r="D31" s="15" t="s">
        <v>25</v>
      </c>
      <c r="E31" s="16">
        <f>VLOOKUP(LEFT(B31,6),MME_Lic!A:R,12,FALSE)*1000</f>
        <v>1500000</v>
      </c>
      <c r="F31" s="16">
        <v>1500000</v>
      </c>
      <c r="G31" s="16">
        <v>3000000</v>
      </c>
      <c r="H31" s="16">
        <v>2122729</v>
      </c>
      <c r="I31" s="16">
        <v>2222370</v>
      </c>
      <c r="J31" s="4">
        <v>2928596</v>
      </c>
      <c r="K31" s="4">
        <v>2975381</v>
      </c>
      <c r="L31" s="16">
        <f>_xlfn.IFNA(VLOOKUP(B31,Input_NOCPRO_SGSN!C:AA,10,FALSE),0)</f>
        <v>372233</v>
      </c>
      <c r="M31" s="817">
        <f>_xlfn.IFNA(VLOOKUP(B31,Input_NOCPRO_SGSN!C:AA,11,FALSE),0)</f>
        <v>394179</v>
      </c>
      <c r="N31" s="16">
        <f>_xlfn.IFNA(VLOOKUP(B31,Input_NOCPRO_SGSN!C:AA,4,FALSE),0)</f>
        <v>612810</v>
      </c>
      <c r="O31" s="16">
        <f>_xlfn.IFNA(VLOOKUP(B31,Input_NOCPRO_SGSN!C:AA,7,FALSE),0)</f>
        <v>623493</v>
      </c>
      <c r="P31" s="18">
        <f t="shared" si="5"/>
        <v>0.13139300000000001</v>
      </c>
      <c r="Q31" s="194">
        <f>VLOOKUP(B31,Input_Lic_Rate_PS!X:Y,2,FALSE)</f>
        <v>25</v>
      </c>
      <c r="R31" s="194">
        <v>25</v>
      </c>
      <c r="S31" s="190">
        <f t="shared" si="31"/>
        <v>394179</v>
      </c>
      <c r="T31" s="191">
        <f t="shared" si="27"/>
        <v>0.13139300000000001</v>
      </c>
      <c r="U31" s="4">
        <f t="shared" si="1"/>
        <v>1</v>
      </c>
      <c r="V31" s="4" t="str">
        <f t="shared" si="7"/>
        <v>No</v>
      </c>
      <c r="W31" s="212">
        <f t="shared" si="28"/>
        <v>911973.16666666663</v>
      </c>
      <c r="X31" s="203">
        <f t="shared" si="32"/>
        <v>0.30399105555555556</v>
      </c>
      <c r="Y31" s="659">
        <f t="shared" si="29"/>
        <v>745306.5</v>
      </c>
      <c r="Z31" s="191">
        <f t="shared" si="30"/>
        <v>0.2484355</v>
      </c>
      <c r="AA31" s="15" t="e">
        <f>VLOOKUP(B31,Input_Lic_Rate_PS!B:G,6,FALSE)</f>
        <v>#N/A</v>
      </c>
      <c r="AB31" s="56"/>
    </row>
    <row r="32" spans="1:28">
      <c r="A32" s="62"/>
      <c r="B32" s="62" t="s">
        <v>28</v>
      </c>
      <c r="C32" s="62" t="s">
        <v>4</v>
      </c>
      <c r="D32" s="62"/>
      <c r="E32" s="62"/>
      <c r="F32" s="76">
        <f>SUM(F26:F31)</f>
        <v>12200000</v>
      </c>
      <c r="G32" s="76">
        <f>SUM(G26:G31)</f>
        <v>16000000</v>
      </c>
      <c r="H32" s="181">
        <v>7262249</v>
      </c>
      <c r="I32" s="181">
        <v>7648696</v>
      </c>
      <c r="J32" s="181">
        <v>9845310</v>
      </c>
      <c r="K32" s="181">
        <v>10026220</v>
      </c>
      <c r="L32" s="181">
        <f>SUM(L26:L31)</f>
        <v>5553581</v>
      </c>
      <c r="M32" s="818">
        <f t="shared" ref="M32:O32" si="35">SUM(M26:M31)</f>
        <v>5817019</v>
      </c>
      <c r="N32" s="181">
        <f t="shared" si="35"/>
        <v>9278991</v>
      </c>
      <c r="O32" s="181">
        <f t="shared" si="35"/>
        <v>9406685</v>
      </c>
      <c r="P32" s="18">
        <f t="shared" si="5"/>
        <v>0.36356368750000001</v>
      </c>
      <c r="Q32" s="194">
        <f>SUM(Q26:Q31)</f>
        <v>150</v>
      </c>
      <c r="R32" s="194">
        <v>150</v>
      </c>
      <c r="S32" s="193">
        <f>SUM(S26:S31)</f>
        <v>5817019</v>
      </c>
      <c r="T32" s="193"/>
      <c r="U32" s="4">
        <f t="shared" si="1"/>
        <v>1</v>
      </c>
      <c r="V32" s="4" t="str">
        <f t="shared" si="7"/>
        <v>No</v>
      </c>
      <c r="W32" s="62"/>
      <c r="X32" s="62"/>
      <c r="Y32" s="62"/>
      <c r="Z32" s="62"/>
      <c r="AA32" s="62"/>
    </row>
    <row r="33" spans="1:28">
      <c r="A33" s="114">
        <v>15</v>
      </c>
      <c r="B33" s="115" t="s">
        <v>348</v>
      </c>
      <c r="C33" s="115" t="s">
        <v>249</v>
      </c>
      <c r="D33" s="116" t="s">
        <v>25</v>
      </c>
      <c r="E33" s="16">
        <f>VLOOKUP(LEFT(B33,6),MME_Lic!A:R,12,FALSE)*1000</f>
        <v>1500000</v>
      </c>
      <c r="F33" s="37">
        <f>VLOOKUP(B33,Input_Lic_Rate_PS!B:H,5,FALSE)</f>
        <v>1500000</v>
      </c>
      <c r="G33" s="37">
        <v>1000000</v>
      </c>
      <c r="H33" s="37">
        <v>797858</v>
      </c>
      <c r="I33" s="37">
        <v>797858</v>
      </c>
      <c r="J33" s="55">
        <v>0</v>
      </c>
      <c r="K33" s="55">
        <v>0</v>
      </c>
      <c r="L33" s="16">
        <f>_xlfn.IFNA(VLOOKUP(B33,Input_NOCPRO_SGSN!C:AA,10,FALSE),0)</f>
        <v>614525</v>
      </c>
      <c r="M33" s="817">
        <f>_xlfn.IFNA(VLOOKUP(B33,Input_NOCPRO_SGSN!C:AA,11,FALSE),0)</f>
        <v>614525</v>
      </c>
      <c r="N33" s="16">
        <f>_xlfn.IFNA(VLOOKUP(B33,Input_NOCPRO_SGSN!C:AA,4,FALSE),0)</f>
        <v>0</v>
      </c>
      <c r="O33" s="16">
        <f>_xlfn.IFNA(VLOOKUP(B33,Input_NOCPRO_SGSN!C:AA,7,FALSE),0)</f>
        <v>0</v>
      </c>
      <c r="P33" s="18">
        <f t="shared" ref="P33:P35" si="36">M33/G33</f>
        <v>0.61452499999999999</v>
      </c>
      <c r="Q33" s="194">
        <f>VLOOKUP(B33,Input_Lic_Rate_PS!X:Y,2,FALSE)</f>
        <v>15</v>
      </c>
      <c r="R33" s="55">
        <v>15</v>
      </c>
      <c r="S33" s="190">
        <f>IF(U33=0,0,M33+(R33/SUM($R$33:$R$39)-Q33/SUM($Q$33:$Q$39))*SUM($M$33:$M$39))*U33</f>
        <v>614525</v>
      </c>
      <c r="T33" s="191">
        <f t="shared" si="27"/>
        <v>0.61452499999999999</v>
      </c>
      <c r="U33" s="4">
        <f t="shared" si="1"/>
        <v>1</v>
      </c>
      <c r="V33" s="4" t="str">
        <f t="shared" si="7"/>
        <v>No</v>
      </c>
      <c r="W33" s="116"/>
      <c r="X33" s="116"/>
      <c r="Y33" s="116"/>
      <c r="Z33" s="116"/>
      <c r="AA33" s="116"/>
    </row>
    <row r="34" spans="1:28">
      <c r="A34" s="114">
        <v>16</v>
      </c>
      <c r="B34" s="115" t="s">
        <v>349</v>
      </c>
      <c r="C34" s="115" t="s">
        <v>249</v>
      </c>
      <c r="D34" s="116" t="s">
        <v>25</v>
      </c>
      <c r="E34" s="16">
        <f>VLOOKUP(LEFT(B34,6),MME_Lic!A:R,12,FALSE)*1000</f>
        <v>1500000</v>
      </c>
      <c r="F34" s="37">
        <f>VLOOKUP(B34,Input_Lic_Rate_PS!B:H,5,FALSE)</f>
        <v>1500000</v>
      </c>
      <c r="G34" s="37">
        <v>1000000</v>
      </c>
      <c r="H34" s="37">
        <v>754098</v>
      </c>
      <c r="I34" s="37">
        <v>754098</v>
      </c>
      <c r="J34" s="55">
        <v>0</v>
      </c>
      <c r="K34" s="55">
        <v>0</v>
      </c>
      <c r="L34" s="16">
        <f>_xlfn.IFNA(VLOOKUP(B34,Input_NOCPRO_SGSN!C:AA,10,FALSE),0)</f>
        <v>599924</v>
      </c>
      <c r="M34" s="817">
        <f>_xlfn.IFNA(VLOOKUP(B34,Input_NOCPRO_SGSN!C:AA,11,FALSE),0)</f>
        <v>599924</v>
      </c>
      <c r="N34" s="16">
        <f>_xlfn.IFNA(VLOOKUP(B34,Input_NOCPRO_SGSN!C:AA,4,FALSE),0)</f>
        <v>0</v>
      </c>
      <c r="O34" s="16">
        <f>_xlfn.IFNA(VLOOKUP(B34,Input_NOCPRO_SGSN!C:AA,7,FALSE),0)</f>
        <v>0</v>
      </c>
      <c r="P34" s="18">
        <f t="shared" si="36"/>
        <v>0.59992400000000001</v>
      </c>
      <c r="Q34" s="194">
        <f>VLOOKUP(B34,Input_Lic_Rate_PS!X:Y,2,FALSE)</f>
        <v>15</v>
      </c>
      <c r="R34" s="55">
        <v>15</v>
      </c>
      <c r="S34" s="190">
        <f t="shared" ref="S34:S39" si="37">IF(U34=0,0,M34+(R34/SUM($R$33:$R$39)-Q34/SUM($Q$33:$Q$39))*SUM($M$33:$M$39))*U34</f>
        <v>599924</v>
      </c>
      <c r="T34" s="191">
        <f t="shared" si="27"/>
        <v>0.59992400000000001</v>
      </c>
      <c r="U34" s="4">
        <f t="shared" si="1"/>
        <v>1</v>
      </c>
      <c r="V34" s="4" t="str">
        <f t="shared" si="7"/>
        <v>No</v>
      </c>
      <c r="W34" s="116"/>
      <c r="X34" s="116"/>
      <c r="Y34" s="116"/>
      <c r="Z34" s="116"/>
      <c r="AA34" s="116"/>
    </row>
    <row r="35" spans="1:28">
      <c r="A35" s="114">
        <v>17</v>
      </c>
      <c r="B35" s="115" t="s">
        <v>350</v>
      </c>
      <c r="C35" s="115" t="s">
        <v>249</v>
      </c>
      <c r="D35" s="116" t="s">
        <v>25</v>
      </c>
      <c r="E35" s="16">
        <f>VLOOKUP(LEFT(B35,6),MME_Lic!A:R,12,FALSE)*1000</f>
        <v>1500000</v>
      </c>
      <c r="F35" s="37">
        <f>VLOOKUP(B35,Input_Lic_Rate_PS!B:H,5,FALSE)</f>
        <v>1500000</v>
      </c>
      <c r="G35" s="37">
        <v>1000000</v>
      </c>
      <c r="H35" s="37">
        <v>746896</v>
      </c>
      <c r="I35" s="37">
        <v>746896</v>
      </c>
      <c r="J35" s="55">
        <v>0</v>
      </c>
      <c r="K35" s="55">
        <v>0</v>
      </c>
      <c r="L35" s="16">
        <f>_xlfn.IFNA(VLOOKUP(B35,Input_NOCPRO_SGSN!C:AA,10,FALSE),0)</f>
        <v>609537</v>
      </c>
      <c r="M35" s="817">
        <f>_xlfn.IFNA(VLOOKUP(B35,Input_NOCPRO_SGSN!C:AA,11,FALSE),0)</f>
        <v>609537</v>
      </c>
      <c r="N35" s="16">
        <f>_xlfn.IFNA(VLOOKUP(B35,Input_NOCPRO_SGSN!C:AA,4,FALSE),0)</f>
        <v>0</v>
      </c>
      <c r="O35" s="16">
        <f>_xlfn.IFNA(VLOOKUP(B35,Input_NOCPRO_SGSN!C:AA,7,FALSE),0)</f>
        <v>0</v>
      </c>
      <c r="P35" s="18">
        <f t="shared" si="36"/>
        <v>0.609537</v>
      </c>
      <c r="Q35" s="194">
        <f>VLOOKUP(B35,Input_Lic_Rate_PS!X:Y,2,FALSE)</f>
        <v>15</v>
      </c>
      <c r="R35" s="55">
        <v>15</v>
      </c>
      <c r="S35" s="190">
        <f t="shared" si="37"/>
        <v>609537</v>
      </c>
      <c r="T35" s="191">
        <f t="shared" si="27"/>
        <v>0.609537</v>
      </c>
      <c r="U35" s="4">
        <f t="shared" si="1"/>
        <v>1</v>
      </c>
      <c r="V35" s="4" t="str">
        <f t="shared" si="7"/>
        <v>No</v>
      </c>
      <c r="W35" s="116"/>
      <c r="X35" s="116"/>
      <c r="Y35" s="116"/>
      <c r="Z35" s="116"/>
      <c r="AA35" s="116"/>
    </row>
    <row r="36" spans="1:28">
      <c r="A36" s="114">
        <v>15</v>
      </c>
      <c r="B36" s="115" t="s">
        <v>893</v>
      </c>
      <c r="C36" s="115" t="s">
        <v>249</v>
      </c>
      <c r="D36" s="116" t="s">
        <v>25</v>
      </c>
      <c r="E36" s="16">
        <f>VLOOKUP(LEFT(B36,6),MME_Lic!A:R,12,FALSE)*1000</f>
        <v>1500000</v>
      </c>
      <c r="F36" s="37">
        <f>VLOOKUP(B36,Input_Lic_Rate_PS!B:H,5,FALSE)</f>
        <v>1500000</v>
      </c>
      <c r="G36" s="37">
        <v>1000000</v>
      </c>
      <c r="H36" s="37">
        <v>797858</v>
      </c>
      <c r="I36" s="37">
        <v>797858</v>
      </c>
      <c r="J36" s="55">
        <v>0</v>
      </c>
      <c r="K36" s="55">
        <v>0</v>
      </c>
      <c r="L36" s="16">
        <f>_xlfn.IFNA(VLOOKUP(B36,Input_NOCPRO_SGSN!C:AA,10,FALSE),0)</f>
        <v>783083</v>
      </c>
      <c r="M36" s="817">
        <f>_xlfn.IFNA(VLOOKUP(B36,Input_NOCPRO_SGSN!C:AA,11,FALSE),0)</f>
        <v>783083</v>
      </c>
      <c r="N36" s="16">
        <f>_xlfn.IFNA(VLOOKUP(B36,Input_NOCPRO_SGSN!C:AA,4,FALSE),0)</f>
        <v>0</v>
      </c>
      <c r="O36" s="16">
        <f>_xlfn.IFNA(VLOOKUP(B36,Input_NOCPRO_SGSN!C:AA,7,FALSE),0)</f>
        <v>0</v>
      </c>
      <c r="P36" s="18">
        <f t="shared" si="5"/>
        <v>0.78308299999999997</v>
      </c>
      <c r="Q36" s="194">
        <f>VLOOKUP(B36,Input_Lic_Rate_PS!X:Y,2,FALSE)</f>
        <v>20</v>
      </c>
      <c r="R36" s="55">
        <v>20</v>
      </c>
      <c r="S36" s="190">
        <f t="shared" si="37"/>
        <v>783083</v>
      </c>
      <c r="T36" s="191">
        <f t="shared" si="27"/>
        <v>0.78308299999999997</v>
      </c>
      <c r="U36" s="4">
        <f t="shared" si="1"/>
        <v>1</v>
      </c>
      <c r="V36" s="4" t="str">
        <f t="shared" si="7"/>
        <v>No</v>
      </c>
      <c r="W36" s="116"/>
      <c r="X36" s="116"/>
      <c r="Y36" s="116"/>
      <c r="Z36" s="116"/>
      <c r="AA36" s="116"/>
    </row>
    <row r="37" spans="1:28">
      <c r="A37" s="114">
        <v>16</v>
      </c>
      <c r="B37" s="115" t="s">
        <v>894</v>
      </c>
      <c r="C37" s="115" t="s">
        <v>249</v>
      </c>
      <c r="D37" s="116" t="s">
        <v>25</v>
      </c>
      <c r="E37" s="16">
        <f>VLOOKUP(LEFT(B37,6),MME_Lic!A:R,12,FALSE)*1000</f>
        <v>1500000</v>
      </c>
      <c r="F37" s="37">
        <f>VLOOKUP(B37,Input_Lic_Rate_PS!B:H,5,FALSE)</f>
        <v>1500000</v>
      </c>
      <c r="G37" s="37">
        <v>1000000</v>
      </c>
      <c r="H37" s="37">
        <v>754098</v>
      </c>
      <c r="I37" s="37">
        <v>754098</v>
      </c>
      <c r="J37" s="55">
        <v>0</v>
      </c>
      <c r="K37" s="55">
        <v>0</v>
      </c>
      <c r="L37" s="16">
        <f>_xlfn.IFNA(VLOOKUP(B37,Input_NOCPRO_SGSN!C:AA,10,FALSE),0)</f>
        <v>774259</v>
      </c>
      <c r="M37" s="817">
        <f>_xlfn.IFNA(VLOOKUP(B37,Input_NOCPRO_SGSN!C:AA,11,FALSE),0)</f>
        <v>774259</v>
      </c>
      <c r="N37" s="16">
        <f>_xlfn.IFNA(VLOOKUP(B37,Input_NOCPRO_SGSN!C:AA,4,FALSE),0)</f>
        <v>0</v>
      </c>
      <c r="O37" s="16">
        <f>_xlfn.IFNA(VLOOKUP(B37,Input_NOCPRO_SGSN!C:AA,7,FALSE),0)</f>
        <v>0</v>
      </c>
      <c r="P37" s="18">
        <f t="shared" si="5"/>
        <v>0.77425900000000003</v>
      </c>
      <c r="Q37" s="194">
        <f>VLOOKUP(B37,Input_Lic_Rate_PS!X:Y,2,FALSE)</f>
        <v>20</v>
      </c>
      <c r="R37" s="55">
        <v>20</v>
      </c>
      <c r="S37" s="190">
        <f t="shared" si="37"/>
        <v>774259</v>
      </c>
      <c r="T37" s="191">
        <f t="shared" si="27"/>
        <v>0.77425900000000003</v>
      </c>
      <c r="U37" s="4">
        <f t="shared" si="1"/>
        <v>1</v>
      </c>
      <c r="V37" s="4" t="str">
        <f t="shared" si="7"/>
        <v>No</v>
      </c>
      <c r="W37" s="116"/>
      <c r="X37" s="116"/>
      <c r="Y37" s="116"/>
      <c r="Z37" s="116"/>
      <c r="AA37" s="116"/>
    </row>
    <row r="38" spans="1:28">
      <c r="A38" s="114">
        <v>17</v>
      </c>
      <c r="B38" s="115" t="s">
        <v>895</v>
      </c>
      <c r="C38" s="115" t="s">
        <v>249</v>
      </c>
      <c r="D38" s="116" t="s">
        <v>25</v>
      </c>
      <c r="E38" s="16">
        <f>VLOOKUP(LEFT(B38,6),MME_Lic!A:R,12,FALSE)*1000</f>
        <v>1500000</v>
      </c>
      <c r="F38" s="37">
        <f>VLOOKUP(B38,Input_Lic_Rate_PS!B:H,5,FALSE)</f>
        <v>1500000</v>
      </c>
      <c r="G38" s="37">
        <v>1000000</v>
      </c>
      <c r="H38" s="37">
        <v>746896</v>
      </c>
      <c r="I38" s="37">
        <v>746896</v>
      </c>
      <c r="J38" s="55">
        <v>0</v>
      </c>
      <c r="K38" s="55">
        <v>0</v>
      </c>
      <c r="L38" s="16">
        <f>_xlfn.IFNA(VLOOKUP(B38,Input_NOCPRO_SGSN!C:AA,10,FALSE),0)</f>
        <v>775133</v>
      </c>
      <c r="M38" s="817">
        <f>_xlfn.IFNA(VLOOKUP(B38,Input_NOCPRO_SGSN!C:AA,11,FALSE),0)</f>
        <v>775133</v>
      </c>
      <c r="N38" s="16">
        <f>_xlfn.IFNA(VLOOKUP(B38,Input_NOCPRO_SGSN!C:AA,4,FALSE),0)</f>
        <v>0</v>
      </c>
      <c r="O38" s="16">
        <f>_xlfn.IFNA(VLOOKUP(B38,Input_NOCPRO_SGSN!C:AA,7,FALSE),0)</f>
        <v>0</v>
      </c>
      <c r="P38" s="18">
        <f t="shared" ref="P38" si="38">M38/G38</f>
        <v>0.77513299999999996</v>
      </c>
      <c r="Q38" s="194">
        <f>VLOOKUP(B38,Input_Lic_Rate_PS!X:Y,2,FALSE)</f>
        <v>20</v>
      </c>
      <c r="R38" s="55">
        <v>20</v>
      </c>
      <c r="S38" s="190">
        <f t="shared" si="37"/>
        <v>775133</v>
      </c>
      <c r="T38" s="191">
        <f t="shared" si="27"/>
        <v>0.77513299999999996</v>
      </c>
      <c r="U38" s="4">
        <f t="shared" si="1"/>
        <v>1</v>
      </c>
      <c r="V38" s="4" t="str">
        <f t="shared" si="7"/>
        <v>No</v>
      </c>
      <c r="W38" s="116"/>
      <c r="X38" s="116"/>
      <c r="Y38" s="116"/>
      <c r="Z38" s="116"/>
      <c r="AA38" s="116"/>
    </row>
    <row r="39" spans="1:28">
      <c r="A39" s="114">
        <v>17</v>
      </c>
      <c r="B39" s="115" t="s">
        <v>896</v>
      </c>
      <c r="C39" s="115" t="s">
        <v>249</v>
      </c>
      <c r="D39" s="116" t="s">
        <v>25</v>
      </c>
      <c r="E39" s="16">
        <f>VLOOKUP(LEFT(B39,6),MME_Lic!A:R,12,FALSE)*1000</f>
        <v>1500000</v>
      </c>
      <c r="F39" s="37">
        <f>VLOOKUP(B39,Input_Lic_Rate_PS!B:H,5,FALSE)</f>
        <v>1500000</v>
      </c>
      <c r="G39" s="37">
        <v>1000000</v>
      </c>
      <c r="H39" s="37">
        <v>746896</v>
      </c>
      <c r="I39" s="37">
        <v>746896</v>
      </c>
      <c r="J39" s="55">
        <v>0</v>
      </c>
      <c r="K39" s="55">
        <v>0</v>
      </c>
      <c r="L39" s="16">
        <f>_xlfn.IFNA(VLOOKUP(B39,Input_NOCPRO_SGSN!C:AA,10,FALSE),0)</f>
        <v>774290</v>
      </c>
      <c r="M39" s="817">
        <f>_xlfn.IFNA(VLOOKUP(B39,Input_NOCPRO_SGSN!C:AA,11,FALSE),0)</f>
        <v>774290</v>
      </c>
      <c r="N39" s="16">
        <f>_xlfn.IFNA(VLOOKUP(B39,Input_NOCPRO_SGSN!C:AA,4,FALSE),0)</f>
        <v>0</v>
      </c>
      <c r="O39" s="16">
        <f>_xlfn.IFNA(VLOOKUP(B39,Input_NOCPRO_SGSN!C:AA,7,FALSE),0)</f>
        <v>0</v>
      </c>
      <c r="P39" s="18">
        <f t="shared" si="5"/>
        <v>0.77429000000000003</v>
      </c>
      <c r="Q39" s="194">
        <f>VLOOKUP(B39,Input_Lic_Rate_PS!X:Y,2,FALSE)</f>
        <v>20</v>
      </c>
      <c r="R39" s="55">
        <v>20</v>
      </c>
      <c r="S39" s="190">
        <f t="shared" si="37"/>
        <v>774290</v>
      </c>
      <c r="T39" s="191">
        <f t="shared" si="27"/>
        <v>0.77429000000000003</v>
      </c>
      <c r="U39" s="4">
        <f t="shared" si="1"/>
        <v>1</v>
      </c>
      <c r="V39" s="4" t="str">
        <f t="shared" si="7"/>
        <v>No</v>
      </c>
      <c r="W39" s="116"/>
      <c r="X39" s="116"/>
      <c r="Y39" s="116"/>
      <c r="Z39" s="116"/>
      <c r="AA39" s="116"/>
    </row>
    <row r="40" spans="1:28">
      <c r="A40" s="62"/>
      <c r="B40" s="62" t="s">
        <v>28</v>
      </c>
      <c r="C40" s="62" t="s">
        <v>249</v>
      </c>
      <c r="D40" s="62"/>
      <c r="E40" s="62"/>
      <c r="F40" s="76">
        <f>SUM(F33:F39)</f>
        <v>10500000</v>
      </c>
      <c r="G40" s="76">
        <f>SUM(G36:G39)</f>
        <v>4000000</v>
      </c>
      <c r="H40" s="181">
        <v>2298852</v>
      </c>
      <c r="I40" s="181">
        <v>2298852</v>
      </c>
      <c r="J40" s="181">
        <v>0</v>
      </c>
      <c r="K40" s="181">
        <v>0</v>
      </c>
      <c r="L40" s="181">
        <f>SUM(L36:L39)</f>
        <v>3106765</v>
      </c>
      <c r="M40" s="818">
        <f t="shared" ref="M40:O40" si="39">SUM(M36:M39)</f>
        <v>3106765</v>
      </c>
      <c r="N40" s="181">
        <f t="shared" si="39"/>
        <v>0</v>
      </c>
      <c r="O40" s="181">
        <f t="shared" si="39"/>
        <v>0</v>
      </c>
      <c r="P40" s="18">
        <f t="shared" si="5"/>
        <v>0.77669125000000006</v>
      </c>
      <c r="Q40" s="194">
        <f>SUM(Q33:Q39)</f>
        <v>125</v>
      </c>
      <c r="R40" s="194">
        <v>125</v>
      </c>
      <c r="S40" s="193"/>
      <c r="T40" s="193"/>
      <c r="U40" s="181"/>
      <c r="V40" s="4" t="str">
        <f t="shared" si="7"/>
        <v>No</v>
      </c>
      <c r="W40" s="62"/>
      <c r="X40" s="62"/>
      <c r="Y40" s="62"/>
      <c r="Z40" s="62"/>
      <c r="AA40" s="62"/>
    </row>
    <row r="41" spans="1:28">
      <c r="A41" s="13">
        <v>18</v>
      </c>
      <c r="B41" s="14" t="s">
        <v>29</v>
      </c>
      <c r="C41" s="14" t="s">
        <v>4</v>
      </c>
      <c r="D41" s="15" t="s">
        <v>30</v>
      </c>
      <c r="E41" s="16">
        <f>VLOOKUP(LEFT(B41,6),MME_Lic!A:R,12,FALSE)*1000</f>
        <v>2500000</v>
      </c>
      <c r="F41" s="16">
        <v>2500000</v>
      </c>
      <c r="G41" s="16">
        <v>2500000</v>
      </c>
      <c r="H41" s="16">
        <v>1356904</v>
      </c>
      <c r="I41" s="16">
        <v>1456920</v>
      </c>
      <c r="J41" s="4">
        <v>1878347</v>
      </c>
      <c r="K41" s="4">
        <v>1914725</v>
      </c>
      <c r="L41" s="16">
        <f>_xlfn.IFNA(VLOOKUP(B41,Input_NOCPRO_SGSN!C:AA,10,FALSE),0)</f>
        <v>1361967</v>
      </c>
      <c r="M41" s="817">
        <f>_xlfn.IFNA(VLOOKUP(B41,Input_NOCPRO_SGSN!C:AA,11,FALSE),0)</f>
        <v>1440160</v>
      </c>
      <c r="N41" s="16">
        <f>_xlfn.IFNA(VLOOKUP(B41,Input_NOCPRO_SGSN!C:AA,4,FALSE),0)</f>
        <v>2268873</v>
      </c>
      <c r="O41" s="16">
        <f>_xlfn.IFNA(VLOOKUP(B41,Input_NOCPRO_SGSN!C:AA,7,FALSE),0)</f>
        <v>2292903</v>
      </c>
      <c r="P41" s="18">
        <f t="shared" si="5"/>
        <v>0.57606400000000002</v>
      </c>
      <c r="Q41" s="194">
        <f>VLOOKUP(B41,Input_Lic_Rate_PS!X:Y,2,FALSE)</f>
        <v>18</v>
      </c>
      <c r="R41" s="194">
        <v>18</v>
      </c>
      <c r="S41" s="190">
        <f>IF(U41=0,0,M41+(R41/SUM($R$41:$R$49)-Q41/SUM($Q$41:$Q$49))*SUM($M$41:$M$49))*U41</f>
        <v>1440160</v>
      </c>
      <c r="T41" s="191">
        <f t="shared" ref="T41:T49" si="40">S41/G41</f>
        <v>0.57606400000000002</v>
      </c>
      <c r="U41" s="4">
        <f>IF(R41=0,0,1)</f>
        <v>1</v>
      </c>
      <c r="V41" s="4" t="str">
        <f t="shared" si="7"/>
        <v>No</v>
      </c>
      <c r="W41" s="212">
        <f t="shared" ref="W41:W49" si="41">S41+R41/SUM($R$41:$R$49)*$M$58</f>
        <v>1703346.9352517985</v>
      </c>
      <c r="X41" s="203">
        <f>W41/G41</f>
        <v>0.68133877410071941</v>
      </c>
      <c r="Y41" s="659">
        <f>W41+R41/SUM($R$41:$R$49)*$AB$41</f>
        <v>1509102.3309352517</v>
      </c>
      <c r="Z41" s="191">
        <f>Y41/G41</f>
        <v>0.60364093237410066</v>
      </c>
      <c r="AA41" s="15" t="str">
        <f>VLOOKUP(B41,Input_Lic_Rate_PS!B:G,6,FALSE)</f>
        <v>MkVIII</v>
      </c>
      <c r="AB41">
        <v>-3000000</v>
      </c>
    </row>
    <row r="42" spans="1:28">
      <c r="A42" s="13">
        <v>19</v>
      </c>
      <c r="B42" s="14" t="s">
        <v>31</v>
      </c>
      <c r="C42" s="14" t="s">
        <v>4</v>
      </c>
      <c r="D42" s="15" t="s">
        <v>30</v>
      </c>
      <c r="E42" s="16">
        <f>VLOOKUP(LEFT(B42,6),MME_Lic!A:R,12,FALSE)*1000</f>
        <v>2500000</v>
      </c>
      <c r="F42" s="16">
        <v>2500000</v>
      </c>
      <c r="G42" s="16">
        <v>2500000</v>
      </c>
      <c r="H42" s="16">
        <v>1947104</v>
      </c>
      <c r="I42" s="16">
        <v>2025213</v>
      </c>
      <c r="J42" s="4">
        <v>2781254</v>
      </c>
      <c r="K42" s="4">
        <v>2809713</v>
      </c>
      <c r="L42" s="16">
        <f>_xlfn.IFNA(VLOOKUP(B42,Input_NOCPRO_SGSN!C:AA,10,FALSE),0)</f>
        <v>1651277</v>
      </c>
      <c r="M42" s="817">
        <f>_xlfn.IFNA(VLOOKUP(B42,Input_NOCPRO_SGSN!C:AA,11,FALSE),0)</f>
        <v>1723544</v>
      </c>
      <c r="N42" s="16">
        <f>_xlfn.IFNA(VLOOKUP(B42,Input_NOCPRO_SGSN!C:AA,4,FALSE),0)</f>
        <v>2902956</v>
      </c>
      <c r="O42" s="16">
        <f>_xlfn.IFNA(VLOOKUP(B42,Input_NOCPRO_SGSN!C:AA,7,FALSE),0)</f>
        <v>2927214</v>
      </c>
      <c r="P42" s="18">
        <f t="shared" si="5"/>
        <v>0.68941759999999996</v>
      </c>
      <c r="Q42" s="194">
        <f>VLOOKUP(B42,Input_Lic_Rate_PS!X:Y,2,FALSE)</f>
        <v>12</v>
      </c>
      <c r="R42" s="194">
        <v>12</v>
      </c>
      <c r="S42" s="190">
        <f t="shared" ref="S42:S49" si="42">IF(U42=0,0,M42+(R42/SUM($R$41:$R$49)-Q42/SUM($Q$41:$Q$49))*SUM($M$41:$M$49))*U42</f>
        <v>1723544</v>
      </c>
      <c r="T42" s="191">
        <f t="shared" si="40"/>
        <v>0.68941759999999996</v>
      </c>
      <c r="U42" s="4">
        <f t="shared" ref="U42:U57" si="43">IF(R42=0,0,1)</f>
        <v>1</v>
      </c>
      <c r="V42" s="4" t="str">
        <f t="shared" si="7"/>
        <v>No</v>
      </c>
      <c r="W42" s="212">
        <f t="shared" si="41"/>
        <v>1899001.9568345323</v>
      </c>
      <c r="X42" s="203">
        <f t="shared" ref="X42:X49" si="44">W42/G42</f>
        <v>0.75960078273381293</v>
      </c>
      <c r="Y42" s="659">
        <f t="shared" ref="Y42:Y49" si="45">W42+R42/SUM($R$41:$R$49)*$AB$41</f>
        <v>1769505.5539568344</v>
      </c>
      <c r="Z42" s="191">
        <f t="shared" ref="Z42:Z49" si="46">Y42/G42</f>
        <v>0.70780222158273376</v>
      </c>
      <c r="AA42" s="15" t="str">
        <f>VLOOKUP(B42,Input_Lic_Rate_PS!B:G,6,FALSE)</f>
        <v>MkVIII</v>
      </c>
    </row>
    <row r="43" spans="1:28">
      <c r="A43" s="13">
        <v>20</v>
      </c>
      <c r="B43" s="14" t="s">
        <v>32</v>
      </c>
      <c r="C43" s="14" t="s">
        <v>4</v>
      </c>
      <c r="D43" s="15" t="s">
        <v>30</v>
      </c>
      <c r="E43" s="16">
        <f>VLOOKUP(LEFT(B43,6),MME_Lic!A:R,12,FALSE)*1000</f>
        <v>3500000</v>
      </c>
      <c r="F43" s="16">
        <f>VLOOKUP(B43,Input_Lic_Rate_PS!B:H,5,FALSE)</f>
        <v>3500000</v>
      </c>
      <c r="G43" s="16">
        <v>4000000</v>
      </c>
      <c r="H43" s="16">
        <v>1665834</v>
      </c>
      <c r="I43" s="16">
        <v>1718555</v>
      </c>
      <c r="J43" s="4">
        <v>2365310</v>
      </c>
      <c r="K43" s="4">
        <v>2391899</v>
      </c>
      <c r="L43" s="16">
        <f>_xlfn.IFNA(VLOOKUP(B43,Input_NOCPRO_SGSN!C:AA,10,FALSE),0)</f>
        <v>2134970</v>
      </c>
      <c r="M43" s="817">
        <f>_xlfn.IFNA(VLOOKUP(B43,Input_NOCPRO_SGSN!C:AA,11,FALSE),0)</f>
        <v>2193364</v>
      </c>
      <c r="N43" s="16">
        <f>_xlfn.IFNA(VLOOKUP(B43,Input_NOCPRO_SGSN!C:AA,4,FALSE),0)</f>
        <v>3589710</v>
      </c>
      <c r="O43" s="16">
        <f>_xlfn.IFNA(VLOOKUP(B43,Input_NOCPRO_SGSN!C:AA,7,FALSE),0)</f>
        <v>3617421</v>
      </c>
      <c r="P43" s="18">
        <f t="shared" si="5"/>
        <v>0.54834099999999997</v>
      </c>
      <c r="Q43" s="194">
        <f>VLOOKUP(B43,Input_Lic_Rate_PS!X:Y,2,FALSE)</f>
        <v>38</v>
      </c>
      <c r="R43" s="194">
        <v>38</v>
      </c>
      <c r="S43" s="190">
        <f t="shared" si="42"/>
        <v>2193364</v>
      </c>
      <c r="T43" s="191">
        <f t="shared" si="40"/>
        <v>0.54834099999999997</v>
      </c>
      <c r="U43" s="4">
        <f t="shared" si="43"/>
        <v>1</v>
      </c>
      <c r="V43" s="4" t="str">
        <f t="shared" si="7"/>
        <v>No</v>
      </c>
      <c r="W43" s="212">
        <f t="shared" si="41"/>
        <v>2748980.8633093527</v>
      </c>
      <c r="X43" s="203">
        <f t="shared" si="44"/>
        <v>0.68724521582733822</v>
      </c>
      <c r="Y43" s="659">
        <f t="shared" si="45"/>
        <v>2338908.9208633094</v>
      </c>
      <c r="Z43" s="191">
        <f t="shared" si="46"/>
        <v>0.5847272302158274</v>
      </c>
      <c r="AA43" s="15" t="str">
        <f>VLOOKUP(B43,Input_Lic_Rate_PS!B:G,6,FALSE)</f>
        <v>MkX</v>
      </c>
    </row>
    <row r="44" spans="1:28">
      <c r="A44" s="13">
        <v>21</v>
      </c>
      <c r="B44" s="14" t="s">
        <v>33</v>
      </c>
      <c r="C44" s="14" t="s">
        <v>4</v>
      </c>
      <c r="D44" s="15" t="s">
        <v>30</v>
      </c>
      <c r="E44" s="16">
        <f>VLOOKUP(LEFT(B44,6),MME_Lic!A:R,12,FALSE)*1000</f>
        <v>3500000</v>
      </c>
      <c r="F44" s="16">
        <f>VLOOKUP(B44,Input_Lic_Rate_PS!B:H,5,FALSE)</f>
        <v>3500000</v>
      </c>
      <c r="G44" s="16">
        <v>4000000</v>
      </c>
      <c r="H44" s="16">
        <v>2575195</v>
      </c>
      <c r="I44" s="16">
        <v>2674787</v>
      </c>
      <c r="J44" s="4">
        <v>3520172</v>
      </c>
      <c r="K44" s="4">
        <v>3557319</v>
      </c>
      <c r="L44" s="16">
        <f>_xlfn.IFNA(VLOOKUP(B44,Input_NOCPRO_SGSN!C:AA,10,FALSE),0)</f>
        <v>2188935</v>
      </c>
      <c r="M44" s="817">
        <f>_xlfn.IFNA(VLOOKUP(B44,Input_NOCPRO_SGSN!C:AA,11,FALSE),0)</f>
        <v>2242716</v>
      </c>
      <c r="N44" s="16">
        <f>_xlfn.IFNA(VLOOKUP(B44,Input_NOCPRO_SGSN!C:AA,4,FALSE),0)</f>
        <v>3676301</v>
      </c>
      <c r="O44" s="16">
        <f>_xlfn.IFNA(VLOOKUP(B44,Input_NOCPRO_SGSN!C:AA,7,FALSE),0)</f>
        <v>3703928</v>
      </c>
      <c r="P44" s="18">
        <f t="shared" si="5"/>
        <v>0.56067900000000004</v>
      </c>
      <c r="Q44" s="194">
        <f>VLOOKUP(B44,Input_Lic_Rate_PS!X:Y,2,FALSE)</f>
        <v>38</v>
      </c>
      <c r="R44" s="194">
        <v>38</v>
      </c>
      <c r="S44" s="190">
        <f t="shared" si="42"/>
        <v>2242716</v>
      </c>
      <c r="T44" s="191">
        <f t="shared" si="40"/>
        <v>0.56067900000000004</v>
      </c>
      <c r="U44" s="4">
        <f t="shared" si="43"/>
        <v>1</v>
      </c>
      <c r="V44" s="4" t="str">
        <f t="shared" si="7"/>
        <v>No</v>
      </c>
      <c r="W44" s="212">
        <f t="shared" si="41"/>
        <v>2798332.8633093527</v>
      </c>
      <c r="X44" s="203">
        <f t="shared" si="44"/>
        <v>0.69958321582733818</v>
      </c>
      <c r="Y44" s="659">
        <f t="shared" si="45"/>
        <v>2388260.9208633094</v>
      </c>
      <c r="Z44" s="191">
        <f t="shared" si="46"/>
        <v>0.59706523021582736</v>
      </c>
      <c r="AA44" s="15" t="str">
        <f>VLOOKUP(B44,Input_Lic_Rate_PS!B:G,6,FALSE)</f>
        <v>MkX</v>
      </c>
    </row>
    <row r="45" spans="1:28">
      <c r="A45" s="13">
        <v>22</v>
      </c>
      <c r="B45" s="14" t="s">
        <v>34</v>
      </c>
      <c r="C45" s="14" t="s">
        <v>4</v>
      </c>
      <c r="D45" s="15" t="s">
        <v>30</v>
      </c>
      <c r="E45" s="16">
        <f>VLOOKUP(LEFT(B45,6),MME_Lic!A:R,12,FALSE)*1000</f>
        <v>3400000</v>
      </c>
      <c r="F45" s="16">
        <f>VLOOKUP(B45,Input_Lic_Rate_PS!B:H,5,FALSE)</f>
        <v>3400000</v>
      </c>
      <c r="G45" s="16">
        <v>4000000</v>
      </c>
      <c r="H45" s="16">
        <v>2550232</v>
      </c>
      <c r="I45" s="16">
        <v>2637615</v>
      </c>
      <c r="J45" s="4">
        <v>3488229</v>
      </c>
      <c r="K45" s="4">
        <v>3521988</v>
      </c>
      <c r="L45" s="16">
        <f>_xlfn.IFNA(VLOOKUP(B45,Input_NOCPRO_SGSN!C:AA,10,FALSE),0)</f>
        <v>2275649</v>
      </c>
      <c r="M45" s="817">
        <f>_xlfn.IFNA(VLOOKUP(B45,Input_NOCPRO_SGSN!C:AA,11,FALSE),0)</f>
        <v>2340289</v>
      </c>
      <c r="N45" s="16">
        <f>_xlfn.IFNA(VLOOKUP(B45,Input_NOCPRO_SGSN!C:AA,4,FALSE),0)</f>
        <v>3804736</v>
      </c>
      <c r="O45" s="16">
        <f>_xlfn.IFNA(VLOOKUP(B45,Input_NOCPRO_SGSN!C:AA,7,FALSE),0)</f>
        <v>3834237</v>
      </c>
      <c r="P45" s="18">
        <f t="shared" si="5"/>
        <v>0.58507224999999996</v>
      </c>
      <c r="Q45" s="194">
        <f>VLOOKUP(B45,Input_Lic_Rate_PS!X:Y,2,FALSE)</f>
        <v>38</v>
      </c>
      <c r="R45" s="194">
        <v>38</v>
      </c>
      <c r="S45" s="190">
        <f t="shared" si="42"/>
        <v>2340289</v>
      </c>
      <c r="T45" s="191">
        <f t="shared" si="40"/>
        <v>0.58507224999999996</v>
      </c>
      <c r="U45" s="4">
        <f t="shared" si="43"/>
        <v>1</v>
      </c>
      <c r="V45" s="4" t="str">
        <f t="shared" si="7"/>
        <v>No</v>
      </c>
      <c r="W45" s="212">
        <f t="shared" si="41"/>
        <v>2895905.8633093527</v>
      </c>
      <c r="X45" s="203">
        <f t="shared" si="44"/>
        <v>0.72397646582733821</v>
      </c>
      <c r="Y45" s="659">
        <f t="shared" si="45"/>
        <v>2485833.9208633094</v>
      </c>
      <c r="Z45" s="191">
        <f t="shared" si="46"/>
        <v>0.62145848021582739</v>
      </c>
      <c r="AA45" s="15" t="str">
        <f>VLOOKUP(B45,Input_Lic_Rate_PS!B:G,6,FALSE)</f>
        <v>MkX</v>
      </c>
    </row>
    <row r="46" spans="1:28">
      <c r="A46" s="13">
        <v>23</v>
      </c>
      <c r="B46" s="14" t="s">
        <v>35</v>
      </c>
      <c r="C46" s="14" t="s">
        <v>4</v>
      </c>
      <c r="D46" s="15" t="s">
        <v>30</v>
      </c>
      <c r="E46" s="16">
        <f>VLOOKUP(LEFT(B46,6),MME_Lic!A:R,12,FALSE)*1000</f>
        <v>3400000</v>
      </c>
      <c r="F46" s="16">
        <f>VLOOKUP(B46,Input_Lic_Rate_PS!B:H,5,FALSE)</f>
        <v>3400000</v>
      </c>
      <c r="G46" s="16">
        <v>5000000</v>
      </c>
      <c r="H46" s="16">
        <v>2519150</v>
      </c>
      <c r="I46" s="16">
        <v>2601374</v>
      </c>
      <c r="J46" s="4">
        <v>3471091</v>
      </c>
      <c r="K46" s="4">
        <v>3503577</v>
      </c>
      <c r="L46" s="16">
        <f>_xlfn.IFNA(VLOOKUP(B46,Input_NOCPRO_SGSN!C:AA,10,FALSE),0)</f>
        <v>2332341</v>
      </c>
      <c r="M46" s="817">
        <f>_xlfn.IFNA(VLOOKUP(B46,Input_NOCPRO_SGSN!C:AA,11,FALSE),0)</f>
        <v>2388562</v>
      </c>
      <c r="N46" s="16">
        <f>_xlfn.IFNA(VLOOKUP(B46,Input_NOCPRO_SGSN!C:AA,4,FALSE),0)</f>
        <v>3924353</v>
      </c>
      <c r="O46" s="16">
        <f>_xlfn.IFNA(VLOOKUP(B46,Input_NOCPRO_SGSN!C:AA,7,FALSE),0)</f>
        <v>3952456</v>
      </c>
      <c r="P46" s="18">
        <f t="shared" si="5"/>
        <v>0.47771239999999998</v>
      </c>
      <c r="Q46" s="194">
        <f>VLOOKUP(B46,Input_Lic_Rate_PS!X:Y,2,FALSE)</f>
        <v>38</v>
      </c>
      <c r="R46" s="194">
        <v>38</v>
      </c>
      <c r="S46" s="190">
        <f t="shared" si="42"/>
        <v>2388562</v>
      </c>
      <c r="T46" s="191">
        <f t="shared" si="40"/>
        <v>0.47771239999999998</v>
      </c>
      <c r="U46" s="4">
        <f t="shared" si="43"/>
        <v>1</v>
      </c>
      <c r="V46" s="4" t="str">
        <f t="shared" si="7"/>
        <v>No</v>
      </c>
      <c r="W46" s="212">
        <f t="shared" si="41"/>
        <v>2944178.8633093527</v>
      </c>
      <c r="X46" s="203">
        <f t="shared" si="44"/>
        <v>0.58883577266187048</v>
      </c>
      <c r="Y46" s="659">
        <f t="shared" si="45"/>
        <v>2534106.9208633094</v>
      </c>
      <c r="Z46" s="191">
        <f t="shared" si="46"/>
        <v>0.50682138417266187</v>
      </c>
      <c r="AA46" s="15" t="str">
        <f>VLOOKUP(B46,Input_Lic_Rate_PS!B:G,6,FALSE)</f>
        <v>Cloud-TCHT01</v>
      </c>
    </row>
    <row r="47" spans="1:28">
      <c r="A47" s="13">
        <v>24</v>
      </c>
      <c r="B47" s="14" t="s">
        <v>131</v>
      </c>
      <c r="C47" s="14" t="s">
        <v>4</v>
      </c>
      <c r="D47" s="15" t="s">
        <v>30</v>
      </c>
      <c r="E47" s="16">
        <f>VLOOKUP(LEFT(B47,6),MME_Lic!A:R,12,FALSE)*1000</f>
        <v>3400000</v>
      </c>
      <c r="F47" s="16">
        <f>VLOOKUP(B47,Input_Lic_Rate_PS!B:H,5,FALSE)</f>
        <v>3400000</v>
      </c>
      <c r="G47" s="16">
        <v>5000000</v>
      </c>
      <c r="H47" s="16">
        <v>2579325</v>
      </c>
      <c r="I47" s="16">
        <v>2670167</v>
      </c>
      <c r="J47" s="4">
        <v>3546906</v>
      </c>
      <c r="K47" s="4">
        <v>3581921</v>
      </c>
      <c r="L47" s="16">
        <f>_xlfn.IFNA(VLOOKUP(B47,Input_NOCPRO_SGSN!C:AA,10,FALSE),0)</f>
        <v>2295687</v>
      </c>
      <c r="M47" s="817">
        <f>_xlfn.IFNA(VLOOKUP(B47,Input_NOCPRO_SGSN!C:AA,11,FALSE),0)</f>
        <v>2356512</v>
      </c>
      <c r="N47" s="16">
        <f>_xlfn.IFNA(VLOOKUP(B47,Input_NOCPRO_SGSN!C:AA,4,FALSE),0)</f>
        <v>3862391</v>
      </c>
      <c r="O47" s="16">
        <f>_xlfn.IFNA(VLOOKUP(B47,Input_NOCPRO_SGSN!C:AA,7,FALSE),0)</f>
        <v>3892082</v>
      </c>
      <c r="P47" s="18">
        <f t="shared" si="5"/>
        <v>0.47130240000000001</v>
      </c>
      <c r="Q47" s="194">
        <f>VLOOKUP(B47,Input_Lic_Rate_PS!X:Y,2,FALSE)</f>
        <v>38</v>
      </c>
      <c r="R47" s="194">
        <v>38</v>
      </c>
      <c r="S47" s="190">
        <f t="shared" si="42"/>
        <v>2356512</v>
      </c>
      <c r="T47" s="191">
        <f t="shared" si="40"/>
        <v>0.47130240000000001</v>
      </c>
      <c r="U47" s="4">
        <f t="shared" si="43"/>
        <v>1</v>
      </c>
      <c r="V47" s="4" t="str">
        <f t="shared" si="7"/>
        <v>No</v>
      </c>
      <c r="W47" s="212">
        <f t="shared" si="41"/>
        <v>2912128.8633093527</v>
      </c>
      <c r="X47" s="203">
        <f t="shared" si="44"/>
        <v>0.58242577266187057</v>
      </c>
      <c r="Y47" s="659">
        <f t="shared" si="45"/>
        <v>2502056.9208633094</v>
      </c>
      <c r="Z47" s="191">
        <f t="shared" si="46"/>
        <v>0.50041138417266184</v>
      </c>
      <c r="AA47" s="15" t="str">
        <f>VLOOKUP(B47,Input_Lic_Rate_PS!B:G,6,FALSE)</f>
        <v>Cloud-TCHT01</v>
      </c>
    </row>
    <row r="48" spans="1:28">
      <c r="A48" s="13">
        <v>25</v>
      </c>
      <c r="B48" s="14" t="s">
        <v>132</v>
      </c>
      <c r="C48" s="14" t="s">
        <v>4</v>
      </c>
      <c r="D48" s="15" t="s">
        <v>30</v>
      </c>
      <c r="E48" s="16">
        <f>VLOOKUP(LEFT(B48,6),MME_Lic!A:R,12,FALSE)*1000</f>
        <v>3400000</v>
      </c>
      <c r="F48" s="16">
        <f>VLOOKUP(B48,Input_Lic_Rate_PS!B:H,5,FALSE)</f>
        <v>3400000</v>
      </c>
      <c r="G48" s="16">
        <v>5000000</v>
      </c>
      <c r="H48" s="16">
        <v>2589797</v>
      </c>
      <c r="I48" s="16">
        <v>2680416</v>
      </c>
      <c r="J48" s="4">
        <v>3558973</v>
      </c>
      <c r="K48" s="4">
        <v>3593266</v>
      </c>
      <c r="L48" s="16">
        <f>_xlfn.IFNA(VLOOKUP(B48,Input_NOCPRO_SGSN!C:AA,10,FALSE),0)</f>
        <v>2295516</v>
      </c>
      <c r="M48" s="817">
        <f>_xlfn.IFNA(VLOOKUP(B48,Input_NOCPRO_SGSN!C:AA,11,FALSE),0)</f>
        <v>2355139</v>
      </c>
      <c r="N48" s="16">
        <f>_xlfn.IFNA(VLOOKUP(B48,Input_NOCPRO_SGSN!C:AA,4,FALSE),0)</f>
        <v>3865562</v>
      </c>
      <c r="O48" s="16">
        <f>_xlfn.IFNA(VLOOKUP(B48,Input_NOCPRO_SGSN!C:AA,7,FALSE),0)</f>
        <v>3894912</v>
      </c>
      <c r="P48" s="18">
        <f t="shared" si="5"/>
        <v>0.4710278</v>
      </c>
      <c r="Q48" s="194">
        <f>VLOOKUP(B48,Input_Lic_Rate_PS!X:Y,2,FALSE)</f>
        <v>38</v>
      </c>
      <c r="R48" s="194">
        <v>38</v>
      </c>
      <c r="S48" s="190">
        <f t="shared" si="42"/>
        <v>2355139</v>
      </c>
      <c r="T48" s="191">
        <f t="shared" si="40"/>
        <v>0.4710278</v>
      </c>
      <c r="U48" s="4">
        <f t="shared" si="43"/>
        <v>1</v>
      </c>
      <c r="V48" s="4" t="str">
        <f t="shared" si="7"/>
        <v>No</v>
      </c>
      <c r="W48" s="212">
        <f t="shared" si="41"/>
        <v>2910755.8633093527</v>
      </c>
      <c r="X48" s="203">
        <f t="shared" si="44"/>
        <v>0.58215117266187055</v>
      </c>
      <c r="Y48" s="659">
        <f t="shared" si="45"/>
        <v>2500683.9208633094</v>
      </c>
      <c r="Z48" s="191">
        <f t="shared" si="46"/>
        <v>0.50013678417266183</v>
      </c>
      <c r="AA48" s="15" t="str">
        <f>VLOOKUP(B48,Input_Lic_Rate_PS!B:G,6,FALSE)</f>
        <v>Cloud-TCHT01-NFVI02</v>
      </c>
    </row>
    <row r="49" spans="1:27">
      <c r="A49" s="13">
        <v>26</v>
      </c>
      <c r="B49" s="14" t="s">
        <v>336</v>
      </c>
      <c r="C49" s="14" t="s">
        <v>4</v>
      </c>
      <c r="D49" s="15" t="s">
        <v>30</v>
      </c>
      <c r="E49" s="16">
        <f>VLOOKUP(LEFT(B49,6),MME_Lic!A:R,12,FALSE)*1000</f>
        <v>1000000</v>
      </c>
      <c r="F49" s="16">
        <f>VLOOKUP(B49,Input_Lic_Rate_PS!B:H,5,FALSE)</f>
        <v>1000000</v>
      </c>
      <c r="G49" s="16">
        <v>1000000</v>
      </c>
      <c r="H49" s="16">
        <v>182647</v>
      </c>
      <c r="I49" s="16">
        <v>185064</v>
      </c>
      <c r="J49" s="4">
        <v>251258</v>
      </c>
      <c r="K49" s="4">
        <v>252595</v>
      </c>
      <c r="L49" s="16">
        <f>_xlfn.IFNA(VLOOKUP(B49,Input_NOCPRO_SGSN!C:AA,10,FALSE),0)</f>
        <v>429498</v>
      </c>
      <c r="M49" s="817">
        <f>_xlfn.IFNA(VLOOKUP(B49,Input_NOCPRO_SGSN!C:AA,11,FALSE),0)</f>
        <v>434806</v>
      </c>
      <c r="N49" s="16">
        <f>_xlfn.IFNA(VLOOKUP(B49,Input_NOCPRO_SGSN!C:AA,4,FALSE),0)</f>
        <v>723249</v>
      </c>
      <c r="O49" s="16">
        <f>_xlfn.IFNA(VLOOKUP(B49,Input_NOCPRO_SGSN!C:AA,7,FALSE),0)</f>
        <v>726998</v>
      </c>
      <c r="P49" s="18">
        <f t="shared" si="5"/>
        <v>0.43480600000000003</v>
      </c>
      <c r="Q49" s="194">
        <v>20</v>
      </c>
      <c r="R49" s="194">
        <v>20</v>
      </c>
      <c r="S49" s="190">
        <f t="shared" si="42"/>
        <v>434806</v>
      </c>
      <c r="T49" s="191">
        <f t="shared" si="40"/>
        <v>0.43480600000000003</v>
      </c>
      <c r="U49" s="4">
        <f t="shared" si="43"/>
        <v>1</v>
      </c>
      <c r="V49" s="4" t="str">
        <f t="shared" si="7"/>
        <v>No</v>
      </c>
      <c r="W49" s="212">
        <f t="shared" si="41"/>
        <v>727235.92805755395</v>
      </c>
      <c r="X49" s="203">
        <f t="shared" si="44"/>
        <v>0.72723592805755399</v>
      </c>
      <c r="Y49" s="659">
        <f t="shared" si="45"/>
        <v>511408.58992805751</v>
      </c>
      <c r="Z49" s="191">
        <f t="shared" si="46"/>
        <v>0.51140858992805749</v>
      </c>
      <c r="AA49" s="15" t="str">
        <f>VLOOKUP(B49,Input_Lic_Rate_PS!B:G,6,FALSE)</f>
        <v>Cloud-TCHT01-NFVI02</v>
      </c>
    </row>
    <row r="50" spans="1:27">
      <c r="A50" s="13">
        <v>23</v>
      </c>
      <c r="B50" s="59" t="s">
        <v>36</v>
      </c>
      <c r="C50" s="59" t="s">
        <v>4</v>
      </c>
      <c r="D50" s="60"/>
      <c r="E50" s="61">
        <f>SUM(E41:E49)</f>
        <v>26600000</v>
      </c>
      <c r="F50" s="61">
        <f>SUM(F41:F48)</f>
        <v>25600000</v>
      </c>
      <c r="G50" s="61">
        <f>SUM(G41:G48)</f>
        <v>32000000</v>
      </c>
      <c r="H50" s="61">
        <v>22563892</v>
      </c>
      <c r="I50" s="61">
        <v>18650111</v>
      </c>
      <c r="J50" s="61">
        <v>24861540</v>
      </c>
      <c r="K50" s="61">
        <v>25127003</v>
      </c>
      <c r="L50" s="61">
        <f>SUM(L36:L49)</f>
        <v>23179370</v>
      </c>
      <c r="M50" s="819">
        <f>SUM(M41:M49)</f>
        <v>17475092</v>
      </c>
      <c r="N50" s="61">
        <f>SUM(N41:N49)</f>
        <v>28618131</v>
      </c>
      <c r="O50" s="61">
        <f>SUM(O41:O49)</f>
        <v>28842151</v>
      </c>
      <c r="P50" s="18">
        <f t="shared" si="5"/>
        <v>0.546096625</v>
      </c>
      <c r="Q50" s="194">
        <f>SUM(Q41:Q49)</f>
        <v>278</v>
      </c>
      <c r="R50" s="194">
        <v>278</v>
      </c>
      <c r="S50" s="201"/>
      <c r="T50" s="193"/>
      <c r="U50" s="181"/>
      <c r="V50" s="4" t="str">
        <f t="shared" si="7"/>
        <v>No</v>
      </c>
      <c r="W50" s="62"/>
      <c r="X50" s="62"/>
      <c r="Y50" s="62"/>
      <c r="Z50" s="62"/>
      <c r="AA50" s="62"/>
    </row>
    <row r="51" spans="1:27">
      <c r="A51" s="114">
        <v>15</v>
      </c>
      <c r="B51" s="115" t="s">
        <v>580</v>
      </c>
      <c r="C51" s="115" t="s">
        <v>249</v>
      </c>
      <c r="D51" s="15" t="s">
        <v>30</v>
      </c>
      <c r="E51" s="16">
        <f>VLOOKUP(LEFT(B51,6),MME_Lic!A:R,12,FALSE)*1000</f>
        <v>1500000</v>
      </c>
      <c r="F51" s="37">
        <f>VLOOKUP(B51,Input_Lic_Rate_PS!B:H,5,FALSE)</f>
        <v>1500000</v>
      </c>
      <c r="G51" s="37">
        <v>1500000</v>
      </c>
      <c r="H51" s="37">
        <v>349150</v>
      </c>
      <c r="I51" s="37">
        <v>349150</v>
      </c>
      <c r="J51" s="55">
        <v>0</v>
      </c>
      <c r="K51" s="55">
        <v>0</v>
      </c>
      <c r="L51" s="16">
        <f>_xlfn.IFNA(VLOOKUP(B51,Input_NOCPRO_SGSN!C:AA,10,FALSE),0)</f>
        <v>550720</v>
      </c>
      <c r="M51" s="817">
        <f>_xlfn.IFNA(VLOOKUP(B51,Input_NOCPRO_SGSN!C:AA,11,FALSE),0)</f>
        <v>550720</v>
      </c>
      <c r="N51" s="16">
        <f>_xlfn.IFNA(VLOOKUP(B51,Input_NOCPRO_SGSN!C:AA,4,FALSE),0)</f>
        <v>0</v>
      </c>
      <c r="O51" s="16">
        <f>_xlfn.IFNA(VLOOKUP(B51,Input_NOCPRO_SGSN!C:AA,7,FALSE),0)</f>
        <v>0</v>
      </c>
      <c r="P51" s="18">
        <f t="shared" ref="P51:P58" si="47">M51/G51</f>
        <v>0.36714666666666668</v>
      </c>
      <c r="Q51" s="194">
        <f>VLOOKUP(B51,Input_Lic_Rate_PS!X:Y,2,FALSE)</f>
        <v>15</v>
      </c>
      <c r="R51" s="55">
        <v>15</v>
      </c>
      <c r="S51" s="190">
        <f>IF(U51=0,0,M51+(R51/SUM($R$51:$R$57)-Q51/SUM($Q$51:$Q$57))*SUM($M$51:$M$57))*U51</f>
        <v>550720</v>
      </c>
      <c r="T51" s="191">
        <f t="shared" ref="T51:T54" si="48">S51/G51</f>
        <v>0.36714666666666668</v>
      </c>
      <c r="U51" s="4">
        <f t="shared" si="43"/>
        <v>1</v>
      </c>
      <c r="V51" s="4" t="str">
        <f t="shared" si="7"/>
        <v>No</v>
      </c>
      <c r="W51" s="116"/>
      <c r="X51" s="116"/>
      <c r="Y51" s="116"/>
      <c r="Z51" s="116"/>
      <c r="AA51" s="116"/>
    </row>
    <row r="52" spans="1:27">
      <c r="A52" s="114">
        <v>16</v>
      </c>
      <c r="B52" s="115" t="s">
        <v>581</v>
      </c>
      <c r="C52" s="115" t="s">
        <v>249</v>
      </c>
      <c r="D52" s="15" t="s">
        <v>30</v>
      </c>
      <c r="E52" s="16">
        <f>VLOOKUP(LEFT(B52,6),MME_Lic!A:R,12,FALSE)*1000</f>
        <v>1500000</v>
      </c>
      <c r="F52" s="37">
        <f>VLOOKUP(B52,Input_Lic_Rate_PS!B:H,5,FALSE)</f>
        <v>1500000</v>
      </c>
      <c r="G52" s="37">
        <v>1500000</v>
      </c>
      <c r="H52" s="37">
        <v>356328</v>
      </c>
      <c r="I52" s="37">
        <v>356328</v>
      </c>
      <c r="J52" s="55">
        <v>0</v>
      </c>
      <c r="K52" s="55">
        <v>0</v>
      </c>
      <c r="L52" s="16">
        <f>_xlfn.IFNA(VLOOKUP(B52,Input_NOCPRO_SGSN!C:AA,10,FALSE),0)</f>
        <v>517494</v>
      </c>
      <c r="M52" s="817">
        <f>_xlfn.IFNA(VLOOKUP(B52,Input_NOCPRO_SGSN!C:AA,11,FALSE),0)</f>
        <v>517494</v>
      </c>
      <c r="N52" s="16">
        <f>_xlfn.IFNA(VLOOKUP(B52,Input_NOCPRO_SGSN!C:AA,4,FALSE),0)</f>
        <v>0</v>
      </c>
      <c r="O52" s="16">
        <f>_xlfn.IFNA(VLOOKUP(B52,Input_NOCPRO_SGSN!C:AA,7,FALSE),0)</f>
        <v>0</v>
      </c>
      <c r="P52" s="18">
        <f t="shared" ref="P52:P54" si="49">M52/G52</f>
        <v>0.34499600000000002</v>
      </c>
      <c r="Q52" s="194">
        <f>VLOOKUP(B52,Input_Lic_Rate_PS!X:Y,2,FALSE)</f>
        <v>15</v>
      </c>
      <c r="R52" s="55">
        <v>15</v>
      </c>
      <c r="S52" s="190">
        <f t="shared" ref="S52:S57" si="50">IF(U52=0,0,M52+(R52/SUM($R$51:$R$57)-Q52/SUM($Q$51:$Q$57))*SUM($M$51:$M$57))*U52</f>
        <v>517494</v>
      </c>
      <c r="T52" s="191">
        <f t="shared" si="48"/>
        <v>0.34499600000000002</v>
      </c>
      <c r="U52" s="4">
        <f t="shared" si="43"/>
        <v>1</v>
      </c>
      <c r="V52" s="4" t="str">
        <f t="shared" si="7"/>
        <v>No</v>
      </c>
      <c r="W52" s="116"/>
      <c r="X52" s="116"/>
      <c r="Y52" s="116"/>
      <c r="Z52" s="116"/>
      <c r="AA52" s="116"/>
    </row>
    <row r="53" spans="1:27">
      <c r="A53" s="114">
        <v>17</v>
      </c>
      <c r="B53" s="115" t="s">
        <v>582</v>
      </c>
      <c r="C53" s="115" t="s">
        <v>249</v>
      </c>
      <c r="D53" s="15" t="s">
        <v>30</v>
      </c>
      <c r="E53" s="16">
        <f>VLOOKUP(LEFT(B53,6),MME_Lic!A:R,12,FALSE)*1000</f>
        <v>1000000</v>
      </c>
      <c r="F53" s="37">
        <f>VLOOKUP(B53,Input_Lic_Rate_PS!B:H,5,FALSE)</f>
        <v>1500000</v>
      </c>
      <c r="G53" s="37">
        <v>1500000</v>
      </c>
      <c r="H53" s="37">
        <v>358314</v>
      </c>
      <c r="I53" s="37">
        <v>358314</v>
      </c>
      <c r="J53" s="55">
        <v>0</v>
      </c>
      <c r="K53" s="55">
        <v>0</v>
      </c>
      <c r="L53" s="16">
        <f>_xlfn.IFNA(VLOOKUP(B53,Input_NOCPRO_SGSN!C:AA,10,FALSE),0)</f>
        <v>520947</v>
      </c>
      <c r="M53" s="817">
        <f>_xlfn.IFNA(VLOOKUP(B53,Input_NOCPRO_SGSN!C:AA,11,FALSE),0)</f>
        <v>520947</v>
      </c>
      <c r="N53" s="16">
        <f>_xlfn.IFNA(VLOOKUP(B53,Input_NOCPRO_SGSN!C:AA,4,FALSE),0)</f>
        <v>0</v>
      </c>
      <c r="O53" s="16">
        <f>_xlfn.IFNA(VLOOKUP(B53,Input_NOCPRO_SGSN!C:AA,7,FALSE),0)</f>
        <v>0</v>
      </c>
      <c r="P53" s="18">
        <f t="shared" si="49"/>
        <v>0.347298</v>
      </c>
      <c r="Q53" s="194">
        <f>VLOOKUP(B53,Input_Lic_Rate_PS!X:Y,2,FALSE)</f>
        <v>15</v>
      </c>
      <c r="R53" s="55">
        <v>15</v>
      </c>
      <c r="S53" s="190">
        <f t="shared" si="50"/>
        <v>520947</v>
      </c>
      <c r="T53" s="191">
        <f t="shared" si="48"/>
        <v>0.347298</v>
      </c>
      <c r="U53" s="4">
        <f t="shared" si="43"/>
        <v>1</v>
      </c>
      <c r="V53" s="4" t="str">
        <f t="shared" si="7"/>
        <v>No</v>
      </c>
      <c r="W53" s="116"/>
      <c r="X53" s="116"/>
      <c r="Y53" s="116"/>
      <c r="Z53" s="116"/>
      <c r="AA53" s="116"/>
    </row>
    <row r="54" spans="1:27">
      <c r="A54" s="114">
        <v>17</v>
      </c>
      <c r="B54" s="115" t="s">
        <v>583</v>
      </c>
      <c r="C54" s="115" t="s">
        <v>249</v>
      </c>
      <c r="D54" s="15" t="s">
        <v>30</v>
      </c>
      <c r="E54" s="16">
        <f>VLOOKUP(LEFT(B54,6),MME_Lic!A:R,12,FALSE)*1000</f>
        <v>1500000</v>
      </c>
      <c r="F54" s="37">
        <f>VLOOKUP(B54,Input_Lic_Rate_PS!B:H,5,FALSE)</f>
        <v>1500000</v>
      </c>
      <c r="G54" s="37">
        <v>1500000</v>
      </c>
      <c r="H54" s="37">
        <v>358391</v>
      </c>
      <c r="I54" s="37">
        <v>358391</v>
      </c>
      <c r="J54" s="55">
        <v>0</v>
      </c>
      <c r="K54" s="55">
        <v>0</v>
      </c>
      <c r="L54" s="16">
        <f>_xlfn.IFNA(VLOOKUP(B54,Input_NOCPRO_SGSN!C:AA,10,FALSE),0)</f>
        <v>521843</v>
      </c>
      <c r="M54" s="817">
        <f>_xlfn.IFNA(VLOOKUP(B54,Input_NOCPRO_SGSN!C:AA,11,FALSE),0)</f>
        <v>521843</v>
      </c>
      <c r="N54" s="16">
        <f>_xlfn.IFNA(VLOOKUP(B54,Input_NOCPRO_SGSN!C:AA,4,FALSE),0)</f>
        <v>0</v>
      </c>
      <c r="O54" s="16">
        <f>_xlfn.IFNA(VLOOKUP(B54,Input_NOCPRO_SGSN!C:AA,7,FALSE),0)</f>
        <v>0</v>
      </c>
      <c r="P54" s="18">
        <f t="shared" si="49"/>
        <v>0.34789533333333333</v>
      </c>
      <c r="Q54" s="194">
        <f>VLOOKUP(B54,Input_Lic_Rate_PS!X:Y,2,FALSE)</f>
        <v>15</v>
      </c>
      <c r="R54" s="55">
        <v>15</v>
      </c>
      <c r="S54" s="190">
        <f t="shared" si="50"/>
        <v>521843</v>
      </c>
      <c r="T54" s="191">
        <f t="shared" si="48"/>
        <v>0.34789533333333333</v>
      </c>
      <c r="U54" s="4">
        <f t="shared" si="43"/>
        <v>1</v>
      </c>
      <c r="V54" s="4" t="str">
        <f t="shared" si="7"/>
        <v>No</v>
      </c>
      <c r="W54" s="116"/>
      <c r="X54" s="116"/>
      <c r="Y54" s="116"/>
      <c r="Z54" s="116"/>
      <c r="AA54" s="116"/>
    </row>
    <row r="55" spans="1:27">
      <c r="A55" s="114">
        <v>16</v>
      </c>
      <c r="B55" s="115" t="s">
        <v>1080</v>
      </c>
      <c r="C55" s="115" t="s">
        <v>249</v>
      </c>
      <c r="D55" s="15" t="s">
        <v>30</v>
      </c>
      <c r="E55" s="16">
        <f>VLOOKUP(LEFT(B55,6),MME_Lic!A:R,12,FALSE)*1000</f>
        <v>1500000</v>
      </c>
      <c r="F55" s="37">
        <v>1500000</v>
      </c>
      <c r="G55" s="37">
        <v>1500000</v>
      </c>
      <c r="H55" s="37">
        <v>356328</v>
      </c>
      <c r="I55" s="37">
        <v>356328</v>
      </c>
      <c r="J55" s="55">
        <v>0</v>
      </c>
      <c r="K55" s="55">
        <v>0</v>
      </c>
      <c r="L55" s="16">
        <f>_xlfn.IFNA(VLOOKUP(B55,Input_NOCPRO_SGSN!C:AA,10,FALSE),0)</f>
        <v>679629</v>
      </c>
      <c r="M55" s="817">
        <f>_xlfn.IFNA(VLOOKUP(B55,Input_NOCPRO_SGSN!C:AA,11,FALSE),0)</f>
        <v>679629</v>
      </c>
      <c r="N55" s="16">
        <f>_xlfn.IFNA(VLOOKUP(B55,Input_NOCPRO_SGSN!C:AA,4,FALSE),0)</f>
        <v>0</v>
      </c>
      <c r="O55" s="16">
        <f>_xlfn.IFNA(VLOOKUP(B55,Input_NOCPRO_SGSN!C:AA,7,FALSE),0)</f>
        <v>0</v>
      </c>
      <c r="P55" s="18">
        <f t="shared" si="47"/>
        <v>0.45308599999999999</v>
      </c>
      <c r="Q55" s="194">
        <f>VLOOKUP(B55,Input_Lic_Rate_PS!X:Y,2,FALSE)</f>
        <v>20</v>
      </c>
      <c r="R55" s="55">
        <v>20</v>
      </c>
      <c r="S55" s="190">
        <f t="shared" si="50"/>
        <v>679629</v>
      </c>
      <c r="T55" s="191">
        <f t="shared" ref="T55:T57" si="51">S55/G55</f>
        <v>0.45308599999999999</v>
      </c>
      <c r="U55" s="4">
        <f t="shared" si="43"/>
        <v>1</v>
      </c>
      <c r="V55" s="4" t="str">
        <f t="shared" si="7"/>
        <v>No</v>
      </c>
      <c r="W55" s="116"/>
      <c r="X55" s="116"/>
      <c r="Y55" s="116"/>
      <c r="Z55" s="116"/>
      <c r="AA55" s="116"/>
    </row>
    <row r="56" spans="1:27">
      <c r="A56" s="114">
        <v>17</v>
      </c>
      <c r="B56" s="115" t="s">
        <v>1081</v>
      </c>
      <c r="C56" s="115" t="s">
        <v>249</v>
      </c>
      <c r="D56" s="15" t="s">
        <v>30</v>
      </c>
      <c r="E56" s="16">
        <f>VLOOKUP(LEFT(B56,6),MME_Lic!A:R,12,FALSE)*1000</f>
        <v>1500000</v>
      </c>
      <c r="F56" s="37">
        <v>1500000</v>
      </c>
      <c r="G56" s="37">
        <v>1500000</v>
      </c>
      <c r="H56" s="37">
        <v>358314</v>
      </c>
      <c r="I56" s="37">
        <v>358314</v>
      </c>
      <c r="J56" s="55">
        <v>0</v>
      </c>
      <c r="K56" s="55">
        <v>0</v>
      </c>
      <c r="L56" s="16">
        <f>_xlfn.IFNA(VLOOKUP(B56,Input_NOCPRO_SGSN!C:AA,10,FALSE),0)</f>
        <v>643631</v>
      </c>
      <c r="M56" s="817">
        <f>_xlfn.IFNA(VLOOKUP(B56,Input_NOCPRO_SGSN!C:AA,11,FALSE),0)</f>
        <v>643631</v>
      </c>
      <c r="N56" s="16">
        <f>_xlfn.IFNA(VLOOKUP(B56,Input_NOCPRO_SGSN!C:AA,4,FALSE),0)</f>
        <v>0</v>
      </c>
      <c r="O56" s="16">
        <f>_xlfn.IFNA(VLOOKUP(B56,Input_NOCPRO_SGSN!C:AA,7,FALSE),0)</f>
        <v>0</v>
      </c>
      <c r="P56" s="18">
        <f t="shared" ref="P56" si="52">M56/G56</f>
        <v>0.42908733333333332</v>
      </c>
      <c r="Q56" s="194">
        <f>VLOOKUP(B56,Input_Lic_Rate_PS!X:Y,2,FALSE)</f>
        <v>20</v>
      </c>
      <c r="R56" s="55">
        <v>20</v>
      </c>
      <c r="S56" s="190">
        <f t="shared" si="50"/>
        <v>643631</v>
      </c>
      <c r="T56" s="191">
        <f t="shared" si="51"/>
        <v>0.42908733333333332</v>
      </c>
      <c r="U56" s="4">
        <f t="shared" si="43"/>
        <v>1</v>
      </c>
      <c r="V56" s="4" t="str">
        <f t="shared" si="7"/>
        <v>No</v>
      </c>
      <c r="W56" s="116"/>
      <c r="X56" s="116"/>
      <c r="Y56" s="116"/>
      <c r="Z56" s="116"/>
      <c r="AA56" s="116"/>
    </row>
    <row r="57" spans="1:27">
      <c r="A57" s="114">
        <v>17</v>
      </c>
      <c r="B57" s="115" t="s">
        <v>1125</v>
      </c>
      <c r="C57" s="115" t="s">
        <v>249</v>
      </c>
      <c r="D57" s="15" t="s">
        <v>30</v>
      </c>
      <c r="E57" s="16">
        <f>VLOOKUP(LEFT(B57,6),MME_Lic!A:R,12,FALSE)*1000</f>
        <v>1500000</v>
      </c>
      <c r="F57" s="37">
        <v>1500000</v>
      </c>
      <c r="G57" s="37">
        <v>1500000</v>
      </c>
      <c r="H57" s="37">
        <v>358391</v>
      </c>
      <c r="I57" s="37">
        <v>358391</v>
      </c>
      <c r="J57" s="55">
        <v>0</v>
      </c>
      <c r="K57" s="55">
        <v>0</v>
      </c>
      <c r="L57" s="16">
        <f>_xlfn.IFNA(VLOOKUP(B57,Input_NOCPRO_SGSN!C:AA,10,FALSE),0)</f>
        <v>630512</v>
      </c>
      <c r="M57" s="817">
        <f>_xlfn.IFNA(VLOOKUP(B57,Input_NOCPRO_SGSN!C:AA,11,FALSE),0)</f>
        <v>630512</v>
      </c>
      <c r="N57" s="16">
        <f>_xlfn.IFNA(VLOOKUP(B57,Input_NOCPRO_SGSN!C:AA,4,FALSE),0)</f>
        <v>0</v>
      </c>
      <c r="O57" s="16">
        <f>_xlfn.IFNA(VLOOKUP(B57,Input_NOCPRO_SGSN!C:AA,7,FALSE),0)</f>
        <v>0</v>
      </c>
      <c r="P57" s="18">
        <f t="shared" si="47"/>
        <v>0.42034133333333334</v>
      </c>
      <c r="Q57" s="194">
        <f>VLOOKUP(B57,Input_Lic_Rate_PS!X:Y,2,FALSE)</f>
        <v>20</v>
      </c>
      <c r="R57" s="55">
        <v>20</v>
      </c>
      <c r="S57" s="190">
        <f t="shared" si="50"/>
        <v>630512</v>
      </c>
      <c r="T57" s="191">
        <f t="shared" si="51"/>
        <v>0.42034133333333334</v>
      </c>
      <c r="U57" s="4">
        <f t="shared" si="43"/>
        <v>1</v>
      </c>
      <c r="V57" s="4" t="str">
        <f t="shared" si="7"/>
        <v>No</v>
      </c>
      <c r="W57" s="116"/>
      <c r="X57" s="116"/>
      <c r="Y57" s="116"/>
      <c r="Z57" s="116"/>
      <c r="AA57" s="116"/>
    </row>
    <row r="58" spans="1:27">
      <c r="A58" s="62"/>
      <c r="B58" s="62" t="s">
        <v>36</v>
      </c>
      <c r="C58" s="62" t="s">
        <v>249</v>
      </c>
      <c r="D58" s="62"/>
      <c r="E58" s="62"/>
      <c r="F58" s="76">
        <f>SUM(F50:F57)</f>
        <v>36100000</v>
      </c>
      <c r="G58" s="76">
        <f>SUM(G51:G57)</f>
        <v>10500000</v>
      </c>
      <c r="H58" s="181">
        <v>1422183</v>
      </c>
      <c r="I58" s="181">
        <v>1422183</v>
      </c>
      <c r="J58" s="181">
        <v>0</v>
      </c>
      <c r="K58" s="181">
        <v>0</v>
      </c>
      <c r="L58" s="181">
        <f>SUM(L51:L57)</f>
        <v>4064776</v>
      </c>
      <c r="M58" s="818">
        <f t="shared" ref="M58:O58" si="53">SUM(M51:M57)</f>
        <v>4064776</v>
      </c>
      <c r="N58" s="181">
        <f t="shared" si="53"/>
        <v>0</v>
      </c>
      <c r="O58" s="181">
        <f t="shared" si="53"/>
        <v>0</v>
      </c>
      <c r="P58" s="18">
        <f t="shared" si="47"/>
        <v>0.3871215238095238</v>
      </c>
      <c r="Q58" s="193">
        <f>SUM(Q51:Q57)</f>
        <v>120</v>
      </c>
      <c r="R58" s="193">
        <v>120</v>
      </c>
      <c r="S58" s="193">
        <f>SUM(S51:S57)</f>
        <v>4064776</v>
      </c>
      <c r="T58" s="193"/>
      <c r="U58" s="193"/>
      <c r="V58" s="4" t="str">
        <f t="shared" si="7"/>
        <v>No</v>
      </c>
      <c r="W58" s="62"/>
      <c r="X58" s="62"/>
      <c r="Y58" s="62"/>
      <c r="Z58" s="62"/>
      <c r="AA58" s="62"/>
    </row>
    <row r="59" spans="1:27">
      <c r="A59" s="13" t="s">
        <v>15</v>
      </c>
      <c r="B59" s="23" t="s">
        <v>37</v>
      </c>
      <c r="C59" s="23" t="s">
        <v>38</v>
      </c>
      <c r="D59" s="24"/>
      <c r="E59" s="820">
        <f>E15+E21</f>
        <v>41400000</v>
      </c>
      <c r="F59" s="820">
        <f>F15+F21</f>
        <v>42000000</v>
      </c>
      <c r="G59" s="820">
        <f>G15+G21</f>
        <v>47600000</v>
      </c>
      <c r="H59" s="25">
        <v>25936473</v>
      </c>
      <c r="I59" s="25">
        <v>28072476</v>
      </c>
      <c r="J59" s="25">
        <v>33545488</v>
      </c>
      <c r="K59" s="25">
        <v>34662270</v>
      </c>
      <c r="L59" s="820">
        <f>L15+L21</f>
        <v>31230068</v>
      </c>
      <c r="M59" s="820">
        <f>M15+M21</f>
        <v>32453588</v>
      </c>
      <c r="N59" s="820">
        <f>N15+N21</f>
        <v>54262784</v>
      </c>
      <c r="O59" s="820">
        <f>O15+O21</f>
        <v>54880625</v>
      </c>
      <c r="P59" s="820">
        <f>P15+P21</f>
        <v>1.2228237499999999</v>
      </c>
      <c r="Q59" s="189"/>
      <c r="R59" s="189"/>
      <c r="S59" s="189"/>
      <c r="T59" s="189"/>
      <c r="U59" s="3"/>
      <c r="V59" s="3"/>
      <c r="W59" s="24"/>
      <c r="X59" s="24"/>
      <c r="Y59" s="24"/>
      <c r="Z59" s="24"/>
      <c r="AA59" s="24"/>
    </row>
    <row r="60" spans="1:27">
      <c r="A60" s="13" t="s">
        <v>25</v>
      </c>
      <c r="B60" s="23" t="s">
        <v>39</v>
      </c>
      <c r="C60" s="23" t="s">
        <v>38</v>
      </c>
      <c r="D60" s="24"/>
      <c r="E60" s="820">
        <f>E32+E40</f>
        <v>0</v>
      </c>
      <c r="F60" s="820">
        <f>F32+F40</f>
        <v>22700000</v>
      </c>
      <c r="G60" s="820">
        <f>G32+G40</f>
        <v>20000000</v>
      </c>
      <c r="H60" s="25">
        <v>8059221</v>
      </c>
      <c r="I60" s="25">
        <v>8513833</v>
      </c>
      <c r="J60" s="25">
        <v>10381224</v>
      </c>
      <c r="K60" s="25">
        <v>10588749</v>
      </c>
      <c r="L60" s="820">
        <f>L32+L40</f>
        <v>8660346</v>
      </c>
      <c r="M60" s="820">
        <f>M32+M40</f>
        <v>8923784</v>
      </c>
      <c r="N60" s="820">
        <f>N32+N40</f>
        <v>9278991</v>
      </c>
      <c r="O60" s="820">
        <f>O32+O40</f>
        <v>9406685</v>
      </c>
      <c r="P60" s="820">
        <f>P32+P40</f>
        <v>1.1402549375</v>
      </c>
      <c r="Q60" s="189"/>
      <c r="R60" s="189"/>
      <c r="S60" s="189"/>
      <c r="T60" s="189"/>
      <c r="U60" s="3"/>
      <c r="V60" s="3"/>
      <c r="W60" s="24"/>
      <c r="X60" s="24"/>
      <c r="Y60" s="24"/>
      <c r="Z60" s="24"/>
      <c r="AA60" s="24"/>
    </row>
    <row r="61" spans="1:27">
      <c r="A61" s="13" t="s">
        <v>30</v>
      </c>
      <c r="B61" s="23" t="s">
        <v>40</v>
      </c>
      <c r="C61" s="23" t="s">
        <v>38</v>
      </c>
      <c r="D61" s="24"/>
      <c r="E61" s="820">
        <f>E50+E58</f>
        <v>26600000</v>
      </c>
      <c r="F61" s="820">
        <f>F50+F58</f>
        <v>61700000</v>
      </c>
      <c r="G61" s="820">
        <f>G50+G58</f>
        <v>42500000</v>
      </c>
      <c r="H61" s="25">
        <v>17168127</v>
      </c>
      <c r="I61" s="25">
        <v>18102003</v>
      </c>
      <c r="J61" s="25">
        <v>22144253</v>
      </c>
      <c r="K61" s="25">
        <v>22529982</v>
      </c>
      <c r="L61" s="820">
        <f>L50+L58</f>
        <v>27244146</v>
      </c>
      <c r="M61" s="820">
        <f>M50+M58</f>
        <v>21539868</v>
      </c>
      <c r="N61" s="820">
        <f>N50+N58</f>
        <v>28618131</v>
      </c>
      <c r="O61" s="820">
        <f>O50+O58</f>
        <v>28842151</v>
      </c>
      <c r="P61" s="820">
        <f>P50+P58</f>
        <v>0.93321814880952381</v>
      </c>
      <c r="Q61" s="189"/>
      <c r="R61" s="189"/>
      <c r="S61" s="189"/>
      <c r="T61" s="189"/>
      <c r="U61" s="3"/>
      <c r="V61" s="3"/>
      <c r="W61" s="24"/>
      <c r="X61" s="24"/>
      <c r="Y61" s="24"/>
      <c r="Z61" s="24"/>
      <c r="AA61" s="24"/>
    </row>
    <row r="62" spans="1:27">
      <c r="A62" s="13" t="s">
        <v>104</v>
      </c>
      <c r="B62" s="23" t="s">
        <v>41</v>
      </c>
      <c r="C62" s="23" t="s">
        <v>38</v>
      </c>
      <c r="D62" s="24"/>
      <c r="E62" s="25">
        <f t="shared" ref="E62:F62" si="54">SUM(E59:E61)</f>
        <v>68000000</v>
      </c>
      <c r="F62" s="25">
        <f t="shared" si="54"/>
        <v>126400000</v>
      </c>
      <c r="G62" s="25"/>
      <c r="H62" s="25">
        <v>51163821</v>
      </c>
      <c r="I62" s="25">
        <v>54688312</v>
      </c>
      <c r="J62" s="25">
        <v>66070965</v>
      </c>
      <c r="K62" s="25">
        <v>67781001</v>
      </c>
      <c r="L62" s="25">
        <f t="shared" ref="L62:O62" si="55">SUM(L59:L61)</f>
        <v>67134560</v>
      </c>
      <c r="M62" s="820">
        <f t="shared" si="55"/>
        <v>62917240</v>
      </c>
      <c r="N62" s="25">
        <f t="shared" si="55"/>
        <v>92159906</v>
      </c>
      <c r="O62" s="25">
        <f t="shared" si="55"/>
        <v>93129461</v>
      </c>
      <c r="P62" s="18"/>
      <c r="Q62" s="189"/>
      <c r="R62" s="189"/>
      <c r="S62" s="189"/>
      <c r="T62" s="189"/>
      <c r="U62" s="3"/>
      <c r="V62" s="3"/>
      <c r="W62" s="24"/>
      <c r="X62" s="24"/>
      <c r="Y62" s="24"/>
      <c r="Z62" s="24"/>
      <c r="AA62" s="24"/>
    </row>
    <row r="63" spans="1:27">
      <c r="Q63" s="189"/>
      <c r="R63" s="189"/>
      <c r="S63" s="189"/>
      <c r="T63" s="189"/>
      <c r="U63" s="3"/>
      <c r="V63" s="3"/>
      <c r="W63" s="3"/>
      <c r="X63" s="3"/>
      <c r="Y63" s="3">
        <v>982552</v>
      </c>
      <c r="Z63" s="3"/>
      <c r="AA63" s="3"/>
    </row>
    <row r="64" spans="1:27" s="26" customFormat="1">
      <c r="B64" s="27" t="s">
        <v>42</v>
      </c>
      <c r="M64" s="822"/>
      <c r="Q64" s="210"/>
      <c r="R64" s="210"/>
      <c r="S64" s="210"/>
      <c r="T64" s="210"/>
      <c r="U64" s="208"/>
      <c r="V64" s="208"/>
      <c r="W64" s="208"/>
      <c r="X64" s="208"/>
      <c r="Y64" s="208"/>
      <c r="Z64" s="208"/>
      <c r="AA64" s="208"/>
    </row>
    <row r="65" spans="26:26">
      <c r="Z65" s="190">
        <v>3000000</v>
      </c>
    </row>
  </sheetData>
  <mergeCells count="7">
    <mergeCell ref="L1:O1"/>
    <mergeCell ref="H1:K1"/>
    <mergeCell ref="A1:A2"/>
    <mergeCell ref="B1:B2"/>
    <mergeCell ref="C1:C2"/>
    <mergeCell ref="D1:D2"/>
    <mergeCell ref="E1:G1"/>
  </mergeCells>
  <conditionalFormatting sqref="P62:P1048576 P1:P18 P36:P37 P39:P51 P55:P58 P30:P32 P21:P27">
    <cfRule type="cellIs" dxfId="28" priority="9" operator="greaterThan">
      <formula>0.95</formula>
    </cfRule>
  </conditionalFormatting>
  <conditionalFormatting sqref="P33:P35">
    <cfRule type="cellIs" dxfId="27" priority="8" operator="greaterThan">
      <formula>0.95</formula>
    </cfRule>
  </conditionalFormatting>
  <conditionalFormatting sqref="P38">
    <cfRule type="cellIs" dxfId="26" priority="7" operator="greaterThan">
      <formula>0.95</formula>
    </cfRule>
  </conditionalFormatting>
  <conditionalFormatting sqref="P52:P54">
    <cfRule type="cellIs" dxfId="25" priority="6" operator="greaterThan">
      <formula>0.95</formula>
    </cfRule>
  </conditionalFormatting>
  <conditionalFormatting sqref="P28:P29">
    <cfRule type="cellIs" dxfId="24" priority="5" operator="greaterThan">
      <formula>0.95</formula>
    </cfRule>
  </conditionalFormatting>
  <conditionalFormatting sqref="P20">
    <cfRule type="cellIs" dxfId="23" priority="4" operator="greaterThan">
      <formula>0.95</formula>
    </cfRule>
  </conditionalFormatting>
  <conditionalFormatting sqref="P19">
    <cfRule type="cellIs" dxfId="22" priority="3" operator="greaterThan">
      <formula>0.95</formula>
    </cfRule>
  </conditionalFormatting>
  <conditionalFormatting sqref="V1:V1048576">
    <cfRule type="cellIs" dxfId="21" priority="1" operator="equal">
      <formula>"Yes"</formula>
    </cfRule>
  </conditionalFormatting>
  <hyperlinks>
    <hyperlink ref="B64" location="'Gioi Thieu Tai lieu'!A1" display="'Gioi Thieu Tai lieu'!A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10"/>
  <sheetViews>
    <sheetView topLeftCell="A69" zoomScaleNormal="100" workbookViewId="0">
      <pane xSplit="3" topLeftCell="D1" activePane="topRight" state="frozen"/>
      <selection activeCell="A76" sqref="A76"/>
      <selection pane="topRight" activeCell="I139" sqref="I139"/>
    </sheetView>
  </sheetViews>
  <sheetFormatPr defaultColWidth="9.140625" defaultRowHeight="12.75"/>
  <cols>
    <col min="1" max="1" width="5.5703125" style="441" customWidth="1"/>
    <col min="2" max="2" width="11.85546875" style="439" customWidth="1"/>
    <col min="3" max="3" width="11.7109375" style="439" customWidth="1"/>
    <col min="4" max="4" width="12.28515625" style="440" customWidth="1"/>
    <col min="5" max="5" width="12.28515625" style="441" customWidth="1"/>
    <col min="6" max="6" width="12.5703125" style="441" customWidth="1"/>
    <col min="7" max="7" width="13.42578125" style="441" customWidth="1"/>
    <col min="8" max="8" width="12.5703125" style="441" customWidth="1"/>
    <col min="9" max="9" width="12.28515625" style="441" customWidth="1"/>
    <col min="10" max="10" width="12.7109375" style="439" customWidth="1"/>
    <col min="11" max="11" width="12.28515625" style="439" bestFit="1" customWidth="1"/>
    <col min="12" max="12" width="11.140625" style="439" customWidth="1"/>
    <col min="13" max="13" width="11" style="439" customWidth="1"/>
    <col min="14" max="14" width="13.28515625" style="439" customWidth="1"/>
    <col min="15" max="15" width="12.28515625" style="439" customWidth="1"/>
    <col min="16" max="16" width="13.5703125" style="439" bestFit="1" customWidth="1"/>
    <col min="17" max="17" width="13.5703125" style="442" bestFit="1" customWidth="1"/>
    <col min="18" max="18" width="11.42578125" style="439" customWidth="1"/>
    <col min="19" max="19" width="12.5703125" style="439" customWidth="1"/>
    <col min="20" max="20" width="11.140625" style="439" bestFit="1" customWidth="1"/>
    <col min="21" max="22" width="11.5703125" style="439" customWidth="1"/>
    <col min="23" max="24" width="11.140625" style="439" customWidth="1"/>
    <col min="25" max="25" width="12.28515625" style="439" customWidth="1"/>
    <col min="26" max="16384" width="9.140625" style="439"/>
  </cols>
  <sheetData>
    <row r="1" spans="1:19" ht="19.5">
      <c r="A1" s="438" t="s">
        <v>584</v>
      </c>
    </row>
    <row r="2" spans="1:19">
      <c r="A2" s="443" t="s">
        <v>585</v>
      </c>
    </row>
    <row r="3" spans="1:19" s="449" customFormat="1" ht="25.5">
      <c r="A3" s="444" t="s">
        <v>0</v>
      </c>
      <c r="B3" s="445" t="s">
        <v>43</v>
      </c>
      <c r="C3" s="446" t="s">
        <v>586</v>
      </c>
      <c r="D3" s="447" t="s">
        <v>587</v>
      </c>
      <c r="E3" s="447" t="s">
        <v>588</v>
      </c>
      <c r="F3" s="446" t="s">
        <v>589</v>
      </c>
      <c r="G3" s="446" t="s">
        <v>590</v>
      </c>
      <c r="H3" s="446" t="s">
        <v>591</v>
      </c>
      <c r="I3" s="446" t="s">
        <v>592</v>
      </c>
      <c r="J3" s="446" t="s">
        <v>593</v>
      </c>
      <c r="K3" s="446" t="s">
        <v>594</v>
      </c>
      <c r="L3" s="448" t="s">
        <v>595</v>
      </c>
      <c r="M3" s="446" t="s">
        <v>596</v>
      </c>
      <c r="N3" s="448" t="s">
        <v>597</v>
      </c>
      <c r="O3" s="448" t="s">
        <v>598</v>
      </c>
      <c r="P3" s="448" t="s">
        <v>599</v>
      </c>
      <c r="Q3" s="448" t="s">
        <v>600</v>
      </c>
      <c r="R3" s="448" t="s">
        <v>601</v>
      </c>
      <c r="S3" s="448" t="s">
        <v>602</v>
      </c>
    </row>
    <row r="4" spans="1:19">
      <c r="A4" s="450">
        <v>1</v>
      </c>
      <c r="B4" s="451" t="s">
        <v>4</v>
      </c>
      <c r="C4" s="452">
        <v>12</v>
      </c>
      <c r="D4" s="453" t="e">
        <f>SUMIF('[12]Node MSC max tuan'!$D:$D,$B4,'[12]Node MSC max tuan'!H:H)</f>
        <v>#VALUE!</v>
      </c>
      <c r="E4" s="453" t="e">
        <f>SUMIF('[12]Node MSC max tuan'!$D:$D,$B4,'[12]Node MSC max tuan'!I:I)</f>
        <v>#VALUE!</v>
      </c>
      <c r="F4" s="453" t="e">
        <f>SUMIF('[12]Node MSC max tuan'!$D:$D,$B4,'[12]Node MSC max tuan'!J:J)</f>
        <v>#VALUE!</v>
      </c>
      <c r="G4" s="453" t="e">
        <f>SUMIF('[12]Node MSC max tuan'!$D:$D,$B4,'[12]Node MSC max tuan'!K:K)</f>
        <v>#VALUE!</v>
      </c>
      <c r="H4" s="453" t="e">
        <f>SUMIF('[12]Node MSC max tuan'!$D:$D,$B4,'[12]Node MSC max tuan'!L:L)</f>
        <v>#VALUE!</v>
      </c>
      <c r="I4" s="453" t="e">
        <f>SUMIF('[12]Node MSC max tuan'!$D:$D,$B4,'[12]Node MSC max tuan'!M:M)</f>
        <v>#VALUE!</v>
      </c>
      <c r="J4" s="453" t="e">
        <f>SUMIF('[12]Node MSC max tuan'!$D:$D,$B4,'[12]Node MSC max tuan'!N:N)</f>
        <v>#VALUE!</v>
      </c>
      <c r="K4" s="453" t="e">
        <f>SUMIF('[12]Node MSC max tuan'!$D:$D,$B4,'[12]Node MSC max tuan'!O:O)</f>
        <v>#VALUE!</v>
      </c>
      <c r="L4" s="454" t="e">
        <f>G4/N4</f>
        <v>#VALUE!</v>
      </c>
      <c r="M4" s="454" t="e">
        <f>K4/O4</f>
        <v>#VALUE!</v>
      </c>
      <c r="N4" s="453">
        <v>50400000</v>
      </c>
      <c r="O4" s="453">
        <v>52725100.526315793</v>
      </c>
      <c r="P4" s="453">
        <v>13422679</v>
      </c>
      <c r="Q4" s="453">
        <v>95400000</v>
      </c>
      <c r="R4" s="455" t="e">
        <f>P4/G4</f>
        <v>#VALUE!</v>
      </c>
      <c r="S4" s="454">
        <f t="shared" ref="S4:S8" si="0">P4/Q4</f>
        <v>0.14069894129979035</v>
      </c>
    </row>
    <row r="5" spans="1:19">
      <c r="A5" s="450">
        <v>2</v>
      </c>
      <c r="B5" s="451" t="s">
        <v>603</v>
      </c>
      <c r="C5" s="452">
        <v>15</v>
      </c>
      <c r="D5" s="453" t="e">
        <f>SUMIF('[12]Node MSC max tuan'!$D:$D,$B5,'[12]Node MSC max tuan'!H:H)</f>
        <v>#VALUE!</v>
      </c>
      <c r="E5" s="453" t="e">
        <f>SUMIF('[12]Node MSC max tuan'!$D:$D,$B5,'[12]Node MSC max tuan'!I:I)</f>
        <v>#VALUE!</v>
      </c>
      <c r="F5" s="453" t="e">
        <f>SUMIF('[12]Node MSC max tuan'!$D:$D,$B5,'[12]Node MSC max tuan'!J:J)</f>
        <v>#VALUE!</v>
      </c>
      <c r="G5" s="453" t="e">
        <f>SUMIF('[12]Node MSC max tuan'!$D:$D,$B5,'[12]Node MSC max tuan'!K:K)</f>
        <v>#VALUE!</v>
      </c>
      <c r="H5" s="453" t="e">
        <f>SUMIF('[12]Node MSC max tuan'!$D:$D,$B5,'[12]Node MSC max tuan'!L:L)</f>
        <v>#VALUE!</v>
      </c>
      <c r="I5" s="453" t="e">
        <f>SUMIF('[12]Node MSC max tuan'!$D:$D,$B5,'[12]Node MSC max tuan'!M:M)</f>
        <v>#VALUE!</v>
      </c>
      <c r="J5" s="453" t="e">
        <f>SUMIF('[12]Node MSC max tuan'!$D:$D,$B5,'[12]Node MSC max tuan'!N:N)</f>
        <v>#VALUE!</v>
      </c>
      <c r="K5" s="453" t="e">
        <f>SUMIF('[12]Node MSC max tuan'!$D:$D,$B5,'[12]Node MSC max tuan'!O:O)</f>
        <v>#VALUE!</v>
      </c>
      <c r="L5" s="454" t="e">
        <f t="shared" ref="L5:L7" si="1">G5/N5</f>
        <v>#VALUE!</v>
      </c>
      <c r="M5" s="454" t="e">
        <f t="shared" ref="M5:M8" si="2">K5/O5</f>
        <v>#VALUE!</v>
      </c>
      <c r="N5" s="453">
        <v>30645000</v>
      </c>
      <c r="O5" s="453">
        <v>32250000</v>
      </c>
      <c r="P5" s="453">
        <v>3015446</v>
      </c>
      <c r="Q5" s="453">
        <v>78000000</v>
      </c>
      <c r="R5" s="455" t="e">
        <f t="shared" ref="R5:R7" si="3">P5/G5</f>
        <v>#VALUE!</v>
      </c>
      <c r="S5" s="454">
        <f t="shared" si="0"/>
        <v>3.8659564102564103E-2</v>
      </c>
    </row>
    <row r="6" spans="1:19">
      <c r="A6" s="450">
        <v>3</v>
      </c>
      <c r="B6" s="451" t="s">
        <v>372</v>
      </c>
      <c r="C6" s="452">
        <v>10</v>
      </c>
      <c r="D6" s="456" t="e">
        <f>G6-F6-E6</f>
        <v>#VALUE!</v>
      </c>
      <c r="E6" s="456" t="e">
        <f>SUMIF('[12]Node MSC max tuan'!$D:$D,$B6,'[12]Node MSC max tuan'!I:I)</f>
        <v>#VALUE!</v>
      </c>
      <c r="F6" s="456" t="e">
        <f>G6*0.8</f>
        <v>#VALUE!</v>
      </c>
      <c r="G6" s="453" t="e">
        <f>SUMIF('[12]Node MSC max tuan'!$D:$D,$B6,'[12]Node MSC max tuan'!K:K)</f>
        <v>#VALUE!</v>
      </c>
      <c r="H6" s="456" t="e">
        <f>K6-J6-I6</f>
        <v>#VALUE!</v>
      </c>
      <c r="I6" s="456" t="e">
        <f>SUMIF('[12]Node MSC max tuan'!$D:$D,$B6,'[12]Node MSC max tuan'!M:M)</f>
        <v>#VALUE!</v>
      </c>
      <c r="J6" s="456" t="e">
        <f>K6*0.8</f>
        <v>#VALUE!</v>
      </c>
      <c r="K6" s="453" t="e">
        <f>SUMIF('[12]Node MSC max tuan'!$D:$D,$B6,'[12]Node MSC max tuan'!O:O)</f>
        <v>#VALUE!</v>
      </c>
      <c r="L6" s="454" t="e">
        <f t="shared" si="1"/>
        <v>#VALUE!</v>
      </c>
      <c r="M6" s="454" t="e">
        <f t="shared" si="2"/>
        <v>#VALUE!</v>
      </c>
      <c r="N6" s="453">
        <v>13080000</v>
      </c>
      <c r="O6" s="453">
        <v>13740000</v>
      </c>
      <c r="P6" s="453">
        <v>766251</v>
      </c>
      <c r="Q6" s="453">
        <v>40000000</v>
      </c>
      <c r="R6" s="455" t="e">
        <f t="shared" si="3"/>
        <v>#VALUE!</v>
      </c>
      <c r="S6" s="454">
        <f t="shared" si="0"/>
        <v>1.9156275E-2</v>
      </c>
    </row>
    <row r="7" spans="1:19">
      <c r="A7" s="450">
        <v>4</v>
      </c>
      <c r="B7" s="451" t="s">
        <v>604</v>
      </c>
      <c r="C7" s="452">
        <v>18</v>
      </c>
      <c r="D7" s="456" t="e">
        <f>G7-F7-E7</f>
        <v>#VALUE!</v>
      </c>
      <c r="E7" s="456" t="e">
        <f>SUMIF('[12]Node MSC max tuan'!$D:$D,$B7,'[12]Node MSC max tuan'!I:I)</f>
        <v>#VALUE!</v>
      </c>
      <c r="F7" s="456" t="e">
        <f>G7*0.8</f>
        <v>#VALUE!</v>
      </c>
      <c r="G7" s="453" t="e">
        <f>SUMIF('[12]Node MSC max tuan'!$D:$D,$B7,'[12]Node MSC max tuan'!K:K)</f>
        <v>#VALUE!</v>
      </c>
      <c r="H7" s="456" t="e">
        <f>K7-J7-I7</f>
        <v>#VALUE!</v>
      </c>
      <c r="I7" s="456" t="e">
        <f>SUMIF('[12]Node MSC max tuan'!$D:$D,$B7,'[12]Node MSC max tuan'!M:M)</f>
        <v>#VALUE!</v>
      </c>
      <c r="J7" s="456" t="e">
        <f>K7*0.8</f>
        <v>#VALUE!</v>
      </c>
      <c r="K7" s="453" t="e">
        <f>SUMIF('[12]Node MSC max tuan'!$D:$D,$B7,'[12]Node MSC max tuan'!O:O)</f>
        <v>#VALUE!</v>
      </c>
      <c r="L7" s="454" t="e">
        <f t="shared" si="1"/>
        <v>#VALUE!</v>
      </c>
      <c r="M7" s="454" t="e">
        <f t="shared" si="2"/>
        <v>#VALUE!</v>
      </c>
      <c r="N7" s="453">
        <v>22485000</v>
      </c>
      <c r="O7" s="453">
        <v>23526000</v>
      </c>
      <c r="P7" s="453">
        <v>803645</v>
      </c>
      <c r="Q7" s="453">
        <v>34200000</v>
      </c>
      <c r="R7" s="455" t="e">
        <f t="shared" si="3"/>
        <v>#VALUE!</v>
      </c>
      <c r="S7" s="454">
        <f t="shared" si="0"/>
        <v>2.3498391812865498E-2</v>
      </c>
    </row>
    <row r="8" spans="1:19">
      <c r="A8" s="450"/>
      <c r="B8" s="457" t="s">
        <v>605</v>
      </c>
      <c r="C8" s="458">
        <f>SUM(C4:C7)</f>
        <v>55</v>
      </c>
      <c r="D8" s="458" t="e">
        <f>SUM(D4:D7)</f>
        <v>#VALUE!</v>
      </c>
      <c r="E8" s="458" t="e">
        <f t="shared" ref="E8:K8" si="4">SUM(E4:E7)</f>
        <v>#VALUE!</v>
      </c>
      <c r="F8" s="458" t="e">
        <f t="shared" si="4"/>
        <v>#VALUE!</v>
      </c>
      <c r="G8" s="458" t="e">
        <f t="shared" si="4"/>
        <v>#VALUE!</v>
      </c>
      <c r="H8" s="458" t="e">
        <f t="shared" si="4"/>
        <v>#VALUE!</v>
      </c>
      <c r="I8" s="458" t="e">
        <f t="shared" si="4"/>
        <v>#VALUE!</v>
      </c>
      <c r="J8" s="458" t="e">
        <f t="shared" si="4"/>
        <v>#VALUE!</v>
      </c>
      <c r="K8" s="458" t="e">
        <f t="shared" si="4"/>
        <v>#VALUE!</v>
      </c>
      <c r="L8" s="459" t="e">
        <f>G8/N8</f>
        <v>#VALUE!</v>
      </c>
      <c r="M8" s="459" t="e">
        <f t="shared" si="2"/>
        <v>#VALUE!</v>
      </c>
      <c r="N8" s="460">
        <f>N4+N5+N6</f>
        <v>94125000</v>
      </c>
      <c r="O8" s="460">
        <f>O4+O5+O6</f>
        <v>98715100.526315793</v>
      </c>
      <c r="P8" s="460">
        <f>P4+P5+P6</f>
        <v>17204376</v>
      </c>
      <c r="Q8" s="460">
        <f>Q4+Q5+Q6</f>
        <v>213400000</v>
      </c>
      <c r="R8" s="461" t="e">
        <f>P8/G8</f>
        <v>#VALUE!</v>
      </c>
      <c r="S8" s="459">
        <f t="shared" si="0"/>
        <v>8.0620318650421741E-2</v>
      </c>
    </row>
    <row r="10" spans="1:19" ht="15">
      <c r="N10" s="462" t="s">
        <v>606</v>
      </c>
    </row>
    <row r="11" spans="1:19" ht="15">
      <c r="N11" s="462"/>
    </row>
    <row r="12" spans="1:19">
      <c r="A12" s="463" t="s">
        <v>607</v>
      </c>
    </row>
    <row r="14" spans="1:19" s="464" customFormat="1" ht="25.5">
      <c r="A14" s="444" t="s">
        <v>0</v>
      </c>
      <c r="B14" s="444" t="s">
        <v>7</v>
      </c>
      <c r="C14" s="444" t="s">
        <v>9</v>
      </c>
      <c r="D14" s="444" t="s">
        <v>608</v>
      </c>
      <c r="E14" s="444" t="s">
        <v>609</v>
      </c>
      <c r="F14" s="444" t="s">
        <v>610</v>
      </c>
      <c r="G14" s="444" t="s">
        <v>611</v>
      </c>
      <c r="H14" s="444" t="s">
        <v>612</v>
      </c>
      <c r="I14" s="444" t="s">
        <v>613</v>
      </c>
      <c r="J14" s="444" t="s">
        <v>614</v>
      </c>
      <c r="K14" s="444" t="s">
        <v>615</v>
      </c>
      <c r="L14" s="444" t="s">
        <v>616</v>
      </c>
    </row>
    <row r="15" spans="1:19">
      <c r="A15" s="450">
        <v>1</v>
      </c>
      <c r="B15" s="465" t="s">
        <v>617</v>
      </c>
      <c r="C15" s="465" t="s">
        <v>15</v>
      </c>
      <c r="D15" s="466">
        <v>4544230</v>
      </c>
      <c r="E15" s="466">
        <v>9500000</v>
      </c>
      <c r="F15" s="467">
        <f>D15/E15</f>
        <v>0.47833999999999999</v>
      </c>
      <c r="G15" s="468">
        <v>69565.64</v>
      </c>
      <c r="H15" s="469">
        <v>510000</v>
      </c>
      <c r="I15" s="470">
        <f>G15/H15</f>
        <v>0.1364032156862745</v>
      </c>
      <c r="J15" s="466">
        <v>37526</v>
      </c>
      <c r="K15" s="469">
        <v>125000</v>
      </c>
      <c r="L15" s="470">
        <f>J15/K15</f>
        <v>0.30020799999999997</v>
      </c>
      <c r="Q15" s="439"/>
    </row>
    <row r="16" spans="1:19">
      <c r="A16" s="450">
        <v>2</v>
      </c>
      <c r="B16" s="465" t="s">
        <v>618</v>
      </c>
      <c r="C16" s="465" t="s">
        <v>15</v>
      </c>
      <c r="D16" s="466">
        <v>4113439</v>
      </c>
      <c r="E16" s="466">
        <v>9500000</v>
      </c>
      <c r="F16" s="467">
        <f t="shared" ref="F16:F24" si="5">D16/E16</f>
        <v>0.4329935789473684</v>
      </c>
      <c r="G16" s="468">
        <v>66417.740000000005</v>
      </c>
      <c r="H16" s="469">
        <v>510000</v>
      </c>
      <c r="I16" s="470">
        <f t="shared" ref="I16:I24" si="6">G16/H16</f>
        <v>0.13023086274509804</v>
      </c>
      <c r="J16" s="466">
        <v>36149</v>
      </c>
      <c r="K16" s="469">
        <v>125000</v>
      </c>
      <c r="L16" s="470">
        <f t="shared" ref="L16:L24" si="7">J16/K16</f>
        <v>0.289192</v>
      </c>
      <c r="M16" s="471"/>
      <c r="N16" s="472"/>
      <c r="O16" s="473"/>
      <c r="P16" s="471"/>
      <c r="Q16" s="474"/>
    </row>
    <row r="17" spans="1:22">
      <c r="A17" s="450">
        <v>3</v>
      </c>
      <c r="B17" s="465" t="s">
        <v>619</v>
      </c>
      <c r="C17" s="465" t="s">
        <v>25</v>
      </c>
      <c r="D17" s="466">
        <v>1353835</v>
      </c>
      <c r="E17" s="466">
        <v>3500000</v>
      </c>
      <c r="F17" s="467">
        <f t="shared" si="5"/>
        <v>0.38680999999999999</v>
      </c>
      <c r="G17" s="468">
        <v>26228.41</v>
      </c>
      <c r="H17" s="469">
        <v>476160</v>
      </c>
      <c r="I17" s="470">
        <f t="shared" si="6"/>
        <v>5.5083186323924734E-2</v>
      </c>
      <c r="J17" s="466">
        <v>13918</v>
      </c>
      <c r="K17" s="469">
        <v>45000</v>
      </c>
      <c r="L17" s="470">
        <f t="shared" si="7"/>
        <v>0.30928888888888889</v>
      </c>
      <c r="M17" s="471"/>
      <c r="N17" s="472"/>
      <c r="O17" s="475"/>
      <c r="P17" s="471"/>
      <c r="Q17" s="474"/>
    </row>
    <row r="18" spans="1:22">
      <c r="A18" s="450">
        <v>4</v>
      </c>
      <c r="B18" s="465" t="s">
        <v>620</v>
      </c>
      <c r="C18" s="465" t="s">
        <v>25</v>
      </c>
      <c r="D18" s="466">
        <v>1408653</v>
      </c>
      <c r="E18" s="466">
        <v>3500000</v>
      </c>
      <c r="F18" s="467">
        <f t="shared" si="5"/>
        <v>0.40247228571428573</v>
      </c>
      <c r="G18" s="468">
        <v>26918.68</v>
      </c>
      <c r="H18" s="469">
        <v>476160</v>
      </c>
      <c r="I18" s="470">
        <f t="shared" si="6"/>
        <v>5.6532846102150536E-2</v>
      </c>
      <c r="J18" s="466">
        <v>14288</v>
      </c>
      <c r="K18" s="469">
        <v>45000</v>
      </c>
      <c r="L18" s="470">
        <f t="shared" si="7"/>
        <v>0.31751111111111113</v>
      </c>
      <c r="M18" s="471"/>
      <c r="N18" s="472"/>
      <c r="O18" s="475"/>
      <c r="P18" s="471"/>
      <c r="Q18" s="474"/>
    </row>
    <row r="19" spans="1:22">
      <c r="A19" s="450">
        <v>5</v>
      </c>
      <c r="B19" s="465" t="s">
        <v>621</v>
      </c>
      <c r="C19" s="465" t="s">
        <v>30</v>
      </c>
      <c r="D19" s="466">
        <v>3115099</v>
      </c>
      <c r="E19" s="466">
        <v>5500000</v>
      </c>
      <c r="F19" s="467">
        <f t="shared" si="5"/>
        <v>0.56638163636363636</v>
      </c>
      <c r="G19" s="468">
        <v>53311.95</v>
      </c>
      <c r="H19" s="469">
        <v>510000</v>
      </c>
      <c r="I19" s="470">
        <f t="shared" si="6"/>
        <v>0.10453323529411764</v>
      </c>
      <c r="J19" s="466">
        <v>29721</v>
      </c>
      <c r="K19" s="469">
        <v>75000</v>
      </c>
      <c r="L19" s="470">
        <f t="shared" si="7"/>
        <v>0.39628000000000002</v>
      </c>
      <c r="M19" s="471"/>
      <c r="N19" s="472"/>
      <c r="O19" s="475"/>
      <c r="P19" s="471"/>
      <c r="Q19" s="474"/>
    </row>
    <row r="20" spans="1:22">
      <c r="A20" s="450">
        <v>6</v>
      </c>
      <c r="B20" s="465" t="s">
        <v>622</v>
      </c>
      <c r="C20" s="465" t="s">
        <v>30</v>
      </c>
      <c r="D20" s="466">
        <v>2756014</v>
      </c>
      <c r="E20" s="466">
        <v>5500000</v>
      </c>
      <c r="F20" s="467">
        <f t="shared" si="5"/>
        <v>0.50109345454545451</v>
      </c>
      <c r="G20" s="468">
        <v>48711.78</v>
      </c>
      <c r="H20" s="469">
        <v>510000</v>
      </c>
      <c r="I20" s="470">
        <f t="shared" si="6"/>
        <v>9.5513294117647057E-2</v>
      </c>
      <c r="J20" s="466">
        <v>26416</v>
      </c>
      <c r="K20" s="469">
        <v>75000</v>
      </c>
      <c r="L20" s="470">
        <f t="shared" si="7"/>
        <v>0.35221333333333332</v>
      </c>
      <c r="M20" s="471"/>
      <c r="N20" s="472"/>
      <c r="O20" s="475"/>
      <c r="P20" s="471"/>
      <c r="Q20" s="474"/>
    </row>
    <row r="21" spans="1:22">
      <c r="A21" s="450"/>
      <c r="B21" s="450"/>
      <c r="C21" s="476" t="s">
        <v>15</v>
      </c>
      <c r="D21" s="477">
        <f>SUMIF($C$15:$C$20,$C21,D$15:D$20)</f>
        <v>8657669</v>
      </c>
      <c r="E21" s="478">
        <f>E15+E16</f>
        <v>19000000</v>
      </c>
      <c r="F21" s="479">
        <f t="shared" si="5"/>
        <v>0.45566678947368422</v>
      </c>
      <c r="G21" s="480">
        <f>SUMIF($C$14:$C$20,$C21,G$14:G$20)</f>
        <v>135983.38</v>
      </c>
      <c r="H21" s="478">
        <f>H15+H16</f>
        <v>1020000</v>
      </c>
      <c r="I21" s="481">
        <f t="shared" si="6"/>
        <v>0.13331703921568627</v>
      </c>
      <c r="J21" s="477">
        <f>SUMIF($C$14:$C$20,$C21,J$14:J$20)</f>
        <v>73675</v>
      </c>
      <c r="K21" s="482">
        <v>250000</v>
      </c>
      <c r="L21" s="481">
        <f t="shared" si="7"/>
        <v>0.29470000000000002</v>
      </c>
      <c r="M21" s="471"/>
      <c r="N21" s="472"/>
      <c r="O21" s="475"/>
      <c r="P21" s="471"/>
      <c r="Q21" s="474"/>
    </row>
    <row r="22" spans="1:22" s="464" customFormat="1">
      <c r="A22" s="450"/>
      <c r="B22" s="450"/>
      <c r="C22" s="476" t="s">
        <v>25</v>
      </c>
      <c r="D22" s="477">
        <f>SUMIF($C$15:$C$20,$C22,D$15:D$20)</f>
        <v>2762488</v>
      </c>
      <c r="E22" s="478">
        <f>E17+E18</f>
        <v>7000000</v>
      </c>
      <c r="F22" s="479">
        <f t="shared" si="5"/>
        <v>0.39464114285714286</v>
      </c>
      <c r="G22" s="480">
        <f>SUMIF($C$14:$C$20,$C22,G$14:G$20)</f>
        <v>53147.09</v>
      </c>
      <c r="H22" s="478">
        <f>H17+H18</f>
        <v>952320</v>
      </c>
      <c r="I22" s="481">
        <f t="shared" si="6"/>
        <v>5.5808016213037631E-2</v>
      </c>
      <c r="J22" s="477">
        <f>SUMIF($C$14:$C$20,$C22,J$14:J$20)</f>
        <v>28206</v>
      </c>
      <c r="K22" s="482">
        <v>90000</v>
      </c>
      <c r="L22" s="481">
        <f t="shared" si="7"/>
        <v>0.31340000000000001</v>
      </c>
      <c r="M22" s="439"/>
      <c r="N22" s="442"/>
      <c r="O22" s="439"/>
      <c r="P22" s="439"/>
      <c r="Q22" s="439"/>
    </row>
    <row r="23" spans="1:22">
      <c r="A23" s="450"/>
      <c r="B23" s="450"/>
      <c r="C23" s="476" t="s">
        <v>30</v>
      </c>
      <c r="D23" s="477">
        <f>SUMIF($C$15:$C$20,$C23,D$15:D$20)</f>
        <v>5871113</v>
      </c>
      <c r="E23" s="478">
        <f>E19+E20</f>
        <v>11000000</v>
      </c>
      <c r="F23" s="479">
        <f t="shared" si="5"/>
        <v>0.53373754545454544</v>
      </c>
      <c r="G23" s="480">
        <f>SUMIF($C$14:$C$20,$C23,G$14:G$20)</f>
        <v>102023.73</v>
      </c>
      <c r="H23" s="478">
        <f>H19+H20</f>
        <v>1020000</v>
      </c>
      <c r="I23" s="481">
        <f t="shared" si="6"/>
        <v>0.10002326470588235</v>
      </c>
      <c r="J23" s="477">
        <f>SUMIF($C$14:$C$20,$C23,J$14:J$20)</f>
        <v>56137</v>
      </c>
      <c r="K23" s="482">
        <v>150000</v>
      </c>
      <c r="L23" s="481">
        <f t="shared" si="7"/>
        <v>0.37424666666666667</v>
      </c>
      <c r="N23" s="442"/>
      <c r="Q23" s="439"/>
    </row>
    <row r="24" spans="1:22">
      <c r="A24" s="450"/>
      <c r="B24" s="450"/>
      <c r="C24" s="483" t="s">
        <v>605</v>
      </c>
      <c r="D24" s="484">
        <f>SUM(D21:D23)</f>
        <v>17291270</v>
      </c>
      <c r="E24" s="485">
        <f>SUM(E21:E23)</f>
        <v>37000000</v>
      </c>
      <c r="F24" s="486">
        <f t="shared" si="5"/>
        <v>0.46733162162162162</v>
      </c>
      <c r="G24" s="484">
        <f>SUM(G21:G23)</f>
        <v>291154.2</v>
      </c>
      <c r="H24" s="485">
        <f>SUM(H21:H23)</f>
        <v>2992320</v>
      </c>
      <c r="I24" s="487">
        <f t="shared" si="6"/>
        <v>9.7300489252486369E-2</v>
      </c>
      <c r="J24" s="484">
        <f>SUM(J21:J23)</f>
        <v>158018</v>
      </c>
      <c r="K24" s="488">
        <v>490000</v>
      </c>
      <c r="L24" s="487">
        <f t="shared" si="7"/>
        <v>0.32248571428571426</v>
      </c>
      <c r="N24" s="442"/>
      <c r="Q24" s="439"/>
    </row>
    <row r="25" spans="1:22">
      <c r="A25" s="489"/>
    </row>
    <row r="26" spans="1:22">
      <c r="A26" s="489"/>
    </row>
    <row r="27" spans="1:22">
      <c r="A27" s="443" t="s">
        <v>623</v>
      </c>
    </row>
    <row r="28" spans="1:22" s="464" customFormat="1" ht="13.5">
      <c r="A28" s="490"/>
      <c r="B28" s="439"/>
      <c r="C28" s="439"/>
      <c r="D28" s="440"/>
      <c r="E28" s="441"/>
      <c r="F28" s="441"/>
      <c r="G28" s="441"/>
      <c r="H28" s="441"/>
      <c r="I28" s="441"/>
      <c r="J28" s="439"/>
      <c r="K28" s="439"/>
      <c r="L28" s="439"/>
      <c r="M28" s="439"/>
      <c r="N28" s="439"/>
      <c r="O28" s="439"/>
      <c r="P28" s="439"/>
      <c r="Q28" s="442"/>
      <c r="R28" s="491"/>
      <c r="S28" s="491"/>
      <c r="T28" s="491"/>
      <c r="U28" s="491"/>
      <c r="V28" s="491"/>
    </row>
    <row r="29" spans="1:22" ht="25.5">
      <c r="A29" s="492" t="s">
        <v>0</v>
      </c>
      <c r="B29" s="492" t="s">
        <v>113</v>
      </c>
      <c r="C29" s="492" t="s">
        <v>9</v>
      </c>
      <c r="D29" s="492" t="s">
        <v>624</v>
      </c>
      <c r="E29" s="492" t="s">
        <v>625</v>
      </c>
      <c r="F29" s="492" t="s">
        <v>626</v>
      </c>
      <c r="G29" s="492" t="s">
        <v>627</v>
      </c>
      <c r="H29" s="492" t="s">
        <v>628</v>
      </c>
      <c r="I29" s="492" t="s">
        <v>629</v>
      </c>
      <c r="J29" s="464"/>
      <c r="K29" s="491"/>
      <c r="L29" s="491"/>
      <c r="M29" s="491"/>
      <c r="N29" s="493"/>
      <c r="O29" s="491"/>
      <c r="P29" s="494"/>
      <c r="Q29" s="495"/>
      <c r="R29" s="496"/>
      <c r="S29" s="494"/>
      <c r="T29" s="497"/>
    </row>
    <row r="30" spans="1:22">
      <c r="A30" s="498">
        <v>1</v>
      </c>
      <c r="B30" s="499" t="s">
        <v>630</v>
      </c>
      <c r="C30" s="450" t="s">
        <v>15</v>
      </c>
      <c r="D30" s="500">
        <v>7254</v>
      </c>
      <c r="E30" s="501">
        <v>16500</v>
      </c>
      <c r="F30" s="502">
        <f>D30/E30</f>
        <v>0.43963636363636366</v>
      </c>
      <c r="G30" s="500">
        <v>7469</v>
      </c>
      <c r="H30" s="503">
        <v>20000</v>
      </c>
      <c r="I30" s="504">
        <f>G30/H30</f>
        <v>0.37345</v>
      </c>
      <c r="J30" s="505"/>
      <c r="K30" s="506"/>
      <c r="L30" s="507"/>
      <c r="M30" s="489"/>
      <c r="N30" s="508"/>
      <c r="O30" s="489"/>
      <c r="P30" s="494"/>
      <c r="Q30" s="495"/>
      <c r="R30" s="496"/>
      <c r="S30" s="494"/>
      <c r="T30" s="497"/>
    </row>
    <row r="31" spans="1:22">
      <c r="A31" s="450">
        <v>2</v>
      </c>
      <c r="B31" s="509" t="s">
        <v>631</v>
      </c>
      <c r="C31" s="450" t="s">
        <v>15</v>
      </c>
      <c r="D31" s="500">
        <v>48296</v>
      </c>
      <c r="E31" s="501">
        <v>156400</v>
      </c>
      <c r="F31" s="502">
        <f t="shared" ref="F31:F44" si="8">D31/E31</f>
        <v>0.30879795396419435</v>
      </c>
      <c r="G31" s="500">
        <v>48438</v>
      </c>
      <c r="H31" s="510">
        <v>230000</v>
      </c>
      <c r="I31" s="504">
        <f t="shared" ref="I31:I44" si="9">G31/H31</f>
        <v>0.21060000000000001</v>
      </c>
      <c r="J31" s="1114" t="s">
        <v>632</v>
      </c>
      <c r="K31" s="506"/>
      <c r="L31" s="507"/>
      <c r="M31" s="489"/>
      <c r="N31" s="508"/>
      <c r="O31" s="489"/>
      <c r="P31" s="494"/>
      <c r="Q31" s="495"/>
      <c r="R31" s="496"/>
      <c r="S31" s="511"/>
      <c r="T31" s="497"/>
    </row>
    <row r="32" spans="1:22">
      <c r="A32" s="450">
        <v>3</v>
      </c>
      <c r="B32" s="509" t="s">
        <v>633</v>
      </c>
      <c r="C32" s="450" t="s">
        <v>15</v>
      </c>
      <c r="D32" s="500">
        <v>49497</v>
      </c>
      <c r="E32" s="501">
        <v>142800</v>
      </c>
      <c r="F32" s="502">
        <f t="shared" si="8"/>
        <v>0.34661764705882353</v>
      </c>
      <c r="G32" s="500">
        <v>49501</v>
      </c>
      <c r="H32" s="510">
        <v>230000</v>
      </c>
      <c r="I32" s="504">
        <f t="shared" si="9"/>
        <v>0.21522173913043477</v>
      </c>
      <c r="J32" s="1114"/>
      <c r="K32" s="506"/>
      <c r="L32" s="507"/>
      <c r="M32" s="489"/>
      <c r="N32" s="508"/>
      <c r="O32" s="489"/>
      <c r="P32" s="494"/>
      <c r="Q32" s="495"/>
      <c r="R32" s="496"/>
      <c r="S32" s="494"/>
      <c r="T32" s="497"/>
    </row>
    <row r="33" spans="1:20">
      <c r="A33" s="498">
        <v>4</v>
      </c>
      <c r="B33" s="509" t="s">
        <v>634</v>
      </c>
      <c r="C33" s="450" t="s">
        <v>15</v>
      </c>
      <c r="D33" s="500">
        <v>2951</v>
      </c>
      <c r="E33" s="501">
        <v>16500</v>
      </c>
      <c r="F33" s="502">
        <f t="shared" si="8"/>
        <v>0.17884848484848484</v>
      </c>
      <c r="G33" s="500">
        <v>2956</v>
      </c>
      <c r="H33" s="510">
        <v>20000</v>
      </c>
      <c r="I33" s="504">
        <f t="shared" si="9"/>
        <v>0.14779999999999999</v>
      </c>
      <c r="J33" s="1114"/>
      <c r="K33" s="506"/>
      <c r="L33" s="507"/>
      <c r="M33" s="489"/>
      <c r="N33" s="508"/>
      <c r="O33" s="489"/>
      <c r="P33" s="494"/>
      <c r="Q33" s="495"/>
      <c r="R33" s="496"/>
      <c r="S33" s="494"/>
      <c r="T33" s="497"/>
    </row>
    <row r="34" spans="1:20">
      <c r="A34" s="498">
        <v>5</v>
      </c>
      <c r="B34" s="509" t="s">
        <v>635</v>
      </c>
      <c r="C34" s="450" t="s">
        <v>15</v>
      </c>
      <c r="D34" s="500">
        <v>50323</v>
      </c>
      <c r="E34" s="501">
        <v>142800</v>
      </c>
      <c r="F34" s="502">
        <f t="shared" si="8"/>
        <v>0.35240196078431374</v>
      </c>
      <c r="G34" s="500">
        <v>50325</v>
      </c>
      <c r="H34" s="510">
        <v>250000</v>
      </c>
      <c r="I34" s="504">
        <f t="shared" si="9"/>
        <v>0.20130000000000001</v>
      </c>
      <c r="J34" s="1114"/>
      <c r="K34" s="506"/>
      <c r="L34" s="507"/>
      <c r="M34" s="489"/>
      <c r="N34" s="508"/>
      <c r="O34" s="489"/>
      <c r="P34" s="494"/>
      <c r="Q34" s="495"/>
      <c r="R34" s="496"/>
      <c r="S34" s="494"/>
      <c r="T34" s="497"/>
    </row>
    <row r="35" spans="1:20">
      <c r="A35" s="498">
        <v>6</v>
      </c>
      <c r="B35" s="509" t="s">
        <v>636</v>
      </c>
      <c r="C35" s="450" t="s">
        <v>15</v>
      </c>
      <c r="D35" s="500">
        <v>50633</v>
      </c>
      <c r="E35" s="501">
        <v>156400</v>
      </c>
      <c r="F35" s="502">
        <f t="shared" si="8"/>
        <v>0.32374040920716113</v>
      </c>
      <c r="G35" s="500">
        <v>50681</v>
      </c>
      <c r="H35" s="510">
        <v>240000</v>
      </c>
      <c r="I35" s="504">
        <f t="shared" si="9"/>
        <v>0.21117083333333334</v>
      </c>
      <c r="J35" s="1114"/>
      <c r="K35" s="506"/>
      <c r="L35" s="507"/>
      <c r="M35" s="489"/>
      <c r="N35" s="508"/>
      <c r="O35" s="489"/>
      <c r="P35" s="494"/>
      <c r="Q35" s="495"/>
      <c r="R35" s="496"/>
      <c r="S35" s="494"/>
      <c r="T35" s="497"/>
    </row>
    <row r="36" spans="1:20">
      <c r="A36" s="498">
        <v>7</v>
      </c>
      <c r="B36" s="499" t="s">
        <v>637</v>
      </c>
      <c r="C36" s="450" t="s">
        <v>30</v>
      </c>
      <c r="D36" s="500">
        <v>5872</v>
      </c>
      <c r="E36" s="501">
        <v>16500</v>
      </c>
      <c r="F36" s="502">
        <f t="shared" si="8"/>
        <v>0.35587878787878791</v>
      </c>
      <c r="G36" s="500">
        <v>6182</v>
      </c>
      <c r="H36" s="510">
        <v>20000</v>
      </c>
      <c r="I36" s="504">
        <f t="shared" si="9"/>
        <v>0.30909999999999999</v>
      </c>
      <c r="J36" s="505"/>
      <c r="K36" s="506"/>
      <c r="L36" s="507"/>
      <c r="M36" s="489"/>
      <c r="N36" s="508"/>
      <c r="O36" s="489"/>
      <c r="P36" s="494"/>
      <c r="Q36" s="495"/>
      <c r="R36" s="496"/>
      <c r="S36" s="494"/>
      <c r="T36" s="497"/>
    </row>
    <row r="37" spans="1:20" ht="13.5" customHeight="1">
      <c r="A37" s="450">
        <v>8</v>
      </c>
      <c r="B37" s="512" t="s">
        <v>638</v>
      </c>
      <c r="C37" s="450" t="s">
        <v>30</v>
      </c>
      <c r="D37" s="500">
        <v>32187</v>
      </c>
      <c r="E37" s="501">
        <v>108800</v>
      </c>
      <c r="F37" s="502">
        <f t="shared" si="8"/>
        <v>0.29583639705882353</v>
      </c>
      <c r="G37" s="500">
        <v>32192</v>
      </c>
      <c r="H37" s="510">
        <v>145000</v>
      </c>
      <c r="I37" s="504">
        <f t="shared" si="9"/>
        <v>0.22201379310344826</v>
      </c>
      <c r="J37" s="1114" t="s">
        <v>639</v>
      </c>
      <c r="K37" s="506"/>
      <c r="L37" s="507"/>
      <c r="M37" s="489"/>
      <c r="N37" s="508"/>
      <c r="O37" s="489"/>
      <c r="P37" s="494"/>
      <c r="Q37" s="495"/>
      <c r="R37" s="496"/>
      <c r="S37" s="494"/>
      <c r="T37" s="497"/>
    </row>
    <row r="38" spans="1:20" ht="13.5" customHeight="1">
      <c r="A38" s="498">
        <v>9</v>
      </c>
      <c r="B38" s="512" t="s">
        <v>640</v>
      </c>
      <c r="C38" s="450" t="s">
        <v>30</v>
      </c>
      <c r="D38" s="500">
        <v>29253</v>
      </c>
      <c r="E38" s="501">
        <v>93500</v>
      </c>
      <c r="F38" s="502">
        <f t="shared" si="8"/>
        <v>0.31286631016042782</v>
      </c>
      <c r="G38" s="500">
        <v>29266</v>
      </c>
      <c r="H38" s="510">
        <v>135000</v>
      </c>
      <c r="I38" s="504">
        <f t="shared" si="9"/>
        <v>0.21678518518518519</v>
      </c>
      <c r="J38" s="1114"/>
      <c r="K38" s="513"/>
      <c r="L38" s="507"/>
      <c r="M38" s="489"/>
      <c r="N38" s="508"/>
      <c r="O38" s="489"/>
      <c r="P38" s="494"/>
      <c r="Q38" s="495"/>
      <c r="R38" s="496"/>
      <c r="S38" s="494"/>
      <c r="T38" s="497"/>
    </row>
    <row r="39" spans="1:20" ht="13.5" customHeight="1">
      <c r="A39" s="498">
        <v>10</v>
      </c>
      <c r="B39" s="512" t="s">
        <v>641</v>
      </c>
      <c r="C39" s="450" t="s">
        <v>30</v>
      </c>
      <c r="D39" s="500">
        <v>30176</v>
      </c>
      <c r="E39" s="501">
        <v>108800</v>
      </c>
      <c r="F39" s="502">
        <f t="shared" si="8"/>
        <v>0.27735294117647058</v>
      </c>
      <c r="G39" s="500">
        <v>30181</v>
      </c>
      <c r="H39" s="510">
        <v>145000</v>
      </c>
      <c r="I39" s="504">
        <f t="shared" si="9"/>
        <v>0.20814482758620689</v>
      </c>
      <c r="J39" s="1114"/>
      <c r="K39" s="506"/>
      <c r="L39" s="507"/>
      <c r="M39" s="489"/>
      <c r="N39" s="508"/>
      <c r="O39" s="489"/>
      <c r="P39" s="494"/>
      <c r="Q39" s="495"/>
      <c r="R39" s="496"/>
      <c r="S39" s="494"/>
      <c r="T39" s="497"/>
    </row>
    <row r="40" spans="1:20" ht="13.5" customHeight="1">
      <c r="A40" s="498">
        <v>11</v>
      </c>
      <c r="B40" s="512" t="s">
        <v>642</v>
      </c>
      <c r="C40" s="450" t="s">
        <v>30</v>
      </c>
      <c r="D40" s="500">
        <v>21389</v>
      </c>
      <c r="E40" s="501">
        <v>88000</v>
      </c>
      <c r="F40" s="502">
        <f t="shared" si="8"/>
        <v>0.24305681818181818</v>
      </c>
      <c r="G40" s="500">
        <v>21392</v>
      </c>
      <c r="H40" s="510">
        <v>135000</v>
      </c>
      <c r="I40" s="504">
        <f t="shared" si="9"/>
        <v>0.15845925925925927</v>
      </c>
      <c r="J40" s="1114"/>
      <c r="K40" s="506"/>
      <c r="L40" s="507"/>
      <c r="M40" s="489"/>
      <c r="N40" s="508"/>
      <c r="O40" s="489"/>
      <c r="P40" s="494"/>
      <c r="Q40" s="495"/>
      <c r="R40" s="496"/>
      <c r="S40" s="494"/>
      <c r="T40" s="497"/>
    </row>
    <row r="41" spans="1:20">
      <c r="A41" s="498">
        <v>12</v>
      </c>
      <c r="B41" s="512" t="s">
        <v>643</v>
      </c>
      <c r="C41" s="450" t="s">
        <v>30</v>
      </c>
      <c r="D41" s="500">
        <v>2723</v>
      </c>
      <c r="E41" s="496">
        <v>16500</v>
      </c>
      <c r="F41" s="502">
        <f t="shared" si="8"/>
        <v>0.16503030303030303</v>
      </c>
      <c r="G41" s="500">
        <v>2728</v>
      </c>
      <c r="H41" s="510">
        <v>20000</v>
      </c>
      <c r="I41" s="504">
        <f t="shared" si="9"/>
        <v>0.13639999999999999</v>
      </c>
      <c r="J41" s="514" t="s">
        <v>644</v>
      </c>
      <c r="K41" s="506"/>
      <c r="L41" s="507"/>
      <c r="M41" s="489"/>
      <c r="N41" s="508"/>
      <c r="O41" s="489"/>
      <c r="P41" s="515"/>
      <c r="Q41" s="516"/>
      <c r="R41" s="515"/>
      <c r="S41" s="517"/>
      <c r="T41" s="518"/>
    </row>
    <row r="42" spans="1:20">
      <c r="A42" s="450"/>
      <c r="B42" s="457" t="s">
        <v>15</v>
      </c>
      <c r="C42" s="519"/>
      <c r="D42" s="520">
        <f>SUM(D30:D35)</f>
        <v>208954</v>
      </c>
      <c r="E42" s="520">
        <f>SUM(E30:E35)</f>
        <v>631400</v>
      </c>
      <c r="F42" s="521">
        <f t="shared" si="8"/>
        <v>0.33093759898637948</v>
      </c>
      <c r="G42" s="520">
        <f>SUM(G30:G35)</f>
        <v>209370</v>
      </c>
      <c r="H42" s="520">
        <f>SUM(H30:H35)</f>
        <v>990000</v>
      </c>
      <c r="I42" s="522">
        <f t="shared" si="9"/>
        <v>0.2114848484848485</v>
      </c>
      <c r="J42" s="523"/>
      <c r="K42" s="524"/>
      <c r="L42" s="525"/>
      <c r="M42" s="526"/>
      <c r="N42" s="527"/>
      <c r="O42" s="526"/>
      <c r="P42" s="515"/>
      <c r="Q42" s="516"/>
      <c r="R42" s="515"/>
      <c r="S42" s="517"/>
      <c r="T42" s="518"/>
    </row>
    <row r="43" spans="1:20">
      <c r="A43" s="450"/>
      <c r="B43" s="457" t="s">
        <v>30</v>
      </c>
      <c r="C43" s="519"/>
      <c r="D43" s="520">
        <f>SUM(D36:D41)</f>
        <v>121600</v>
      </c>
      <c r="E43" s="520">
        <f>SUM(E36:E41)</f>
        <v>432100</v>
      </c>
      <c r="F43" s="521">
        <f t="shared" si="8"/>
        <v>0.28141633881046052</v>
      </c>
      <c r="G43" s="520">
        <f>SUM(G36:G41)</f>
        <v>121941</v>
      </c>
      <c r="H43" s="520">
        <f>SUM(H36:H41)</f>
        <v>600000</v>
      </c>
      <c r="I43" s="522">
        <f t="shared" si="9"/>
        <v>0.203235</v>
      </c>
      <c r="J43" s="523"/>
      <c r="K43" s="524"/>
      <c r="L43" s="525"/>
      <c r="M43" s="526"/>
      <c r="N43" s="527"/>
      <c r="O43" s="526"/>
      <c r="Q43" s="439"/>
    </row>
    <row r="44" spans="1:20">
      <c r="A44" s="450"/>
      <c r="B44" s="457" t="s">
        <v>605</v>
      </c>
      <c r="C44" s="519"/>
      <c r="D44" s="520">
        <f>SUM(D42:D43)</f>
        <v>330554</v>
      </c>
      <c r="E44" s="520">
        <f>SUM(E42:E43)</f>
        <v>1063500</v>
      </c>
      <c r="F44" s="521">
        <f t="shared" si="8"/>
        <v>0.31081711330512457</v>
      </c>
      <c r="G44" s="520">
        <f>SUM(G42:G43)</f>
        <v>331311</v>
      </c>
      <c r="H44" s="520">
        <f>SUM(H42:H43)</f>
        <v>1590000</v>
      </c>
      <c r="I44" s="522">
        <f t="shared" si="9"/>
        <v>0.20837169811320755</v>
      </c>
      <c r="J44" s="505"/>
      <c r="K44" s="506"/>
      <c r="L44" s="507"/>
      <c r="M44" s="489"/>
      <c r="N44" s="508"/>
      <c r="O44" s="489"/>
      <c r="Q44" s="439"/>
    </row>
    <row r="45" spans="1:20">
      <c r="F45" s="528"/>
      <c r="G45" s="528"/>
      <c r="L45" s="523"/>
      <c r="M45" s="524"/>
      <c r="N45" s="525"/>
      <c r="O45" s="526"/>
      <c r="P45" s="527"/>
      <c r="Q45" s="526"/>
    </row>
    <row r="46" spans="1:20">
      <c r="A46" s="443" t="s">
        <v>645</v>
      </c>
      <c r="F46" s="528"/>
      <c r="G46" s="528"/>
      <c r="M46" s="529"/>
    </row>
    <row r="47" spans="1:20" ht="25.5">
      <c r="A47" s="530" t="s">
        <v>0</v>
      </c>
      <c r="B47" s="444" t="s">
        <v>646</v>
      </c>
      <c r="C47" s="444" t="s">
        <v>647</v>
      </c>
      <c r="D47" s="444" t="s">
        <v>648</v>
      </c>
      <c r="E47" s="444" t="s">
        <v>649</v>
      </c>
      <c r="F47" s="444" t="s">
        <v>650</v>
      </c>
      <c r="G47" s="444" t="s">
        <v>651</v>
      </c>
      <c r="H47" s="444" t="s">
        <v>652</v>
      </c>
      <c r="I47" s="444" t="s">
        <v>653</v>
      </c>
      <c r="J47" s="444" t="s">
        <v>654</v>
      </c>
      <c r="K47" s="444" t="s">
        <v>655</v>
      </c>
      <c r="L47" s="444" t="s">
        <v>656</v>
      </c>
      <c r="M47" s="444" t="s">
        <v>657</v>
      </c>
      <c r="N47" s="530" t="s">
        <v>658</v>
      </c>
      <c r="O47" s="530" t="s">
        <v>659</v>
      </c>
      <c r="P47" s="530" t="s">
        <v>660</v>
      </c>
      <c r="Q47" s="530" t="s">
        <v>661</v>
      </c>
      <c r="R47" s="444" t="s">
        <v>662</v>
      </c>
      <c r="S47" s="444" t="s">
        <v>663</v>
      </c>
      <c r="T47" s="444" t="s">
        <v>664</v>
      </c>
    </row>
    <row r="48" spans="1:20">
      <c r="A48" s="450">
        <v>1</v>
      </c>
      <c r="B48" s="531" t="s">
        <v>665</v>
      </c>
      <c r="C48" s="532">
        <v>71717354</v>
      </c>
      <c r="D48" s="532">
        <v>96000000</v>
      </c>
      <c r="E48" s="533">
        <v>74.705577083333324</v>
      </c>
      <c r="F48" s="532">
        <v>60251156</v>
      </c>
      <c r="G48" s="532">
        <v>65000000</v>
      </c>
      <c r="H48" s="533">
        <v>92.694086153846158</v>
      </c>
      <c r="I48" s="532">
        <v>66178279</v>
      </c>
      <c r="J48" s="532">
        <v>70000000</v>
      </c>
      <c r="K48" s="533">
        <v>94.540398571428568</v>
      </c>
      <c r="L48" s="532">
        <v>85037698</v>
      </c>
      <c r="M48" s="532">
        <v>118700000</v>
      </c>
      <c r="N48" s="533">
        <v>71.64085762426285</v>
      </c>
      <c r="O48" s="534">
        <v>4593694</v>
      </c>
      <c r="P48" s="535">
        <v>12000000</v>
      </c>
      <c r="Q48" s="536">
        <v>38.280783333333332</v>
      </c>
      <c r="R48" s="537">
        <v>5317590</v>
      </c>
      <c r="S48" s="538">
        <v>10000000</v>
      </c>
      <c r="T48" s="539">
        <v>53.175899999999999</v>
      </c>
    </row>
    <row r="49" spans="1:20">
      <c r="A49" s="450">
        <v>2</v>
      </c>
      <c r="B49" s="531" t="s">
        <v>666</v>
      </c>
      <c r="C49" s="532">
        <v>71750265</v>
      </c>
      <c r="D49" s="532">
        <v>96000000</v>
      </c>
      <c r="E49" s="533">
        <v>74.739859374999995</v>
      </c>
      <c r="F49" s="532">
        <v>60178777</v>
      </c>
      <c r="G49" s="532">
        <v>65000000</v>
      </c>
      <c r="H49" s="533">
        <v>92.582733846153843</v>
      </c>
      <c r="I49" s="532">
        <v>66329130</v>
      </c>
      <c r="J49" s="532">
        <v>70000000</v>
      </c>
      <c r="K49" s="533">
        <v>94.755899999999997</v>
      </c>
      <c r="L49" s="532">
        <v>85018068</v>
      </c>
      <c r="M49" s="532">
        <v>118700000</v>
      </c>
      <c r="N49" s="533">
        <v>71.624320134793592</v>
      </c>
      <c r="O49" s="534">
        <v>4630814</v>
      </c>
      <c r="P49" s="535">
        <v>12000000</v>
      </c>
      <c r="Q49" s="536">
        <v>38.590116666666667</v>
      </c>
      <c r="R49" s="537">
        <v>5401750</v>
      </c>
      <c r="S49" s="538">
        <v>10000000</v>
      </c>
      <c r="T49" s="539">
        <v>54.017499999999998</v>
      </c>
    </row>
    <row r="50" spans="1:20">
      <c r="A50" s="450">
        <v>3</v>
      </c>
      <c r="B50" s="531" t="s">
        <v>667</v>
      </c>
      <c r="C50" s="532">
        <v>71772129</v>
      </c>
      <c r="D50" s="532">
        <v>96000000</v>
      </c>
      <c r="E50" s="533">
        <v>74.762634375000005</v>
      </c>
      <c r="F50" s="532">
        <v>60475828</v>
      </c>
      <c r="G50" s="532">
        <v>65000000</v>
      </c>
      <c r="H50" s="533">
        <v>93.039735384615383</v>
      </c>
      <c r="I50" s="532">
        <v>66270155</v>
      </c>
      <c r="J50" s="532">
        <v>70000000</v>
      </c>
      <c r="K50" s="533">
        <v>94.67165</v>
      </c>
      <c r="L50" s="532">
        <v>84798441</v>
      </c>
      <c r="M50" s="532">
        <v>118700000</v>
      </c>
      <c r="N50" s="533">
        <v>71.439293176074131</v>
      </c>
      <c r="O50" s="534">
        <v>4662953</v>
      </c>
      <c r="P50" s="535">
        <v>12000000</v>
      </c>
      <c r="Q50" s="536">
        <v>38.857941666666669</v>
      </c>
      <c r="R50" s="537">
        <v>5450790</v>
      </c>
      <c r="S50" s="538">
        <v>10000000</v>
      </c>
      <c r="T50" s="539">
        <v>54.507899999999999</v>
      </c>
    </row>
    <row r="51" spans="1:20">
      <c r="A51" s="450">
        <v>4</v>
      </c>
      <c r="B51" s="531" t="s">
        <v>668</v>
      </c>
      <c r="C51" s="532">
        <v>71822035</v>
      </c>
      <c r="D51" s="532">
        <v>96000000</v>
      </c>
      <c r="E51" s="533">
        <v>74.814619791666672</v>
      </c>
      <c r="F51" s="532">
        <v>60494601</v>
      </c>
      <c r="G51" s="532">
        <v>65000000</v>
      </c>
      <c r="H51" s="533">
        <v>93.068616923076917</v>
      </c>
      <c r="I51" s="532">
        <v>66328184</v>
      </c>
      <c r="J51" s="532">
        <v>70000000</v>
      </c>
      <c r="K51" s="533">
        <v>94.754548571428572</v>
      </c>
      <c r="L51" s="532">
        <v>84765933</v>
      </c>
      <c r="M51" s="532">
        <v>118700000</v>
      </c>
      <c r="N51" s="533">
        <v>71.411906486941874</v>
      </c>
      <c r="O51" s="534">
        <v>4695567</v>
      </c>
      <c r="P51" s="535">
        <v>12000000</v>
      </c>
      <c r="Q51" s="536">
        <v>39.129725000000001</v>
      </c>
      <c r="R51" s="537">
        <v>5506162</v>
      </c>
      <c r="S51" s="538">
        <v>10000000</v>
      </c>
      <c r="T51" s="539">
        <v>55.061619999999998</v>
      </c>
    </row>
    <row r="52" spans="1:20">
      <c r="A52" s="450">
        <v>5</v>
      </c>
      <c r="B52" s="531" t="s">
        <v>669</v>
      </c>
      <c r="C52" s="532">
        <v>71850198</v>
      </c>
      <c r="D52" s="532">
        <v>96000000</v>
      </c>
      <c r="E52" s="533">
        <v>74.843956250000005</v>
      </c>
      <c r="F52" s="532">
        <v>60562583</v>
      </c>
      <c r="G52" s="532">
        <v>65000000</v>
      </c>
      <c r="H52" s="533">
        <v>93.17320461538462</v>
      </c>
      <c r="I52" s="532">
        <v>66292829</v>
      </c>
      <c r="J52" s="532">
        <v>70000000</v>
      </c>
      <c r="K52" s="533">
        <v>94.704041428571429</v>
      </c>
      <c r="L52" s="532">
        <v>84765175</v>
      </c>
      <c r="M52" s="532">
        <v>118700000</v>
      </c>
      <c r="N52" s="533">
        <v>71.411267902274645</v>
      </c>
      <c r="O52" s="534">
        <v>4718067</v>
      </c>
      <c r="P52" s="535">
        <v>12000000</v>
      </c>
      <c r="Q52" s="536">
        <v>39.317225000000001</v>
      </c>
      <c r="R52" s="537">
        <v>5551205</v>
      </c>
      <c r="S52" s="538">
        <v>10000000</v>
      </c>
      <c r="T52" s="539">
        <v>55.512050000000002</v>
      </c>
    </row>
    <row r="53" spans="1:20" ht="15">
      <c r="A53" s="540"/>
      <c r="B53" s="541"/>
      <c r="C53" s="542"/>
      <c r="D53" s="542"/>
      <c r="E53" s="543"/>
      <c r="F53" s="544"/>
      <c r="G53" s="528"/>
      <c r="L53" s="545"/>
    </row>
    <row r="54" spans="1:20" ht="15">
      <c r="A54" s="443" t="s">
        <v>670</v>
      </c>
      <c r="B54" s="541"/>
      <c r="C54" s="542"/>
      <c r="D54" s="542"/>
      <c r="E54" s="543"/>
      <c r="F54" s="544"/>
      <c r="G54" s="528"/>
      <c r="L54" s="545"/>
    </row>
    <row r="55" spans="1:20" ht="25.5">
      <c r="A55" s="444" t="s">
        <v>0</v>
      </c>
      <c r="B55" s="444" t="s">
        <v>646</v>
      </c>
      <c r="C55" s="530" t="s">
        <v>671</v>
      </c>
      <c r="D55" s="530" t="s">
        <v>672</v>
      </c>
      <c r="E55" s="530" t="s">
        <v>673</v>
      </c>
      <c r="F55" s="530" t="s">
        <v>674</v>
      </c>
      <c r="G55" s="530" t="s">
        <v>675</v>
      </c>
      <c r="H55" s="530" t="s">
        <v>676</v>
      </c>
      <c r="I55" s="439"/>
      <c r="Q55" s="439"/>
    </row>
    <row r="56" spans="1:20">
      <c r="A56" s="450">
        <v>1</v>
      </c>
      <c r="B56" s="531" t="s">
        <v>665</v>
      </c>
      <c r="C56" s="546">
        <v>25658730</v>
      </c>
      <c r="D56" s="546">
        <v>31000000</v>
      </c>
      <c r="E56" s="539">
        <v>82.770096774193547</v>
      </c>
      <c r="F56" s="547">
        <v>27378507</v>
      </c>
      <c r="G56" s="546">
        <v>39000000</v>
      </c>
      <c r="H56" s="536">
        <v>70.201300000000003</v>
      </c>
      <c r="I56" s="439"/>
      <c r="Q56" s="439"/>
    </row>
    <row r="57" spans="1:20">
      <c r="A57" s="450">
        <v>2</v>
      </c>
      <c r="B57" s="531" t="s">
        <v>666</v>
      </c>
      <c r="C57" s="546">
        <v>25712082</v>
      </c>
      <c r="D57" s="546">
        <v>31000000</v>
      </c>
      <c r="E57" s="539">
        <v>82.9422</v>
      </c>
      <c r="F57" s="547">
        <v>27519492</v>
      </c>
      <c r="G57" s="546">
        <v>39000000</v>
      </c>
      <c r="H57" s="536">
        <v>70.56280000000001</v>
      </c>
      <c r="I57" s="439"/>
      <c r="Q57" s="439"/>
    </row>
    <row r="58" spans="1:20">
      <c r="A58" s="450">
        <v>3</v>
      </c>
      <c r="B58" s="531" t="s">
        <v>667</v>
      </c>
      <c r="C58" s="546">
        <v>25907144</v>
      </c>
      <c r="D58" s="546">
        <v>31000000</v>
      </c>
      <c r="E58" s="539">
        <v>83.571432258064519</v>
      </c>
      <c r="F58" s="547">
        <v>27659070</v>
      </c>
      <c r="G58" s="546">
        <v>39000000</v>
      </c>
      <c r="H58" s="536">
        <v>70.920692307692306</v>
      </c>
      <c r="I58" s="439"/>
      <c r="Q58" s="439"/>
    </row>
    <row r="59" spans="1:20">
      <c r="A59" s="450">
        <v>4</v>
      </c>
      <c r="B59" s="531" t="s">
        <v>668</v>
      </c>
      <c r="C59" s="546">
        <v>27433934</v>
      </c>
      <c r="D59" s="546">
        <v>31000000</v>
      </c>
      <c r="E59" s="539">
        <v>88.496561290322575</v>
      </c>
      <c r="F59" s="547">
        <v>29219020</v>
      </c>
      <c r="G59" s="546">
        <v>39000000</v>
      </c>
      <c r="H59" s="536">
        <v>74.9205641025641</v>
      </c>
      <c r="I59" s="439"/>
      <c r="Q59" s="439"/>
    </row>
    <row r="60" spans="1:20">
      <c r="A60" s="450">
        <v>5</v>
      </c>
      <c r="B60" s="531" t="s">
        <v>669</v>
      </c>
      <c r="C60" s="546">
        <v>29166372</v>
      </c>
      <c r="D60" s="546">
        <v>31000000</v>
      </c>
      <c r="E60" s="539">
        <v>94.085070967741942</v>
      </c>
      <c r="F60" s="547">
        <v>30807068</v>
      </c>
      <c r="G60" s="546">
        <v>39000000</v>
      </c>
      <c r="H60" s="536">
        <v>78.992482051282053</v>
      </c>
      <c r="I60" s="439"/>
      <c r="Q60" s="439"/>
    </row>
    <row r="61" spans="1:20" ht="18.75">
      <c r="A61" s="548" t="s">
        <v>677</v>
      </c>
    </row>
    <row r="63" spans="1:20" ht="38.25">
      <c r="A63" s="444" t="s">
        <v>0</v>
      </c>
      <c r="B63" s="445" t="s">
        <v>43</v>
      </c>
      <c r="C63" s="446" t="s">
        <v>586</v>
      </c>
      <c r="D63" s="447" t="s">
        <v>678</v>
      </c>
      <c r="E63" s="447" t="s">
        <v>1</v>
      </c>
      <c r="F63" s="447" t="s">
        <v>679</v>
      </c>
      <c r="G63" s="447" t="s">
        <v>11</v>
      </c>
      <c r="H63" s="447" t="s">
        <v>680</v>
      </c>
      <c r="I63" s="447" t="s">
        <v>681</v>
      </c>
      <c r="J63" s="447" t="s">
        <v>196</v>
      </c>
      <c r="K63" s="447" t="s">
        <v>114</v>
      </c>
      <c r="L63" s="447" t="s">
        <v>682</v>
      </c>
    </row>
    <row r="64" spans="1:20">
      <c r="A64" s="450">
        <v>1</v>
      </c>
      <c r="B64" s="451" t="s">
        <v>4</v>
      </c>
      <c r="C64" s="452">
        <v>57</v>
      </c>
      <c r="D64" s="549">
        <f>SUMIF($C$75:$C$114,B64,$H$75:$H$114)</f>
        <v>60710366</v>
      </c>
      <c r="E64" s="549">
        <f>SUMIF($C$75:$C$114,B64,$P$75:$P$114)</f>
        <v>83025401</v>
      </c>
      <c r="F64" s="549">
        <f>SUMIF($C$123:$C$171,B64,$G$123:$G$171)</f>
        <v>2767550.5100000007</v>
      </c>
      <c r="G64" s="549">
        <f>SUMIF($C$75:$C$114,$B64,$K$75:$K$114)</f>
        <v>89600000</v>
      </c>
      <c r="H64" s="549">
        <f>SUMIF($C$75:$C$114,$B64,$S$75:$S$114)</f>
        <v>152800000</v>
      </c>
      <c r="I64" s="549">
        <f>SUMIF($C$123:$C$171,$B64,$H$123:$H$171)</f>
        <v>3950000</v>
      </c>
      <c r="J64" s="550">
        <f t="shared" ref="J64:L65" si="10">D64/G64*100</f>
        <v>67.75710491071429</v>
      </c>
      <c r="K64" s="550">
        <f t="shared" si="10"/>
        <v>54.335995418848171</v>
      </c>
      <c r="L64" s="550">
        <f t="shared" si="10"/>
        <v>70.064569873417739</v>
      </c>
    </row>
    <row r="65" spans="1:23">
      <c r="A65" s="450">
        <v>2</v>
      </c>
      <c r="B65" s="451" t="s">
        <v>249</v>
      </c>
      <c r="C65" s="452">
        <v>25</v>
      </c>
      <c r="D65" s="549">
        <f>SUMIF($C$75:$C$114,B65,$H$75:$H$114)</f>
        <v>1753893</v>
      </c>
      <c r="E65" s="549">
        <f>SUMIF($C$75:$C$114,B65,$P$75:$P$114)</f>
        <v>2164924</v>
      </c>
      <c r="F65" s="549">
        <f>SUMIF($C$123:$C$171,B65,$G$123:$G$171)</f>
        <v>528516.49</v>
      </c>
      <c r="G65" s="549">
        <f>SUMIF($C$75:$C$114,$B65,$K$75:$K$114)</f>
        <v>15500000</v>
      </c>
      <c r="H65" s="549">
        <f>SUMIF($C$75:$C$114,$B65,$S$75:$S$114)</f>
        <v>28000000</v>
      </c>
      <c r="I65" s="549">
        <f>SUMIF($C$123:$C$171,$B65,$H$123:$H$171)</f>
        <v>1800000</v>
      </c>
      <c r="J65" s="550">
        <f t="shared" si="10"/>
        <v>11.315438709677419</v>
      </c>
      <c r="K65" s="550">
        <f t="shared" si="10"/>
        <v>7.7318714285714281</v>
      </c>
      <c r="L65" s="550">
        <f t="shared" si="10"/>
        <v>29.362027222222221</v>
      </c>
    </row>
    <row r="66" spans="1:23">
      <c r="A66" s="450">
        <v>3</v>
      </c>
      <c r="B66" s="451" t="s">
        <v>251</v>
      </c>
      <c r="C66" s="452">
        <v>4</v>
      </c>
      <c r="D66" s="549">
        <f>SUMIF($C$75:$C$114,B66,$H$75:$H$114)</f>
        <v>0</v>
      </c>
      <c r="E66" s="549">
        <f>SUMIF($C$75:$C$114,B66,$P$75:$P$114)</f>
        <v>0</v>
      </c>
      <c r="F66" s="549">
        <f>SUMIF($C$123:$C$171,B66,$G$123:$G$171)</f>
        <v>0</v>
      </c>
      <c r="G66" s="549">
        <f>SUMIF($C$75:$C$114,$B66,$K$75:$K$114)</f>
        <v>0</v>
      </c>
      <c r="H66" s="549">
        <f>SUMIF($C$75:$C$114,$B66,$S$75:$S$114)</f>
        <v>0</v>
      </c>
      <c r="I66" s="549">
        <f>SUMIF($C$123:$C$171,$B66,$H$123:$H$171)</f>
        <v>450000</v>
      </c>
      <c r="J66" s="550"/>
      <c r="K66" s="550"/>
      <c r="L66" s="550"/>
    </row>
    <row r="67" spans="1:23">
      <c r="A67" s="450"/>
      <c r="B67" s="457" t="s">
        <v>15</v>
      </c>
      <c r="C67" s="551">
        <v>42</v>
      </c>
      <c r="D67" s="477">
        <f>SUMIF($D$75:$D$114,B67,$H$75:$H$114)</f>
        <v>31800962</v>
      </c>
      <c r="E67" s="477">
        <f>SUMIF($D$75:$D$114,B67,$P$75:$P$114)</f>
        <v>44652392</v>
      </c>
      <c r="F67" s="477">
        <f>SUMIF($D$123:$D$171,B67,$G$123:$G$171)</f>
        <v>2124123.8400000008</v>
      </c>
      <c r="G67" s="477">
        <f>SUMIF($D$75:$D$114,$B67,$K$75:$K$114)</f>
        <v>52000000</v>
      </c>
      <c r="H67" s="477">
        <f>SUMIF($D$75:$D$114,$B67,$S$75:$S$114)</f>
        <v>85000000</v>
      </c>
      <c r="I67" s="477">
        <f>SUMIF($D$123:$D$171,$B67,$H$123:$H$171)</f>
        <v>3650000</v>
      </c>
      <c r="J67" s="552">
        <f t="shared" ref="J67:L70" si="11">D67/G67*100</f>
        <v>61.155696153846151</v>
      </c>
      <c r="K67" s="552">
        <f t="shared" si="11"/>
        <v>52.532225882352947</v>
      </c>
      <c r="L67" s="552">
        <f t="shared" si="11"/>
        <v>58.195173698630157</v>
      </c>
    </row>
    <row r="68" spans="1:23">
      <c r="A68" s="450"/>
      <c r="B68" s="457" t="s">
        <v>25</v>
      </c>
      <c r="C68" s="551">
        <v>17</v>
      </c>
      <c r="D68" s="477">
        <f>SUMIF($D$75:$D$114,B68,$H$75:$H$114)</f>
        <v>10044946</v>
      </c>
      <c r="E68" s="477">
        <f>SUMIF($D$75:$D$114,B68,$P$75:$P$114)</f>
        <v>12927181</v>
      </c>
      <c r="F68" s="477">
        <f>SUMIF($D$123:$D$171,B68,$G$123:$G$171)</f>
        <v>841835.09999999986</v>
      </c>
      <c r="G68" s="477">
        <f>SUMIF($D$75:$D$114,$B68,$K$75:$K$114)</f>
        <v>14900000</v>
      </c>
      <c r="H68" s="477">
        <f>SUMIF($D$75:$D$114,$B68,$S$75:$S$114)</f>
        <v>27400000</v>
      </c>
      <c r="I68" s="477">
        <f>SUMIF($D$123:$D$171,$B68,$H$123:$H$171)</f>
        <v>1340000</v>
      </c>
      <c r="J68" s="552">
        <f t="shared" si="11"/>
        <v>67.415744966442944</v>
      </c>
      <c r="K68" s="552">
        <f t="shared" si="11"/>
        <v>47.179492700729924</v>
      </c>
      <c r="L68" s="552">
        <f t="shared" si="11"/>
        <v>62.823514925373125</v>
      </c>
    </row>
    <row r="69" spans="1:23">
      <c r="A69" s="450"/>
      <c r="B69" s="457" t="s">
        <v>30</v>
      </c>
      <c r="C69" s="551">
        <v>27</v>
      </c>
      <c r="D69" s="477">
        <f>SUMIF($D$75:$D$114,B69,$H$75:$H$114)</f>
        <v>20618351</v>
      </c>
      <c r="E69" s="477">
        <f t="shared" ref="E69" si="12">SUMIF($D$75:$D$114,B69,$P$75:$P$114)</f>
        <v>27610752</v>
      </c>
      <c r="F69" s="477">
        <f>SUMIF($D$123:$D$171,B69,$G$123:$G$171)</f>
        <v>330108.06</v>
      </c>
      <c r="G69" s="477">
        <f>SUMIF($D$75:$D$114,$B69,$K$75:$K$114)</f>
        <v>38200000</v>
      </c>
      <c r="H69" s="477">
        <f>SUMIF($D$75:$D$114,$B69,$S$75:$S$114)</f>
        <v>68400000</v>
      </c>
      <c r="I69" s="477">
        <f>SUMIF($D$123:$D$171,$B69,$H$123:$H$171)</f>
        <v>1210000</v>
      </c>
      <c r="J69" s="552">
        <f t="shared" si="11"/>
        <v>53.974740837696331</v>
      </c>
      <c r="K69" s="552">
        <f t="shared" si="11"/>
        <v>40.366596491228066</v>
      </c>
      <c r="L69" s="552">
        <f t="shared" si="11"/>
        <v>27.281657851239672</v>
      </c>
    </row>
    <row r="70" spans="1:23">
      <c r="A70" s="450"/>
      <c r="B70" s="457" t="s">
        <v>605</v>
      </c>
      <c r="C70" s="458">
        <f>SUM(C67:C69)</f>
        <v>86</v>
      </c>
      <c r="D70" s="553">
        <f>SUM(D67:D69)</f>
        <v>62464259</v>
      </c>
      <c r="E70" s="553">
        <f>SUM(E67:E69)</f>
        <v>85190325</v>
      </c>
      <c r="F70" s="553">
        <f>SUM(F67:F69)</f>
        <v>3296067.0000000005</v>
      </c>
      <c r="G70" s="553">
        <f>G67+G68+G69</f>
        <v>105100000</v>
      </c>
      <c r="H70" s="553">
        <f>H67+H68+H69</f>
        <v>180800000</v>
      </c>
      <c r="I70" s="554">
        <f>I67+I68+I69</f>
        <v>6200000</v>
      </c>
      <c r="J70" s="555">
        <f t="shared" si="11"/>
        <v>59.43316745956232</v>
      </c>
      <c r="K70" s="555">
        <f t="shared" si="11"/>
        <v>47.118542588495579</v>
      </c>
      <c r="L70" s="555">
        <f t="shared" si="11"/>
        <v>53.162370967741943</v>
      </c>
    </row>
    <row r="71" spans="1:23">
      <c r="A71" s="489"/>
      <c r="B71" s="525"/>
      <c r="C71" s="556"/>
      <c r="D71" s="556"/>
      <c r="E71" s="556"/>
      <c r="F71" s="556"/>
      <c r="G71" s="556"/>
      <c r="H71" s="556"/>
      <c r="I71" s="556"/>
      <c r="J71" s="557"/>
      <c r="K71" s="557"/>
      <c r="L71" s="557"/>
      <c r="R71" s="558"/>
    </row>
    <row r="72" spans="1:23" ht="15">
      <c r="A72" s="559" t="s">
        <v>683</v>
      </c>
      <c r="B72" s="560"/>
      <c r="C72" s="560"/>
      <c r="D72" s="561"/>
      <c r="E72" s="562"/>
      <c r="F72" s="561"/>
      <c r="G72" s="563"/>
      <c r="H72" s="563"/>
      <c r="I72" s="563"/>
      <c r="J72" s="563"/>
      <c r="K72" s="563"/>
      <c r="L72" s="560"/>
      <c r="R72" s="564"/>
    </row>
    <row r="73" spans="1:23" ht="14.25" customHeight="1">
      <c r="A73" s="1115" t="s">
        <v>684</v>
      </c>
      <c r="B73" s="1116"/>
      <c r="C73" s="1116"/>
      <c r="D73" s="1117"/>
      <c r="E73" s="1118" t="s">
        <v>678</v>
      </c>
      <c r="F73" s="1119"/>
      <c r="G73" s="1119"/>
      <c r="H73" s="1119"/>
      <c r="I73" s="1119"/>
      <c r="J73" s="1119"/>
      <c r="K73" s="1119"/>
      <c r="L73" s="1120"/>
      <c r="M73" s="1118" t="s">
        <v>685</v>
      </c>
      <c r="N73" s="1119"/>
      <c r="O73" s="1119"/>
      <c r="P73" s="1119"/>
      <c r="Q73" s="1119"/>
      <c r="R73" s="1119"/>
      <c r="S73" s="1119"/>
      <c r="T73" s="1120"/>
    </row>
    <row r="74" spans="1:23" s="464" customFormat="1" ht="51">
      <c r="A74" s="444" t="s">
        <v>0</v>
      </c>
      <c r="B74" s="444" t="s">
        <v>7</v>
      </c>
      <c r="C74" s="444" t="s">
        <v>8</v>
      </c>
      <c r="D74" s="565" t="s">
        <v>9</v>
      </c>
      <c r="E74" s="566" t="s">
        <v>191</v>
      </c>
      <c r="F74" s="566" t="s">
        <v>192</v>
      </c>
      <c r="G74" s="566" t="s">
        <v>193</v>
      </c>
      <c r="H74" s="566" t="s">
        <v>12</v>
      </c>
      <c r="I74" s="566" t="s">
        <v>10</v>
      </c>
      <c r="J74" s="444" t="s">
        <v>196</v>
      </c>
      <c r="K74" s="444" t="s">
        <v>195</v>
      </c>
      <c r="L74" s="444" t="s">
        <v>197</v>
      </c>
      <c r="M74" s="444" t="s">
        <v>198</v>
      </c>
      <c r="N74" s="444" t="s">
        <v>199</v>
      </c>
      <c r="O74" s="444" t="s">
        <v>200</v>
      </c>
      <c r="P74" s="566" t="s">
        <v>201</v>
      </c>
      <c r="Q74" s="444" t="s">
        <v>202</v>
      </c>
      <c r="R74" s="444" t="s">
        <v>204</v>
      </c>
      <c r="S74" s="444" t="s">
        <v>203</v>
      </c>
      <c r="T74" s="444" t="s">
        <v>205</v>
      </c>
      <c r="U74" s="444" t="s">
        <v>686</v>
      </c>
      <c r="V74" s="444" t="s">
        <v>687</v>
      </c>
    </row>
    <row r="75" spans="1:23" ht="12.75" customHeight="1">
      <c r="A75" s="450">
        <v>1</v>
      </c>
      <c r="B75" s="567" t="s">
        <v>16</v>
      </c>
      <c r="C75" s="568" t="s">
        <v>4</v>
      </c>
      <c r="D75" s="569" t="s">
        <v>15</v>
      </c>
      <c r="E75" s="570">
        <v>163100</v>
      </c>
      <c r="F75" s="570">
        <v>22645</v>
      </c>
      <c r="G75" s="570">
        <v>2254790</v>
      </c>
      <c r="H75" s="570">
        <v>2440535</v>
      </c>
      <c r="I75" s="570">
        <v>2500000</v>
      </c>
      <c r="J75" s="571">
        <f t="shared" ref="J75:J118" si="13">H75/I75</f>
        <v>0.97621400000000003</v>
      </c>
      <c r="K75" s="570">
        <v>2500000</v>
      </c>
      <c r="L75" s="571">
        <f t="shared" ref="L75:L118" si="14">H75/K75</f>
        <v>0.97621400000000003</v>
      </c>
      <c r="M75" s="570">
        <v>76601</v>
      </c>
      <c r="N75" s="570">
        <v>9978</v>
      </c>
      <c r="O75" s="570">
        <v>3226556</v>
      </c>
      <c r="P75" s="570">
        <v>3313135</v>
      </c>
      <c r="Q75" s="572">
        <v>2300000</v>
      </c>
      <c r="R75" s="571">
        <f t="shared" ref="R75:R118" si="15">P75/Q75</f>
        <v>1.4404934782608696</v>
      </c>
      <c r="S75" s="570">
        <v>5000000</v>
      </c>
      <c r="T75" s="571">
        <f t="shared" ref="T75:T118" si="16">P75/S75</f>
        <v>0.66262699999999997</v>
      </c>
      <c r="U75" s="573">
        <f>SUM($H$75:$H$81)/(SUM($K$75:$K$81)-$K$80)</f>
        <v>0.9521857619047619</v>
      </c>
      <c r="V75" s="573">
        <f>SUM($P$75:$P$81)/(SUM($S$75:$S$81)-$S$80)</f>
        <v>0.76878189560439558</v>
      </c>
      <c r="W75" s="1106" t="s">
        <v>688</v>
      </c>
    </row>
    <row r="76" spans="1:23">
      <c r="A76" s="450">
        <v>2</v>
      </c>
      <c r="B76" s="567" t="s">
        <v>17</v>
      </c>
      <c r="C76" s="568" t="s">
        <v>4</v>
      </c>
      <c r="D76" s="569" t="s">
        <v>15</v>
      </c>
      <c r="E76" s="570">
        <v>166887</v>
      </c>
      <c r="F76" s="570">
        <v>22184</v>
      </c>
      <c r="G76" s="570">
        <v>2335412</v>
      </c>
      <c r="H76" s="570">
        <v>2524483</v>
      </c>
      <c r="I76" s="570">
        <v>2500000</v>
      </c>
      <c r="J76" s="571">
        <f t="shared" si="13"/>
        <v>1.0097932000000001</v>
      </c>
      <c r="K76" s="570">
        <v>2500000</v>
      </c>
      <c r="L76" s="571">
        <f t="shared" si="14"/>
        <v>1.0097932000000001</v>
      </c>
      <c r="M76" s="570">
        <v>80470</v>
      </c>
      <c r="N76" s="570">
        <v>9591</v>
      </c>
      <c r="O76" s="570">
        <v>3361319</v>
      </c>
      <c r="P76" s="570">
        <v>3451380</v>
      </c>
      <c r="Q76" s="572">
        <v>2300000</v>
      </c>
      <c r="R76" s="571">
        <f t="shared" si="15"/>
        <v>1.5005999999999999</v>
      </c>
      <c r="S76" s="570">
        <v>5000000</v>
      </c>
      <c r="T76" s="571">
        <f t="shared" si="16"/>
        <v>0.690276</v>
      </c>
      <c r="U76" s="573">
        <f t="shared" ref="U76:U81" si="17">SUM($H$75:$H$81)/(SUM($K$75:$K$81)-$K$80)</f>
        <v>0.9521857619047619</v>
      </c>
      <c r="V76" s="573">
        <f t="shared" ref="V76:V81" si="18">SUM($P$75:$P$81)/(SUM($S$75:$S$81)-$S$80)</f>
        <v>0.76878189560439558</v>
      </c>
      <c r="W76" s="1106"/>
    </row>
    <row r="77" spans="1:23">
      <c r="A77" s="450">
        <v>3</v>
      </c>
      <c r="B77" s="567" t="s">
        <v>18</v>
      </c>
      <c r="C77" s="568" t="s">
        <v>4</v>
      </c>
      <c r="D77" s="569" t="s">
        <v>15</v>
      </c>
      <c r="E77" s="570">
        <v>167266</v>
      </c>
      <c r="F77" s="570">
        <v>23497</v>
      </c>
      <c r="G77" s="570">
        <v>2992420</v>
      </c>
      <c r="H77" s="570">
        <v>3183183</v>
      </c>
      <c r="I77" s="570">
        <v>3300000</v>
      </c>
      <c r="J77" s="571">
        <f t="shared" si="13"/>
        <v>0.96460090909090912</v>
      </c>
      <c r="K77" s="570">
        <v>4000000</v>
      </c>
      <c r="L77" s="571">
        <f t="shared" si="14"/>
        <v>0.79579575000000002</v>
      </c>
      <c r="M77" s="570">
        <v>90200</v>
      </c>
      <c r="N77" s="570">
        <v>11666</v>
      </c>
      <c r="O77" s="570">
        <v>4411276</v>
      </c>
      <c r="P77" s="570">
        <v>4513142</v>
      </c>
      <c r="Q77" s="572">
        <v>3200000</v>
      </c>
      <c r="R77" s="571">
        <f t="shared" si="15"/>
        <v>1.410356875</v>
      </c>
      <c r="S77" s="570">
        <v>6600000</v>
      </c>
      <c r="T77" s="571">
        <f t="shared" si="16"/>
        <v>0.68380939393939399</v>
      </c>
      <c r="U77" s="573">
        <f t="shared" si="17"/>
        <v>0.9521857619047619</v>
      </c>
      <c r="V77" s="573">
        <f t="shared" si="18"/>
        <v>0.76878189560439558</v>
      </c>
      <c r="W77" s="1106"/>
    </row>
    <row r="78" spans="1:23">
      <c r="A78" s="450">
        <v>4</v>
      </c>
      <c r="B78" s="567" t="s">
        <v>19</v>
      </c>
      <c r="C78" s="568" t="s">
        <v>4</v>
      </c>
      <c r="D78" s="569" t="s">
        <v>15</v>
      </c>
      <c r="E78" s="570">
        <v>87342</v>
      </c>
      <c r="F78" s="570">
        <v>11837</v>
      </c>
      <c r="G78" s="570">
        <v>2585317</v>
      </c>
      <c r="H78" s="570">
        <v>2684496</v>
      </c>
      <c r="I78" s="570">
        <v>3300000</v>
      </c>
      <c r="J78" s="571">
        <f t="shared" si="13"/>
        <v>0.81348363636363641</v>
      </c>
      <c r="K78" s="570">
        <v>4000000</v>
      </c>
      <c r="L78" s="571">
        <f t="shared" si="14"/>
        <v>0.67112400000000005</v>
      </c>
      <c r="M78" s="570">
        <v>60669</v>
      </c>
      <c r="N78" s="570">
        <v>8086</v>
      </c>
      <c r="O78" s="570">
        <v>3863812</v>
      </c>
      <c r="P78" s="570">
        <v>3932567</v>
      </c>
      <c r="Q78" s="572">
        <v>3200000</v>
      </c>
      <c r="R78" s="571">
        <f t="shared" si="15"/>
        <v>1.2289271875000001</v>
      </c>
      <c r="S78" s="570">
        <v>6600000</v>
      </c>
      <c r="T78" s="571">
        <f t="shared" si="16"/>
        <v>0.59584348484848482</v>
      </c>
      <c r="U78" s="573">
        <f t="shared" si="17"/>
        <v>0.9521857619047619</v>
      </c>
      <c r="V78" s="573">
        <f t="shared" si="18"/>
        <v>0.76878189560439558</v>
      </c>
      <c r="W78" s="1106"/>
    </row>
    <row r="79" spans="1:23">
      <c r="A79" s="450">
        <v>5</v>
      </c>
      <c r="B79" s="567" t="s">
        <v>20</v>
      </c>
      <c r="C79" s="568" t="s">
        <v>4</v>
      </c>
      <c r="D79" s="569" t="s">
        <v>15</v>
      </c>
      <c r="E79" s="570">
        <v>192360</v>
      </c>
      <c r="F79" s="570">
        <v>27198</v>
      </c>
      <c r="G79" s="570">
        <v>3160691</v>
      </c>
      <c r="H79" s="570">
        <v>3380249</v>
      </c>
      <c r="I79" s="570">
        <v>3300000</v>
      </c>
      <c r="J79" s="571">
        <f t="shared" si="13"/>
        <v>1.0243178787878788</v>
      </c>
      <c r="K79" s="570">
        <v>4000000</v>
      </c>
      <c r="L79" s="571">
        <f t="shared" si="14"/>
        <v>0.84506225000000001</v>
      </c>
      <c r="M79" s="570">
        <v>96557</v>
      </c>
      <c r="N79" s="570">
        <v>12449</v>
      </c>
      <c r="O79" s="570">
        <v>4662016</v>
      </c>
      <c r="P79" s="570">
        <v>4771022</v>
      </c>
      <c r="Q79" s="572">
        <v>3200000</v>
      </c>
      <c r="R79" s="571">
        <f t="shared" si="15"/>
        <v>1.490944375</v>
      </c>
      <c r="S79" s="570">
        <v>6600000</v>
      </c>
      <c r="T79" s="571">
        <f t="shared" si="16"/>
        <v>0.72288212121212125</v>
      </c>
      <c r="U79" s="573">
        <f t="shared" si="17"/>
        <v>0.9521857619047619</v>
      </c>
      <c r="V79" s="573">
        <f t="shared" si="18"/>
        <v>0.76878189560439558</v>
      </c>
      <c r="W79" s="1106"/>
    </row>
    <row r="80" spans="1:23">
      <c r="A80" s="450">
        <v>6</v>
      </c>
      <c r="B80" s="567" t="s">
        <v>21</v>
      </c>
      <c r="C80" s="568" t="s">
        <v>4</v>
      </c>
      <c r="D80" s="569" t="s">
        <v>15</v>
      </c>
      <c r="E80" s="570">
        <v>192526</v>
      </c>
      <c r="F80" s="570">
        <v>27197</v>
      </c>
      <c r="G80" s="570">
        <v>2959930</v>
      </c>
      <c r="H80" s="570">
        <v>3179653</v>
      </c>
      <c r="I80" s="570">
        <v>3300000</v>
      </c>
      <c r="J80" s="571">
        <f t="shared" si="13"/>
        <v>0.96353121212121207</v>
      </c>
      <c r="K80" s="570">
        <v>4000000</v>
      </c>
      <c r="L80" s="571">
        <f t="shared" si="14"/>
        <v>0.79491325000000002</v>
      </c>
      <c r="M80" s="570">
        <v>94818</v>
      </c>
      <c r="N80" s="570">
        <v>12079</v>
      </c>
      <c r="O80" s="570">
        <v>4289763</v>
      </c>
      <c r="P80" s="570">
        <v>4396660</v>
      </c>
      <c r="Q80" s="572">
        <v>3300000</v>
      </c>
      <c r="R80" s="571">
        <f t="shared" si="15"/>
        <v>1.332321212121212</v>
      </c>
      <c r="S80" s="570">
        <v>6600000</v>
      </c>
      <c r="T80" s="571">
        <f t="shared" si="16"/>
        <v>0.66616060606060601</v>
      </c>
      <c r="U80" s="573">
        <f t="shared" si="17"/>
        <v>0.9521857619047619</v>
      </c>
      <c r="V80" s="573">
        <f t="shared" si="18"/>
        <v>0.76878189560439558</v>
      </c>
      <c r="W80" s="1106"/>
    </row>
    <row r="81" spans="1:23">
      <c r="A81" s="450">
        <v>7</v>
      </c>
      <c r="B81" s="567" t="s">
        <v>22</v>
      </c>
      <c r="C81" s="568" t="s">
        <v>4</v>
      </c>
      <c r="D81" s="569" t="s">
        <v>15</v>
      </c>
      <c r="E81" s="570">
        <v>119371</v>
      </c>
      <c r="F81" s="570">
        <v>15268</v>
      </c>
      <c r="G81" s="570">
        <v>2468663</v>
      </c>
      <c r="H81" s="570">
        <v>2603302</v>
      </c>
      <c r="I81" s="570">
        <v>3300000</v>
      </c>
      <c r="J81" s="571">
        <f t="shared" si="13"/>
        <v>0.78887939393939399</v>
      </c>
      <c r="K81" s="570">
        <v>4000000</v>
      </c>
      <c r="L81" s="571">
        <f t="shared" si="14"/>
        <v>0.65082549999999995</v>
      </c>
      <c r="M81" s="570">
        <v>64989</v>
      </c>
      <c r="N81" s="570">
        <v>7791</v>
      </c>
      <c r="O81" s="570">
        <v>3532975</v>
      </c>
      <c r="P81" s="570">
        <v>3605755</v>
      </c>
      <c r="Q81" s="572">
        <v>6600000</v>
      </c>
      <c r="R81" s="571">
        <f t="shared" si="15"/>
        <v>0.5463265151515152</v>
      </c>
      <c r="S81" s="570">
        <v>6600000</v>
      </c>
      <c r="T81" s="571">
        <f t="shared" si="16"/>
        <v>0.5463265151515152</v>
      </c>
      <c r="U81" s="573">
        <f t="shared" si="17"/>
        <v>0.9521857619047619</v>
      </c>
      <c r="V81" s="573">
        <f t="shared" si="18"/>
        <v>0.76878189560439558</v>
      </c>
      <c r="W81" s="1106"/>
    </row>
    <row r="82" spans="1:23">
      <c r="A82" s="450">
        <v>8</v>
      </c>
      <c r="B82" s="574" t="s">
        <v>106</v>
      </c>
      <c r="C82" s="465" t="s">
        <v>4</v>
      </c>
      <c r="D82" s="569" t="s">
        <v>15</v>
      </c>
      <c r="E82" s="570">
        <v>146018</v>
      </c>
      <c r="F82" s="570">
        <v>22160</v>
      </c>
      <c r="G82" s="570">
        <v>3028545</v>
      </c>
      <c r="H82" s="570">
        <v>3196723</v>
      </c>
      <c r="I82" s="570">
        <v>3300000</v>
      </c>
      <c r="J82" s="571">
        <f t="shared" si="13"/>
        <v>0.96870393939393939</v>
      </c>
      <c r="K82" s="570">
        <v>4000000</v>
      </c>
      <c r="L82" s="571">
        <f t="shared" si="14"/>
        <v>0.79918075</v>
      </c>
      <c r="M82" s="570">
        <v>79756</v>
      </c>
      <c r="N82" s="570">
        <v>10795</v>
      </c>
      <c r="O82" s="570">
        <v>4363076</v>
      </c>
      <c r="P82" s="570">
        <v>4453627</v>
      </c>
      <c r="Q82" s="572">
        <v>6600000</v>
      </c>
      <c r="R82" s="571">
        <f t="shared" si="15"/>
        <v>0.67479196969696975</v>
      </c>
      <c r="S82" s="570">
        <v>6600000</v>
      </c>
      <c r="T82" s="571">
        <f t="shared" si="16"/>
        <v>0.67479196969696975</v>
      </c>
      <c r="U82" s="575"/>
      <c r="V82" s="575"/>
      <c r="W82" s="576"/>
    </row>
    <row r="83" spans="1:23">
      <c r="A83" s="450">
        <v>9</v>
      </c>
      <c r="B83" s="574" t="s">
        <v>107</v>
      </c>
      <c r="C83" s="465" t="s">
        <v>4</v>
      </c>
      <c r="D83" s="569" t="s">
        <v>15</v>
      </c>
      <c r="E83" s="570">
        <v>140965</v>
      </c>
      <c r="F83" s="570">
        <v>20429</v>
      </c>
      <c r="G83" s="570">
        <v>2692428</v>
      </c>
      <c r="H83" s="570">
        <v>2853822</v>
      </c>
      <c r="I83" s="570">
        <v>3300000</v>
      </c>
      <c r="J83" s="571">
        <f t="shared" si="13"/>
        <v>0.86479454545454548</v>
      </c>
      <c r="K83" s="570">
        <v>4000000</v>
      </c>
      <c r="L83" s="571">
        <f t="shared" si="14"/>
        <v>0.71345550000000002</v>
      </c>
      <c r="M83" s="570">
        <v>77118</v>
      </c>
      <c r="N83" s="570">
        <v>10305</v>
      </c>
      <c r="O83" s="570">
        <v>3947078</v>
      </c>
      <c r="P83" s="570">
        <v>4034501</v>
      </c>
      <c r="Q83" s="572">
        <v>6600000</v>
      </c>
      <c r="R83" s="571">
        <f t="shared" si="15"/>
        <v>0.61128803030303025</v>
      </c>
      <c r="S83" s="570">
        <v>6600000</v>
      </c>
      <c r="T83" s="571">
        <f t="shared" si="16"/>
        <v>0.61128803030303025</v>
      </c>
      <c r="U83" s="575"/>
      <c r="V83" s="575"/>
      <c r="W83" s="576"/>
    </row>
    <row r="84" spans="1:23">
      <c r="A84" s="450">
        <v>10</v>
      </c>
      <c r="B84" s="574" t="s">
        <v>108</v>
      </c>
      <c r="C84" s="465" t="s">
        <v>4</v>
      </c>
      <c r="D84" s="569" t="s">
        <v>15</v>
      </c>
      <c r="E84" s="570">
        <v>147464</v>
      </c>
      <c r="F84" s="570">
        <v>21671</v>
      </c>
      <c r="G84" s="570">
        <v>3057401</v>
      </c>
      <c r="H84" s="570">
        <v>3226536</v>
      </c>
      <c r="I84" s="570">
        <v>3300000</v>
      </c>
      <c r="J84" s="571">
        <f t="shared" si="13"/>
        <v>0.97773818181818184</v>
      </c>
      <c r="K84" s="570">
        <v>4000000</v>
      </c>
      <c r="L84" s="571">
        <f t="shared" si="14"/>
        <v>0.80663399999999996</v>
      </c>
      <c r="M84" s="570">
        <v>82690</v>
      </c>
      <c r="N84" s="570">
        <v>11065</v>
      </c>
      <c r="O84" s="570">
        <v>4494306</v>
      </c>
      <c r="P84" s="570">
        <v>4588061</v>
      </c>
      <c r="Q84" s="572">
        <v>6600000</v>
      </c>
      <c r="R84" s="571">
        <f t="shared" si="15"/>
        <v>0.69516075757575757</v>
      </c>
      <c r="S84" s="570">
        <v>6600000</v>
      </c>
      <c r="T84" s="571">
        <f t="shared" si="16"/>
        <v>0.69516075757575757</v>
      </c>
      <c r="U84" s="575"/>
      <c r="V84" s="575"/>
      <c r="W84" s="576"/>
    </row>
    <row r="85" spans="1:23">
      <c r="A85" s="450">
        <v>11</v>
      </c>
      <c r="B85" s="574" t="s">
        <v>345</v>
      </c>
      <c r="C85" s="465" t="s">
        <v>4</v>
      </c>
      <c r="D85" s="569" t="s">
        <v>15</v>
      </c>
      <c r="E85" s="570">
        <v>31045</v>
      </c>
      <c r="F85" s="570">
        <v>0</v>
      </c>
      <c r="G85" s="570">
        <v>603677</v>
      </c>
      <c r="H85" s="570">
        <v>634722</v>
      </c>
      <c r="I85" s="570">
        <v>2000000</v>
      </c>
      <c r="J85" s="571">
        <f t="shared" si="13"/>
        <v>0.317361</v>
      </c>
      <c r="K85" s="570">
        <v>2400000</v>
      </c>
      <c r="L85" s="571">
        <f t="shared" si="14"/>
        <v>0.26446750000000002</v>
      </c>
      <c r="M85" s="570">
        <v>16273</v>
      </c>
      <c r="N85" s="570">
        <v>0</v>
      </c>
      <c r="O85" s="570">
        <v>847414</v>
      </c>
      <c r="P85" s="570">
        <v>863687</v>
      </c>
      <c r="Q85" s="570">
        <v>2000000</v>
      </c>
      <c r="R85" s="571">
        <f t="shared" si="15"/>
        <v>0.43184349999999999</v>
      </c>
      <c r="S85" s="570">
        <v>2400000</v>
      </c>
      <c r="T85" s="571">
        <f t="shared" si="16"/>
        <v>0.35986958333333335</v>
      </c>
      <c r="U85" s="575"/>
      <c r="V85" s="575"/>
      <c r="W85" s="576"/>
    </row>
    <row r="86" spans="1:23">
      <c r="A86" s="450">
        <v>12</v>
      </c>
      <c r="B86" s="574" t="s">
        <v>346</v>
      </c>
      <c r="C86" s="465" t="s">
        <v>4</v>
      </c>
      <c r="D86" s="569" t="s">
        <v>15</v>
      </c>
      <c r="E86" s="570">
        <v>30342</v>
      </c>
      <c r="F86" s="570">
        <v>0</v>
      </c>
      <c r="G86" s="570">
        <v>463092</v>
      </c>
      <c r="H86" s="570">
        <v>493434</v>
      </c>
      <c r="I86" s="570">
        <v>2000000</v>
      </c>
      <c r="J86" s="571">
        <f t="shared" si="13"/>
        <v>0.24671699999999999</v>
      </c>
      <c r="K86" s="570">
        <v>2400000</v>
      </c>
      <c r="L86" s="571">
        <f t="shared" si="14"/>
        <v>0.20559749999999999</v>
      </c>
      <c r="M86" s="570">
        <v>15669</v>
      </c>
      <c r="N86" s="570">
        <v>0</v>
      </c>
      <c r="O86" s="570">
        <v>656450</v>
      </c>
      <c r="P86" s="570">
        <v>672119</v>
      </c>
      <c r="Q86" s="570">
        <v>2000000</v>
      </c>
      <c r="R86" s="571">
        <f t="shared" si="15"/>
        <v>0.33605950000000001</v>
      </c>
      <c r="S86" s="570">
        <v>2400000</v>
      </c>
      <c r="T86" s="571">
        <f t="shared" si="16"/>
        <v>0.28004958333333335</v>
      </c>
      <c r="U86" s="575"/>
      <c r="V86" s="575"/>
      <c r="W86" s="576"/>
    </row>
    <row r="87" spans="1:23">
      <c r="A87" s="450">
        <v>13</v>
      </c>
      <c r="B87" s="574" t="s">
        <v>689</v>
      </c>
      <c r="C87" s="465" t="s">
        <v>4</v>
      </c>
      <c r="D87" s="569" t="s">
        <v>15</v>
      </c>
      <c r="E87" s="570">
        <v>1741</v>
      </c>
      <c r="F87" s="570">
        <v>0</v>
      </c>
      <c r="G87" s="570">
        <v>36950</v>
      </c>
      <c r="H87" s="570">
        <v>38691</v>
      </c>
      <c r="I87" s="570">
        <v>2000000</v>
      </c>
      <c r="J87" s="571">
        <f t="shared" si="13"/>
        <v>1.9345500000000002E-2</v>
      </c>
      <c r="K87" s="570">
        <v>2400000</v>
      </c>
      <c r="L87" s="571">
        <f t="shared" si="14"/>
        <v>1.612125E-2</v>
      </c>
      <c r="M87" s="570">
        <v>883</v>
      </c>
      <c r="N87" s="570">
        <v>0</v>
      </c>
      <c r="O87" s="570">
        <v>50170</v>
      </c>
      <c r="P87" s="570">
        <v>51053</v>
      </c>
      <c r="Q87" s="570">
        <v>4000000</v>
      </c>
      <c r="R87" s="571">
        <f t="shared" si="15"/>
        <v>1.276325E-2</v>
      </c>
      <c r="S87" s="570">
        <v>4800000</v>
      </c>
      <c r="T87" s="571">
        <f t="shared" si="16"/>
        <v>1.0636041666666667E-2</v>
      </c>
      <c r="U87" s="575"/>
      <c r="V87" s="575"/>
      <c r="W87" s="576"/>
    </row>
    <row r="88" spans="1:23">
      <c r="A88" s="450">
        <v>14</v>
      </c>
      <c r="B88" s="574" t="s">
        <v>690</v>
      </c>
      <c r="C88" s="465" t="s">
        <v>4</v>
      </c>
      <c r="D88" s="569" t="s">
        <v>15</v>
      </c>
      <c r="E88" s="570">
        <v>1547</v>
      </c>
      <c r="F88" s="570">
        <v>0</v>
      </c>
      <c r="G88" s="570">
        <v>33529</v>
      </c>
      <c r="H88" s="570">
        <v>35076</v>
      </c>
      <c r="I88" s="570">
        <v>2000000</v>
      </c>
      <c r="J88" s="571">
        <f t="shared" si="13"/>
        <v>1.7538000000000002E-2</v>
      </c>
      <c r="K88" s="570">
        <v>2400000</v>
      </c>
      <c r="L88" s="571">
        <f t="shared" si="14"/>
        <v>1.4615E-2</v>
      </c>
      <c r="M88" s="570">
        <v>787</v>
      </c>
      <c r="N88" s="570">
        <v>0</v>
      </c>
      <c r="O88" s="570">
        <v>45160</v>
      </c>
      <c r="P88" s="570">
        <v>45947</v>
      </c>
      <c r="Q88" s="570">
        <v>4000000</v>
      </c>
      <c r="R88" s="571">
        <f t="shared" si="15"/>
        <v>1.148675E-2</v>
      </c>
      <c r="S88" s="570">
        <v>4800000</v>
      </c>
      <c r="T88" s="571">
        <f t="shared" si="16"/>
        <v>9.5722916666666664E-3</v>
      </c>
      <c r="U88" s="575"/>
      <c r="V88" s="575"/>
      <c r="W88" s="576"/>
    </row>
    <row r="89" spans="1:23">
      <c r="A89" s="450">
        <v>15</v>
      </c>
      <c r="B89" s="574" t="s">
        <v>691</v>
      </c>
      <c r="C89" s="465" t="s">
        <v>4</v>
      </c>
      <c r="D89" s="569" t="s">
        <v>15</v>
      </c>
      <c r="E89" s="570">
        <v>1603</v>
      </c>
      <c r="F89" s="570">
        <v>0</v>
      </c>
      <c r="G89" s="570">
        <v>33773</v>
      </c>
      <c r="H89" s="570">
        <v>35376</v>
      </c>
      <c r="I89" s="570">
        <v>2000000</v>
      </c>
      <c r="J89" s="571">
        <f t="shared" si="13"/>
        <v>1.7687999999999999E-2</v>
      </c>
      <c r="K89" s="570">
        <v>2400000</v>
      </c>
      <c r="L89" s="571">
        <f t="shared" si="14"/>
        <v>1.474E-2</v>
      </c>
      <c r="M89" s="570">
        <v>795</v>
      </c>
      <c r="N89" s="570">
        <v>0</v>
      </c>
      <c r="O89" s="570">
        <v>45465</v>
      </c>
      <c r="P89" s="570">
        <v>46260</v>
      </c>
      <c r="Q89" s="570">
        <v>4000000</v>
      </c>
      <c r="R89" s="571">
        <f t="shared" si="15"/>
        <v>1.1565000000000001E-2</v>
      </c>
      <c r="S89" s="570">
        <v>4800000</v>
      </c>
      <c r="T89" s="571">
        <f t="shared" si="16"/>
        <v>9.6375000000000002E-3</v>
      </c>
      <c r="U89" s="575"/>
      <c r="V89" s="575"/>
      <c r="W89" s="576"/>
    </row>
    <row r="90" spans="1:23">
      <c r="A90" s="450">
        <v>16</v>
      </c>
      <c r="B90" s="574" t="s">
        <v>351</v>
      </c>
      <c r="C90" s="465" t="s">
        <v>249</v>
      </c>
      <c r="D90" s="569" t="s">
        <v>15</v>
      </c>
      <c r="E90" s="570">
        <v>0</v>
      </c>
      <c r="F90" s="570">
        <v>0</v>
      </c>
      <c r="G90" s="570">
        <v>581641</v>
      </c>
      <c r="H90" s="570">
        <v>581641</v>
      </c>
      <c r="I90" s="570">
        <v>1000000</v>
      </c>
      <c r="J90" s="571">
        <f t="shared" si="13"/>
        <v>0.58164099999999996</v>
      </c>
      <c r="K90" s="570">
        <v>1000000</v>
      </c>
      <c r="L90" s="571">
        <f t="shared" si="14"/>
        <v>0.58164099999999996</v>
      </c>
      <c r="M90" s="570">
        <v>0</v>
      </c>
      <c r="N90" s="570">
        <v>0</v>
      </c>
      <c r="O90" s="570">
        <v>727924</v>
      </c>
      <c r="P90" s="570">
        <v>727924</v>
      </c>
      <c r="Q90" s="572">
        <v>1000000</v>
      </c>
      <c r="R90" s="571">
        <f t="shared" si="15"/>
        <v>0.72792400000000002</v>
      </c>
      <c r="S90" s="570">
        <v>1000000</v>
      </c>
      <c r="T90" s="571">
        <f t="shared" si="16"/>
        <v>0.72792400000000002</v>
      </c>
      <c r="U90" s="575"/>
      <c r="V90" s="575"/>
    </row>
    <row r="91" spans="1:23">
      <c r="A91" s="450">
        <v>17</v>
      </c>
      <c r="B91" s="574" t="s">
        <v>352</v>
      </c>
      <c r="C91" s="465" t="s">
        <v>249</v>
      </c>
      <c r="D91" s="569" t="s">
        <v>15</v>
      </c>
      <c r="E91" s="570">
        <v>0</v>
      </c>
      <c r="F91" s="570">
        <v>0</v>
      </c>
      <c r="G91" s="570">
        <v>254721</v>
      </c>
      <c r="H91" s="570">
        <v>254721</v>
      </c>
      <c r="I91" s="570">
        <v>1000000</v>
      </c>
      <c r="J91" s="571">
        <f t="shared" si="13"/>
        <v>0.25472099999999998</v>
      </c>
      <c r="K91" s="570">
        <v>1000000</v>
      </c>
      <c r="L91" s="571">
        <f t="shared" si="14"/>
        <v>0.25472099999999998</v>
      </c>
      <c r="M91" s="570">
        <v>0</v>
      </c>
      <c r="N91" s="570">
        <v>0</v>
      </c>
      <c r="O91" s="570">
        <v>439741</v>
      </c>
      <c r="P91" s="570">
        <v>439741</v>
      </c>
      <c r="Q91" s="572">
        <v>1000000</v>
      </c>
      <c r="R91" s="571">
        <f t="shared" si="15"/>
        <v>0.43974099999999999</v>
      </c>
      <c r="S91" s="570">
        <v>1000000</v>
      </c>
      <c r="T91" s="571">
        <f t="shared" si="16"/>
        <v>0.43974099999999999</v>
      </c>
      <c r="U91" s="575"/>
      <c r="V91" s="575"/>
    </row>
    <row r="92" spans="1:23" ht="12.75" customHeight="1">
      <c r="A92" s="450">
        <v>18</v>
      </c>
      <c r="B92" s="574" t="s">
        <v>353</v>
      </c>
      <c r="C92" s="465" t="s">
        <v>249</v>
      </c>
      <c r="D92" s="569" t="s">
        <v>15</v>
      </c>
      <c r="E92" s="570">
        <v>0</v>
      </c>
      <c r="F92" s="570">
        <v>0</v>
      </c>
      <c r="G92" s="570">
        <v>454319</v>
      </c>
      <c r="H92" s="570">
        <v>454319</v>
      </c>
      <c r="I92" s="570">
        <v>1000000</v>
      </c>
      <c r="J92" s="571">
        <f t="shared" si="13"/>
        <v>0.45431899999999997</v>
      </c>
      <c r="K92" s="570">
        <v>1000000</v>
      </c>
      <c r="L92" s="571">
        <f t="shared" si="14"/>
        <v>0.45431899999999997</v>
      </c>
      <c r="M92" s="570">
        <v>0</v>
      </c>
      <c r="N92" s="570">
        <v>0</v>
      </c>
      <c r="O92" s="570">
        <v>745811</v>
      </c>
      <c r="P92" s="570">
        <v>745811</v>
      </c>
      <c r="Q92" s="572">
        <v>1000000</v>
      </c>
      <c r="R92" s="571">
        <f t="shared" si="15"/>
        <v>0.745811</v>
      </c>
      <c r="S92" s="570">
        <v>1000000</v>
      </c>
      <c r="T92" s="571">
        <f t="shared" si="16"/>
        <v>0.745811</v>
      </c>
      <c r="U92" s="575"/>
      <c r="V92" s="575"/>
      <c r="W92" s="577"/>
    </row>
    <row r="93" spans="1:23">
      <c r="A93" s="450">
        <v>19</v>
      </c>
      <c r="B93" s="578" t="s">
        <v>24</v>
      </c>
      <c r="C93" s="579" t="s">
        <v>4</v>
      </c>
      <c r="D93" s="569" t="s">
        <v>25</v>
      </c>
      <c r="E93" s="570">
        <v>96094</v>
      </c>
      <c r="F93" s="570">
        <v>6652</v>
      </c>
      <c r="G93" s="570">
        <v>2288300</v>
      </c>
      <c r="H93" s="570">
        <v>2391046</v>
      </c>
      <c r="I93" s="570">
        <v>2300000</v>
      </c>
      <c r="J93" s="571">
        <f t="shared" si="13"/>
        <v>1.0395852173913043</v>
      </c>
      <c r="K93" s="570">
        <v>2600000</v>
      </c>
      <c r="L93" s="571">
        <f t="shared" si="14"/>
        <v>0.91963307692307694</v>
      </c>
      <c r="M93" s="570">
        <v>49079</v>
      </c>
      <c r="N93" s="570">
        <v>3714</v>
      </c>
      <c r="O93" s="570">
        <v>3031741</v>
      </c>
      <c r="P93" s="570">
        <v>3084534</v>
      </c>
      <c r="Q93" s="572">
        <v>2200000</v>
      </c>
      <c r="R93" s="571">
        <f t="shared" si="15"/>
        <v>1.4020609090909091</v>
      </c>
      <c r="S93" s="570">
        <v>4600000</v>
      </c>
      <c r="T93" s="571">
        <f t="shared" si="16"/>
        <v>0.67055086956521737</v>
      </c>
      <c r="U93" s="580">
        <f>SUM($H$93:$H$95)/(SUM($K$93:$K$95)-$K$95)</f>
        <v>1.3936542307692308</v>
      </c>
      <c r="V93" s="580">
        <f>SUM($P$93:$P$95)/(SUM($S$93:$S$95)-$S$95)</f>
        <v>1.0103765217391305</v>
      </c>
      <c r="W93" s="1108" t="s">
        <v>692</v>
      </c>
    </row>
    <row r="94" spans="1:23">
      <c r="A94" s="450">
        <v>20</v>
      </c>
      <c r="B94" s="578" t="s">
        <v>26</v>
      </c>
      <c r="C94" s="579" t="s">
        <v>4</v>
      </c>
      <c r="D94" s="569" t="s">
        <v>25</v>
      </c>
      <c r="E94" s="570">
        <v>99871</v>
      </c>
      <c r="F94" s="570">
        <v>6886</v>
      </c>
      <c r="G94" s="570">
        <v>2290958</v>
      </c>
      <c r="H94" s="570">
        <v>2397715</v>
      </c>
      <c r="I94" s="570">
        <v>2300000</v>
      </c>
      <c r="J94" s="571">
        <f t="shared" si="13"/>
        <v>1.0424847826086956</v>
      </c>
      <c r="K94" s="570">
        <v>2600000</v>
      </c>
      <c r="L94" s="571">
        <f t="shared" si="14"/>
        <v>0.92219807692307687</v>
      </c>
      <c r="M94" s="570">
        <v>46691</v>
      </c>
      <c r="N94" s="570">
        <v>3354</v>
      </c>
      <c r="O94" s="570">
        <v>3011220</v>
      </c>
      <c r="P94" s="570">
        <v>3061265</v>
      </c>
      <c r="Q94" s="572">
        <v>2200000</v>
      </c>
      <c r="R94" s="571">
        <f t="shared" si="15"/>
        <v>1.3914840909090909</v>
      </c>
      <c r="S94" s="570">
        <v>4600000</v>
      </c>
      <c r="T94" s="571">
        <f t="shared" si="16"/>
        <v>0.66549239130434779</v>
      </c>
      <c r="U94" s="580">
        <f>SUM($H$93:$H$95)/(SUM($K$93:$K$95)-$K$95)</f>
        <v>1.3936542307692308</v>
      </c>
      <c r="V94" s="580">
        <f>SUM($P$93:$P$95)/(SUM($S$93:$S$95)-$S$95)</f>
        <v>1.0103765217391305</v>
      </c>
      <c r="W94" s="1108"/>
    </row>
    <row r="95" spans="1:23">
      <c r="A95" s="450">
        <v>21</v>
      </c>
      <c r="B95" s="578" t="s">
        <v>27</v>
      </c>
      <c r="C95" s="579" t="s">
        <v>4</v>
      </c>
      <c r="D95" s="569" t="s">
        <v>25</v>
      </c>
      <c r="E95" s="570">
        <v>95633</v>
      </c>
      <c r="F95" s="570">
        <v>6786</v>
      </c>
      <c r="G95" s="570">
        <v>2355822</v>
      </c>
      <c r="H95" s="570">
        <v>2458241</v>
      </c>
      <c r="I95" s="570">
        <v>2300000</v>
      </c>
      <c r="J95" s="571">
        <f t="shared" si="13"/>
        <v>1.0688004347826088</v>
      </c>
      <c r="K95" s="570">
        <v>2600000</v>
      </c>
      <c r="L95" s="571">
        <f t="shared" si="14"/>
        <v>0.94547730769230764</v>
      </c>
      <c r="M95" s="570">
        <v>45634</v>
      </c>
      <c r="N95" s="570">
        <v>3306</v>
      </c>
      <c r="O95" s="570">
        <v>3100725</v>
      </c>
      <c r="P95" s="570">
        <v>3149665</v>
      </c>
      <c r="Q95" s="572">
        <v>2300000</v>
      </c>
      <c r="R95" s="571">
        <f t="shared" si="15"/>
        <v>1.3694195652173913</v>
      </c>
      <c r="S95" s="570">
        <v>4600000</v>
      </c>
      <c r="T95" s="571">
        <f t="shared" si="16"/>
        <v>0.68470978260869564</v>
      </c>
      <c r="U95" s="580">
        <f>SUM($H$93:$H$95)/(SUM($K$93:$K$95)-$K$95)</f>
        <v>1.3936542307692308</v>
      </c>
      <c r="V95" s="580">
        <f>SUM($P$93:$P$95)/(SUM($S$93:$S$95)-$S$95)</f>
        <v>1.0103765217391305</v>
      </c>
      <c r="W95" s="1108"/>
    </row>
    <row r="96" spans="1:23" ht="12.75" customHeight="1">
      <c r="A96" s="450">
        <v>22</v>
      </c>
      <c r="B96" s="574" t="s">
        <v>105</v>
      </c>
      <c r="C96" s="465" t="s">
        <v>4</v>
      </c>
      <c r="D96" s="569" t="s">
        <v>25</v>
      </c>
      <c r="E96" s="570">
        <v>100420</v>
      </c>
      <c r="F96" s="570">
        <v>7204</v>
      </c>
      <c r="G96" s="570">
        <v>2678612</v>
      </c>
      <c r="H96" s="570">
        <v>2786236</v>
      </c>
      <c r="I96" s="570">
        <v>2300000</v>
      </c>
      <c r="J96" s="571">
        <f t="shared" si="13"/>
        <v>1.2114069565217391</v>
      </c>
      <c r="K96" s="570">
        <v>2600000</v>
      </c>
      <c r="L96" s="571">
        <f t="shared" si="14"/>
        <v>1.0716292307692308</v>
      </c>
      <c r="M96" s="570">
        <v>48196</v>
      </c>
      <c r="N96" s="570">
        <v>3688</v>
      </c>
      <c r="O96" s="570">
        <v>3565180</v>
      </c>
      <c r="P96" s="570">
        <v>3617064</v>
      </c>
      <c r="Q96" s="572">
        <v>4600000</v>
      </c>
      <c r="R96" s="571">
        <f t="shared" si="15"/>
        <v>0.78631826086956524</v>
      </c>
      <c r="S96" s="570">
        <v>4600000</v>
      </c>
      <c r="T96" s="571">
        <f t="shared" si="16"/>
        <v>0.78631826086956524</v>
      </c>
      <c r="U96" s="575"/>
      <c r="V96" s="575"/>
    </row>
    <row r="97" spans="1:23" ht="12.75" customHeight="1">
      <c r="A97" s="450">
        <v>23</v>
      </c>
      <c r="B97" s="574" t="s">
        <v>348</v>
      </c>
      <c r="C97" s="465" t="s">
        <v>249</v>
      </c>
      <c r="D97" s="569" t="s">
        <v>25</v>
      </c>
      <c r="E97" s="570">
        <v>0</v>
      </c>
      <c r="F97" s="570">
        <v>0</v>
      </c>
      <c r="G97" s="570">
        <v>5102</v>
      </c>
      <c r="H97" s="570">
        <v>5102</v>
      </c>
      <c r="I97" s="570">
        <v>1500000</v>
      </c>
      <c r="J97" s="571">
        <f t="shared" si="13"/>
        <v>3.4013333333333335E-3</v>
      </c>
      <c r="K97" s="570">
        <v>1500000</v>
      </c>
      <c r="L97" s="571">
        <f t="shared" si="14"/>
        <v>3.4013333333333335E-3</v>
      </c>
      <c r="M97" s="570">
        <v>0</v>
      </c>
      <c r="N97" s="570">
        <v>0</v>
      </c>
      <c r="O97" s="570">
        <v>6385</v>
      </c>
      <c r="P97" s="570">
        <v>6385</v>
      </c>
      <c r="Q97" s="572">
        <v>3000000</v>
      </c>
      <c r="R97" s="571">
        <f t="shared" si="15"/>
        <v>2.1283333333333332E-3</v>
      </c>
      <c r="S97" s="570">
        <v>3000000</v>
      </c>
      <c r="T97" s="571">
        <f t="shared" si="16"/>
        <v>2.1283333333333332E-3</v>
      </c>
      <c r="U97" s="575"/>
      <c r="V97" s="575"/>
    </row>
    <row r="98" spans="1:23" ht="12.75" customHeight="1">
      <c r="A98" s="450">
        <v>24</v>
      </c>
      <c r="B98" s="574" t="s">
        <v>349</v>
      </c>
      <c r="C98" s="465" t="s">
        <v>249</v>
      </c>
      <c r="D98" s="569" t="s">
        <v>25</v>
      </c>
      <c r="E98" s="570">
        <v>0</v>
      </c>
      <c r="F98" s="570">
        <v>0</v>
      </c>
      <c r="G98" s="570">
        <v>3365</v>
      </c>
      <c r="H98" s="570">
        <v>3365</v>
      </c>
      <c r="I98" s="570">
        <v>1500000</v>
      </c>
      <c r="J98" s="571">
        <f t="shared" si="13"/>
        <v>2.2433333333333333E-3</v>
      </c>
      <c r="K98" s="570">
        <v>1500000</v>
      </c>
      <c r="L98" s="571">
        <f t="shared" si="14"/>
        <v>2.2433333333333333E-3</v>
      </c>
      <c r="M98" s="570">
        <v>0</v>
      </c>
      <c r="N98" s="570">
        <v>0</v>
      </c>
      <c r="O98" s="570">
        <v>4211</v>
      </c>
      <c r="P98" s="570">
        <v>4211</v>
      </c>
      <c r="Q98" s="572">
        <v>3000000</v>
      </c>
      <c r="R98" s="571">
        <f t="shared" si="15"/>
        <v>1.4036666666666666E-3</v>
      </c>
      <c r="S98" s="570">
        <v>3000000</v>
      </c>
      <c r="T98" s="571">
        <f t="shared" si="16"/>
        <v>1.4036666666666666E-3</v>
      </c>
      <c r="U98" s="575"/>
      <c r="V98" s="575"/>
    </row>
    <row r="99" spans="1:23" ht="12.75" customHeight="1">
      <c r="A99" s="450">
        <v>25</v>
      </c>
      <c r="B99" s="574" t="s">
        <v>350</v>
      </c>
      <c r="C99" s="465" t="s">
        <v>249</v>
      </c>
      <c r="D99" s="569" t="s">
        <v>25</v>
      </c>
      <c r="E99" s="570">
        <v>0</v>
      </c>
      <c r="F99" s="570">
        <v>0</v>
      </c>
      <c r="G99" s="570">
        <v>3241</v>
      </c>
      <c r="H99" s="570">
        <v>3241</v>
      </c>
      <c r="I99" s="570">
        <v>1500000</v>
      </c>
      <c r="J99" s="571">
        <f t="shared" si="13"/>
        <v>2.1606666666666666E-3</v>
      </c>
      <c r="K99" s="570">
        <v>1500000</v>
      </c>
      <c r="L99" s="571">
        <f t="shared" si="14"/>
        <v>2.1606666666666666E-3</v>
      </c>
      <c r="M99" s="570">
        <v>0</v>
      </c>
      <c r="N99" s="570">
        <v>0</v>
      </c>
      <c r="O99" s="570">
        <v>4057</v>
      </c>
      <c r="P99" s="570">
        <v>4057</v>
      </c>
      <c r="Q99" s="572">
        <v>3000000</v>
      </c>
      <c r="R99" s="571">
        <f t="shared" si="15"/>
        <v>1.3523333333333334E-3</v>
      </c>
      <c r="S99" s="570">
        <v>3000000</v>
      </c>
      <c r="T99" s="571">
        <f t="shared" si="16"/>
        <v>1.3523333333333334E-3</v>
      </c>
      <c r="U99" s="575"/>
      <c r="V99" s="575"/>
    </row>
    <row r="100" spans="1:23" ht="15" customHeight="1">
      <c r="A100" s="450">
        <v>26</v>
      </c>
      <c r="B100" s="581" t="s">
        <v>29</v>
      </c>
      <c r="C100" s="465" t="s">
        <v>4</v>
      </c>
      <c r="D100" s="569" t="s">
        <v>30</v>
      </c>
      <c r="E100" s="570">
        <v>83442</v>
      </c>
      <c r="F100" s="570">
        <v>2223</v>
      </c>
      <c r="G100" s="570">
        <v>1388090</v>
      </c>
      <c r="H100" s="570">
        <v>1473755</v>
      </c>
      <c r="I100" s="570">
        <v>2500000</v>
      </c>
      <c r="J100" s="571">
        <f t="shared" si="13"/>
        <v>0.58950199999999997</v>
      </c>
      <c r="K100" s="570">
        <v>2500000</v>
      </c>
      <c r="L100" s="571">
        <f t="shared" si="14"/>
        <v>0.58950199999999997</v>
      </c>
      <c r="M100" s="570">
        <v>29069</v>
      </c>
      <c r="N100" s="570">
        <v>1115</v>
      </c>
      <c r="O100" s="570">
        <v>1923800</v>
      </c>
      <c r="P100" s="570">
        <v>1953984</v>
      </c>
      <c r="Q100" s="572">
        <v>2400000</v>
      </c>
      <c r="R100" s="571">
        <f t="shared" si="15"/>
        <v>0.81415999999999999</v>
      </c>
      <c r="S100" s="570">
        <v>5000000</v>
      </c>
      <c r="T100" s="571">
        <f t="shared" si="16"/>
        <v>0.3907968</v>
      </c>
      <c r="U100" s="582">
        <f t="shared" ref="U100:U105" si="19">SUM($H$100:$H$105)/(SUM($K$100:$K$105)-$K$102)</f>
        <v>0.82444176470588237</v>
      </c>
      <c r="V100" s="582">
        <f t="shared" ref="V100:V105" si="20">SUM($P$100:$P$105)/(SUM($S$100:$S$105)-$S$102)</f>
        <v>0.62281500000000001</v>
      </c>
      <c r="W100" s="1108" t="s">
        <v>693</v>
      </c>
    </row>
    <row r="101" spans="1:23">
      <c r="A101" s="450">
        <v>27</v>
      </c>
      <c r="B101" s="581" t="s">
        <v>31</v>
      </c>
      <c r="C101" s="465" t="s">
        <v>4</v>
      </c>
      <c r="D101" s="569" t="s">
        <v>30</v>
      </c>
      <c r="E101" s="570">
        <v>86112</v>
      </c>
      <c r="F101" s="570">
        <v>2525</v>
      </c>
      <c r="G101" s="570">
        <v>2092262</v>
      </c>
      <c r="H101" s="570">
        <v>2180899</v>
      </c>
      <c r="I101" s="570">
        <v>2500000</v>
      </c>
      <c r="J101" s="571">
        <f t="shared" si="13"/>
        <v>0.87235960000000001</v>
      </c>
      <c r="K101" s="570">
        <v>2500000</v>
      </c>
      <c r="L101" s="571">
        <f t="shared" si="14"/>
        <v>0.87235960000000001</v>
      </c>
      <c r="M101" s="570">
        <v>31277</v>
      </c>
      <c r="N101" s="570">
        <v>1334</v>
      </c>
      <c r="O101" s="570">
        <v>3007381</v>
      </c>
      <c r="P101" s="570">
        <v>3039992</v>
      </c>
      <c r="Q101" s="572">
        <v>2400000</v>
      </c>
      <c r="R101" s="571">
        <f t="shared" si="15"/>
        <v>1.2666633333333333</v>
      </c>
      <c r="S101" s="570">
        <v>5000000</v>
      </c>
      <c r="T101" s="571">
        <f t="shared" si="16"/>
        <v>0.60799840000000005</v>
      </c>
      <c r="U101" s="582">
        <f t="shared" si="19"/>
        <v>0.82444176470588237</v>
      </c>
      <c r="V101" s="582">
        <f t="shared" si="20"/>
        <v>0.62281500000000001</v>
      </c>
      <c r="W101" s="1108"/>
    </row>
    <row r="102" spans="1:23">
      <c r="A102" s="450">
        <v>28</v>
      </c>
      <c r="B102" s="581" t="s">
        <v>32</v>
      </c>
      <c r="C102" s="465" t="s">
        <v>4</v>
      </c>
      <c r="D102" s="569" t="s">
        <v>30</v>
      </c>
      <c r="E102" s="570">
        <v>50614</v>
      </c>
      <c r="F102" s="570">
        <v>2641</v>
      </c>
      <c r="G102" s="570">
        <v>1543538</v>
      </c>
      <c r="H102" s="570">
        <v>1596793</v>
      </c>
      <c r="I102" s="570">
        <v>3500000</v>
      </c>
      <c r="J102" s="571">
        <f t="shared" si="13"/>
        <v>0.45622657142857143</v>
      </c>
      <c r="K102" s="570">
        <v>4000000</v>
      </c>
      <c r="L102" s="571">
        <f t="shared" si="14"/>
        <v>0.39919824999999998</v>
      </c>
      <c r="M102" s="570">
        <v>25502</v>
      </c>
      <c r="N102" s="570">
        <v>1566</v>
      </c>
      <c r="O102" s="570">
        <v>2238135</v>
      </c>
      <c r="P102" s="570">
        <v>2265203</v>
      </c>
      <c r="Q102" s="572">
        <v>3300000</v>
      </c>
      <c r="R102" s="571">
        <f t="shared" si="15"/>
        <v>0.68642515151515149</v>
      </c>
      <c r="S102" s="570">
        <v>7000000</v>
      </c>
      <c r="T102" s="571">
        <f t="shared" si="16"/>
        <v>0.32360042857142857</v>
      </c>
      <c r="U102" s="582">
        <f t="shared" si="19"/>
        <v>0.82444176470588237</v>
      </c>
      <c r="V102" s="582">
        <f t="shared" si="20"/>
        <v>0.62281500000000001</v>
      </c>
      <c r="W102" s="1108"/>
    </row>
    <row r="103" spans="1:23">
      <c r="A103" s="450">
        <v>29</v>
      </c>
      <c r="B103" s="583" t="s">
        <v>33</v>
      </c>
      <c r="C103" s="465" t="s">
        <v>4</v>
      </c>
      <c r="D103" s="569" t="s">
        <v>30</v>
      </c>
      <c r="E103" s="570">
        <v>109912</v>
      </c>
      <c r="F103" s="570">
        <v>3515</v>
      </c>
      <c r="G103" s="570">
        <v>2853625</v>
      </c>
      <c r="H103" s="570">
        <v>2967052</v>
      </c>
      <c r="I103" s="570">
        <v>3500000</v>
      </c>
      <c r="J103" s="571">
        <f t="shared" si="13"/>
        <v>0.84772914285714285</v>
      </c>
      <c r="K103" s="570">
        <v>4000000</v>
      </c>
      <c r="L103" s="571">
        <f t="shared" si="14"/>
        <v>0.74176299999999995</v>
      </c>
      <c r="M103" s="570">
        <v>40902</v>
      </c>
      <c r="N103" s="570">
        <v>1902</v>
      </c>
      <c r="O103" s="570">
        <v>3926765</v>
      </c>
      <c r="P103" s="570">
        <v>3969569</v>
      </c>
      <c r="Q103" s="572">
        <v>3300000</v>
      </c>
      <c r="R103" s="571">
        <f t="shared" si="15"/>
        <v>1.202899696969697</v>
      </c>
      <c r="S103" s="570">
        <v>7000000</v>
      </c>
      <c r="T103" s="571">
        <f t="shared" si="16"/>
        <v>0.56708128571428573</v>
      </c>
      <c r="U103" s="582">
        <f t="shared" si="19"/>
        <v>0.82444176470588237</v>
      </c>
      <c r="V103" s="582">
        <f t="shared" si="20"/>
        <v>0.62281500000000001</v>
      </c>
      <c r="W103" s="1108"/>
    </row>
    <row r="104" spans="1:23">
      <c r="A104" s="450">
        <v>30</v>
      </c>
      <c r="B104" s="584" t="s">
        <v>34</v>
      </c>
      <c r="C104" s="465" t="s">
        <v>4</v>
      </c>
      <c r="D104" s="569" t="s">
        <v>30</v>
      </c>
      <c r="E104" s="572">
        <v>94848</v>
      </c>
      <c r="F104" s="572">
        <v>3103</v>
      </c>
      <c r="G104" s="572">
        <v>2824648</v>
      </c>
      <c r="H104" s="572">
        <v>2922599</v>
      </c>
      <c r="I104" s="572">
        <v>3400000</v>
      </c>
      <c r="J104" s="571">
        <f t="shared" si="13"/>
        <v>0.85958794117647064</v>
      </c>
      <c r="K104" s="572">
        <v>4000000</v>
      </c>
      <c r="L104" s="571">
        <f t="shared" si="14"/>
        <v>0.73064974999999999</v>
      </c>
      <c r="M104" s="572">
        <v>36115</v>
      </c>
      <c r="N104" s="572">
        <v>1745</v>
      </c>
      <c r="O104" s="572">
        <v>3891435</v>
      </c>
      <c r="P104" s="572">
        <v>3929295</v>
      </c>
      <c r="Q104" s="572">
        <v>3400000</v>
      </c>
      <c r="R104" s="571">
        <f t="shared" si="15"/>
        <v>1.155675</v>
      </c>
      <c r="S104" s="572">
        <v>6800000</v>
      </c>
      <c r="T104" s="571">
        <f t="shared" si="16"/>
        <v>0.5778375</v>
      </c>
      <c r="U104" s="582">
        <f t="shared" si="19"/>
        <v>0.82444176470588237</v>
      </c>
      <c r="V104" s="582">
        <f t="shared" si="20"/>
        <v>0.62281500000000001</v>
      </c>
      <c r="W104" s="1108"/>
    </row>
    <row r="105" spans="1:23">
      <c r="A105" s="450">
        <v>31</v>
      </c>
      <c r="B105" s="584" t="s">
        <v>35</v>
      </c>
      <c r="C105" s="465" t="s">
        <v>4</v>
      </c>
      <c r="D105" s="569" t="s">
        <v>30</v>
      </c>
      <c r="E105" s="572">
        <v>89717</v>
      </c>
      <c r="F105" s="572">
        <v>2941</v>
      </c>
      <c r="G105" s="572">
        <v>2781754</v>
      </c>
      <c r="H105" s="572">
        <v>2874412</v>
      </c>
      <c r="I105" s="572">
        <v>3400000</v>
      </c>
      <c r="J105" s="571">
        <f t="shared" si="13"/>
        <v>0.84541529411764704</v>
      </c>
      <c r="K105" s="572">
        <v>4000000</v>
      </c>
      <c r="L105" s="571">
        <f t="shared" si="14"/>
        <v>0.71860299999999999</v>
      </c>
      <c r="M105" s="572">
        <v>34674</v>
      </c>
      <c r="N105" s="572">
        <v>1749</v>
      </c>
      <c r="O105" s="572">
        <v>3863673</v>
      </c>
      <c r="P105" s="572">
        <v>3900096</v>
      </c>
      <c r="Q105" s="572">
        <v>6800000</v>
      </c>
      <c r="R105" s="571">
        <f t="shared" si="15"/>
        <v>0.57354352941176467</v>
      </c>
      <c r="S105" s="572">
        <v>6800000</v>
      </c>
      <c r="T105" s="571">
        <f t="shared" si="16"/>
        <v>0.57354352941176467</v>
      </c>
      <c r="U105" s="582">
        <f t="shared" si="19"/>
        <v>0.82444176470588237</v>
      </c>
      <c r="V105" s="582">
        <f t="shared" si="20"/>
        <v>0.62281500000000001</v>
      </c>
      <c r="W105" s="1108"/>
    </row>
    <row r="106" spans="1:23">
      <c r="A106" s="450">
        <v>32</v>
      </c>
      <c r="B106" s="585" t="s">
        <v>131</v>
      </c>
      <c r="C106" s="465" t="s">
        <v>4</v>
      </c>
      <c r="D106" s="569" t="s">
        <v>30</v>
      </c>
      <c r="E106" s="572">
        <v>100355</v>
      </c>
      <c r="F106" s="572">
        <v>3389</v>
      </c>
      <c r="G106" s="572">
        <v>2864520</v>
      </c>
      <c r="H106" s="572">
        <v>2968264</v>
      </c>
      <c r="I106" s="572">
        <v>3400000</v>
      </c>
      <c r="J106" s="571">
        <f t="shared" si="13"/>
        <v>0.87301882352941174</v>
      </c>
      <c r="K106" s="572">
        <v>4000000</v>
      </c>
      <c r="L106" s="571">
        <f t="shared" si="14"/>
        <v>0.742066</v>
      </c>
      <c r="M106" s="572">
        <v>38411</v>
      </c>
      <c r="N106" s="572">
        <v>1883</v>
      </c>
      <c r="O106" s="572">
        <v>3971514</v>
      </c>
      <c r="P106" s="572">
        <v>4011808</v>
      </c>
      <c r="Q106" s="572">
        <v>6800000</v>
      </c>
      <c r="R106" s="571">
        <f t="shared" si="15"/>
        <v>0.58997176470588231</v>
      </c>
      <c r="S106" s="572">
        <v>6800000</v>
      </c>
      <c r="T106" s="571">
        <f t="shared" si="16"/>
        <v>0.58997176470588231</v>
      </c>
      <c r="U106" s="575"/>
      <c r="V106" s="575"/>
      <c r="W106" s="576"/>
    </row>
    <row r="107" spans="1:23">
      <c r="A107" s="450">
        <v>33</v>
      </c>
      <c r="B107" s="585" t="s">
        <v>132</v>
      </c>
      <c r="C107" s="465" t="s">
        <v>4</v>
      </c>
      <c r="D107" s="569" t="s">
        <v>30</v>
      </c>
      <c r="E107" s="572">
        <v>100535</v>
      </c>
      <c r="F107" s="572">
        <v>3458</v>
      </c>
      <c r="G107" s="572">
        <v>2899040</v>
      </c>
      <c r="H107" s="572">
        <v>3003033</v>
      </c>
      <c r="I107" s="572">
        <v>3400000</v>
      </c>
      <c r="J107" s="571">
        <f t="shared" si="13"/>
        <v>0.88324499999999995</v>
      </c>
      <c r="K107" s="572">
        <v>4000000</v>
      </c>
      <c r="L107" s="571">
        <f t="shared" si="14"/>
        <v>0.75075824999999996</v>
      </c>
      <c r="M107" s="572">
        <v>38185</v>
      </c>
      <c r="N107" s="572">
        <v>1903</v>
      </c>
      <c r="O107" s="572">
        <v>4015966</v>
      </c>
      <c r="P107" s="572">
        <v>4056054</v>
      </c>
      <c r="Q107" s="572">
        <v>6800000</v>
      </c>
      <c r="R107" s="571">
        <f t="shared" si="15"/>
        <v>0.59647852941176471</v>
      </c>
      <c r="S107" s="572">
        <v>6800000</v>
      </c>
      <c r="T107" s="571">
        <f t="shared" si="16"/>
        <v>0.59647852941176471</v>
      </c>
      <c r="U107" s="575"/>
      <c r="V107" s="575"/>
      <c r="W107" s="576"/>
    </row>
    <row r="108" spans="1:23">
      <c r="A108" s="450">
        <v>34</v>
      </c>
      <c r="B108" s="585" t="s">
        <v>336</v>
      </c>
      <c r="C108" s="465" t="s">
        <v>4</v>
      </c>
      <c r="D108" s="569" t="s">
        <v>30</v>
      </c>
      <c r="E108" s="572">
        <v>3194</v>
      </c>
      <c r="F108" s="572">
        <v>0</v>
      </c>
      <c r="G108" s="572">
        <v>176846</v>
      </c>
      <c r="H108" s="572">
        <v>180040</v>
      </c>
      <c r="I108" s="570">
        <v>1000000</v>
      </c>
      <c r="J108" s="571">
        <f t="shared" si="13"/>
        <v>0.18004000000000001</v>
      </c>
      <c r="K108" s="570">
        <v>1200000</v>
      </c>
      <c r="L108" s="571">
        <f t="shared" si="14"/>
        <v>0.15003333333333332</v>
      </c>
      <c r="M108" s="572">
        <v>1809</v>
      </c>
      <c r="N108" s="572">
        <v>0</v>
      </c>
      <c r="O108" s="572">
        <v>246147</v>
      </c>
      <c r="P108" s="572">
        <v>247956</v>
      </c>
      <c r="Q108" s="570">
        <v>1000000</v>
      </c>
      <c r="R108" s="571">
        <f t="shared" si="15"/>
        <v>0.24795600000000001</v>
      </c>
      <c r="S108" s="570">
        <v>1200000</v>
      </c>
      <c r="T108" s="571">
        <f t="shared" si="16"/>
        <v>0.20663000000000001</v>
      </c>
      <c r="U108" s="586"/>
      <c r="V108" s="586"/>
      <c r="W108" s="576"/>
    </row>
    <row r="109" spans="1:23">
      <c r="A109" s="450">
        <v>35</v>
      </c>
      <c r="B109" s="574" t="s">
        <v>580</v>
      </c>
      <c r="C109" s="465" t="s">
        <v>249</v>
      </c>
      <c r="D109" s="569" t="s">
        <v>30</v>
      </c>
      <c r="E109" s="572">
        <v>0</v>
      </c>
      <c r="F109" s="572">
        <v>0</v>
      </c>
      <c r="G109" s="572">
        <v>47104</v>
      </c>
      <c r="H109" s="572">
        <v>47104</v>
      </c>
      <c r="I109" s="570">
        <v>1500000</v>
      </c>
      <c r="J109" s="571">
        <f t="shared" si="13"/>
        <v>3.1402666666666669E-2</v>
      </c>
      <c r="K109" s="570">
        <v>1500000</v>
      </c>
      <c r="L109" s="571">
        <f t="shared" si="14"/>
        <v>3.1402666666666669E-2</v>
      </c>
      <c r="M109" s="572">
        <v>0</v>
      </c>
      <c r="N109" s="572">
        <v>0</v>
      </c>
      <c r="O109" s="572">
        <v>58951</v>
      </c>
      <c r="P109" s="572">
        <v>58951</v>
      </c>
      <c r="Q109" s="570">
        <v>3000000</v>
      </c>
      <c r="R109" s="571">
        <f t="shared" si="15"/>
        <v>1.9650333333333332E-2</v>
      </c>
      <c r="S109" s="570">
        <v>3000000</v>
      </c>
      <c r="T109" s="571">
        <f t="shared" si="16"/>
        <v>1.9650333333333332E-2</v>
      </c>
      <c r="U109" s="586"/>
      <c r="V109" s="586"/>
      <c r="W109" s="576"/>
    </row>
    <row r="110" spans="1:23">
      <c r="A110" s="450">
        <v>36</v>
      </c>
      <c r="B110" s="574" t="s">
        <v>581</v>
      </c>
      <c r="C110" s="465" t="s">
        <v>249</v>
      </c>
      <c r="D110" s="569" t="s">
        <v>30</v>
      </c>
      <c r="E110" s="572">
        <v>0</v>
      </c>
      <c r="F110" s="572">
        <v>0</v>
      </c>
      <c r="G110" s="572">
        <v>47453</v>
      </c>
      <c r="H110" s="572">
        <v>47453</v>
      </c>
      <c r="I110" s="570">
        <v>1500000</v>
      </c>
      <c r="J110" s="571">
        <f t="shared" si="13"/>
        <v>3.1635333333333335E-2</v>
      </c>
      <c r="K110" s="570">
        <v>1500000</v>
      </c>
      <c r="L110" s="571">
        <f t="shared" si="14"/>
        <v>3.1635333333333335E-2</v>
      </c>
      <c r="M110" s="572">
        <v>0</v>
      </c>
      <c r="N110" s="572">
        <v>0</v>
      </c>
      <c r="O110" s="572">
        <v>59388</v>
      </c>
      <c r="P110" s="572">
        <v>59388</v>
      </c>
      <c r="Q110" s="570">
        <v>3000000</v>
      </c>
      <c r="R110" s="571">
        <f t="shared" si="15"/>
        <v>1.9796000000000001E-2</v>
      </c>
      <c r="S110" s="570">
        <v>3000000</v>
      </c>
      <c r="T110" s="571">
        <f t="shared" si="16"/>
        <v>1.9796000000000001E-2</v>
      </c>
      <c r="U110" s="586"/>
      <c r="V110" s="586"/>
      <c r="W110" s="576"/>
    </row>
    <row r="111" spans="1:23">
      <c r="A111" s="450">
        <v>37</v>
      </c>
      <c r="B111" s="574" t="s">
        <v>582</v>
      </c>
      <c r="C111" s="465" t="s">
        <v>249</v>
      </c>
      <c r="D111" s="569" t="s">
        <v>30</v>
      </c>
      <c r="E111" s="572">
        <v>0</v>
      </c>
      <c r="F111" s="572">
        <v>0</v>
      </c>
      <c r="G111" s="572">
        <v>46954</v>
      </c>
      <c r="H111" s="572">
        <v>46954</v>
      </c>
      <c r="I111" s="570">
        <v>1500000</v>
      </c>
      <c r="J111" s="571">
        <f t="shared" si="13"/>
        <v>3.1302666666666666E-2</v>
      </c>
      <c r="K111" s="570">
        <v>1500000</v>
      </c>
      <c r="L111" s="571">
        <f t="shared" si="14"/>
        <v>3.1302666666666666E-2</v>
      </c>
      <c r="M111" s="572">
        <v>0</v>
      </c>
      <c r="N111" s="572">
        <v>0</v>
      </c>
      <c r="O111" s="572">
        <v>58763</v>
      </c>
      <c r="P111" s="572">
        <v>58763</v>
      </c>
      <c r="Q111" s="570">
        <v>3000000</v>
      </c>
      <c r="R111" s="571">
        <f t="shared" si="15"/>
        <v>1.9587666666666666E-2</v>
      </c>
      <c r="S111" s="570">
        <v>3000000</v>
      </c>
      <c r="T111" s="571">
        <f t="shared" si="16"/>
        <v>1.9587666666666666E-2</v>
      </c>
      <c r="U111" s="586"/>
      <c r="V111" s="586"/>
      <c r="W111" s="576"/>
    </row>
    <row r="112" spans="1:23">
      <c r="A112" s="450">
        <v>38</v>
      </c>
      <c r="B112" s="574" t="s">
        <v>583</v>
      </c>
      <c r="C112" s="465" t="s">
        <v>249</v>
      </c>
      <c r="D112" s="569" t="s">
        <v>30</v>
      </c>
      <c r="E112" s="572">
        <v>0</v>
      </c>
      <c r="F112" s="572">
        <v>0</v>
      </c>
      <c r="G112" s="572">
        <v>47692</v>
      </c>
      <c r="H112" s="572">
        <v>47692</v>
      </c>
      <c r="I112" s="570">
        <v>1500000</v>
      </c>
      <c r="J112" s="571">
        <f t="shared" si="13"/>
        <v>3.1794666666666666E-2</v>
      </c>
      <c r="K112" s="570">
        <v>1500000</v>
      </c>
      <c r="L112" s="571">
        <f t="shared" si="14"/>
        <v>3.1794666666666666E-2</v>
      </c>
      <c r="M112" s="572">
        <v>0</v>
      </c>
      <c r="N112" s="572">
        <v>0</v>
      </c>
      <c r="O112" s="572">
        <v>59686</v>
      </c>
      <c r="P112" s="572">
        <v>59686</v>
      </c>
      <c r="Q112" s="570">
        <v>3000000</v>
      </c>
      <c r="R112" s="571">
        <f t="shared" si="15"/>
        <v>1.9895333333333334E-2</v>
      </c>
      <c r="S112" s="570">
        <v>3000000</v>
      </c>
      <c r="T112" s="571">
        <f t="shared" si="16"/>
        <v>1.9895333333333334E-2</v>
      </c>
      <c r="U112" s="586"/>
      <c r="V112" s="586"/>
      <c r="W112" s="576"/>
    </row>
    <row r="113" spans="1:29" ht="15">
      <c r="A113" s="450">
        <v>39</v>
      </c>
      <c r="B113" s="587" t="s">
        <v>694</v>
      </c>
      <c r="C113" s="465" t="s">
        <v>249</v>
      </c>
      <c r="D113" s="569" t="s">
        <v>30</v>
      </c>
      <c r="E113" s="572">
        <v>0</v>
      </c>
      <c r="F113" s="572">
        <v>0</v>
      </c>
      <c r="G113" s="572">
        <v>0</v>
      </c>
      <c r="H113" s="572">
        <v>0</v>
      </c>
      <c r="I113" s="570">
        <v>1000000</v>
      </c>
      <c r="J113" s="571">
        <f t="shared" si="13"/>
        <v>0</v>
      </c>
      <c r="K113" s="570">
        <v>1000000</v>
      </c>
      <c r="L113" s="571">
        <f t="shared" si="14"/>
        <v>0</v>
      </c>
      <c r="M113" s="572">
        <v>0</v>
      </c>
      <c r="N113" s="572">
        <v>0</v>
      </c>
      <c r="O113" s="572">
        <v>7</v>
      </c>
      <c r="P113" s="572">
        <v>7</v>
      </c>
      <c r="Q113" s="570">
        <v>2000000</v>
      </c>
      <c r="R113" s="571">
        <f t="shared" si="15"/>
        <v>3.4999999999999999E-6</v>
      </c>
      <c r="S113" s="570">
        <v>2000000</v>
      </c>
      <c r="T113" s="571">
        <f t="shared" si="16"/>
        <v>3.4999999999999999E-6</v>
      </c>
      <c r="U113" s="586"/>
      <c r="V113" s="586"/>
      <c r="W113" s="576"/>
    </row>
    <row r="114" spans="1:29" ht="15">
      <c r="A114" s="450">
        <v>40</v>
      </c>
      <c r="B114" s="587" t="s">
        <v>695</v>
      </c>
      <c r="C114" s="465" t="s">
        <v>249</v>
      </c>
      <c r="D114" s="569" t="s">
        <v>30</v>
      </c>
      <c r="E114" s="572">
        <v>0</v>
      </c>
      <c r="F114" s="572">
        <v>0</v>
      </c>
      <c r="G114" s="572">
        <v>262301</v>
      </c>
      <c r="H114" s="572">
        <v>262301</v>
      </c>
      <c r="I114" s="570">
        <v>1000000</v>
      </c>
      <c r="J114" s="571">
        <f t="shared" si="13"/>
        <v>0.26230100000000001</v>
      </c>
      <c r="K114" s="570">
        <v>1000000</v>
      </c>
      <c r="L114" s="571">
        <f t="shared" si="14"/>
        <v>0.26230100000000001</v>
      </c>
      <c r="M114" s="572">
        <v>0</v>
      </c>
      <c r="N114" s="572">
        <v>0</v>
      </c>
      <c r="O114" s="572">
        <v>0</v>
      </c>
      <c r="P114" s="572">
        <v>0</v>
      </c>
      <c r="Q114" s="570">
        <v>2000000</v>
      </c>
      <c r="R114" s="571">
        <f t="shared" si="15"/>
        <v>0</v>
      </c>
      <c r="S114" s="570">
        <v>2000000</v>
      </c>
      <c r="T114" s="571">
        <f t="shared" si="16"/>
        <v>0</v>
      </c>
      <c r="U114" s="586"/>
      <c r="V114" s="586"/>
      <c r="W114" s="576"/>
    </row>
    <row r="115" spans="1:29">
      <c r="A115" s="450"/>
      <c r="B115" s="588" t="s">
        <v>37</v>
      </c>
      <c r="C115" s="589" t="s">
        <v>38</v>
      </c>
      <c r="D115" s="590"/>
      <c r="E115" s="591">
        <f>SUM(E75:E92)</f>
        <v>1589577</v>
      </c>
      <c r="F115" s="591">
        <f>SUM(F75:F92)</f>
        <v>214086</v>
      </c>
      <c r="G115" s="591">
        <f>SUM(G75:G92)</f>
        <v>29997299</v>
      </c>
      <c r="H115" s="591">
        <f>SUM(H75:H92)</f>
        <v>31800962</v>
      </c>
      <c r="I115" s="591">
        <f>SUM(I75:I92)</f>
        <v>44400000</v>
      </c>
      <c r="J115" s="592">
        <f t="shared" si="13"/>
        <v>0.71623788288288293</v>
      </c>
      <c r="K115" s="591">
        <f>SUM(K75:K92)</f>
        <v>52000000</v>
      </c>
      <c r="L115" s="592">
        <f t="shared" si="14"/>
        <v>0.61155696153846151</v>
      </c>
      <c r="M115" s="591">
        <f>SUM(M75:M92)</f>
        <v>838275</v>
      </c>
      <c r="N115" s="591">
        <f>SUM(N75:N92)</f>
        <v>103805</v>
      </c>
      <c r="O115" s="591">
        <f>SUM(O75:O92)</f>
        <v>43710312</v>
      </c>
      <c r="P115" s="591">
        <f>SUM(P75:P92)</f>
        <v>44652392</v>
      </c>
      <c r="Q115" s="591">
        <f>SUM(Q75:Q92)</f>
        <v>62900000</v>
      </c>
      <c r="R115" s="592">
        <f t="shared" si="15"/>
        <v>0.70989494435612077</v>
      </c>
      <c r="S115" s="591">
        <f>SUM(S75:S92)</f>
        <v>85000000</v>
      </c>
      <c r="T115" s="592">
        <f t="shared" si="16"/>
        <v>0.52532225882352945</v>
      </c>
    </row>
    <row r="116" spans="1:29">
      <c r="A116" s="450"/>
      <c r="B116" s="593" t="s">
        <v>39</v>
      </c>
      <c r="C116" s="589" t="s">
        <v>38</v>
      </c>
      <c r="D116" s="590"/>
      <c r="E116" s="591">
        <f>SUM(E93:E99)</f>
        <v>392018</v>
      </c>
      <c r="F116" s="591">
        <f>SUM(F93:F99)</f>
        <v>27528</v>
      </c>
      <c r="G116" s="591">
        <f>SUM(G93:G99)</f>
        <v>9625400</v>
      </c>
      <c r="H116" s="591">
        <f>SUM(H93:H99)</f>
        <v>10044946</v>
      </c>
      <c r="I116" s="591">
        <f>SUM(I93:I99)</f>
        <v>13700000</v>
      </c>
      <c r="J116" s="592">
        <f t="shared" si="13"/>
        <v>0.73320773722627741</v>
      </c>
      <c r="K116" s="591">
        <f>SUM(K93:K99)</f>
        <v>14900000</v>
      </c>
      <c r="L116" s="592">
        <f t="shared" si="14"/>
        <v>0.67415744966442948</v>
      </c>
      <c r="M116" s="591">
        <f t="shared" ref="M116:S116" si="21">SUM(M93:M99)</f>
        <v>189600</v>
      </c>
      <c r="N116" s="591">
        <f t="shared" si="21"/>
        <v>14062</v>
      </c>
      <c r="O116" s="591">
        <f t="shared" si="21"/>
        <v>12723519</v>
      </c>
      <c r="P116" s="591">
        <f t="shared" si="21"/>
        <v>12927181</v>
      </c>
      <c r="Q116" s="591">
        <f t="shared" si="21"/>
        <v>20300000</v>
      </c>
      <c r="R116" s="592">
        <f t="shared" si="15"/>
        <v>0.63680694581280783</v>
      </c>
      <c r="S116" s="591">
        <f t="shared" si="21"/>
        <v>27400000</v>
      </c>
      <c r="T116" s="592">
        <f t="shared" si="16"/>
        <v>0.47179492700729925</v>
      </c>
    </row>
    <row r="117" spans="1:29">
      <c r="A117" s="450"/>
      <c r="B117" s="593" t="s">
        <v>40</v>
      </c>
      <c r="C117" s="589" t="s">
        <v>38</v>
      </c>
      <c r="D117" s="590"/>
      <c r="E117" s="591">
        <f>SUM(E100:E114)</f>
        <v>718729</v>
      </c>
      <c r="F117" s="591">
        <f t="shared" ref="F117:H117" si="22">SUM(F100:F114)</f>
        <v>23795</v>
      </c>
      <c r="G117" s="591">
        <f t="shared" si="22"/>
        <v>19875827</v>
      </c>
      <c r="H117" s="591">
        <f t="shared" si="22"/>
        <v>20618351</v>
      </c>
      <c r="I117" s="591">
        <f>SUM(I100:I114)</f>
        <v>34600000</v>
      </c>
      <c r="J117" s="592">
        <f t="shared" si="13"/>
        <v>0.59590609826589591</v>
      </c>
      <c r="K117" s="591">
        <f>SUM(K100:K114)</f>
        <v>38200000</v>
      </c>
      <c r="L117" s="592">
        <f t="shared" si="14"/>
        <v>0.53974740837696333</v>
      </c>
      <c r="M117" s="591">
        <f>SUM(M100:M114)</f>
        <v>275944</v>
      </c>
      <c r="N117" s="591">
        <f t="shared" ref="N117:P117" si="23">SUM(N100:N114)</f>
        <v>13197</v>
      </c>
      <c r="O117" s="591">
        <f t="shared" si="23"/>
        <v>27321611</v>
      </c>
      <c r="P117" s="591">
        <f t="shared" si="23"/>
        <v>27610752</v>
      </c>
      <c r="Q117" s="591">
        <f>SUM(Q100:Q114)</f>
        <v>52200000</v>
      </c>
      <c r="R117" s="592">
        <f t="shared" si="15"/>
        <v>0.52894160919540234</v>
      </c>
      <c r="S117" s="591">
        <f>SUM(S100:S114)</f>
        <v>68400000</v>
      </c>
      <c r="T117" s="592">
        <f t="shared" si="16"/>
        <v>0.40366596491228068</v>
      </c>
    </row>
    <row r="118" spans="1:29">
      <c r="A118" s="450"/>
      <c r="B118" s="593" t="s">
        <v>41</v>
      </c>
      <c r="C118" s="589" t="s">
        <v>38</v>
      </c>
      <c r="D118" s="590"/>
      <c r="E118" s="591">
        <f>E115+E116+E117</f>
        <v>2700324</v>
      </c>
      <c r="F118" s="591">
        <f>F115+F116+F117</f>
        <v>265409</v>
      </c>
      <c r="G118" s="591">
        <f>G115+G116+G117</f>
        <v>59498526</v>
      </c>
      <c r="H118" s="591">
        <f>H115+H116+H117</f>
        <v>62464259</v>
      </c>
      <c r="I118" s="591">
        <f>I115+I116+I117</f>
        <v>92700000</v>
      </c>
      <c r="J118" s="592">
        <f t="shared" si="13"/>
        <v>0.67383235167206046</v>
      </c>
      <c r="K118" s="591">
        <f>K115+K116+K117</f>
        <v>105100000</v>
      </c>
      <c r="L118" s="592">
        <f t="shared" si="14"/>
        <v>0.59433167459562319</v>
      </c>
      <c r="M118" s="591">
        <f>M115+M116+M117</f>
        <v>1303819</v>
      </c>
      <c r="N118" s="591">
        <f>N115+N116+N117</f>
        <v>131064</v>
      </c>
      <c r="O118" s="591">
        <f>O115+O116+O117</f>
        <v>83755442</v>
      </c>
      <c r="P118" s="591">
        <f>P115+P116+P117</f>
        <v>85190325</v>
      </c>
      <c r="Q118" s="591">
        <f>Q115+Q116+Q117</f>
        <v>135400000</v>
      </c>
      <c r="R118" s="592">
        <f t="shared" si="15"/>
        <v>0.62917522156573114</v>
      </c>
      <c r="S118" s="591">
        <f>S115+S116+S117</f>
        <v>180800000</v>
      </c>
      <c r="T118" s="592">
        <f t="shared" si="16"/>
        <v>0.47118542588495577</v>
      </c>
    </row>
    <row r="119" spans="1:29" ht="15">
      <c r="A119" s="439"/>
      <c r="B119" s="560"/>
      <c r="C119" s="560"/>
      <c r="D119" s="594"/>
      <c r="E119" s="595"/>
      <c r="F119" s="595"/>
      <c r="G119" s="595"/>
      <c r="H119" s="595"/>
      <c r="I119" s="560"/>
      <c r="J119" s="560"/>
      <c r="K119" s="560"/>
      <c r="L119" s="560"/>
      <c r="M119" s="595"/>
      <c r="N119" s="560"/>
      <c r="O119" s="560"/>
      <c r="P119" s="560"/>
      <c r="Q119" s="595"/>
    </row>
    <row r="120" spans="1:29" ht="15">
      <c r="A120" s="596" t="s">
        <v>696</v>
      </c>
      <c r="B120" s="560"/>
      <c r="C120" s="560"/>
      <c r="D120" s="594"/>
      <c r="E120" s="595"/>
      <c r="F120" s="595"/>
      <c r="G120" s="595"/>
      <c r="H120" s="595"/>
      <c r="I120" s="560"/>
      <c r="J120" s="560"/>
      <c r="K120" s="560"/>
      <c r="L120" s="560"/>
      <c r="M120" s="595"/>
      <c r="N120" s="560"/>
      <c r="O120" s="560"/>
      <c r="P120" s="560"/>
      <c r="Q120" s="595"/>
    </row>
    <row r="121" spans="1:29" ht="14.25">
      <c r="A121" s="597"/>
      <c r="B121" s="598"/>
      <c r="C121" s="598"/>
      <c r="D121" s="598"/>
      <c r="E121" s="1109" t="s">
        <v>697</v>
      </c>
      <c r="F121" s="1110"/>
      <c r="G121" s="1110"/>
      <c r="H121" s="1110"/>
      <c r="I121" s="1110"/>
      <c r="J121" s="1110"/>
      <c r="K121" s="1110"/>
      <c r="L121" s="1110"/>
      <c r="M121" s="1111"/>
      <c r="N121" s="1112" t="s">
        <v>698</v>
      </c>
      <c r="O121" s="1113"/>
      <c r="P121" s="1113"/>
      <c r="Q121" s="1113"/>
      <c r="R121" s="1113"/>
      <c r="S121" s="1113"/>
      <c r="T121" s="1113"/>
      <c r="U121" s="1113"/>
      <c r="V121" s="1113"/>
      <c r="W121" s="1113"/>
      <c r="X121" s="1113"/>
      <c r="Y121" s="1113"/>
    </row>
    <row r="122" spans="1:29" ht="63.75">
      <c r="A122" s="444" t="s">
        <v>0</v>
      </c>
      <c r="B122" s="444" t="s">
        <v>7</v>
      </c>
      <c r="C122" s="444" t="s">
        <v>43</v>
      </c>
      <c r="D122" s="565" t="s">
        <v>44</v>
      </c>
      <c r="E122" s="444" t="s">
        <v>136</v>
      </c>
      <c r="F122" s="444" t="s">
        <v>137</v>
      </c>
      <c r="G122" s="444" t="s">
        <v>138</v>
      </c>
      <c r="H122" s="444" t="s">
        <v>140</v>
      </c>
      <c r="I122" s="444" t="s">
        <v>699</v>
      </c>
      <c r="J122" s="444" t="s">
        <v>139</v>
      </c>
      <c r="K122" s="444" t="s">
        <v>141</v>
      </c>
      <c r="L122" s="444" t="s">
        <v>700</v>
      </c>
      <c r="M122" s="444" t="s">
        <v>143</v>
      </c>
      <c r="N122" s="444" t="s">
        <v>146</v>
      </c>
      <c r="O122" s="444" t="s">
        <v>145</v>
      </c>
      <c r="P122" s="566" t="s">
        <v>148</v>
      </c>
      <c r="Q122" s="444" t="s">
        <v>149</v>
      </c>
      <c r="R122" s="444" t="s">
        <v>150</v>
      </c>
      <c r="S122" s="444" t="s">
        <v>151</v>
      </c>
      <c r="T122" s="444" t="s">
        <v>152</v>
      </c>
      <c r="U122" s="444" t="s">
        <v>153</v>
      </c>
      <c r="V122" s="444" t="s">
        <v>154</v>
      </c>
      <c r="W122" s="444" t="s">
        <v>155</v>
      </c>
      <c r="X122" s="444" t="s">
        <v>157</v>
      </c>
      <c r="Y122" s="444" t="s">
        <v>158</v>
      </c>
      <c r="Z122" s="444" t="s">
        <v>159</v>
      </c>
      <c r="AA122" s="444" t="s">
        <v>701</v>
      </c>
      <c r="AB122" s="444" t="s">
        <v>702</v>
      </c>
    </row>
    <row r="123" spans="1:29">
      <c r="A123" s="450">
        <v>1</v>
      </c>
      <c r="B123" s="568" t="s">
        <v>58</v>
      </c>
      <c r="C123" s="568" t="s">
        <v>4</v>
      </c>
      <c r="D123" s="569" t="s">
        <v>15</v>
      </c>
      <c r="E123" s="570">
        <v>48319.4</v>
      </c>
      <c r="F123" s="570">
        <v>4843.12</v>
      </c>
      <c r="G123" s="570">
        <v>53162.52</v>
      </c>
      <c r="H123" s="570">
        <v>80000</v>
      </c>
      <c r="I123" s="599">
        <f>G123/H123</f>
        <v>0.66453149999999994</v>
      </c>
      <c r="J123" s="570">
        <v>60000</v>
      </c>
      <c r="K123" s="599">
        <f>G123/J123</f>
        <v>0.886042</v>
      </c>
      <c r="L123" s="570">
        <v>26298.82</v>
      </c>
      <c r="M123" s="599">
        <f>L123/J123</f>
        <v>0.43831366666666666</v>
      </c>
      <c r="N123" s="570">
        <v>1335906</v>
      </c>
      <c r="O123" s="570">
        <v>31458</v>
      </c>
      <c r="P123" s="570">
        <v>1367364</v>
      </c>
      <c r="Q123" s="570">
        <v>1500000</v>
      </c>
      <c r="R123" s="599">
        <f>P123/Q123</f>
        <v>0.91157600000000005</v>
      </c>
      <c r="S123" s="570">
        <v>1755000</v>
      </c>
      <c r="T123" s="599">
        <f>P123/S123</f>
        <v>0.77912478632478632</v>
      </c>
      <c r="U123" s="570">
        <v>22858</v>
      </c>
      <c r="V123" s="570">
        <v>728261</v>
      </c>
      <c r="W123" s="570">
        <v>751119</v>
      </c>
      <c r="X123" s="570">
        <v>751840</v>
      </c>
      <c r="Y123" s="570">
        <v>1495000</v>
      </c>
      <c r="Z123" s="599">
        <f>X123/Y123</f>
        <v>0.50290301003344484</v>
      </c>
      <c r="AA123" s="600">
        <f>SUM($G$123:$G$135)/(SUM($H$123:$H$135)-$H$135)</f>
        <v>0.91184485714285735</v>
      </c>
      <c r="AB123" s="600">
        <f>SUM($P$123:$P$135)/(SUM($S$123:$S$135)-$S$135)</f>
        <v>1.0239658501785616</v>
      </c>
      <c r="AC123" s="1106" t="s">
        <v>703</v>
      </c>
    </row>
    <row r="124" spans="1:29">
      <c r="A124" s="450">
        <v>2</v>
      </c>
      <c r="B124" s="568" t="s">
        <v>60</v>
      </c>
      <c r="C124" s="568" t="s">
        <v>4</v>
      </c>
      <c r="D124" s="569" t="s">
        <v>15</v>
      </c>
      <c r="E124" s="570">
        <v>0</v>
      </c>
      <c r="F124" s="570">
        <v>0</v>
      </c>
      <c r="G124" s="570">
        <v>0</v>
      </c>
      <c r="H124" s="570">
        <v>0</v>
      </c>
      <c r="I124" s="599" t="e">
        <f t="shared" ref="I124:I175" si="24">G124/H124</f>
        <v>#DIV/0!</v>
      </c>
      <c r="J124" s="570">
        <v>0</v>
      </c>
      <c r="K124" s="599" t="e">
        <f t="shared" ref="K124:K175" si="25">G124/J124</f>
        <v>#DIV/0!</v>
      </c>
      <c r="L124" s="570">
        <v>0</v>
      </c>
      <c r="M124" s="599" t="e">
        <f t="shared" ref="M124:M175" si="26">L124/J124</f>
        <v>#DIV/0!</v>
      </c>
      <c r="N124" s="570">
        <v>0</v>
      </c>
      <c r="O124" s="570">
        <v>0</v>
      </c>
      <c r="P124" s="570">
        <v>0</v>
      </c>
      <c r="Q124" s="570">
        <v>0</v>
      </c>
      <c r="R124" s="599" t="e">
        <f t="shared" ref="R124:R175" si="27">P124/Q124</f>
        <v>#DIV/0!</v>
      </c>
      <c r="S124" s="570">
        <v>0</v>
      </c>
      <c r="T124" s="599" t="e">
        <f t="shared" ref="T124:T175" si="28">P124/S124</f>
        <v>#DIV/0!</v>
      </c>
      <c r="U124" s="570">
        <v>0</v>
      </c>
      <c r="V124" s="570">
        <v>0</v>
      </c>
      <c r="W124" s="570">
        <v>0</v>
      </c>
      <c r="X124" s="570">
        <v>0</v>
      </c>
      <c r="Y124" s="570">
        <v>0</v>
      </c>
      <c r="Z124" s="599" t="e">
        <f t="shared" ref="Z124:Z175" si="29">X124/Y124</f>
        <v>#DIV/0!</v>
      </c>
      <c r="AA124" s="600">
        <f t="shared" ref="AA124:AA135" si="30">SUM($G$123:$G$135)/(SUM($H$123:$H$135)-$H$135)</f>
        <v>0.91184485714285735</v>
      </c>
      <c r="AB124" s="600">
        <f t="shared" ref="AB124:AB135" si="31">SUM($P$123:$P$135)/(SUM($S$123:$S$135)-$S$135)</f>
        <v>1.0239658501785616</v>
      </c>
      <c r="AC124" s="1106"/>
    </row>
    <row r="125" spans="1:29">
      <c r="A125" s="450">
        <v>3</v>
      </c>
      <c r="B125" s="568" t="s">
        <v>61</v>
      </c>
      <c r="C125" s="568" t="s">
        <v>4</v>
      </c>
      <c r="D125" s="569" t="s">
        <v>15</v>
      </c>
      <c r="E125" s="570">
        <v>0</v>
      </c>
      <c r="F125" s="570">
        <v>0</v>
      </c>
      <c r="G125" s="570">
        <v>0</v>
      </c>
      <c r="H125" s="570">
        <v>0</v>
      </c>
      <c r="I125" s="599" t="e">
        <f t="shared" si="24"/>
        <v>#DIV/0!</v>
      </c>
      <c r="J125" s="570">
        <v>0</v>
      </c>
      <c r="K125" s="599" t="e">
        <f t="shared" si="25"/>
        <v>#DIV/0!</v>
      </c>
      <c r="L125" s="570">
        <v>0</v>
      </c>
      <c r="M125" s="599" t="e">
        <f t="shared" si="26"/>
        <v>#DIV/0!</v>
      </c>
      <c r="N125" s="570">
        <v>0</v>
      </c>
      <c r="O125" s="570">
        <v>0</v>
      </c>
      <c r="P125" s="570">
        <v>0</v>
      </c>
      <c r="Q125" s="570">
        <v>0</v>
      </c>
      <c r="R125" s="599" t="e">
        <f t="shared" si="27"/>
        <v>#DIV/0!</v>
      </c>
      <c r="S125" s="570">
        <v>0</v>
      </c>
      <c r="T125" s="599" t="e">
        <f t="shared" si="28"/>
        <v>#DIV/0!</v>
      </c>
      <c r="U125" s="570">
        <v>0</v>
      </c>
      <c r="V125" s="570">
        <v>0</v>
      </c>
      <c r="W125" s="570">
        <v>0</v>
      </c>
      <c r="X125" s="570">
        <v>0</v>
      </c>
      <c r="Y125" s="570">
        <v>0</v>
      </c>
      <c r="Z125" s="599" t="e">
        <f t="shared" si="29"/>
        <v>#DIV/0!</v>
      </c>
      <c r="AA125" s="600">
        <f t="shared" si="30"/>
        <v>0.91184485714285735</v>
      </c>
      <c r="AB125" s="600">
        <f t="shared" si="31"/>
        <v>1.0239658501785616</v>
      </c>
      <c r="AC125" s="1106"/>
    </row>
    <row r="126" spans="1:29">
      <c r="A126" s="450">
        <v>4</v>
      </c>
      <c r="B126" s="568" t="s">
        <v>63</v>
      </c>
      <c r="C126" s="568" t="s">
        <v>4</v>
      </c>
      <c r="D126" s="569" t="s">
        <v>15</v>
      </c>
      <c r="E126" s="570">
        <v>59960.51</v>
      </c>
      <c r="F126" s="570">
        <v>5598</v>
      </c>
      <c r="G126" s="570">
        <v>65558.52</v>
      </c>
      <c r="H126" s="570">
        <v>80000</v>
      </c>
      <c r="I126" s="599">
        <f t="shared" si="24"/>
        <v>0.81948150000000008</v>
      </c>
      <c r="J126" s="570">
        <v>60000</v>
      </c>
      <c r="K126" s="599">
        <f t="shared" si="25"/>
        <v>1.0926420000000001</v>
      </c>
      <c r="L126" s="570">
        <v>29280.03</v>
      </c>
      <c r="M126" s="599">
        <f t="shared" si="26"/>
        <v>0.4880005</v>
      </c>
      <c r="N126" s="570">
        <v>1428810</v>
      </c>
      <c r="O126" s="570">
        <v>62276</v>
      </c>
      <c r="P126" s="570">
        <v>1491086</v>
      </c>
      <c r="Q126" s="570">
        <v>1500000</v>
      </c>
      <c r="R126" s="599">
        <f t="shared" si="27"/>
        <v>0.99405733333333335</v>
      </c>
      <c r="S126" s="570">
        <v>1690000</v>
      </c>
      <c r="T126" s="599">
        <f t="shared" si="28"/>
        <v>0.88229940828402365</v>
      </c>
      <c r="U126" s="570">
        <v>22984</v>
      </c>
      <c r="V126" s="570">
        <v>731846</v>
      </c>
      <c r="W126" s="570">
        <v>754830</v>
      </c>
      <c r="X126" s="570">
        <v>755598</v>
      </c>
      <c r="Y126" s="570">
        <v>1495000</v>
      </c>
      <c r="Z126" s="599">
        <f t="shared" si="29"/>
        <v>0.50541672240802671</v>
      </c>
      <c r="AA126" s="600">
        <f t="shared" si="30"/>
        <v>0.91184485714285735</v>
      </c>
      <c r="AB126" s="600">
        <f t="shared" si="31"/>
        <v>1.0239658501785616</v>
      </c>
      <c r="AC126" s="1106"/>
    </row>
    <row r="127" spans="1:29">
      <c r="A127" s="450">
        <v>5</v>
      </c>
      <c r="B127" s="568" t="s">
        <v>64</v>
      </c>
      <c r="C127" s="568" t="s">
        <v>4</v>
      </c>
      <c r="D127" s="569" t="s">
        <v>15</v>
      </c>
      <c r="E127" s="570">
        <v>106879.85</v>
      </c>
      <c r="F127" s="570">
        <v>9975.2099999999991</v>
      </c>
      <c r="G127" s="570">
        <v>116855.06</v>
      </c>
      <c r="H127" s="570">
        <v>150000</v>
      </c>
      <c r="I127" s="599">
        <f t="shared" si="24"/>
        <v>0.77903373333333337</v>
      </c>
      <c r="J127" s="570">
        <v>135000</v>
      </c>
      <c r="K127" s="599">
        <f t="shared" si="25"/>
        <v>0.86559303703703705</v>
      </c>
      <c r="L127" s="570">
        <v>56188.35</v>
      </c>
      <c r="M127" s="599">
        <f t="shared" si="26"/>
        <v>0.41620999999999997</v>
      </c>
      <c r="N127" s="570">
        <v>2784420</v>
      </c>
      <c r="O127" s="570">
        <v>52617</v>
      </c>
      <c r="P127" s="570">
        <v>2837037</v>
      </c>
      <c r="Q127" s="570">
        <v>2800000</v>
      </c>
      <c r="R127" s="599">
        <f t="shared" si="27"/>
        <v>1.0132274999999999</v>
      </c>
      <c r="S127" s="570">
        <v>2990000</v>
      </c>
      <c r="T127" s="599">
        <f t="shared" si="28"/>
        <v>0.94884180602006685</v>
      </c>
      <c r="U127" s="570">
        <v>39406</v>
      </c>
      <c r="V127" s="570">
        <v>1517994</v>
      </c>
      <c r="W127" s="570">
        <v>1557400</v>
      </c>
      <c r="X127" s="570">
        <v>1558483</v>
      </c>
      <c r="Y127" s="570">
        <v>2730000</v>
      </c>
      <c r="Z127" s="599">
        <f t="shared" si="29"/>
        <v>0.57087289377289374</v>
      </c>
      <c r="AA127" s="600">
        <f t="shared" si="30"/>
        <v>0.91184485714285735</v>
      </c>
      <c r="AB127" s="600">
        <f t="shared" si="31"/>
        <v>1.0239658501785616</v>
      </c>
      <c r="AC127" s="1106"/>
    </row>
    <row r="128" spans="1:29">
      <c r="A128" s="450">
        <v>6</v>
      </c>
      <c r="B128" s="568" t="s">
        <v>65</v>
      </c>
      <c r="C128" s="568" t="s">
        <v>4</v>
      </c>
      <c r="D128" s="569" t="s">
        <v>15</v>
      </c>
      <c r="E128" s="570">
        <v>100074.03</v>
      </c>
      <c r="F128" s="570">
        <v>9510.7900000000009</v>
      </c>
      <c r="G128" s="570">
        <v>109584.82</v>
      </c>
      <c r="H128" s="570">
        <v>150000</v>
      </c>
      <c r="I128" s="599">
        <f t="shared" si="24"/>
        <v>0.73056546666666666</v>
      </c>
      <c r="J128" s="570">
        <v>135000</v>
      </c>
      <c r="K128" s="599">
        <f t="shared" si="25"/>
        <v>0.81173940740740747</v>
      </c>
      <c r="L128" s="570">
        <v>53111.32</v>
      </c>
      <c r="M128" s="599">
        <f t="shared" si="26"/>
        <v>0.3934171851851852</v>
      </c>
      <c r="N128" s="570">
        <v>2774654</v>
      </c>
      <c r="O128" s="570">
        <v>50247</v>
      </c>
      <c r="P128" s="570">
        <v>2824901</v>
      </c>
      <c r="Q128" s="570">
        <v>2800000</v>
      </c>
      <c r="R128" s="599">
        <f t="shared" si="27"/>
        <v>1.0088932142857143</v>
      </c>
      <c r="S128" s="570">
        <v>2990000</v>
      </c>
      <c r="T128" s="599">
        <f t="shared" si="28"/>
        <v>0.94478294314381273</v>
      </c>
      <c r="U128" s="570">
        <v>38660</v>
      </c>
      <c r="V128" s="570">
        <v>1517523</v>
      </c>
      <c r="W128" s="570">
        <v>1556183</v>
      </c>
      <c r="X128" s="570">
        <v>1557182</v>
      </c>
      <c r="Y128" s="570">
        <v>2730000</v>
      </c>
      <c r="Z128" s="599">
        <f t="shared" si="29"/>
        <v>0.57039633699633696</v>
      </c>
      <c r="AA128" s="600">
        <f t="shared" si="30"/>
        <v>0.91184485714285735</v>
      </c>
      <c r="AB128" s="600">
        <f t="shared" si="31"/>
        <v>1.0239658501785616</v>
      </c>
      <c r="AC128" s="1106"/>
    </row>
    <row r="129" spans="1:29">
      <c r="A129" s="450">
        <v>7</v>
      </c>
      <c r="B129" s="568" t="s">
        <v>66</v>
      </c>
      <c r="C129" s="568" t="s">
        <v>4</v>
      </c>
      <c r="D129" s="569" t="s">
        <v>15</v>
      </c>
      <c r="E129" s="570">
        <v>96438.6</v>
      </c>
      <c r="F129" s="570">
        <v>8950.7900000000009</v>
      </c>
      <c r="G129" s="570">
        <v>105389.38</v>
      </c>
      <c r="H129" s="570">
        <v>100000</v>
      </c>
      <c r="I129" s="599">
        <f t="shared" si="24"/>
        <v>1.0538938</v>
      </c>
      <c r="J129" s="570">
        <v>100000</v>
      </c>
      <c r="K129" s="599">
        <f t="shared" si="25"/>
        <v>1.0538938</v>
      </c>
      <c r="L129" s="570">
        <v>50248.76</v>
      </c>
      <c r="M129" s="599">
        <f t="shared" si="26"/>
        <v>0.50248760000000003</v>
      </c>
      <c r="N129" s="570">
        <v>2498878</v>
      </c>
      <c r="O129" s="570">
        <v>49068</v>
      </c>
      <c r="P129" s="570">
        <v>2547946</v>
      </c>
      <c r="Q129" s="570">
        <v>2400000</v>
      </c>
      <c r="R129" s="599">
        <f t="shared" si="27"/>
        <v>1.0616441666666667</v>
      </c>
      <c r="S129" s="570">
        <v>2470000</v>
      </c>
      <c r="T129" s="599">
        <f t="shared" si="28"/>
        <v>1.0315570850202429</v>
      </c>
      <c r="U129" s="570">
        <v>36861</v>
      </c>
      <c r="V129" s="570">
        <v>1361403</v>
      </c>
      <c r="W129" s="570">
        <v>1398264</v>
      </c>
      <c r="X129" s="570">
        <v>1399257</v>
      </c>
      <c r="Y129" s="570">
        <v>2015000</v>
      </c>
      <c r="Z129" s="599">
        <f t="shared" si="29"/>
        <v>0.69442034739454095</v>
      </c>
      <c r="AA129" s="600">
        <f t="shared" si="30"/>
        <v>0.91184485714285735</v>
      </c>
      <c r="AB129" s="600">
        <f t="shared" si="31"/>
        <v>1.0239658501785616</v>
      </c>
      <c r="AC129" s="1106"/>
    </row>
    <row r="130" spans="1:29">
      <c r="A130" s="450">
        <v>8</v>
      </c>
      <c r="B130" s="568" t="s">
        <v>67</v>
      </c>
      <c r="C130" s="568" t="s">
        <v>4</v>
      </c>
      <c r="D130" s="569" t="s">
        <v>15</v>
      </c>
      <c r="E130" s="570">
        <v>107990.58</v>
      </c>
      <c r="F130" s="570">
        <v>10169.209999999999</v>
      </c>
      <c r="G130" s="570">
        <v>118159.8</v>
      </c>
      <c r="H130" s="570">
        <v>150000</v>
      </c>
      <c r="I130" s="599">
        <f t="shared" si="24"/>
        <v>0.78773199999999999</v>
      </c>
      <c r="J130" s="570">
        <v>135000</v>
      </c>
      <c r="K130" s="599">
        <f t="shared" si="25"/>
        <v>0.8752577777777778</v>
      </c>
      <c r="L130" s="570">
        <v>56950.95</v>
      </c>
      <c r="M130" s="599">
        <f t="shared" si="26"/>
        <v>0.42185888888888889</v>
      </c>
      <c r="N130" s="570">
        <v>2815166</v>
      </c>
      <c r="O130" s="570">
        <v>52634</v>
      </c>
      <c r="P130" s="570">
        <v>2867800</v>
      </c>
      <c r="Q130" s="570">
        <v>2800000</v>
      </c>
      <c r="R130" s="599">
        <f t="shared" si="27"/>
        <v>1.0242142857142857</v>
      </c>
      <c r="S130" s="570">
        <v>2990000</v>
      </c>
      <c r="T130" s="599">
        <f t="shared" si="28"/>
        <v>0.95913043478260873</v>
      </c>
      <c r="U130" s="570">
        <v>40566</v>
      </c>
      <c r="V130" s="570">
        <v>1538428</v>
      </c>
      <c r="W130" s="570">
        <v>1578994</v>
      </c>
      <c r="X130" s="570">
        <v>1579973</v>
      </c>
      <c r="Y130" s="570">
        <v>2730000</v>
      </c>
      <c r="Z130" s="599">
        <f t="shared" si="29"/>
        <v>0.57874468864468864</v>
      </c>
      <c r="AA130" s="600">
        <f t="shared" si="30"/>
        <v>0.91184485714285735</v>
      </c>
      <c r="AB130" s="600">
        <f t="shared" si="31"/>
        <v>1.0239658501785616</v>
      </c>
      <c r="AC130" s="1106"/>
    </row>
    <row r="131" spans="1:29">
      <c r="A131" s="450">
        <v>9</v>
      </c>
      <c r="B131" s="568" t="s">
        <v>68</v>
      </c>
      <c r="C131" s="568" t="s">
        <v>4</v>
      </c>
      <c r="D131" s="569" t="s">
        <v>15</v>
      </c>
      <c r="E131" s="570">
        <v>107160.77</v>
      </c>
      <c r="F131" s="570">
        <v>10112.459999999999</v>
      </c>
      <c r="G131" s="570">
        <v>117273.23</v>
      </c>
      <c r="H131" s="570">
        <v>150000</v>
      </c>
      <c r="I131" s="599">
        <f t="shared" si="24"/>
        <v>0.78182153333333326</v>
      </c>
      <c r="J131" s="570">
        <v>135000</v>
      </c>
      <c r="K131" s="599">
        <f t="shared" si="25"/>
        <v>0.86869059259259251</v>
      </c>
      <c r="L131" s="570">
        <v>56327.199999999997</v>
      </c>
      <c r="M131" s="599">
        <f t="shared" si="26"/>
        <v>0.41723851851851851</v>
      </c>
      <c r="N131" s="570">
        <v>2817471</v>
      </c>
      <c r="O131" s="570">
        <v>54399</v>
      </c>
      <c r="P131" s="570">
        <v>2871870</v>
      </c>
      <c r="Q131" s="570">
        <v>2800000</v>
      </c>
      <c r="R131" s="599">
        <f t="shared" si="27"/>
        <v>1.0256678571428572</v>
      </c>
      <c r="S131" s="570">
        <v>2990000</v>
      </c>
      <c r="T131" s="599">
        <f t="shared" si="28"/>
        <v>0.96049163879598665</v>
      </c>
      <c r="U131" s="570">
        <v>40718</v>
      </c>
      <c r="V131" s="570">
        <v>1540399</v>
      </c>
      <c r="W131" s="570">
        <v>1581117</v>
      </c>
      <c r="X131" s="570">
        <v>1582167</v>
      </c>
      <c r="Y131" s="570">
        <v>2730000</v>
      </c>
      <c r="Z131" s="599">
        <f t="shared" si="29"/>
        <v>0.57954835164835161</v>
      </c>
      <c r="AA131" s="600">
        <f t="shared" si="30"/>
        <v>0.91184485714285735</v>
      </c>
      <c r="AB131" s="600">
        <f t="shared" si="31"/>
        <v>1.0239658501785616</v>
      </c>
      <c r="AC131" s="1106"/>
    </row>
    <row r="132" spans="1:29">
      <c r="A132" s="450">
        <v>10</v>
      </c>
      <c r="B132" s="568" t="s">
        <v>69</v>
      </c>
      <c r="C132" s="568" t="s">
        <v>4</v>
      </c>
      <c r="D132" s="569" t="s">
        <v>15</v>
      </c>
      <c r="E132" s="570">
        <v>131415.21</v>
      </c>
      <c r="F132" s="570">
        <v>12250.73</v>
      </c>
      <c r="G132" s="570">
        <v>143665.94</v>
      </c>
      <c r="H132" s="570">
        <v>180000</v>
      </c>
      <c r="I132" s="599">
        <f t="shared" si="24"/>
        <v>0.79814411111111117</v>
      </c>
      <c r="J132" s="570">
        <v>200000</v>
      </c>
      <c r="K132" s="599">
        <f t="shared" si="25"/>
        <v>0.71832969999999996</v>
      </c>
      <c r="L132" s="570">
        <v>68840.22</v>
      </c>
      <c r="M132" s="599">
        <f t="shared" si="26"/>
        <v>0.34420109999999998</v>
      </c>
      <c r="N132" s="570">
        <v>3347943</v>
      </c>
      <c r="O132" s="570">
        <v>64738</v>
      </c>
      <c r="P132" s="570">
        <v>3412681</v>
      </c>
      <c r="Q132" s="570">
        <v>4000000</v>
      </c>
      <c r="R132" s="599">
        <f t="shared" si="27"/>
        <v>0.85317025000000002</v>
      </c>
      <c r="S132" s="570">
        <v>4063232</v>
      </c>
      <c r="T132" s="599">
        <f t="shared" si="28"/>
        <v>0.83989321800970262</v>
      </c>
      <c r="U132" s="570">
        <v>49643</v>
      </c>
      <c r="V132" s="570">
        <v>1943889</v>
      </c>
      <c r="W132" s="570">
        <v>1993532</v>
      </c>
      <c r="X132" s="570">
        <v>1994743</v>
      </c>
      <c r="Y132" s="570">
        <v>4063232</v>
      </c>
      <c r="Z132" s="599">
        <f t="shared" si="29"/>
        <v>0.49092520436932963</v>
      </c>
      <c r="AA132" s="600">
        <f t="shared" si="30"/>
        <v>0.91184485714285735</v>
      </c>
      <c r="AB132" s="600">
        <f t="shared" si="31"/>
        <v>1.0239658501785616</v>
      </c>
      <c r="AC132" s="1106"/>
    </row>
    <row r="133" spans="1:29">
      <c r="A133" s="450">
        <v>11</v>
      </c>
      <c r="B133" s="568" t="s">
        <v>71</v>
      </c>
      <c r="C133" s="568" t="s">
        <v>4</v>
      </c>
      <c r="D133" s="569" t="s">
        <v>15</v>
      </c>
      <c r="E133" s="570">
        <v>136752.28</v>
      </c>
      <c r="F133" s="570">
        <v>12947.47</v>
      </c>
      <c r="G133" s="570">
        <v>149699.75</v>
      </c>
      <c r="H133" s="570">
        <v>180000</v>
      </c>
      <c r="I133" s="599">
        <f t="shared" si="24"/>
        <v>0.83166527777777777</v>
      </c>
      <c r="J133" s="570">
        <v>200000</v>
      </c>
      <c r="K133" s="599">
        <f t="shared" si="25"/>
        <v>0.74849874999999999</v>
      </c>
      <c r="L133" s="570">
        <v>72072.3</v>
      </c>
      <c r="M133" s="599">
        <f t="shared" si="26"/>
        <v>0.3603615</v>
      </c>
      <c r="N133" s="570">
        <v>3453025</v>
      </c>
      <c r="O133" s="570">
        <v>65523</v>
      </c>
      <c r="P133" s="570">
        <v>3518548</v>
      </c>
      <c r="Q133" s="570">
        <v>4000000</v>
      </c>
      <c r="R133" s="599">
        <f t="shared" si="27"/>
        <v>0.879637</v>
      </c>
      <c r="S133" s="570">
        <v>4063232</v>
      </c>
      <c r="T133" s="599">
        <f t="shared" si="28"/>
        <v>0.86594809255292338</v>
      </c>
      <c r="U133" s="570">
        <v>51109</v>
      </c>
      <c r="V133" s="570">
        <v>1996151</v>
      </c>
      <c r="W133" s="570">
        <v>2047260</v>
      </c>
      <c r="X133" s="570">
        <v>2048508</v>
      </c>
      <c r="Y133" s="570">
        <v>4063232</v>
      </c>
      <c r="Z133" s="599">
        <f t="shared" si="29"/>
        <v>0.50415728169102825</v>
      </c>
      <c r="AA133" s="600">
        <f t="shared" si="30"/>
        <v>0.91184485714285735</v>
      </c>
      <c r="AB133" s="600">
        <f t="shared" si="31"/>
        <v>1.0239658501785616</v>
      </c>
      <c r="AC133" s="1106"/>
    </row>
    <row r="134" spans="1:29">
      <c r="A134" s="450">
        <v>12</v>
      </c>
      <c r="B134" s="568" t="s">
        <v>72</v>
      </c>
      <c r="C134" s="568" t="s">
        <v>4</v>
      </c>
      <c r="D134" s="569" t="s">
        <v>15</v>
      </c>
      <c r="E134" s="570">
        <v>134965.04</v>
      </c>
      <c r="F134" s="570">
        <v>12667.1</v>
      </c>
      <c r="G134" s="570">
        <v>147632.14000000001</v>
      </c>
      <c r="H134" s="570">
        <v>180000</v>
      </c>
      <c r="I134" s="599">
        <f t="shared" si="24"/>
        <v>0.82017855555555563</v>
      </c>
      <c r="J134" s="570">
        <v>200000</v>
      </c>
      <c r="K134" s="599">
        <f t="shared" si="25"/>
        <v>0.73816070000000011</v>
      </c>
      <c r="L134" s="570">
        <v>70846.320000000007</v>
      </c>
      <c r="M134" s="599">
        <f t="shared" si="26"/>
        <v>0.35423160000000004</v>
      </c>
      <c r="N134" s="570">
        <v>3443712</v>
      </c>
      <c r="O134" s="570">
        <v>64960</v>
      </c>
      <c r="P134" s="570">
        <v>3508672</v>
      </c>
      <c r="Q134" s="570">
        <v>4000000</v>
      </c>
      <c r="R134" s="599">
        <f t="shared" si="27"/>
        <v>0.87716799999999995</v>
      </c>
      <c r="S134" s="570">
        <v>4063232</v>
      </c>
      <c r="T134" s="599">
        <f t="shared" si="28"/>
        <v>0.86351751512096775</v>
      </c>
      <c r="U134" s="570">
        <v>50725</v>
      </c>
      <c r="V134" s="570">
        <v>1992896</v>
      </c>
      <c r="W134" s="570">
        <v>2043621</v>
      </c>
      <c r="X134" s="570">
        <v>2044863</v>
      </c>
      <c r="Y134" s="570">
        <v>4063232</v>
      </c>
      <c r="Z134" s="599">
        <f t="shared" si="29"/>
        <v>0.50326021255985387</v>
      </c>
      <c r="AA134" s="600">
        <f t="shared" si="30"/>
        <v>0.91184485714285735</v>
      </c>
      <c r="AB134" s="600">
        <f t="shared" si="31"/>
        <v>1.0239658501785616</v>
      </c>
      <c r="AC134" s="1106"/>
    </row>
    <row r="135" spans="1:29">
      <c r="A135" s="450">
        <v>13</v>
      </c>
      <c r="B135" s="568" t="s">
        <v>74</v>
      </c>
      <c r="C135" s="568" t="s">
        <v>4</v>
      </c>
      <c r="D135" s="569" t="s">
        <v>15</v>
      </c>
      <c r="E135" s="570">
        <v>136861.96</v>
      </c>
      <c r="F135" s="570">
        <v>12739.68</v>
      </c>
      <c r="G135" s="570">
        <v>149601.64000000001</v>
      </c>
      <c r="H135" s="570">
        <v>180000</v>
      </c>
      <c r="I135" s="599">
        <f t="shared" si="24"/>
        <v>0.83112022222222226</v>
      </c>
      <c r="J135" s="570">
        <v>200000</v>
      </c>
      <c r="K135" s="599">
        <f t="shared" si="25"/>
        <v>0.74800820000000012</v>
      </c>
      <c r="L135" s="570">
        <v>71848.02</v>
      </c>
      <c r="M135" s="599">
        <f t="shared" si="26"/>
        <v>0.35924010000000001</v>
      </c>
      <c r="N135" s="570">
        <v>3469851</v>
      </c>
      <c r="O135" s="570">
        <v>67466</v>
      </c>
      <c r="P135" s="570">
        <v>3537317</v>
      </c>
      <c r="Q135" s="570">
        <v>4000000</v>
      </c>
      <c r="R135" s="599">
        <f t="shared" si="27"/>
        <v>0.88432924999999996</v>
      </c>
      <c r="S135" s="570">
        <v>4063232</v>
      </c>
      <c r="T135" s="599">
        <f t="shared" si="28"/>
        <v>0.87056732177734375</v>
      </c>
      <c r="U135" s="570">
        <v>51768</v>
      </c>
      <c r="V135" s="570">
        <v>2005635</v>
      </c>
      <c r="W135" s="570">
        <v>2057403</v>
      </c>
      <c r="X135" s="570">
        <v>2058602</v>
      </c>
      <c r="Y135" s="570">
        <v>4063232</v>
      </c>
      <c r="Z135" s="599">
        <f t="shared" si="29"/>
        <v>0.50664151099420363</v>
      </c>
      <c r="AA135" s="600">
        <f t="shared" si="30"/>
        <v>0.91184485714285735</v>
      </c>
      <c r="AB135" s="600">
        <f t="shared" si="31"/>
        <v>1.0239658501785616</v>
      </c>
      <c r="AC135" s="1106"/>
    </row>
    <row r="136" spans="1:29">
      <c r="A136" s="450">
        <v>14</v>
      </c>
      <c r="B136" s="465" t="s">
        <v>277</v>
      </c>
      <c r="C136" s="465" t="s">
        <v>4</v>
      </c>
      <c r="D136" s="569" t="s">
        <v>15</v>
      </c>
      <c r="E136" s="570">
        <v>128635.28</v>
      </c>
      <c r="F136" s="570">
        <v>12128.1</v>
      </c>
      <c r="G136" s="570">
        <v>140763.37</v>
      </c>
      <c r="H136" s="570">
        <v>180000</v>
      </c>
      <c r="I136" s="599">
        <f t="shared" si="24"/>
        <v>0.78201872222222224</v>
      </c>
      <c r="J136" s="570">
        <v>200000</v>
      </c>
      <c r="K136" s="599">
        <f t="shared" si="25"/>
        <v>0.70381684999999994</v>
      </c>
      <c r="L136" s="570">
        <v>67736.84</v>
      </c>
      <c r="M136" s="599">
        <f t="shared" si="26"/>
        <v>0.33868419999999999</v>
      </c>
      <c r="N136" s="570">
        <v>3495199</v>
      </c>
      <c r="O136" s="570">
        <v>65210</v>
      </c>
      <c r="P136" s="570">
        <v>3560409</v>
      </c>
      <c r="Q136" s="570">
        <v>4000000</v>
      </c>
      <c r="R136" s="599">
        <f t="shared" si="27"/>
        <v>0.89010224999999998</v>
      </c>
      <c r="S136" s="570">
        <v>4063232</v>
      </c>
      <c r="T136" s="599">
        <f t="shared" si="28"/>
        <v>0.876250482374622</v>
      </c>
      <c r="U136" s="570">
        <v>50948</v>
      </c>
      <c r="V136" s="570">
        <v>1935535</v>
      </c>
      <c r="W136" s="570">
        <v>1986483</v>
      </c>
      <c r="X136" s="570">
        <v>1987742</v>
      </c>
      <c r="Y136" s="570">
        <v>4063232</v>
      </c>
      <c r="Z136" s="599">
        <f t="shared" si="29"/>
        <v>0.48920219175277219</v>
      </c>
      <c r="AA136" s="575"/>
      <c r="AB136" s="575"/>
    </row>
    <row r="137" spans="1:29" ht="12.75" customHeight="1">
      <c r="A137" s="450">
        <v>15</v>
      </c>
      <c r="B137" s="465" t="s">
        <v>278</v>
      </c>
      <c r="C137" s="465" t="s">
        <v>4</v>
      </c>
      <c r="D137" s="569" t="s">
        <v>15</v>
      </c>
      <c r="E137" s="570">
        <v>30032.36</v>
      </c>
      <c r="F137" s="570">
        <v>2819.25</v>
      </c>
      <c r="G137" s="570">
        <v>32851.61</v>
      </c>
      <c r="H137" s="570">
        <v>180000</v>
      </c>
      <c r="I137" s="599">
        <f t="shared" si="24"/>
        <v>0.18250894444444446</v>
      </c>
      <c r="J137" s="570">
        <v>200000</v>
      </c>
      <c r="K137" s="599">
        <f t="shared" si="25"/>
        <v>0.16425805000000002</v>
      </c>
      <c r="L137" s="570">
        <v>15817.76</v>
      </c>
      <c r="M137" s="599">
        <f t="shared" si="26"/>
        <v>7.9088800000000001E-2</v>
      </c>
      <c r="N137" s="570">
        <v>766224</v>
      </c>
      <c r="O137" s="570">
        <v>26376</v>
      </c>
      <c r="P137" s="570">
        <v>792600</v>
      </c>
      <c r="Q137" s="570">
        <v>4000000</v>
      </c>
      <c r="R137" s="599">
        <f t="shared" si="27"/>
        <v>0.19814999999999999</v>
      </c>
      <c r="S137" s="570">
        <v>4063232</v>
      </c>
      <c r="T137" s="599">
        <f t="shared" si="28"/>
        <v>0.19506639049899194</v>
      </c>
      <c r="U137" s="570">
        <v>18676</v>
      </c>
      <c r="V137" s="570">
        <v>405168</v>
      </c>
      <c r="W137" s="570">
        <v>423844</v>
      </c>
      <c r="X137" s="570">
        <v>424467</v>
      </c>
      <c r="Y137" s="570">
        <v>4063232</v>
      </c>
      <c r="Z137" s="599">
        <f t="shared" si="29"/>
        <v>0.10446536156439012</v>
      </c>
      <c r="AA137" s="575"/>
      <c r="AB137" s="575"/>
      <c r="AC137" s="577"/>
    </row>
    <row r="138" spans="1:29" ht="12.75" customHeight="1">
      <c r="A138" s="450">
        <v>16</v>
      </c>
      <c r="B138" s="465" t="s">
        <v>256</v>
      </c>
      <c r="C138" s="465" t="s">
        <v>249</v>
      </c>
      <c r="D138" s="569" t="s">
        <v>15</v>
      </c>
      <c r="E138" s="570">
        <v>2035.22</v>
      </c>
      <c r="F138" s="570">
        <v>187.01</v>
      </c>
      <c r="G138" s="570">
        <v>2222.23</v>
      </c>
      <c r="H138" s="570">
        <v>80000</v>
      </c>
      <c r="I138" s="599">
        <f t="shared" si="24"/>
        <v>2.7777875E-2</v>
      </c>
      <c r="J138" s="570">
        <v>80000</v>
      </c>
      <c r="K138" s="599">
        <f t="shared" si="25"/>
        <v>2.7777875E-2</v>
      </c>
      <c r="L138" s="570">
        <v>0</v>
      </c>
      <c r="M138" s="599">
        <f t="shared" si="26"/>
        <v>0</v>
      </c>
      <c r="N138" s="570">
        <v>33326</v>
      </c>
      <c r="O138" s="570">
        <v>0</v>
      </c>
      <c r="P138" s="570">
        <v>33326</v>
      </c>
      <c r="Q138" s="570">
        <v>1500000</v>
      </c>
      <c r="R138" s="599">
        <f t="shared" si="27"/>
        <v>2.2217333333333332E-2</v>
      </c>
      <c r="S138" s="570">
        <v>1500000</v>
      </c>
      <c r="T138" s="599">
        <f t="shared" si="28"/>
        <v>2.2217333333333332E-2</v>
      </c>
      <c r="U138" s="570">
        <v>0</v>
      </c>
      <c r="V138" s="570">
        <v>0</v>
      </c>
      <c r="W138" s="570">
        <v>0</v>
      </c>
      <c r="X138" s="570">
        <v>0</v>
      </c>
      <c r="Y138" s="570">
        <v>28376952</v>
      </c>
      <c r="Z138" s="599">
        <f t="shared" si="29"/>
        <v>0</v>
      </c>
      <c r="AA138" s="575"/>
      <c r="AB138" s="575"/>
      <c r="AC138" s="577"/>
    </row>
    <row r="139" spans="1:29" ht="12.75" customHeight="1">
      <c r="A139" s="450">
        <v>17</v>
      </c>
      <c r="B139" s="465" t="s">
        <v>248</v>
      </c>
      <c r="C139" s="465" t="s">
        <v>249</v>
      </c>
      <c r="D139" s="569" t="s">
        <v>15</v>
      </c>
      <c r="E139" s="570">
        <v>4463.1000000000004</v>
      </c>
      <c r="F139" s="570">
        <v>390.31</v>
      </c>
      <c r="G139" s="570">
        <v>4853.41</v>
      </c>
      <c r="H139" s="570">
        <v>70000</v>
      </c>
      <c r="I139" s="599">
        <f t="shared" si="24"/>
        <v>6.9334428571428575E-2</v>
      </c>
      <c r="J139" s="570">
        <v>70000</v>
      </c>
      <c r="K139" s="599">
        <f t="shared" si="25"/>
        <v>6.9334428571428575E-2</v>
      </c>
      <c r="L139" s="570">
        <v>0</v>
      </c>
      <c r="M139" s="599">
        <f t="shared" si="26"/>
        <v>0</v>
      </c>
      <c r="N139" s="570">
        <v>88637</v>
      </c>
      <c r="O139" s="570">
        <v>0</v>
      </c>
      <c r="P139" s="570">
        <v>88637</v>
      </c>
      <c r="Q139" s="570">
        <v>1000000</v>
      </c>
      <c r="R139" s="599">
        <f t="shared" si="27"/>
        <v>8.8636999999999994E-2</v>
      </c>
      <c r="S139" s="570">
        <v>1114032</v>
      </c>
      <c r="T139" s="599">
        <f t="shared" si="28"/>
        <v>7.9564141784078016E-2</v>
      </c>
      <c r="U139" s="570">
        <v>0</v>
      </c>
      <c r="V139" s="570">
        <v>0</v>
      </c>
      <c r="W139" s="570">
        <v>0</v>
      </c>
      <c r="X139" s="570">
        <v>0</v>
      </c>
      <c r="Y139" s="570">
        <v>28376952</v>
      </c>
      <c r="Z139" s="599">
        <f t="shared" si="29"/>
        <v>0</v>
      </c>
      <c r="AA139" s="575"/>
      <c r="AB139" s="575"/>
      <c r="AC139" s="577"/>
    </row>
    <row r="140" spans="1:29" ht="12.75" customHeight="1">
      <c r="A140" s="450">
        <v>18</v>
      </c>
      <c r="B140" s="465" t="s">
        <v>497</v>
      </c>
      <c r="C140" s="465" t="s">
        <v>249</v>
      </c>
      <c r="D140" s="569" t="s">
        <v>15</v>
      </c>
      <c r="E140" s="570">
        <v>54251.95</v>
      </c>
      <c r="F140" s="570">
        <v>5309.41</v>
      </c>
      <c r="G140" s="570">
        <v>59561.36</v>
      </c>
      <c r="H140" s="570">
        <v>150000</v>
      </c>
      <c r="I140" s="599">
        <f t="shared" si="24"/>
        <v>0.39707573333333335</v>
      </c>
      <c r="J140" s="570">
        <v>150000</v>
      </c>
      <c r="K140" s="599">
        <f t="shared" si="25"/>
        <v>0.39707573333333335</v>
      </c>
      <c r="L140" s="570">
        <v>0</v>
      </c>
      <c r="M140" s="599">
        <f t="shared" si="26"/>
        <v>0</v>
      </c>
      <c r="N140" s="570">
        <v>1304257</v>
      </c>
      <c r="O140" s="570">
        <v>0</v>
      </c>
      <c r="P140" s="570">
        <v>1304257</v>
      </c>
      <c r="Q140" s="570">
        <v>4500000</v>
      </c>
      <c r="R140" s="599">
        <f t="shared" si="27"/>
        <v>0.28983488888888886</v>
      </c>
      <c r="S140" s="570">
        <v>4500000</v>
      </c>
      <c r="T140" s="599">
        <f t="shared" si="28"/>
        <v>0.28983488888888886</v>
      </c>
      <c r="U140" s="570">
        <v>0</v>
      </c>
      <c r="V140" s="570">
        <v>0</v>
      </c>
      <c r="W140" s="570">
        <v>0</v>
      </c>
      <c r="X140" s="570">
        <v>0</v>
      </c>
      <c r="Y140" s="570">
        <v>0</v>
      </c>
      <c r="Z140" s="599" t="e">
        <f t="shared" si="29"/>
        <v>#DIV/0!</v>
      </c>
      <c r="AA140" s="575"/>
      <c r="AB140" s="575"/>
      <c r="AC140" s="577"/>
    </row>
    <row r="141" spans="1:29" ht="12.75" customHeight="1">
      <c r="A141" s="450">
        <v>19</v>
      </c>
      <c r="B141" s="465" t="s">
        <v>496</v>
      </c>
      <c r="C141" s="465" t="s">
        <v>249</v>
      </c>
      <c r="D141" s="569" t="s">
        <v>15</v>
      </c>
      <c r="E141" s="570">
        <v>21861.16</v>
      </c>
      <c r="F141" s="570">
        <v>2092.64</v>
      </c>
      <c r="G141" s="570">
        <v>23953.8</v>
      </c>
      <c r="H141" s="570">
        <v>150000</v>
      </c>
      <c r="I141" s="599">
        <f t="shared" si="24"/>
        <v>0.159692</v>
      </c>
      <c r="J141" s="570">
        <v>150000</v>
      </c>
      <c r="K141" s="599">
        <f t="shared" si="25"/>
        <v>0.159692</v>
      </c>
      <c r="L141" s="570">
        <v>0</v>
      </c>
      <c r="M141" s="599">
        <f t="shared" si="26"/>
        <v>0</v>
      </c>
      <c r="N141" s="570">
        <v>529435</v>
      </c>
      <c r="O141" s="570">
        <v>0</v>
      </c>
      <c r="P141" s="570">
        <v>529435</v>
      </c>
      <c r="Q141" s="570">
        <v>4500000</v>
      </c>
      <c r="R141" s="599">
        <f t="shared" si="27"/>
        <v>0.11765222222222223</v>
      </c>
      <c r="S141" s="570">
        <v>4500000</v>
      </c>
      <c r="T141" s="599">
        <f t="shared" si="28"/>
        <v>0.11765222222222223</v>
      </c>
      <c r="U141" s="570">
        <v>0</v>
      </c>
      <c r="V141" s="570">
        <v>0</v>
      </c>
      <c r="W141" s="570">
        <v>0</v>
      </c>
      <c r="X141" s="570">
        <v>0</v>
      </c>
      <c r="Y141" s="570">
        <v>0</v>
      </c>
      <c r="Z141" s="599" t="e">
        <f t="shared" si="29"/>
        <v>#DIV/0!</v>
      </c>
      <c r="AA141" s="575"/>
      <c r="AB141" s="575"/>
      <c r="AC141" s="577"/>
    </row>
    <row r="142" spans="1:29" ht="12.75" customHeight="1">
      <c r="A142" s="450">
        <v>20</v>
      </c>
      <c r="B142" s="465" t="s">
        <v>498</v>
      </c>
      <c r="C142" s="465" t="s">
        <v>249</v>
      </c>
      <c r="D142" s="569" t="s">
        <v>15</v>
      </c>
      <c r="E142" s="570">
        <v>54605.440000000002</v>
      </c>
      <c r="F142" s="570">
        <v>5302.15</v>
      </c>
      <c r="G142" s="570">
        <v>59907.59</v>
      </c>
      <c r="H142" s="570">
        <v>150000</v>
      </c>
      <c r="I142" s="599">
        <f t="shared" si="24"/>
        <v>0.39938393333333333</v>
      </c>
      <c r="J142" s="570">
        <v>150000</v>
      </c>
      <c r="K142" s="599">
        <f t="shared" si="25"/>
        <v>0.39938393333333333</v>
      </c>
      <c r="L142" s="570">
        <v>0</v>
      </c>
      <c r="M142" s="599">
        <f t="shared" si="26"/>
        <v>0</v>
      </c>
      <c r="N142" s="570">
        <v>1318741</v>
      </c>
      <c r="O142" s="570">
        <v>0</v>
      </c>
      <c r="P142" s="570">
        <v>1318741</v>
      </c>
      <c r="Q142" s="570">
        <v>4500000</v>
      </c>
      <c r="R142" s="599">
        <f t="shared" si="27"/>
        <v>0.29305355555555557</v>
      </c>
      <c r="S142" s="570">
        <v>4500000</v>
      </c>
      <c r="T142" s="599">
        <f t="shared" si="28"/>
        <v>0.29305355555555557</v>
      </c>
      <c r="U142" s="570">
        <v>0</v>
      </c>
      <c r="V142" s="570">
        <v>0</v>
      </c>
      <c r="W142" s="570">
        <v>0</v>
      </c>
      <c r="X142" s="570">
        <v>0</v>
      </c>
      <c r="Y142" s="570">
        <v>0</v>
      </c>
      <c r="Z142" s="599" t="e">
        <f t="shared" si="29"/>
        <v>#DIV/0!</v>
      </c>
      <c r="AA142" s="575"/>
      <c r="AB142" s="575"/>
      <c r="AC142" s="577"/>
    </row>
    <row r="143" spans="1:29" ht="12.75" customHeight="1">
      <c r="A143" s="450">
        <v>21</v>
      </c>
      <c r="B143" s="465" t="s">
        <v>492</v>
      </c>
      <c r="C143" s="465" t="s">
        <v>249</v>
      </c>
      <c r="D143" s="569" t="s">
        <v>15</v>
      </c>
      <c r="E143" s="570">
        <v>64588.27</v>
      </c>
      <c r="F143" s="570">
        <v>6327.52</v>
      </c>
      <c r="G143" s="570">
        <v>70915.8</v>
      </c>
      <c r="H143" s="570">
        <v>150000</v>
      </c>
      <c r="I143" s="599">
        <f t="shared" si="24"/>
        <v>0.47277200000000003</v>
      </c>
      <c r="J143" s="570">
        <v>150000</v>
      </c>
      <c r="K143" s="599">
        <f t="shared" si="25"/>
        <v>0.47277200000000003</v>
      </c>
      <c r="L143" s="570">
        <v>0</v>
      </c>
      <c r="M143" s="599">
        <f t="shared" si="26"/>
        <v>0</v>
      </c>
      <c r="N143" s="570">
        <v>1599697</v>
      </c>
      <c r="O143" s="570">
        <v>0</v>
      </c>
      <c r="P143" s="570">
        <v>1599697</v>
      </c>
      <c r="Q143" s="570">
        <v>4500000</v>
      </c>
      <c r="R143" s="599">
        <f t="shared" si="27"/>
        <v>0.35548822222222221</v>
      </c>
      <c r="S143" s="570">
        <v>4500000</v>
      </c>
      <c r="T143" s="599">
        <f t="shared" si="28"/>
        <v>0.35548822222222221</v>
      </c>
      <c r="U143" s="570">
        <v>0</v>
      </c>
      <c r="V143" s="570">
        <v>0</v>
      </c>
      <c r="W143" s="570">
        <v>0</v>
      </c>
      <c r="X143" s="570">
        <v>0</v>
      </c>
      <c r="Y143" s="570">
        <v>0</v>
      </c>
      <c r="Z143" s="599" t="e">
        <f t="shared" si="29"/>
        <v>#DIV/0!</v>
      </c>
      <c r="AA143" s="575"/>
      <c r="AB143" s="575"/>
      <c r="AC143" s="577"/>
    </row>
    <row r="144" spans="1:29" ht="12.75" customHeight="1">
      <c r="A144" s="450">
        <v>22</v>
      </c>
      <c r="B144" s="465" t="s">
        <v>451</v>
      </c>
      <c r="C144" s="465" t="s">
        <v>249</v>
      </c>
      <c r="D144" s="569" t="s">
        <v>15</v>
      </c>
      <c r="E144" s="570">
        <v>37948.06</v>
      </c>
      <c r="F144" s="570">
        <v>3690.87</v>
      </c>
      <c r="G144" s="570">
        <v>41638.93</v>
      </c>
      <c r="H144" s="570">
        <v>150000</v>
      </c>
      <c r="I144" s="599">
        <f t="shared" si="24"/>
        <v>0.27759286666666666</v>
      </c>
      <c r="J144" s="570">
        <v>150000</v>
      </c>
      <c r="K144" s="599">
        <f t="shared" si="25"/>
        <v>0.27759286666666666</v>
      </c>
      <c r="L144" s="570">
        <v>0</v>
      </c>
      <c r="M144" s="599">
        <f t="shared" si="26"/>
        <v>0</v>
      </c>
      <c r="N144" s="570">
        <v>768459</v>
      </c>
      <c r="O144" s="570">
        <v>0</v>
      </c>
      <c r="P144" s="570">
        <v>768459</v>
      </c>
      <c r="Q144" s="570">
        <v>4500000</v>
      </c>
      <c r="R144" s="599">
        <f t="shared" si="27"/>
        <v>0.17076866666666668</v>
      </c>
      <c r="S144" s="570">
        <v>4500000</v>
      </c>
      <c r="T144" s="599">
        <f t="shared" si="28"/>
        <v>0.17076866666666668</v>
      </c>
      <c r="U144" s="570">
        <v>0</v>
      </c>
      <c r="V144" s="570">
        <v>0</v>
      </c>
      <c r="W144" s="570">
        <v>0</v>
      </c>
      <c r="X144" s="570">
        <v>0</v>
      </c>
      <c r="Y144" s="570">
        <v>0</v>
      </c>
      <c r="Z144" s="599" t="e">
        <f t="shared" si="29"/>
        <v>#DIV/0!</v>
      </c>
      <c r="AA144" s="575"/>
      <c r="AB144" s="575"/>
      <c r="AC144" s="577"/>
    </row>
    <row r="145" spans="1:29" ht="12.75" customHeight="1">
      <c r="A145" s="450">
        <v>23</v>
      </c>
      <c r="B145" s="465" t="s">
        <v>452</v>
      </c>
      <c r="C145" s="465" t="s">
        <v>249</v>
      </c>
      <c r="D145" s="569" t="s">
        <v>15</v>
      </c>
      <c r="E145" s="570">
        <v>37978.769999999997</v>
      </c>
      <c r="F145" s="570">
        <v>3720.07</v>
      </c>
      <c r="G145" s="570">
        <v>41698.83</v>
      </c>
      <c r="H145" s="570">
        <v>150000</v>
      </c>
      <c r="I145" s="599">
        <f t="shared" si="24"/>
        <v>0.27799220000000002</v>
      </c>
      <c r="J145" s="570">
        <v>150000</v>
      </c>
      <c r="K145" s="599">
        <f t="shared" si="25"/>
        <v>0.27799220000000002</v>
      </c>
      <c r="L145" s="570">
        <v>0</v>
      </c>
      <c r="M145" s="599">
        <f t="shared" si="26"/>
        <v>0</v>
      </c>
      <c r="N145" s="570">
        <v>769906</v>
      </c>
      <c r="O145" s="570">
        <v>0</v>
      </c>
      <c r="P145" s="570">
        <v>769906</v>
      </c>
      <c r="Q145" s="570">
        <v>4500000</v>
      </c>
      <c r="R145" s="599">
        <f t="shared" si="27"/>
        <v>0.17109022222222223</v>
      </c>
      <c r="S145" s="570">
        <v>4500000</v>
      </c>
      <c r="T145" s="599">
        <f t="shared" si="28"/>
        <v>0.17109022222222223</v>
      </c>
      <c r="U145" s="570">
        <v>0</v>
      </c>
      <c r="V145" s="570">
        <v>0</v>
      </c>
      <c r="W145" s="570">
        <v>0</v>
      </c>
      <c r="X145" s="570">
        <v>0</v>
      </c>
      <c r="Y145" s="570">
        <v>0</v>
      </c>
      <c r="Z145" s="599" t="e">
        <f t="shared" si="29"/>
        <v>#DIV/0!</v>
      </c>
      <c r="AA145" s="575"/>
      <c r="AB145" s="575"/>
      <c r="AC145" s="577"/>
    </row>
    <row r="146" spans="1:29" ht="12.75" customHeight="1">
      <c r="A146" s="450">
        <v>24</v>
      </c>
      <c r="B146" s="465" t="s">
        <v>453</v>
      </c>
      <c r="C146" s="465" t="s">
        <v>249</v>
      </c>
      <c r="D146" s="569" t="s">
        <v>15</v>
      </c>
      <c r="E146" s="570">
        <v>37848.57</v>
      </c>
      <c r="F146" s="570">
        <v>3782.95</v>
      </c>
      <c r="G146" s="570">
        <v>41631.53</v>
      </c>
      <c r="H146" s="570">
        <v>150000</v>
      </c>
      <c r="I146" s="599">
        <f t="shared" si="24"/>
        <v>0.27754353333333331</v>
      </c>
      <c r="J146" s="570">
        <v>150000</v>
      </c>
      <c r="K146" s="599">
        <f t="shared" si="25"/>
        <v>0.27754353333333331</v>
      </c>
      <c r="L146" s="570">
        <v>0</v>
      </c>
      <c r="M146" s="599">
        <f t="shared" si="26"/>
        <v>0</v>
      </c>
      <c r="N146" s="570">
        <v>775626</v>
      </c>
      <c r="O146" s="570">
        <v>0</v>
      </c>
      <c r="P146" s="570">
        <v>775626</v>
      </c>
      <c r="Q146" s="570">
        <v>4500000</v>
      </c>
      <c r="R146" s="599">
        <f t="shared" si="27"/>
        <v>0.17236133333333334</v>
      </c>
      <c r="S146" s="570">
        <v>4500000</v>
      </c>
      <c r="T146" s="599">
        <f t="shared" si="28"/>
        <v>0.17236133333333334</v>
      </c>
      <c r="U146" s="570">
        <v>0</v>
      </c>
      <c r="V146" s="570">
        <v>0</v>
      </c>
      <c r="W146" s="570">
        <v>0</v>
      </c>
      <c r="X146" s="570">
        <v>0</v>
      </c>
      <c r="Y146" s="570">
        <v>0</v>
      </c>
      <c r="Z146" s="599" t="e">
        <f t="shared" si="29"/>
        <v>#DIV/0!</v>
      </c>
      <c r="AA146" s="575"/>
      <c r="AB146" s="575"/>
      <c r="AC146" s="577"/>
    </row>
    <row r="147" spans="1:29" ht="12.75" customHeight="1">
      <c r="A147" s="450">
        <v>25</v>
      </c>
      <c r="B147" s="465" t="s">
        <v>491</v>
      </c>
      <c r="C147" s="465" t="s">
        <v>249</v>
      </c>
      <c r="D147" s="569" t="s">
        <v>15</v>
      </c>
      <c r="E147" s="570">
        <v>38201.269999999997</v>
      </c>
      <c r="F147" s="570">
        <v>3796.54</v>
      </c>
      <c r="G147" s="570">
        <v>41997.81</v>
      </c>
      <c r="H147" s="570">
        <v>150000</v>
      </c>
      <c r="I147" s="599">
        <f t="shared" si="24"/>
        <v>0.2799854</v>
      </c>
      <c r="J147" s="570">
        <v>150000</v>
      </c>
      <c r="K147" s="599">
        <f t="shared" si="25"/>
        <v>0.2799854</v>
      </c>
      <c r="L147" s="570">
        <v>0</v>
      </c>
      <c r="M147" s="599">
        <f t="shared" si="26"/>
        <v>0</v>
      </c>
      <c r="N147" s="570">
        <v>780730</v>
      </c>
      <c r="O147" s="570">
        <v>0</v>
      </c>
      <c r="P147" s="570">
        <v>780730</v>
      </c>
      <c r="Q147" s="570">
        <v>4500000</v>
      </c>
      <c r="R147" s="599">
        <f t="shared" si="27"/>
        <v>0.17349555555555554</v>
      </c>
      <c r="S147" s="570">
        <v>4500000</v>
      </c>
      <c r="T147" s="599">
        <f t="shared" si="28"/>
        <v>0.17349555555555554</v>
      </c>
      <c r="U147" s="570">
        <v>0</v>
      </c>
      <c r="V147" s="570">
        <v>0</v>
      </c>
      <c r="W147" s="570">
        <v>0</v>
      </c>
      <c r="X147" s="570">
        <v>0</v>
      </c>
      <c r="Y147" s="570">
        <v>0</v>
      </c>
      <c r="Z147" s="599" t="e">
        <f t="shared" si="29"/>
        <v>#DIV/0!</v>
      </c>
      <c r="AA147" s="575"/>
      <c r="AB147" s="575"/>
      <c r="AC147" s="577"/>
    </row>
    <row r="148" spans="1:29" ht="12.75" customHeight="1">
      <c r="A148" s="450">
        <v>26</v>
      </c>
      <c r="B148" s="465" t="s">
        <v>279</v>
      </c>
      <c r="C148" s="465" t="s">
        <v>4</v>
      </c>
      <c r="D148" s="569" t="s">
        <v>15</v>
      </c>
      <c r="E148" s="570">
        <v>129999.71</v>
      </c>
      <c r="F148" s="570">
        <v>12374.27</v>
      </c>
      <c r="G148" s="570">
        <v>142373.98000000001</v>
      </c>
      <c r="H148" s="570">
        <v>180000</v>
      </c>
      <c r="I148" s="599">
        <f t="shared" si="24"/>
        <v>0.79096655555555562</v>
      </c>
      <c r="J148" s="570">
        <v>200000</v>
      </c>
      <c r="K148" s="599">
        <f t="shared" si="25"/>
        <v>0.71186990000000006</v>
      </c>
      <c r="L148" s="570">
        <v>68711.78</v>
      </c>
      <c r="M148" s="599">
        <f t="shared" si="26"/>
        <v>0.3435589</v>
      </c>
      <c r="N148" s="570">
        <v>3550605</v>
      </c>
      <c r="O148" s="570">
        <v>68662</v>
      </c>
      <c r="P148" s="570">
        <v>3619267</v>
      </c>
      <c r="Q148" s="570">
        <v>4000000</v>
      </c>
      <c r="R148" s="599">
        <f t="shared" si="27"/>
        <v>0.90481674999999995</v>
      </c>
      <c r="S148" s="570">
        <v>4063232</v>
      </c>
      <c r="T148" s="599">
        <f t="shared" si="28"/>
        <v>0.89073599538495463</v>
      </c>
      <c r="U148" s="570">
        <v>53327</v>
      </c>
      <c r="V148" s="570">
        <v>1964353</v>
      </c>
      <c r="W148" s="570">
        <v>2017680</v>
      </c>
      <c r="X148" s="570">
        <v>2018888</v>
      </c>
      <c r="Y148" s="570">
        <v>4063232</v>
      </c>
      <c r="Z148" s="599">
        <f t="shared" si="29"/>
        <v>0.49686751827116937</v>
      </c>
      <c r="AA148" s="575"/>
      <c r="AB148" s="575"/>
      <c r="AC148" s="577"/>
    </row>
    <row r="149" spans="1:29" ht="12.75" customHeight="1">
      <c r="A149" s="450">
        <v>27</v>
      </c>
      <c r="B149" s="465" t="s">
        <v>337</v>
      </c>
      <c r="C149" s="465" t="s">
        <v>4</v>
      </c>
      <c r="D149" s="569" t="s">
        <v>15</v>
      </c>
      <c r="E149" s="570">
        <v>130825.9</v>
      </c>
      <c r="F149" s="570">
        <v>12344.89</v>
      </c>
      <c r="G149" s="570">
        <v>143170.79</v>
      </c>
      <c r="H149" s="570">
        <v>180000</v>
      </c>
      <c r="I149" s="599">
        <f t="shared" si="24"/>
        <v>0.7953932777777778</v>
      </c>
      <c r="J149" s="570">
        <v>150000</v>
      </c>
      <c r="K149" s="599">
        <f t="shared" si="25"/>
        <v>0.95447193333333336</v>
      </c>
      <c r="L149" s="570">
        <v>68837.94</v>
      </c>
      <c r="M149" s="599">
        <f t="shared" si="26"/>
        <v>0.45891960000000004</v>
      </c>
      <c r="N149" s="570">
        <v>3564073</v>
      </c>
      <c r="O149" s="570">
        <v>70979</v>
      </c>
      <c r="P149" s="570">
        <v>3635052</v>
      </c>
      <c r="Q149" s="570">
        <v>4000000</v>
      </c>
      <c r="R149" s="599">
        <f t="shared" si="27"/>
        <v>0.90876299999999999</v>
      </c>
      <c r="S149" s="570">
        <v>3538836</v>
      </c>
      <c r="T149" s="599">
        <f t="shared" si="28"/>
        <v>1.0271886009976161</v>
      </c>
      <c r="U149" s="570">
        <v>55472</v>
      </c>
      <c r="V149" s="570">
        <v>1973016</v>
      </c>
      <c r="W149" s="570">
        <v>2028488</v>
      </c>
      <c r="X149" s="570">
        <v>2029704</v>
      </c>
      <c r="Y149" s="570">
        <v>0</v>
      </c>
      <c r="Z149" s="599" t="e">
        <f t="shared" si="29"/>
        <v>#DIV/0!</v>
      </c>
      <c r="AA149" s="575"/>
      <c r="AB149" s="575"/>
      <c r="AC149" s="577"/>
    </row>
    <row r="150" spans="1:29">
      <c r="A150" s="450">
        <v>28</v>
      </c>
      <c r="B150" s="601" t="s">
        <v>75</v>
      </c>
      <c r="C150" s="601" t="s">
        <v>4</v>
      </c>
      <c r="D150" s="569" t="s">
        <v>25</v>
      </c>
      <c r="E150" s="570">
        <v>57814.05</v>
      </c>
      <c r="F150" s="570">
        <v>5059.3599999999997</v>
      </c>
      <c r="G150" s="570">
        <v>62873.41</v>
      </c>
      <c r="H150" s="570">
        <v>80000</v>
      </c>
      <c r="I150" s="599">
        <f t="shared" si="24"/>
        <v>0.78591762500000006</v>
      </c>
      <c r="J150" s="570">
        <v>60000</v>
      </c>
      <c r="K150" s="599">
        <f t="shared" si="25"/>
        <v>1.0478901666666667</v>
      </c>
      <c r="L150" s="570">
        <v>11401.87</v>
      </c>
      <c r="M150" s="599">
        <f t="shared" si="26"/>
        <v>0.19003116666666667</v>
      </c>
      <c r="N150" s="570">
        <v>1381779</v>
      </c>
      <c r="O150" s="570">
        <v>37072</v>
      </c>
      <c r="P150" s="570">
        <v>1418851</v>
      </c>
      <c r="Q150" s="570">
        <v>1500000</v>
      </c>
      <c r="R150" s="599">
        <f t="shared" si="27"/>
        <v>0.94590066666666661</v>
      </c>
      <c r="S150" s="570">
        <v>1690000</v>
      </c>
      <c r="T150" s="599">
        <f t="shared" si="28"/>
        <v>0.83955680473372785</v>
      </c>
      <c r="U150" s="570">
        <v>10726</v>
      </c>
      <c r="V150" s="570">
        <v>764517</v>
      </c>
      <c r="W150" s="570">
        <v>775243</v>
      </c>
      <c r="X150" s="570">
        <v>779224</v>
      </c>
      <c r="Y150" s="570">
        <v>1495000</v>
      </c>
      <c r="Z150" s="599">
        <f t="shared" si="29"/>
        <v>0.52122006688963207</v>
      </c>
      <c r="AA150" s="602">
        <f t="shared" ref="AA150:AA155" si="32">SUM($G$150:$G$155)/(SUM($H$150:$H$155)-$H$155)</f>
        <v>1.0629886226415093</v>
      </c>
      <c r="AB150" s="602">
        <f t="shared" ref="AB150:AB155" si="33">SUM($P$150:$P$155)/(SUM($S$150:$S$155)-$S$155)</f>
        <v>1.0947088204763422</v>
      </c>
      <c r="AC150" s="1108" t="s">
        <v>704</v>
      </c>
    </row>
    <row r="151" spans="1:29">
      <c r="A151" s="450">
        <v>29</v>
      </c>
      <c r="B151" s="601" t="s">
        <v>77</v>
      </c>
      <c r="C151" s="601" t="s">
        <v>4</v>
      </c>
      <c r="D151" s="569" t="s">
        <v>25</v>
      </c>
      <c r="E151" s="570">
        <v>57186.52</v>
      </c>
      <c r="F151" s="570">
        <v>5146.8500000000004</v>
      </c>
      <c r="G151" s="570">
        <v>62333.37</v>
      </c>
      <c r="H151" s="570">
        <v>80000</v>
      </c>
      <c r="I151" s="599">
        <f t="shared" si="24"/>
        <v>0.77916712500000007</v>
      </c>
      <c r="J151" s="570">
        <v>60000</v>
      </c>
      <c r="K151" s="599">
        <f t="shared" si="25"/>
        <v>1.0388895</v>
      </c>
      <c r="L151" s="570">
        <v>11910.22</v>
      </c>
      <c r="M151" s="599">
        <f t="shared" si="26"/>
        <v>0.19850366666666666</v>
      </c>
      <c r="N151" s="570">
        <v>1380219</v>
      </c>
      <c r="O151" s="570">
        <v>36753</v>
      </c>
      <c r="P151" s="570">
        <v>1416972</v>
      </c>
      <c r="Q151" s="570">
        <v>1500000</v>
      </c>
      <c r="R151" s="599">
        <f t="shared" si="27"/>
        <v>0.94464800000000004</v>
      </c>
      <c r="S151" s="570">
        <v>1690000</v>
      </c>
      <c r="T151" s="599">
        <f t="shared" si="28"/>
        <v>0.83844497041420118</v>
      </c>
      <c r="U151" s="570">
        <v>10607</v>
      </c>
      <c r="V151" s="570">
        <v>761791</v>
      </c>
      <c r="W151" s="570">
        <v>772398</v>
      </c>
      <c r="X151" s="570">
        <v>776447</v>
      </c>
      <c r="Y151" s="570">
        <v>1495000</v>
      </c>
      <c r="Z151" s="599">
        <f t="shared" si="29"/>
        <v>0.51936254180602004</v>
      </c>
      <c r="AA151" s="602">
        <f t="shared" si="32"/>
        <v>1.0629886226415093</v>
      </c>
      <c r="AB151" s="602">
        <f t="shared" si="33"/>
        <v>1.0947088204763422</v>
      </c>
      <c r="AC151" s="1108"/>
    </row>
    <row r="152" spans="1:29">
      <c r="A152" s="450">
        <v>30</v>
      </c>
      <c r="B152" s="601" t="s">
        <v>78</v>
      </c>
      <c r="C152" s="601" t="s">
        <v>4</v>
      </c>
      <c r="D152" s="569" t="s">
        <v>25</v>
      </c>
      <c r="E152" s="570">
        <v>69091.47</v>
      </c>
      <c r="F152" s="570">
        <v>6591.28</v>
      </c>
      <c r="G152" s="570">
        <v>75682.75</v>
      </c>
      <c r="H152" s="570">
        <v>80000</v>
      </c>
      <c r="I152" s="599">
        <f t="shared" si="24"/>
        <v>0.94603437499999998</v>
      </c>
      <c r="J152" s="570">
        <v>70000</v>
      </c>
      <c r="K152" s="599">
        <f t="shared" si="25"/>
        <v>1.0811821428571429</v>
      </c>
      <c r="L152" s="570">
        <v>37087.089999999997</v>
      </c>
      <c r="M152" s="599">
        <f t="shared" si="26"/>
        <v>0.52981557142857139</v>
      </c>
      <c r="N152" s="570">
        <v>1851063</v>
      </c>
      <c r="O152" s="570">
        <v>22344</v>
      </c>
      <c r="P152" s="570">
        <v>1873407</v>
      </c>
      <c r="Q152" s="570">
        <v>2000000</v>
      </c>
      <c r="R152" s="599">
        <f t="shared" si="27"/>
        <v>0.93670350000000002</v>
      </c>
      <c r="S152" s="570">
        <v>2148216</v>
      </c>
      <c r="T152" s="599">
        <f t="shared" si="28"/>
        <v>0.87207571305678755</v>
      </c>
      <c r="U152" s="570">
        <v>14106</v>
      </c>
      <c r="V152" s="570">
        <v>1061856</v>
      </c>
      <c r="W152" s="570">
        <v>1075962</v>
      </c>
      <c r="X152" s="570">
        <v>1080011</v>
      </c>
      <c r="Y152" s="570">
        <v>1755000</v>
      </c>
      <c r="Z152" s="599">
        <f t="shared" si="29"/>
        <v>0.6153908831908832</v>
      </c>
      <c r="AA152" s="602">
        <f t="shared" si="32"/>
        <v>1.0629886226415093</v>
      </c>
      <c r="AB152" s="602">
        <f t="shared" si="33"/>
        <v>1.0947088204763422</v>
      </c>
      <c r="AC152" s="1108"/>
    </row>
    <row r="153" spans="1:29">
      <c r="A153" s="450">
        <v>31</v>
      </c>
      <c r="B153" s="601" t="s">
        <v>80</v>
      </c>
      <c r="C153" s="601" t="s">
        <v>4</v>
      </c>
      <c r="D153" s="569" t="s">
        <v>25</v>
      </c>
      <c r="E153" s="570">
        <v>75725.98</v>
      </c>
      <c r="F153" s="570">
        <v>6539.69</v>
      </c>
      <c r="G153" s="570">
        <v>82265.67</v>
      </c>
      <c r="H153" s="570">
        <v>110000</v>
      </c>
      <c r="I153" s="599">
        <f t="shared" si="24"/>
        <v>0.74786972727272727</v>
      </c>
      <c r="J153" s="570">
        <v>90000</v>
      </c>
      <c r="K153" s="599">
        <f t="shared" si="25"/>
        <v>0.91406299999999996</v>
      </c>
      <c r="L153" s="570">
        <v>37442.660000000003</v>
      </c>
      <c r="M153" s="599">
        <f t="shared" si="26"/>
        <v>0.4160295555555556</v>
      </c>
      <c r="N153" s="570">
        <v>1770048</v>
      </c>
      <c r="O153" s="570">
        <v>22093</v>
      </c>
      <c r="P153" s="570">
        <v>1792141</v>
      </c>
      <c r="Q153" s="570">
        <v>1800000</v>
      </c>
      <c r="R153" s="599">
        <f t="shared" si="27"/>
        <v>0.99563388888888893</v>
      </c>
      <c r="S153" s="570">
        <v>2015000</v>
      </c>
      <c r="T153" s="599">
        <f t="shared" si="28"/>
        <v>0.88939999999999997</v>
      </c>
      <c r="U153" s="570">
        <v>13279</v>
      </c>
      <c r="V153" s="570">
        <v>996180</v>
      </c>
      <c r="W153" s="570">
        <v>1009459</v>
      </c>
      <c r="X153" s="570">
        <v>1013573</v>
      </c>
      <c r="Y153" s="570">
        <v>2535000</v>
      </c>
      <c r="Z153" s="599">
        <f t="shared" si="29"/>
        <v>0.39983155818540433</v>
      </c>
      <c r="AA153" s="602">
        <f t="shared" si="32"/>
        <v>1.0629886226415093</v>
      </c>
      <c r="AB153" s="602">
        <f t="shared" si="33"/>
        <v>1.0947088204763422</v>
      </c>
      <c r="AC153" s="1108"/>
    </row>
    <row r="154" spans="1:29">
      <c r="A154" s="450">
        <v>32</v>
      </c>
      <c r="B154" s="601" t="s">
        <v>81</v>
      </c>
      <c r="C154" s="601" t="s">
        <v>4</v>
      </c>
      <c r="D154" s="569" t="s">
        <v>25</v>
      </c>
      <c r="E154" s="570">
        <v>129483.51</v>
      </c>
      <c r="F154" s="570">
        <v>11216.17</v>
      </c>
      <c r="G154" s="570">
        <v>140699.68</v>
      </c>
      <c r="H154" s="570">
        <v>180000</v>
      </c>
      <c r="I154" s="599">
        <f t="shared" si="24"/>
        <v>0.78166488888888885</v>
      </c>
      <c r="J154" s="570">
        <v>200000</v>
      </c>
      <c r="K154" s="599">
        <f t="shared" si="25"/>
        <v>0.70349839999999997</v>
      </c>
      <c r="L154" s="570">
        <v>64344.72</v>
      </c>
      <c r="M154" s="599">
        <f t="shared" si="26"/>
        <v>0.3217236</v>
      </c>
      <c r="N154" s="570">
        <v>3056845</v>
      </c>
      <c r="O154" s="570">
        <v>33668</v>
      </c>
      <c r="P154" s="570">
        <v>3090513</v>
      </c>
      <c r="Q154" s="570">
        <v>4000000</v>
      </c>
      <c r="R154" s="599">
        <f t="shared" si="27"/>
        <v>0.77262825000000002</v>
      </c>
      <c r="S154" s="570">
        <v>4063232</v>
      </c>
      <c r="T154" s="599">
        <f t="shared" si="28"/>
        <v>0.7606046122889365</v>
      </c>
      <c r="U154" s="570">
        <v>21795</v>
      </c>
      <c r="V154" s="570">
        <v>1740337</v>
      </c>
      <c r="W154" s="570">
        <v>1762132</v>
      </c>
      <c r="X154" s="570">
        <v>1766491</v>
      </c>
      <c r="Y154" s="570">
        <v>4063232</v>
      </c>
      <c r="Z154" s="599">
        <f t="shared" si="29"/>
        <v>0.43475021854523688</v>
      </c>
      <c r="AA154" s="602">
        <f t="shared" si="32"/>
        <v>1.0629886226415093</v>
      </c>
      <c r="AB154" s="602">
        <f t="shared" si="33"/>
        <v>1.0947088204763422</v>
      </c>
      <c r="AC154" s="1108"/>
    </row>
    <row r="155" spans="1:29" ht="12.75" customHeight="1">
      <c r="A155" s="450">
        <v>33</v>
      </c>
      <c r="B155" s="601" t="s">
        <v>83</v>
      </c>
      <c r="C155" s="601" t="s">
        <v>4</v>
      </c>
      <c r="D155" s="569" t="s">
        <v>25</v>
      </c>
      <c r="E155" s="570">
        <v>128449.13</v>
      </c>
      <c r="F155" s="570">
        <v>11079.96</v>
      </c>
      <c r="G155" s="570">
        <v>139529.09</v>
      </c>
      <c r="H155" s="570">
        <v>180000</v>
      </c>
      <c r="I155" s="599">
        <f t="shared" si="24"/>
        <v>0.77516161111111104</v>
      </c>
      <c r="J155" s="570">
        <v>200000</v>
      </c>
      <c r="K155" s="599">
        <f t="shared" si="25"/>
        <v>0.69764545</v>
      </c>
      <c r="L155" s="570">
        <v>63809.279999999999</v>
      </c>
      <c r="M155" s="599">
        <f t="shared" si="26"/>
        <v>0.31904640000000001</v>
      </c>
      <c r="N155" s="570">
        <v>3080721</v>
      </c>
      <c r="O155" s="570">
        <v>33076</v>
      </c>
      <c r="P155" s="570">
        <v>3113797</v>
      </c>
      <c r="Q155" s="570">
        <v>4000000</v>
      </c>
      <c r="R155" s="599">
        <f t="shared" si="27"/>
        <v>0.77844924999999998</v>
      </c>
      <c r="S155" s="570">
        <v>4063232</v>
      </c>
      <c r="T155" s="599">
        <f t="shared" si="28"/>
        <v>0.76633502591040825</v>
      </c>
      <c r="U155" s="570">
        <v>22231</v>
      </c>
      <c r="V155" s="570">
        <v>1750749</v>
      </c>
      <c r="W155" s="570">
        <v>1772980</v>
      </c>
      <c r="X155" s="570">
        <v>1777401</v>
      </c>
      <c r="Y155" s="570">
        <v>4063232</v>
      </c>
      <c r="Z155" s="599">
        <f t="shared" si="29"/>
        <v>0.43743527320123488</v>
      </c>
      <c r="AA155" s="602">
        <f t="shared" si="32"/>
        <v>1.0629886226415093</v>
      </c>
      <c r="AB155" s="602">
        <f t="shared" si="33"/>
        <v>1.0947088204763422</v>
      </c>
      <c r="AC155" s="577"/>
    </row>
    <row r="156" spans="1:29" ht="12.75" customHeight="1">
      <c r="A156" s="450">
        <v>34</v>
      </c>
      <c r="B156" s="601" t="s">
        <v>276</v>
      </c>
      <c r="C156" s="601" t="s">
        <v>4</v>
      </c>
      <c r="D156" s="569" t="s">
        <v>25</v>
      </c>
      <c r="E156" s="570">
        <v>127330.29</v>
      </c>
      <c r="F156" s="570">
        <v>10985.63</v>
      </c>
      <c r="G156" s="570">
        <v>138315.93</v>
      </c>
      <c r="H156" s="570">
        <v>180000</v>
      </c>
      <c r="I156" s="599">
        <f t="shared" si="24"/>
        <v>0.76842183333333325</v>
      </c>
      <c r="J156" s="570">
        <v>200000</v>
      </c>
      <c r="K156" s="599">
        <f t="shared" si="25"/>
        <v>0.69157964999999999</v>
      </c>
      <c r="L156" s="570">
        <v>62455.64</v>
      </c>
      <c r="M156" s="599">
        <f t="shared" si="26"/>
        <v>0.31227820000000001</v>
      </c>
      <c r="N156" s="570">
        <v>3049814</v>
      </c>
      <c r="O156" s="570">
        <v>32131</v>
      </c>
      <c r="P156" s="570">
        <v>3081945</v>
      </c>
      <c r="Q156" s="570">
        <v>4000000</v>
      </c>
      <c r="R156" s="599">
        <f t="shared" si="27"/>
        <v>0.77048625000000004</v>
      </c>
      <c r="S156" s="570">
        <v>4063232</v>
      </c>
      <c r="T156" s="599">
        <f t="shared" si="28"/>
        <v>0.75849594608429938</v>
      </c>
      <c r="U156" s="570">
        <v>21617</v>
      </c>
      <c r="V156" s="570">
        <v>1739090</v>
      </c>
      <c r="W156" s="570">
        <v>1760707</v>
      </c>
      <c r="X156" s="570">
        <v>1765025</v>
      </c>
      <c r="Y156" s="570">
        <v>4063232</v>
      </c>
      <c r="Z156" s="599">
        <f t="shared" si="29"/>
        <v>0.43438942201675906</v>
      </c>
      <c r="AA156" s="602"/>
      <c r="AB156" s="602"/>
      <c r="AC156" s="577"/>
    </row>
    <row r="157" spans="1:29" ht="12.75" customHeight="1">
      <c r="A157" s="450">
        <v>35</v>
      </c>
      <c r="B157" s="601" t="s">
        <v>359</v>
      </c>
      <c r="C157" s="601" t="s">
        <v>249</v>
      </c>
      <c r="D157" s="569" t="s">
        <v>25</v>
      </c>
      <c r="E157" s="570">
        <v>43211.51</v>
      </c>
      <c r="F157" s="570">
        <v>3474.72</v>
      </c>
      <c r="G157" s="570">
        <v>46686.23</v>
      </c>
      <c r="H157" s="570">
        <v>150000</v>
      </c>
      <c r="I157" s="599">
        <f t="shared" si="24"/>
        <v>0.31124153333333338</v>
      </c>
      <c r="J157" s="570">
        <v>150000</v>
      </c>
      <c r="K157" s="599">
        <f t="shared" si="25"/>
        <v>0.31124153333333338</v>
      </c>
      <c r="L157" s="570">
        <v>0</v>
      </c>
      <c r="M157" s="599">
        <f t="shared" si="26"/>
        <v>0</v>
      </c>
      <c r="N157" s="570">
        <v>745515</v>
      </c>
      <c r="O157" s="570">
        <v>0</v>
      </c>
      <c r="P157" s="570">
        <v>745515</v>
      </c>
      <c r="Q157" s="570">
        <v>3500000</v>
      </c>
      <c r="R157" s="599">
        <f t="shared" si="27"/>
        <v>0.2130042857142857</v>
      </c>
      <c r="S157" s="570">
        <v>3500000</v>
      </c>
      <c r="T157" s="599">
        <f t="shared" si="28"/>
        <v>0.2130042857142857</v>
      </c>
      <c r="U157" s="570">
        <v>0</v>
      </c>
      <c r="V157" s="570">
        <v>0</v>
      </c>
      <c r="W157" s="570">
        <v>0</v>
      </c>
      <c r="X157" s="570">
        <v>0</v>
      </c>
      <c r="Y157" s="570">
        <v>0</v>
      </c>
      <c r="Z157" s="599" t="e">
        <f t="shared" si="29"/>
        <v>#DIV/0!</v>
      </c>
      <c r="AA157" s="602"/>
      <c r="AB157" s="602"/>
      <c r="AC157" s="577"/>
    </row>
    <row r="158" spans="1:29" ht="12.75" customHeight="1">
      <c r="A158" s="450">
        <v>36</v>
      </c>
      <c r="B158" s="601" t="s">
        <v>360</v>
      </c>
      <c r="C158" s="601" t="s">
        <v>249</v>
      </c>
      <c r="D158" s="569" t="s">
        <v>25</v>
      </c>
      <c r="E158" s="570">
        <v>43137.32</v>
      </c>
      <c r="F158" s="570">
        <v>3512.53</v>
      </c>
      <c r="G158" s="570">
        <v>46649.86</v>
      </c>
      <c r="H158" s="570">
        <v>150000</v>
      </c>
      <c r="I158" s="599">
        <f t="shared" si="24"/>
        <v>0.31099906666666666</v>
      </c>
      <c r="J158" s="570">
        <v>150000</v>
      </c>
      <c r="K158" s="599">
        <f t="shared" si="25"/>
        <v>0.31099906666666666</v>
      </c>
      <c r="L158" s="570">
        <v>0</v>
      </c>
      <c r="M158" s="599">
        <f t="shared" si="26"/>
        <v>0</v>
      </c>
      <c r="N158" s="570">
        <v>751200</v>
      </c>
      <c r="O158" s="570">
        <v>0</v>
      </c>
      <c r="P158" s="570">
        <v>751200</v>
      </c>
      <c r="Q158" s="570">
        <v>3500000</v>
      </c>
      <c r="R158" s="599">
        <f t="shared" si="27"/>
        <v>0.21462857142857142</v>
      </c>
      <c r="S158" s="570">
        <v>3500000</v>
      </c>
      <c r="T158" s="599">
        <f t="shared" si="28"/>
        <v>0.21462857142857142</v>
      </c>
      <c r="U158" s="570">
        <v>0</v>
      </c>
      <c r="V158" s="570">
        <v>0</v>
      </c>
      <c r="W158" s="570">
        <v>0</v>
      </c>
      <c r="X158" s="570">
        <v>0</v>
      </c>
      <c r="Y158" s="570">
        <v>0</v>
      </c>
      <c r="Z158" s="599" t="e">
        <f t="shared" si="29"/>
        <v>#DIV/0!</v>
      </c>
      <c r="AA158" s="602"/>
      <c r="AB158" s="602"/>
      <c r="AC158" s="577"/>
    </row>
    <row r="159" spans="1:29" ht="12.75" customHeight="1">
      <c r="A159" s="450">
        <v>37</v>
      </c>
      <c r="B159" s="601" t="s">
        <v>361</v>
      </c>
      <c r="C159" s="601" t="s">
        <v>249</v>
      </c>
      <c r="D159" s="569" t="s">
        <v>25</v>
      </c>
      <c r="E159" s="570">
        <v>43353.09</v>
      </c>
      <c r="F159" s="570">
        <v>3446.02</v>
      </c>
      <c r="G159" s="570">
        <v>46799.11</v>
      </c>
      <c r="H159" s="570">
        <v>150000</v>
      </c>
      <c r="I159" s="599">
        <f t="shared" si="24"/>
        <v>0.31199406666666668</v>
      </c>
      <c r="J159" s="570">
        <v>150000</v>
      </c>
      <c r="K159" s="599">
        <f t="shared" si="25"/>
        <v>0.31199406666666668</v>
      </c>
      <c r="L159" s="570">
        <v>0</v>
      </c>
      <c r="M159" s="599">
        <f t="shared" si="26"/>
        <v>0</v>
      </c>
      <c r="N159" s="570">
        <v>760406</v>
      </c>
      <c r="O159" s="570">
        <v>0</v>
      </c>
      <c r="P159" s="570">
        <v>760406</v>
      </c>
      <c r="Q159" s="570">
        <v>3500000</v>
      </c>
      <c r="R159" s="599">
        <f t="shared" si="27"/>
        <v>0.21725885714285714</v>
      </c>
      <c r="S159" s="570">
        <v>3500000</v>
      </c>
      <c r="T159" s="599">
        <f t="shared" si="28"/>
        <v>0.21725885714285714</v>
      </c>
      <c r="U159" s="570">
        <v>0</v>
      </c>
      <c r="V159" s="570">
        <v>0</v>
      </c>
      <c r="W159" s="570">
        <v>0</v>
      </c>
      <c r="X159" s="570">
        <v>0</v>
      </c>
      <c r="Y159" s="570">
        <v>0</v>
      </c>
      <c r="Z159" s="599" t="e">
        <f t="shared" si="29"/>
        <v>#DIV/0!</v>
      </c>
      <c r="AA159" s="602"/>
      <c r="AB159" s="602"/>
      <c r="AC159" s="577"/>
    </row>
    <row r="160" spans="1:29" ht="12.75" customHeight="1">
      <c r="A160" s="450">
        <v>38</v>
      </c>
      <c r="B160" s="601" t="s">
        <v>84</v>
      </c>
      <c r="C160" s="601" t="s">
        <v>4</v>
      </c>
      <c r="D160" s="569" t="s">
        <v>30</v>
      </c>
      <c r="E160" s="570">
        <v>0</v>
      </c>
      <c r="F160" s="570">
        <v>0</v>
      </c>
      <c r="G160" s="570">
        <v>0</v>
      </c>
      <c r="H160" s="570">
        <v>80000</v>
      </c>
      <c r="I160" s="599">
        <f t="shared" si="24"/>
        <v>0</v>
      </c>
      <c r="J160" s="570">
        <v>60000</v>
      </c>
      <c r="K160" s="599">
        <f t="shared" si="25"/>
        <v>0</v>
      </c>
      <c r="L160" s="570">
        <v>0</v>
      </c>
      <c r="M160" s="599">
        <f t="shared" si="26"/>
        <v>0</v>
      </c>
      <c r="N160" s="570">
        <v>0</v>
      </c>
      <c r="O160" s="570">
        <v>0</v>
      </c>
      <c r="P160" s="570">
        <v>0</v>
      </c>
      <c r="Q160" s="570">
        <v>1500000</v>
      </c>
      <c r="R160" s="599">
        <f t="shared" si="27"/>
        <v>0</v>
      </c>
      <c r="S160" s="570">
        <v>1690000</v>
      </c>
      <c r="T160" s="599">
        <f t="shared" si="28"/>
        <v>0</v>
      </c>
      <c r="U160" s="570">
        <v>0</v>
      </c>
      <c r="V160" s="570">
        <v>0</v>
      </c>
      <c r="W160" s="570">
        <v>0</v>
      </c>
      <c r="X160" s="570">
        <v>0</v>
      </c>
      <c r="Y160" s="570">
        <v>0</v>
      </c>
      <c r="Z160" s="599" t="e">
        <f t="shared" si="29"/>
        <v>#DIV/0!</v>
      </c>
      <c r="AA160" s="602"/>
      <c r="AB160" s="602"/>
      <c r="AC160" s="577"/>
    </row>
    <row r="161" spans="1:29">
      <c r="A161" s="450">
        <v>39</v>
      </c>
      <c r="B161" s="568" t="s">
        <v>86</v>
      </c>
      <c r="C161" s="568" t="s">
        <v>4</v>
      </c>
      <c r="D161" s="569" t="s">
        <v>30</v>
      </c>
      <c r="E161" s="570">
        <v>0</v>
      </c>
      <c r="F161" s="570">
        <v>0</v>
      </c>
      <c r="G161" s="570">
        <v>0</v>
      </c>
      <c r="H161" s="570">
        <v>0</v>
      </c>
      <c r="I161" s="599" t="e">
        <f t="shared" si="24"/>
        <v>#DIV/0!</v>
      </c>
      <c r="J161" s="570">
        <v>0</v>
      </c>
      <c r="K161" s="599" t="e">
        <f t="shared" si="25"/>
        <v>#DIV/0!</v>
      </c>
      <c r="L161" s="570">
        <v>0</v>
      </c>
      <c r="M161" s="599" t="e">
        <f t="shared" si="26"/>
        <v>#DIV/0!</v>
      </c>
      <c r="N161" s="570">
        <v>0</v>
      </c>
      <c r="O161" s="570">
        <v>0</v>
      </c>
      <c r="P161" s="570">
        <v>0</v>
      </c>
      <c r="Q161" s="570">
        <v>0</v>
      </c>
      <c r="R161" s="599" t="e">
        <f t="shared" si="27"/>
        <v>#DIV/0!</v>
      </c>
      <c r="S161" s="570">
        <v>0</v>
      </c>
      <c r="T161" s="599" t="e">
        <f t="shared" si="28"/>
        <v>#DIV/0!</v>
      </c>
      <c r="U161" s="570">
        <v>0</v>
      </c>
      <c r="V161" s="570">
        <v>0</v>
      </c>
      <c r="W161" s="570">
        <v>0</v>
      </c>
      <c r="X161" s="570">
        <v>0</v>
      </c>
      <c r="Y161" s="570">
        <v>0</v>
      </c>
      <c r="Z161" s="599" t="e">
        <f t="shared" si="29"/>
        <v>#DIV/0!</v>
      </c>
      <c r="AA161" s="600">
        <f t="shared" ref="AA161:AA166" si="34">SUM($G$161:$G$166)/(SUM($H$161:$H$166)-$H$166)</f>
        <v>0.8687054210526316</v>
      </c>
      <c r="AB161" s="600">
        <f t="shared" ref="AB161:AB166" si="35">SUM($P$161:$P$166)/(SUM($S$161:$S$166)-$S$166)</f>
        <v>1.0735111888111888</v>
      </c>
      <c r="AC161" s="1106"/>
    </row>
    <row r="162" spans="1:29">
      <c r="A162" s="450">
        <v>40</v>
      </c>
      <c r="B162" s="568" t="s">
        <v>87</v>
      </c>
      <c r="C162" s="568" t="s">
        <v>4</v>
      </c>
      <c r="D162" s="569" t="s">
        <v>30</v>
      </c>
      <c r="E162" s="570">
        <v>0</v>
      </c>
      <c r="F162" s="570">
        <v>0</v>
      </c>
      <c r="G162" s="570">
        <v>0</v>
      </c>
      <c r="H162" s="570">
        <v>0</v>
      </c>
      <c r="I162" s="599" t="e">
        <f t="shared" si="24"/>
        <v>#DIV/0!</v>
      </c>
      <c r="J162" s="570">
        <v>0</v>
      </c>
      <c r="K162" s="599" t="e">
        <f t="shared" si="25"/>
        <v>#DIV/0!</v>
      </c>
      <c r="L162" s="570">
        <v>0</v>
      </c>
      <c r="M162" s="599" t="e">
        <f t="shared" si="26"/>
        <v>#DIV/0!</v>
      </c>
      <c r="N162" s="570">
        <v>0</v>
      </c>
      <c r="O162" s="570">
        <v>0</v>
      </c>
      <c r="P162" s="570">
        <v>0</v>
      </c>
      <c r="Q162" s="570">
        <v>0</v>
      </c>
      <c r="R162" s="599" t="e">
        <f t="shared" si="27"/>
        <v>#DIV/0!</v>
      </c>
      <c r="S162" s="570">
        <v>0</v>
      </c>
      <c r="T162" s="599" t="e">
        <f t="shared" si="28"/>
        <v>#DIV/0!</v>
      </c>
      <c r="U162" s="570">
        <v>0</v>
      </c>
      <c r="V162" s="570">
        <v>0</v>
      </c>
      <c r="W162" s="570">
        <v>0</v>
      </c>
      <c r="X162" s="570">
        <v>0</v>
      </c>
      <c r="Y162" s="570">
        <v>0</v>
      </c>
      <c r="Z162" s="599" t="e">
        <f t="shared" si="29"/>
        <v>#DIV/0!</v>
      </c>
      <c r="AA162" s="600">
        <f t="shared" si="34"/>
        <v>0.8687054210526316</v>
      </c>
      <c r="AB162" s="600">
        <f t="shared" si="35"/>
        <v>1.0735111888111888</v>
      </c>
      <c r="AC162" s="1106"/>
    </row>
    <row r="163" spans="1:29">
      <c r="A163" s="450">
        <v>41</v>
      </c>
      <c r="B163" s="568" t="s">
        <v>89</v>
      </c>
      <c r="C163" s="568" t="s">
        <v>4</v>
      </c>
      <c r="D163" s="569" t="s">
        <v>30</v>
      </c>
      <c r="E163" s="570">
        <v>49249.36</v>
      </c>
      <c r="F163" s="570">
        <v>4717.51</v>
      </c>
      <c r="G163" s="570">
        <v>53966.87</v>
      </c>
      <c r="H163" s="570">
        <v>80000</v>
      </c>
      <c r="I163" s="599">
        <f t="shared" si="24"/>
        <v>0.674585875</v>
      </c>
      <c r="J163" s="570">
        <v>60000</v>
      </c>
      <c r="K163" s="599">
        <f t="shared" si="25"/>
        <v>0.89944783333333334</v>
      </c>
      <c r="L163" s="570">
        <v>24444.67</v>
      </c>
      <c r="M163" s="599">
        <f t="shared" si="26"/>
        <v>0.40741116666666666</v>
      </c>
      <c r="N163" s="570">
        <v>1160611</v>
      </c>
      <c r="O163" s="570">
        <v>49269</v>
      </c>
      <c r="P163" s="570">
        <v>1209880</v>
      </c>
      <c r="Q163" s="570">
        <v>1500000</v>
      </c>
      <c r="R163" s="599">
        <f t="shared" si="27"/>
        <v>0.80658666666666667</v>
      </c>
      <c r="S163" s="570">
        <v>1690000</v>
      </c>
      <c r="T163" s="599">
        <f t="shared" si="28"/>
        <v>0.71590532544378693</v>
      </c>
      <c r="U163" s="570">
        <v>7373</v>
      </c>
      <c r="V163" s="570">
        <v>620791</v>
      </c>
      <c r="W163" s="570">
        <v>628164</v>
      </c>
      <c r="X163" s="570">
        <v>628839</v>
      </c>
      <c r="Y163" s="570">
        <v>1495000</v>
      </c>
      <c r="Z163" s="599">
        <f t="shared" si="29"/>
        <v>0.42062809364548492</v>
      </c>
      <c r="AA163" s="600">
        <f t="shared" si="34"/>
        <v>0.8687054210526316</v>
      </c>
      <c r="AB163" s="600">
        <f t="shared" si="35"/>
        <v>1.0735111888111888</v>
      </c>
      <c r="AC163" s="1106"/>
    </row>
    <row r="164" spans="1:29">
      <c r="A164" s="450">
        <v>42</v>
      </c>
      <c r="B164" s="568" t="s">
        <v>90</v>
      </c>
      <c r="C164" s="568" t="s">
        <v>4</v>
      </c>
      <c r="D164" s="569" t="s">
        <v>30</v>
      </c>
      <c r="E164" s="570">
        <v>79915.3</v>
      </c>
      <c r="F164" s="570">
        <v>7839.64</v>
      </c>
      <c r="G164" s="570">
        <v>87754.94</v>
      </c>
      <c r="H164" s="570">
        <v>150000</v>
      </c>
      <c r="I164" s="599">
        <f t="shared" si="24"/>
        <v>0.58503293333333339</v>
      </c>
      <c r="J164" s="570">
        <v>130000</v>
      </c>
      <c r="K164" s="599">
        <f t="shared" si="25"/>
        <v>0.67503800000000003</v>
      </c>
      <c r="L164" s="570">
        <v>39780.61</v>
      </c>
      <c r="M164" s="599">
        <f t="shared" si="26"/>
        <v>0.30600469230769234</v>
      </c>
      <c r="N164" s="570">
        <v>2058582</v>
      </c>
      <c r="O164" s="570">
        <v>21907</v>
      </c>
      <c r="P164" s="570">
        <v>2080489</v>
      </c>
      <c r="Q164" s="570">
        <v>2700000</v>
      </c>
      <c r="R164" s="599">
        <f t="shared" si="27"/>
        <v>0.77055148148148145</v>
      </c>
      <c r="S164" s="570">
        <v>2990000</v>
      </c>
      <c r="T164" s="599">
        <f t="shared" si="28"/>
        <v>0.69581571906354511</v>
      </c>
      <c r="U164" s="570">
        <v>12322</v>
      </c>
      <c r="V164" s="570">
        <v>1219798</v>
      </c>
      <c r="W164" s="570">
        <v>1232120</v>
      </c>
      <c r="X164" s="570">
        <v>1233004</v>
      </c>
      <c r="Y164" s="570">
        <v>2730000</v>
      </c>
      <c r="Z164" s="599">
        <f t="shared" si="29"/>
        <v>0.45164981684981687</v>
      </c>
      <c r="AA164" s="600">
        <f t="shared" si="34"/>
        <v>0.8687054210526316</v>
      </c>
      <c r="AB164" s="600">
        <f t="shared" si="35"/>
        <v>1.0735111888111888</v>
      </c>
      <c r="AC164" s="1106"/>
    </row>
    <row r="165" spans="1:29" s="449" customFormat="1">
      <c r="A165" s="450">
        <v>43</v>
      </c>
      <c r="B165" s="568" t="s">
        <v>91</v>
      </c>
      <c r="C165" s="568" t="s">
        <v>4</v>
      </c>
      <c r="D165" s="569" t="s">
        <v>30</v>
      </c>
      <c r="E165" s="570">
        <v>87154.64</v>
      </c>
      <c r="F165" s="570">
        <v>8157.39</v>
      </c>
      <c r="G165" s="570">
        <v>95312.02</v>
      </c>
      <c r="H165" s="570">
        <v>150000</v>
      </c>
      <c r="I165" s="599">
        <f t="shared" si="24"/>
        <v>0.63541346666666665</v>
      </c>
      <c r="J165" s="570">
        <v>130000</v>
      </c>
      <c r="K165" s="599">
        <f t="shared" si="25"/>
        <v>0.73316938461538461</v>
      </c>
      <c r="L165" s="570">
        <v>43370.71</v>
      </c>
      <c r="M165" s="599">
        <f t="shared" si="26"/>
        <v>0.33362084615384613</v>
      </c>
      <c r="N165" s="570">
        <v>2188433</v>
      </c>
      <c r="O165" s="570">
        <v>20472</v>
      </c>
      <c r="P165" s="570">
        <v>2208905</v>
      </c>
      <c r="Q165" s="570">
        <v>2500000</v>
      </c>
      <c r="R165" s="599">
        <f t="shared" si="27"/>
        <v>0.88356199999999996</v>
      </c>
      <c r="S165" s="570">
        <v>2470000</v>
      </c>
      <c r="T165" s="599">
        <f t="shared" si="28"/>
        <v>0.89429352226720649</v>
      </c>
      <c r="U165" s="570">
        <v>11783</v>
      </c>
      <c r="V165" s="570">
        <v>1218296</v>
      </c>
      <c r="W165" s="570">
        <v>1230079</v>
      </c>
      <c r="X165" s="570">
        <v>1230997</v>
      </c>
      <c r="Y165" s="570">
        <v>2535000</v>
      </c>
      <c r="Z165" s="599">
        <f t="shared" si="29"/>
        <v>0.48560039447731757</v>
      </c>
      <c r="AA165" s="600">
        <f t="shared" si="34"/>
        <v>0.8687054210526316</v>
      </c>
      <c r="AB165" s="600">
        <f t="shared" si="35"/>
        <v>1.0735111888111888</v>
      </c>
      <c r="AC165" s="1106"/>
    </row>
    <row r="166" spans="1:29" s="449" customFormat="1">
      <c r="A166" s="450">
        <v>44</v>
      </c>
      <c r="B166" s="568" t="s">
        <v>93</v>
      </c>
      <c r="C166" s="568" t="s">
        <v>4</v>
      </c>
      <c r="D166" s="569" t="s">
        <v>30</v>
      </c>
      <c r="E166" s="570">
        <v>85082.46</v>
      </c>
      <c r="F166" s="570">
        <v>7991.77</v>
      </c>
      <c r="G166" s="570">
        <v>93074.23</v>
      </c>
      <c r="H166" s="570">
        <v>150000</v>
      </c>
      <c r="I166" s="599">
        <f t="shared" si="24"/>
        <v>0.62049486666666664</v>
      </c>
      <c r="J166" s="570">
        <v>120000</v>
      </c>
      <c r="K166" s="599">
        <f t="shared" si="25"/>
        <v>0.77561858333333333</v>
      </c>
      <c r="L166" s="570">
        <v>42113.07</v>
      </c>
      <c r="M166" s="599">
        <f t="shared" si="26"/>
        <v>0.35094225000000001</v>
      </c>
      <c r="N166" s="570">
        <v>2155322</v>
      </c>
      <c r="O166" s="570">
        <v>21009</v>
      </c>
      <c r="P166" s="570">
        <v>2176331</v>
      </c>
      <c r="Q166" s="570">
        <v>2700000</v>
      </c>
      <c r="R166" s="599">
        <f t="shared" si="27"/>
        <v>0.80604851851851855</v>
      </c>
      <c r="S166" s="570">
        <v>2985000</v>
      </c>
      <c r="T166" s="599">
        <f t="shared" si="28"/>
        <v>0.7290891122278057</v>
      </c>
      <c r="U166" s="570">
        <v>12311</v>
      </c>
      <c r="V166" s="570">
        <v>1220374</v>
      </c>
      <c r="W166" s="570">
        <v>1232685</v>
      </c>
      <c r="X166" s="570">
        <v>1233587</v>
      </c>
      <c r="Y166" s="570">
        <v>2730000</v>
      </c>
      <c r="Z166" s="599">
        <f t="shared" si="29"/>
        <v>0.45186336996336995</v>
      </c>
      <c r="AA166" s="600">
        <f t="shared" si="34"/>
        <v>0.8687054210526316</v>
      </c>
      <c r="AB166" s="600">
        <f t="shared" si="35"/>
        <v>1.0735111888111888</v>
      </c>
      <c r="AC166" s="1106"/>
    </row>
    <row r="167" spans="1:29" s="449" customFormat="1">
      <c r="A167" s="450">
        <v>45</v>
      </c>
      <c r="B167" s="568" t="s">
        <v>250</v>
      </c>
      <c r="C167" s="568" t="s">
        <v>251</v>
      </c>
      <c r="D167" s="569" t="s">
        <v>30</v>
      </c>
      <c r="E167" s="570">
        <v>0</v>
      </c>
      <c r="F167" s="570">
        <v>0</v>
      </c>
      <c r="G167" s="570">
        <v>0</v>
      </c>
      <c r="H167" s="570">
        <v>0</v>
      </c>
      <c r="I167" s="599" t="e">
        <f t="shared" si="24"/>
        <v>#DIV/0!</v>
      </c>
      <c r="J167" s="570">
        <v>0</v>
      </c>
      <c r="K167" s="599" t="e">
        <f t="shared" si="25"/>
        <v>#DIV/0!</v>
      </c>
      <c r="L167" s="570">
        <v>0</v>
      </c>
      <c r="M167" s="599" t="e">
        <f t="shared" si="26"/>
        <v>#DIV/0!</v>
      </c>
      <c r="N167" s="570">
        <v>0</v>
      </c>
      <c r="O167" s="570">
        <v>0</v>
      </c>
      <c r="P167" s="570">
        <v>0</v>
      </c>
      <c r="Q167" s="570">
        <v>0</v>
      </c>
      <c r="R167" s="599" t="e">
        <f t="shared" si="27"/>
        <v>#DIV/0!</v>
      </c>
      <c r="S167" s="570">
        <v>0</v>
      </c>
      <c r="T167" s="599" t="e">
        <f t="shared" si="28"/>
        <v>#DIV/0!</v>
      </c>
      <c r="U167" s="570">
        <v>0</v>
      </c>
      <c r="V167" s="570">
        <v>0</v>
      </c>
      <c r="W167" s="570">
        <v>0</v>
      </c>
      <c r="X167" s="570">
        <v>0</v>
      </c>
      <c r="Y167" s="570">
        <v>0</v>
      </c>
      <c r="Z167" s="599" t="e">
        <f t="shared" si="29"/>
        <v>#DIV/0!</v>
      </c>
      <c r="AA167" s="603"/>
      <c r="AB167" s="603"/>
      <c r="AC167" s="576"/>
    </row>
    <row r="168" spans="1:29" s="449" customFormat="1">
      <c r="A168" s="450">
        <v>46</v>
      </c>
      <c r="B168" s="465" t="s">
        <v>252</v>
      </c>
      <c r="C168" s="465" t="s">
        <v>251</v>
      </c>
      <c r="D168" s="569" t="s">
        <v>30</v>
      </c>
      <c r="E168" s="604">
        <v>0</v>
      </c>
      <c r="F168" s="604">
        <v>0</v>
      </c>
      <c r="G168" s="604">
        <v>0</v>
      </c>
      <c r="H168" s="605">
        <v>150000</v>
      </c>
      <c r="I168" s="599">
        <f t="shared" si="24"/>
        <v>0</v>
      </c>
      <c r="J168" s="605">
        <v>150000</v>
      </c>
      <c r="K168" s="599">
        <f t="shared" si="25"/>
        <v>0</v>
      </c>
      <c r="L168" s="570">
        <v>0</v>
      </c>
      <c r="M168" s="599">
        <f t="shared" si="26"/>
        <v>0</v>
      </c>
      <c r="N168" s="570">
        <v>0</v>
      </c>
      <c r="O168" s="570">
        <v>0</v>
      </c>
      <c r="P168" s="570">
        <v>0</v>
      </c>
      <c r="Q168" s="605">
        <v>1700000</v>
      </c>
      <c r="R168" s="599">
        <f t="shared" si="27"/>
        <v>0</v>
      </c>
      <c r="S168" s="605">
        <v>3200000</v>
      </c>
      <c r="T168" s="599">
        <f t="shared" si="28"/>
        <v>0</v>
      </c>
      <c r="U168" s="570">
        <v>0</v>
      </c>
      <c r="V168" s="570">
        <v>0</v>
      </c>
      <c r="W168" s="570">
        <v>0</v>
      </c>
      <c r="X168" s="570">
        <v>0</v>
      </c>
      <c r="Y168" s="570">
        <v>0</v>
      </c>
      <c r="Z168" s="599" t="e">
        <f t="shared" si="29"/>
        <v>#DIV/0!</v>
      </c>
      <c r="AA168" s="603"/>
      <c r="AB168" s="603"/>
      <c r="AC168" s="576"/>
    </row>
    <row r="169" spans="1:29" s="449" customFormat="1">
      <c r="A169" s="450">
        <v>47</v>
      </c>
      <c r="B169" s="465" t="s">
        <v>253</v>
      </c>
      <c r="C169" s="465" t="s">
        <v>251</v>
      </c>
      <c r="D169" s="569" t="s">
        <v>30</v>
      </c>
      <c r="E169" s="604">
        <v>0</v>
      </c>
      <c r="F169" s="604">
        <v>0</v>
      </c>
      <c r="G169" s="604">
        <v>0</v>
      </c>
      <c r="H169" s="605">
        <v>150000</v>
      </c>
      <c r="I169" s="599">
        <f t="shared" si="24"/>
        <v>0</v>
      </c>
      <c r="J169" s="605">
        <v>150000</v>
      </c>
      <c r="K169" s="599">
        <f t="shared" si="25"/>
        <v>0</v>
      </c>
      <c r="L169" s="570">
        <v>0</v>
      </c>
      <c r="M169" s="599">
        <f t="shared" si="26"/>
        <v>0</v>
      </c>
      <c r="N169" s="570">
        <v>0</v>
      </c>
      <c r="O169" s="570">
        <v>0</v>
      </c>
      <c r="P169" s="570">
        <v>0</v>
      </c>
      <c r="Q169" s="605">
        <v>1700000</v>
      </c>
      <c r="R169" s="599">
        <f t="shared" si="27"/>
        <v>0</v>
      </c>
      <c r="S169" s="605">
        <v>3200000</v>
      </c>
      <c r="T169" s="599">
        <f t="shared" si="28"/>
        <v>0</v>
      </c>
      <c r="U169" s="570">
        <v>0</v>
      </c>
      <c r="V169" s="570">
        <v>0</v>
      </c>
      <c r="W169" s="570">
        <v>0</v>
      </c>
      <c r="X169" s="570">
        <v>0</v>
      </c>
      <c r="Y169" s="570">
        <v>0</v>
      </c>
      <c r="Z169" s="599" t="e">
        <f t="shared" si="29"/>
        <v>#DIV/0!</v>
      </c>
      <c r="AA169" s="603"/>
      <c r="AB169" s="603"/>
      <c r="AC169" s="576"/>
    </row>
    <row r="170" spans="1:29" s="449" customFormat="1">
      <c r="A170" s="450">
        <v>48</v>
      </c>
      <c r="B170" s="465" t="s">
        <v>328</v>
      </c>
      <c r="C170" s="465" t="s">
        <v>4</v>
      </c>
      <c r="D170" s="569" t="s">
        <v>30</v>
      </c>
      <c r="E170" s="604">
        <v>0</v>
      </c>
      <c r="F170" s="604">
        <v>0</v>
      </c>
      <c r="G170" s="604">
        <v>0</v>
      </c>
      <c r="H170" s="605">
        <v>150000</v>
      </c>
      <c r="I170" s="599">
        <f t="shared" si="24"/>
        <v>0</v>
      </c>
      <c r="J170" s="605">
        <v>150000</v>
      </c>
      <c r="K170" s="599">
        <f t="shared" si="25"/>
        <v>0</v>
      </c>
      <c r="L170" s="570">
        <v>0</v>
      </c>
      <c r="M170" s="599">
        <f t="shared" si="26"/>
        <v>0</v>
      </c>
      <c r="N170" s="570">
        <v>0</v>
      </c>
      <c r="O170" s="570">
        <v>0</v>
      </c>
      <c r="P170" s="570">
        <v>0</v>
      </c>
      <c r="Q170" s="605">
        <v>1700000</v>
      </c>
      <c r="R170" s="599">
        <f t="shared" si="27"/>
        <v>0</v>
      </c>
      <c r="S170" s="605">
        <v>3200000</v>
      </c>
      <c r="T170" s="599">
        <f t="shared" si="28"/>
        <v>0</v>
      </c>
      <c r="U170" s="570">
        <v>0</v>
      </c>
      <c r="V170" s="570">
        <v>0</v>
      </c>
      <c r="W170" s="570">
        <v>0</v>
      </c>
      <c r="X170" s="570">
        <v>0</v>
      </c>
      <c r="Y170" s="570">
        <v>0</v>
      </c>
      <c r="Z170" s="599" t="e">
        <f t="shared" si="29"/>
        <v>#DIV/0!</v>
      </c>
      <c r="AA170" s="603"/>
      <c r="AB170" s="603"/>
      <c r="AC170" s="576"/>
    </row>
    <row r="171" spans="1:29" s="449" customFormat="1">
      <c r="A171" s="450">
        <v>49</v>
      </c>
      <c r="B171" s="465" t="s">
        <v>338</v>
      </c>
      <c r="C171" s="465" t="s">
        <v>251</v>
      </c>
      <c r="D171" s="569" t="s">
        <v>30</v>
      </c>
      <c r="E171" s="604">
        <v>0</v>
      </c>
      <c r="F171" s="604">
        <v>0</v>
      </c>
      <c r="G171" s="604">
        <v>0</v>
      </c>
      <c r="H171" s="605">
        <v>150000</v>
      </c>
      <c r="I171" s="599">
        <f t="shared" si="24"/>
        <v>0</v>
      </c>
      <c r="J171" s="605">
        <v>150000</v>
      </c>
      <c r="K171" s="599">
        <f t="shared" si="25"/>
        <v>0</v>
      </c>
      <c r="L171" s="570">
        <v>0</v>
      </c>
      <c r="M171" s="599">
        <f t="shared" si="26"/>
        <v>0</v>
      </c>
      <c r="N171" s="570">
        <v>0</v>
      </c>
      <c r="O171" s="570">
        <v>0</v>
      </c>
      <c r="P171" s="570">
        <v>0</v>
      </c>
      <c r="Q171" s="605">
        <v>1700000</v>
      </c>
      <c r="R171" s="599">
        <f t="shared" si="27"/>
        <v>0</v>
      </c>
      <c r="S171" s="605">
        <v>3200000</v>
      </c>
      <c r="T171" s="599">
        <f t="shared" si="28"/>
        <v>0</v>
      </c>
      <c r="U171" s="570">
        <v>0</v>
      </c>
      <c r="V171" s="570">
        <v>0</v>
      </c>
      <c r="W171" s="570">
        <v>0</v>
      </c>
      <c r="X171" s="570">
        <v>0</v>
      </c>
      <c r="Y171" s="570">
        <v>0</v>
      </c>
      <c r="Z171" s="599" t="e">
        <f t="shared" si="29"/>
        <v>#DIV/0!</v>
      </c>
      <c r="AA171" s="603"/>
      <c r="AB171" s="603"/>
      <c r="AC171" s="576"/>
    </row>
    <row r="172" spans="1:29">
      <c r="A172" s="450"/>
      <c r="B172" s="465" t="s">
        <v>94</v>
      </c>
      <c r="C172" s="465" t="s">
        <v>38</v>
      </c>
      <c r="D172" s="569"/>
      <c r="E172" s="591">
        <f>SUM(E123:E149)</f>
        <v>1940093.29</v>
      </c>
      <c r="F172" s="591">
        <f>SUM(F123:F149)</f>
        <v>184030.53999999998</v>
      </c>
      <c r="G172" s="591">
        <f>SUM(G123:G149)</f>
        <v>2124123.8400000008</v>
      </c>
      <c r="H172" s="591">
        <f>SUM(H123:H149)</f>
        <v>3650000</v>
      </c>
      <c r="I172" s="606">
        <f t="shared" si="24"/>
        <v>0.58195173698630154</v>
      </c>
      <c r="J172" s="591">
        <f>SUM(J123:J149)</f>
        <v>3660000</v>
      </c>
      <c r="K172" s="606">
        <f t="shared" si="25"/>
        <v>0.58036170491803296</v>
      </c>
      <c r="L172" s="591">
        <f>SUM(L123:L149)</f>
        <v>833116.6100000001</v>
      </c>
      <c r="M172" s="606">
        <f t="shared" si="26"/>
        <v>0.22762748907103827</v>
      </c>
      <c r="N172" s="591">
        <f>SUM(N123:N149)</f>
        <v>49514751</v>
      </c>
      <c r="O172" s="591">
        <f>SUM(O123:O149)</f>
        <v>846613</v>
      </c>
      <c r="P172" s="591">
        <f>SUM(P123:P149)</f>
        <v>50361364</v>
      </c>
      <c r="Q172" s="591">
        <f>SUM(Q123:Q149)</f>
        <v>87100000</v>
      </c>
      <c r="R172" s="606">
        <f t="shared" si="27"/>
        <v>0.57820165327210105</v>
      </c>
      <c r="S172" s="591">
        <f>SUM(S123:S149)</f>
        <v>88470492</v>
      </c>
      <c r="T172" s="606">
        <f t="shared" si="28"/>
        <v>0.56924476016251835</v>
      </c>
      <c r="U172" s="591">
        <f>SUM(U123:U149)</f>
        <v>623721</v>
      </c>
      <c r="V172" s="591">
        <f>SUM(V123:V149)</f>
        <v>23152497</v>
      </c>
      <c r="W172" s="591">
        <f>SUM(W123:W149)</f>
        <v>23776218</v>
      </c>
      <c r="X172" s="591">
        <f>SUM(X123:X149)</f>
        <v>23792017</v>
      </c>
      <c r="Y172" s="591">
        <f>SUM(Y123:Y149)</f>
        <v>101121528</v>
      </c>
      <c r="Z172" s="606">
        <f t="shared" si="29"/>
        <v>0.23528142296267518</v>
      </c>
    </row>
    <row r="173" spans="1:29" s="449" customFormat="1">
      <c r="A173" s="450"/>
      <c r="B173" s="465" t="s">
        <v>95</v>
      </c>
      <c r="C173" s="465" t="s">
        <v>38</v>
      </c>
      <c r="D173" s="569"/>
      <c r="E173" s="591">
        <f>SUM(E150:E159)</f>
        <v>774782.87</v>
      </c>
      <c r="F173" s="591">
        <f>SUM(F150:F159)</f>
        <v>67052.209999999992</v>
      </c>
      <c r="G173" s="591">
        <f>SUM(G150:G159)</f>
        <v>841835.09999999986</v>
      </c>
      <c r="H173" s="591">
        <f>SUM(H150:H159)</f>
        <v>1340000</v>
      </c>
      <c r="I173" s="606">
        <f t="shared" si="24"/>
        <v>0.62823514925373125</v>
      </c>
      <c r="J173" s="591">
        <f>SUM(J150:J159)</f>
        <v>1330000</v>
      </c>
      <c r="K173" s="606">
        <f t="shared" si="25"/>
        <v>0.63295872180451118</v>
      </c>
      <c r="L173" s="591">
        <f t="shared" ref="L173:Q173" si="36">SUM(L150:L159)</f>
        <v>288451.48</v>
      </c>
      <c r="M173" s="606">
        <f t="shared" si="26"/>
        <v>0.21688081203007517</v>
      </c>
      <c r="N173" s="591">
        <f t="shared" si="36"/>
        <v>17827610</v>
      </c>
      <c r="O173" s="591">
        <f t="shared" si="36"/>
        <v>217137</v>
      </c>
      <c r="P173" s="591">
        <f t="shared" si="36"/>
        <v>18044747</v>
      </c>
      <c r="Q173" s="591">
        <f t="shared" si="36"/>
        <v>29300000</v>
      </c>
      <c r="R173" s="606">
        <f t="shared" si="27"/>
        <v>0.61586167235494882</v>
      </c>
      <c r="S173" s="591">
        <f>SUM(S150:S159)</f>
        <v>30232912</v>
      </c>
      <c r="T173" s="606">
        <f t="shared" si="28"/>
        <v>0.59685772247145763</v>
      </c>
      <c r="U173" s="591">
        <f>SUM(U150:U159)</f>
        <v>114361</v>
      </c>
      <c r="V173" s="591">
        <f>SUM(V150:V159)</f>
        <v>8814520</v>
      </c>
      <c r="W173" s="591">
        <f>SUM(W150:W159)</f>
        <v>8928881</v>
      </c>
      <c r="X173" s="591">
        <f>SUM(X150:X159)</f>
        <v>8958172</v>
      </c>
      <c r="Y173" s="591">
        <f>SUM(Y150:Y159)</f>
        <v>19469696</v>
      </c>
      <c r="Z173" s="606">
        <f t="shared" si="29"/>
        <v>0.46010846805209493</v>
      </c>
    </row>
    <row r="174" spans="1:29">
      <c r="A174" s="450"/>
      <c r="B174" s="465" t="s">
        <v>96</v>
      </c>
      <c r="C174" s="465" t="s">
        <v>38</v>
      </c>
      <c r="D174" s="569"/>
      <c r="E174" s="591">
        <f>SUM(E160:E171)</f>
        <v>301401.76</v>
      </c>
      <c r="F174" s="591">
        <f>SUM(F160:F171)</f>
        <v>28706.31</v>
      </c>
      <c r="G174" s="591">
        <f>SUM(G160:G171)</f>
        <v>330108.06</v>
      </c>
      <c r="H174" s="591">
        <f>SUM(H160:H171)</f>
        <v>1210000</v>
      </c>
      <c r="I174" s="606">
        <f t="shared" si="24"/>
        <v>0.27281657851239671</v>
      </c>
      <c r="J174" s="591">
        <f>SUM(J160:J171)</f>
        <v>1100000</v>
      </c>
      <c r="K174" s="606">
        <f t="shared" si="25"/>
        <v>0.30009823636363636</v>
      </c>
      <c r="L174" s="591">
        <f>SUM(L160:L171)</f>
        <v>149709.06</v>
      </c>
      <c r="M174" s="606">
        <f t="shared" si="26"/>
        <v>0.13609914545454546</v>
      </c>
      <c r="N174" s="591">
        <f t="shared" ref="N174:S174" si="37">SUM(N160:N171)</f>
        <v>7562948</v>
      </c>
      <c r="O174" s="591">
        <f t="shared" si="37"/>
        <v>112657</v>
      </c>
      <c r="P174" s="591">
        <f t="shared" si="37"/>
        <v>7675605</v>
      </c>
      <c r="Q174" s="591">
        <f t="shared" si="37"/>
        <v>17700000</v>
      </c>
      <c r="R174" s="606">
        <f t="shared" si="27"/>
        <v>0.43364999999999998</v>
      </c>
      <c r="S174" s="591">
        <f t="shared" si="37"/>
        <v>24625000</v>
      </c>
      <c r="T174" s="606">
        <f t="shared" si="28"/>
        <v>0.31169969543147208</v>
      </c>
      <c r="U174" s="591">
        <f>SUM(U160:U170)</f>
        <v>43789</v>
      </c>
      <c r="V174" s="591">
        <f>SUM(V160:V170)</f>
        <v>4279259</v>
      </c>
      <c r="W174" s="591">
        <f>SUM(W160:W170)</f>
        <v>4323048</v>
      </c>
      <c r="X174" s="591">
        <f>SUM(X160:X170)</f>
        <v>4326427</v>
      </c>
      <c r="Y174" s="591">
        <f>SUM(Y160:Y171)</f>
        <v>9490000</v>
      </c>
      <c r="Z174" s="606">
        <f t="shared" si="29"/>
        <v>0.45589325605900949</v>
      </c>
    </row>
    <row r="175" spans="1:29" s="529" customFormat="1">
      <c r="A175" s="450"/>
      <c r="B175" s="589" t="s">
        <v>97</v>
      </c>
      <c r="C175" s="589" t="s">
        <v>38</v>
      </c>
      <c r="D175" s="590"/>
      <c r="E175" s="591">
        <f>SUM(E172:E174)</f>
        <v>3016277.92</v>
      </c>
      <c r="F175" s="591">
        <f>SUM(F172:F174)</f>
        <v>279789.06</v>
      </c>
      <c r="G175" s="591">
        <f>SUM(G172:G174)</f>
        <v>3296067.0000000005</v>
      </c>
      <c r="H175" s="591">
        <f>SUM(H172:H174)</f>
        <v>6200000</v>
      </c>
      <c r="I175" s="606">
        <f t="shared" si="24"/>
        <v>0.53162370967741945</v>
      </c>
      <c r="J175" s="591">
        <f>SUM(J172:J174)</f>
        <v>6090000</v>
      </c>
      <c r="K175" s="606">
        <f t="shared" si="25"/>
        <v>0.54122610837438434</v>
      </c>
      <c r="L175" s="591">
        <f>SUM(L172:L174)</f>
        <v>1271277.1500000001</v>
      </c>
      <c r="M175" s="606">
        <f t="shared" si="26"/>
        <v>0.20874830049261087</v>
      </c>
      <c r="N175" s="591">
        <f>SUM(N172:N174)</f>
        <v>74905309</v>
      </c>
      <c r="O175" s="591">
        <f>SUM(O172:O174)</f>
        <v>1176407</v>
      </c>
      <c r="P175" s="591">
        <f>SUM(P172:P174)</f>
        <v>76081716</v>
      </c>
      <c r="Q175" s="591">
        <f>SUM(Q172:Q174)</f>
        <v>134100000</v>
      </c>
      <c r="R175" s="606">
        <f t="shared" si="27"/>
        <v>0.56735060402684567</v>
      </c>
      <c r="S175" s="591">
        <f>SUM(S172:S174)</f>
        <v>143328404</v>
      </c>
      <c r="T175" s="606">
        <f t="shared" si="28"/>
        <v>0.53082092506939516</v>
      </c>
      <c r="U175" s="591">
        <f>SUM(U172:U174)</f>
        <v>781871</v>
      </c>
      <c r="V175" s="591">
        <f>SUM(V172:V174)</f>
        <v>36246276</v>
      </c>
      <c r="W175" s="591">
        <f>SUM(W172:W174)</f>
        <v>37028147</v>
      </c>
      <c r="X175" s="591">
        <f>SUM(X172:X174)</f>
        <v>37076616</v>
      </c>
      <c r="Y175" s="591">
        <f>SUM(Y172:Y174)</f>
        <v>130081224</v>
      </c>
      <c r="Z175" s="606">
        <f t="shared" si="29"/>
        <v>0.28502665380823905</v>
      </c>
    </row>
    <row r="176" spans="1:29">
      <c r="A176" s="489"/>
      <c r="B176" s="507"/>
      <c r="C176" s="507"/>
      <c r="D176" s="607"/>
      <c r="E176" s="608"/>
      <c r="F176" s="608"/>
      <c r="G176" s="608"/>
      <c r="H176" s="608"/>
      <c r="I176" s="609"/>
      <c r="J176" s="608"/>
      <c r="K176" s="609"/>
      <c r="L176" s="608"/>
      <c r="M176" s="609"/>
      <c r="N176" s="608"/>
      <c r="O176" s="608"/>
      <c r="P176" s="608"/>
      <c r="Q176" s="608"/>
      <c r="R176" s="609"/>
      <c r="S176" s="608"/>
      <c r="T176" s="609"/>
      <c r="U176" s="608"/>
      <c r="V176" s="608"/>
      <c r="W176" s="608"/>
      <c r="X176" s="608"/>
      <c r="Y176" s="609"/>
    </row>
    <row r="177" spans="1:25">
      <c r="A177" s="489"/>
      <c r="B177" s="507"/>
      <c r="C177" s="507"/>
      <c r="D177" s="607"/>
      <c r="E177" s="608"/>
      <c r="F177" s="608"/>
      <c r="G177" s="608"/>
      <c r="H177" s="608"/>
      <c r="I177" s="609"/>
      <c r="J177" s="608"/>
      <c r="K177" s="609"/>
      <c r="L177" s="608"/>
      <c r="M177" s="609"/>
      <c r="N177" s="608"/>
      <c r="O177" s="608"/>
      <c r="P177" s="608"/>
      <c r="Q177" s="608"/>
      <c r="R177" s="609"/>
      <c r="S177" s="608"/>
      <c r="T177" s="609"/>
      <c r="U177" s="608"/>
      <c r="V177" s="608"/>
      <c r="W177" s="608"/>
      <c r="X177" s="608"/>
      <c r="Y177" s="609"/>
    </row>
    <row r="178" spans="1:25">
      <c r="A178" s="1107" t="s">
        <v>705</v>
      </c>
      <c r="B178" s="1107"/>
      <c r="C178" s="507"/>
      <c r="D178" s="607"/>
      <c r="E178" s="610"/>
      <c r="F178" s="610"/>
      <c r="G178" s="610"/>
      <c r="H178" s="610"/>
      <c r="I178" s="611"/>
      <c r="J178" s="610"/>
      <c r="K178" s="611"/>
      <c r="L178" s="610"/>
      <c r="M178" s="611"/>
      <c r="N178" s="610"/>
      <c r="O178" s="610"/>
      <c r="P178" s="610"/>
      <c r="Q178" s="610"/>
      <c r="R178" s="611"/>
      <c r="S178" s="610"/>
      <c r="T178" s="611"/>
      <c r="U178" s="610"/>
      <c r="V178" s="610"/>
      <c r="W178" s="610"/>
      <c r="X178" s="610"/>
      <c r="Y178" s="611"/>
    </row>
    <row r="179" spans="1:25" s="464" customFormat="1" ht="38.25">
      <c r="A179" s="612" t="s">
        <v>0</v>
      </c>
      <c r="B179" s="612" t="s">
        <v>706</v>
      </c>
      <c r="C179" s="612" t="s">
        <v>8</v>
      </c>
      <c r="D179" s="612" t="s">
        <v>707</v>
      </c>
      <c r="E179" s="612" t="s">
        <v>708</v>
      </c>
      <c r="F179" s="612" t="s">
        <v>709</v>
      </c>
      <c r="G179" s="612" t="s">
        <v>710</v>
      </c>
      <c r="H179" s="612" t="s">
        <v>711</v>
      </c>
      <c r="I179" s="612" t="s">
        <v>712</v>
      </c>
      <c r="J179" s="612" t="s">
        <v>713</v>
      </c>
      <c r="K179" s="612" t="s">
        <v>714</v>
      </c>
      <c r="L179" s="612" t="s">
        <v>715</v>
      </c>
      <c r="M179" s="612" t="s">
        <v>716</v>
      </c>
      <c r="N179" s="610"/>
      <c r="O179" s="610"/>
      <c r="P179" s="610"/>
      <c r="Q179" s="610"/>
      <c r="R179" s="611"/>
      <c r="S179" s="610"/>
      <c r="T179" s="611"/>
      <c r="U179" s="610"/>
      <c r="V179" s="610"/>
      <c r="W179" s="610"/>
      <c r="X179" s="610"/>
      <c r="Y179" s="611"/>
    </row>
    <row r="180" spans="1:25">
      <c r="A180" s="450">
        <v>1</v>
      </c>
      <c r="B180" s="613" t="s">
        <v>717</v>
      </c>
      <c r="C180" s="613" t="s">
        <v>372</v>
      </c>
      <c r="D180" s="614">
        <v>36</v>
      </c>
      <c r="E180" s="614">
        <v>2613</v>
      </c>
      <c r="F180" s="614">
        <v>32</v>
      </c>
      <c r="G180" s="615">
        <v>3995</v>
      </c>
      <c r="H180" s="615">
        <v>5600</v>
      </c>
      <c r="I180" s="614">
        <v>8400</v>
      </c>
      <c r="J180" s="616">
        <v>2649</v>
      </c>
      <c r="K180" s="617">
        <v>4021</v>
      </c>
      <c r="L180" s="618">
        <f>J180/H180</f>
        <v>0.47303571428571428</v>
      </c>
      <c r="M180" s="618">
        <f>K180/I180</f>
        <v>0.47869047619047617</v>
      </c>
      <c r="N180" s="610"/>
      <c r="O180" s="610"/>
      <c r="P180" s="610"/>
      <c r="Q180" s="610"/>
      <c r="R180" s="611"/>
      <c r="S180" s="610"/>
      <c r="T180" s="611"/>
      <c r="U180" s="610"/>
      <c r="V180" s="610"/>
      <c r="W180" s="610"/>
      <c r="X180" s="610"/>
      <c r="Y180" s="611"/>
    </row>
    <row r="181" spans="1:25">
      <c r="A181" s="450">
        <v>2</v>
      </c>
      <c r="B181" s="613" t="s">
        <v>718</v>
      </c>
      <c r="C181" s="613" t="s">
        <v>372</v>
      </c>
      <c r="D181" s="614">
        <v>14</v>
      </c>
      <c r="E181" s="614">
        <v>2501</v>
      </c>
      <c r="F181" s="614">
        <v>40</v>
      </c>
      <c r="G181" s="615">
        <v>2754</v>
      </c>
      <c r="H181" s="615">
        <v>5600</v>
      </c>
      <c r="I181" s="614">
        <v>8400</v>
      </c>
      <c r="J181" s="616">
        <v>2515</v>
      </c>
      <c r="K181" s="617">
        <v>2788</v>
      </c>
      <c r="L181" s="618">
        <f t="shared" ref="L181:M185" si="38">J181/H181</f>
        <v>0.44910714285714287</v>
      </c>
      <c r="M181" s="618">
        <f t="shared" si="38"/>
        <v>0.33190476190476192</v>
      </c>
      <c r="N181" s="610"/>
      <c r="O181" s="610"/>
      <c r="P181" s="610"/>
      <c r="Q181" s="610"/>
      <c r="R181" s="611"/>
      <c r="S181" s="610"/>
      <c r="T181" s="611"/>
      <c r="U181" s="610"/>
      <c r="V181" s="610"/>
      <c r="W181" s="610"/>
      <c r="X181" s="610"/>
      <c r="Y181" s="611"/>
    </row>
    <row r="182" spans="1:25">
      <c r="A182" s="450">
        <v>3</v>
      </c>
      <c r="B182" s="613" t="s">
        <v>719</v>
      </c>
      <c r="C182" s="613" t="s">
        <v>372</v>
      </c>
      <c r="D182" s="614">
        <v>337</v>
      </c>
      <c r="E182" s="614">
        <v>2178</v>
      </c>
      <c r="F182" s="614">
        <v>0</v>
      </c>
      <c r="G182" s="615">
        <v>4687</v>
      </c>
      <c r="H182" s="615">
        <v>5600</v>
      </c>
      <c r="I182" s="614">
        <v>8400</v>
      </c>
      <c r="J182" s="616">
        <v>2499</v>
      </c>
      <c r="K182" s="617">
        <v>4687</v>
      </c>
      <c r="L182" s="618">
        <f t="shared" si="38"/>
        <v>0.44624999999999998</v>
      </c>
      <c r="M182" s="618">
        <f t="shared" si="38"/>
        <v>0.55797619047619051</v>
      </c>
      <c r="N182" s="529"/>
      <c r="O182" s="529"/>
      <c r="P182" s="529"/>
      <c r="Q182" s="619"/>
      <c r="R182" s="529"/>
      <c r="S182" s="529"/>
      <c r="T182" s="529"/>
      <c r="U182" s="529"/>
      <c r="V182" s="529"/>
      <c r="W182" s="529"/>
      <c r="X182" s="529"/>
      <c r="Y182" s="529"/>
    </row>
    <row r="183" spans="1:25">
      <c r="A183" s="450">
        <v>4</v>
      </c>
      <c r="B183" s="613" t="s">
        <v>720</v>
      </c>
      <c r="C183" s="613" t="s">
        <v>372</v>
      </c>
      <c r="D183" s="614">
        <v>1</v>
      </c>
      <c r="E183" s="614">
        <v>2489</v>
      </c>
      <c r="F183" s="614">
        <v>4</v>
      </c>
      <c r="G183" s="615">
        <v>3391</v>
      </c>
      <c r="H183" s="615">
        <v>5600</v>
      </c>
      <c r="I183" s="614">
        <v>8400</v>
      </c>
      <c r="J183" s="616">
        <v>2490</v>
      </c>
      <c r="K183" s="617">
        <v>3393</v>
      </c>
      <c r="L183" s="618">
        <f t="shared" si="38"/>
        <v>0.44464285714285712</v>
      </c>
      <c r="M183" s="618">
        <f t="shared" si="38"/>
        <v>0.40392857142857141</v>
      </c>
      <c r="N183" s="529"/>
      <c r="O183" s="529"/>
      <c r="P183" s="529"/>
      <c r="Q183" s="619"/>
      <c r="R183" s="529"/>
      <c r="S183" s="529"/>
      <c r="T183" s="529"/>
      <c r="U183" s="529"/>
      <c r="V183" s="529"/>
      <c r="W183" s="529"/>
      <c r="X183" s="529"/>
      <c r="Y183" s="529"/>
    </row>
    <row r="184" spans="1:25">
      <c r="A184" s="450">
        <v>5</v>
      </c>
      <c r="B184" s="613" t="s">
        <v>721</v>
      </c>
      <c r="C184" s="613" t="s">
        <v>372</v>
      </c>
      <c r="D184" s="614">
        <v>303</v>
      </c>
      <c r="E184" s="614">
        <v>2140</v>
      </c>
      <c r="F184" s="614">
        <v>0</v>
      </c>
      <c r="G184" s="615">
        <v>2630</v>
      </c>
      <c r="H184" s="615">
        <v>5600</v>
      </c>
      <c r="I184" s="614">
        <v>8400</v>
      </c>
      <c r="J184" s="616">
        <v>2430</v>
      </c>
      <c r="K184" s="617">
        <v>2630</v>
      </c>
      <c r="L184" s="618">
        <f t="shared" si="38"/>
        <v>0.43392857142857144</v>
      </c>
      <c r="M184" s="618">
        <f t="shared" si="38"/>
        <v>0.31309523809523809</v>
      </c>
      <c r="N184" s="529"/>
      <c r="O184" s="529"/>
      <c r="P184" s="529"/>
      <c r="Q184" s="619"/>
      <c r="R184" s="529"/>
      <c r="S184" s="529"/>
      <c r="T184" s="529"/>
      <c r="U184" s="529"/>
      <c r="V184" s="529"/>
      <c r="W184" s="529"/>
      <c r="X184" s="529"/>
      <c r="Y184" s="529"/>
    </row>
    <row r="185" spans="1:25">
      <c r="A185" s="450"/>
      <c r="B185" s="620" t="s">
        <v>605</v>
      </c>
      <c r="C185" s="620" t="s">
        <v>372</v>
      </c>
      <c r="D185" s="621">
        <f t="shared" ref="D185:K185" si="39">SUM(D180:D184)</f>
        <v>691</v>
      </c>
      <c r="E185" s="621">
        <f t="shared" si="39"/>
        <v>11921</v>
      </c>
      <c r="F185" s="621">
        <f t="shared" si="39"/>
        <v>76</v>
      </c>
      <c r="G185" s="621">
        <f t="shared" si="39"/>
        <v>17457</v>
      </c>
      <c r="H185" s="621">
        <f t="shared" si="39"/>
        <v>28000</v>
      </c>
      <c r="I185" s="621">
        <f t="shared" si="39"/>
        <v>42000</v>
      </c>
      <c r="J185" s="621">
        <f t="shared" si="39"/>
        <v>12583</v>
      </c>
      <c r="K185" s="621">
        <f t="shared" si="39"/>
        <v>17519</v>
      </c>
      <c r="L185" s="622">
        <f t="shared" si="38"/>
        <v>0.44939285714285715</v>
      </c>
      <c r="M185" s="622">
        <f t="shared" si="38"/>
        <v>0.41711904761904761</v>
      </c>
    </row>
    <row r="186" spans="1:25" ht="15">
      <c r="A186" s="560"/>
      <c r="B186" s="560"/>
      <c r="C186" s="560"/>
      <c r="D186" s="594"/>
      <c r="E186" s="595"/>
      <c r="F186" s="595"/>
      <c r="G186" s="595"/>
      <c r="H186" s="595"/>
      <c r="I186" s="560"/>
      <c r="J186" s="560"/>
      <c r="K186" s="560"/>
      <c r="L186" s="560"/>
      <c r="M186" s="595"/>
    </row>
    <row r="188" spans="1:25" ht="15">
      <c r="A188" s="623" t="s">
        <v>722</v>
      </c>
      <c r="B188" s="624"/>
      <c r="C188" s="624"/>
      <c r="D188" s="624"/>
      <c r="E188" s="624"/>
      <c r="F188" s="624"/>
      <c r="G188" s="624"/>
      <c r="H188" s="624"/>
    </row>
    <row r="189" spans="1:25" ht="25.5">
      <c r="A189" s="625" t="s">
        <v>0</v>
      </c>
      <c r="B189" s="625" t="s">
        <v>7</v>
      </c>
      <c r="C189" s="625" t="s">
        <v>43</v>
      </c>
      <c r="D189" s="626" t="s">
        <v>723</v>
      </c>
      <c r="E189" s="626" t="s">
        <v>724</v>
      </c>
      <c r="F189" s="626" t="s">
        <v>725</v>
      </c>
      <c r="G189" s="626" t="s">
        <v>726</v>
      </c>
      <c r="H189" s="625" t="s">
        <v>724</v>
      </c>
      <c r="I189" s="626" t="s">
        <v>725</v>
      </c>
      <c r="J189" s="441"/>
      <c r="K189" s="439" t="s">
        <v>727</v>
      </c>
      <c r="Q189" s="439"/>
      <c r="R189" s="442"/>
    </row>
    <row r="190" spans="1:25">
      <c r="A190" s="627">
        <v>1</v>
      </c>
      <c r="B190" s="628" t="s">
        <v>728</v>
      </c>
      <c r="C190" s="613" t="s">
        <v>372</v>
      </c>
      <c r="D190" s="629">
        <v>1000</v>
      </c>
      <c r="E190" s="630">
        <v>49.187727047146346</v>
      </c>
      <c r="F190" s="631">
        <f>E190/D190</f>
        <v>4.9187727047146343E-2</v>
      </c>
      <c r="G190" s="627"/>
      <c r="H190" s="627"/>
      <c r="I190" s="627"/>
      <c r="J190" s="441"/>
      <c r="K190" s="632">
        <v>6196905</v>
      </c>
      <c r="L190" s="439" t="s">
        <v>729</v>
      </c>
      <c r="Q190" s="439"/>
      <c r="R190" s="442"/>
    </row>
    <row r="191" spans="1:25">
      <c r="A191" s="627">
        <v>2</v>
      </c>
      <c r="B191" s="628" t="s">
        <v>730</v>
      </c>
      <c r="C191" s="613" t="s">
        <v>372</v>
      </c>
      <c r="D191" s="629">
        <v>1000</v>
      </c>
      <c r="E191" s="630">
        <v>120.78133995037209</v>
      </c>
      <c r="F191" s="631">
        <f>E191/D191</f>
        <v>0.12078133995037209</v>
      </c>
      <c r="G191" s="633">
        <v>16000000</v>
      </c>
      <c r="H191" s="634">
        <v>10415473</v>
      </c>
      <c r="I191" s="631">
        <f>H191/G191</f>
        <v>0.65096706250000003</v>
      </c>
      <c r="J191" s="441"/>
      <c r="K191" s="632">
        <v>4218568</v>
      </c>
      <c r="L191" s="439" t="s">
        <v>731</v>
      </c>
      <c r="Q191" s="439"/>
      <c r="R191" s="442"/>
    </row>
    <row r="192" spans="1:25">
      <c r="A192" s="627">
        <v>3</v>
      </c>
      <c r="B192" s="628" t="s">
        <v>732</v>
      </c>
      <c r="C192" s="613" t="s">
        <v>372</v>
      </c>
      <c r="D192" s="629">
        <v>1000</v>
      </c>
      <c r="E192" s="630">
        <v>64.397866004962864</v>
      </c>
      <c r="F192" s="631">
        <f>E192/D192</f>
        <v>6.4397866004962862E-2</v>
      </c>
      <c r="G192" s="627"/>
      <c r="H192" s="627"/>
      <c r="I192" s="631"/>
      <c r="J192" s="441"/>
      <c r="K192" s="474">
        <f>K190+K191</f>
        <v>10415473</v>
      </c>
      <c r="Q192" s="439"/>
      <c r="R192" s="442"/>
    </row>
    <row r="193" spans="1:18">
      <c r="A193" s="627"/>
      <c r="B193" s="635" t="s">
        <v>605</v>
      </c>
      <c r="C193" s="635"/>
      <c r="D193" s="636">
        <v>3000</v>
      </c>
      <c r="E193" s="637">
        <f>SUM(E190:E192)</f>
        <v>234.36693300248129</v>
      </c>
      <c r="F193" s="638">
        <f>E193/D193</f>
        <v>7.8122311000827102E-2</v>
      </c>
      <c r="G193" s="639">
        <v>16000000</v>
      </c>
      <c r="H193" s="639">
        <f>SUM(H190:H192)</f>
        <v>10415473</v>
      </c>
      <c r="I193" s="638">
        <f>H193/G193</f>
        <v>0.65096706250000003</v>
      </c>
      <c r="J193" s="441"/>
      <c r="Q193" s="439"/>
      <c r="R193" s="442"/>
    </row>
    <row r="194" spans="1:18" ht="15">
      <c r="A194" s="623"/>
      <c r="B194" s="624"/>
      <c r="C194" s="624"/>
      <c r="D194" s="624"/>
      <c r="E194" s="624"/>
      <c r="F194" s="624"/>
      <c r="G194" s="624"/>
      <c r="H194" s="624"/>
    </row>
    <row r="196" spans="1:18" ht="15">
      <c r="A196" s="463" t="s">
        <v>733</v>
      </c>
      <c r="B196" s="624"/>
    </row>
    <row r="197" spans="1:18">
      <c r="A197" s="625" t="s">
        <v>0</v>
      </c>
      <c r="B197" s="625" t="s">
        <v>734</v>
      </c>
      <c r="C197" s="625" t="s">
        <v>43</v>
      </c>
      <c r="D197" s="626" t="s">
        <v>735</v>
      </c>
      <c r="E197" s="626" t="s">
        <v>724</v>
      </c>
      <c r="F197" s="626" t="s">
        <v>725</v>
      </c>
      <c r="J197" s="441"/>
      <c r="Q197" s="439"/>
      <c r="R197" s="442"/>
    </row>
    <row r="198" spans="1:18">
      <c r="A198" s="627">
        <v>1</v>
      </c>
      <c r="B198" s="628" t="s">
        <v>736</v>
      </c>
      <c r="C198" s="628" t="s">
        <v>737</v>
      </c>
      <c r="D198" s="640">
        <v>100</v>
      </c>
      <c r="E198" s="641">
        <v>19</v>
      </c>
      <c r="F198" s="642">
        <f>E198/D198</f>
        <v>0.19</v>
      </c>
      <c r="J198" s="441"/>
      <c r="Q198" s="439"/>
      <c r="R198" s="442"/>
    </row>
    <row r="199" spans="1:18">
      <c r="A199" s="627">
        <v>2</v>
      </c>
      <c r="B199" s="628" t="s">
        <v>738</v>
      </c>
      <c r="C199" s="628" t="s">
        <v>737</v>
      </c>
      <c r="D199" s="640">
        <v>100</v>
      </c>
      <c r="E199" s="641">
        <v>12</v>
      </c>
      <c r="F199" s="642">
        <f>E199/D199</f>
        <v>0.12</v>
      </c>
    </row>
    <row r="200" spans="1:18">
      <c r="A200" s="627"/>
      <c r="B200" s="635" t="s">
        <v>605</v>
      </c>
      <c r="C200" s="635" t="s">
        <v>737</v>
      </c>
      <c r="D200" s="643">
        <v>200</v>
      </c>
      <c r="E200" s="644">
        <f>E198+E199</f>
        <v>31</v>
      </c>
      <c r="F200" s="645">
        <f>E200/D200</f>
        <v>0.155</v>
      </c>
    </row>
    <row r="201" spans="1:18" ht="14.25">
      <c r="A201" s="623" t="s">
        <v>739</v>
      </c>
    </row>
    <row r="202" spans="1:18">
      <c r="A202" s="625" t="s">
        <v>0</v>
      </c>
      <c r="B202" s="646" t="s">
        <v>7</v>
      </c>
      <c r="C202" s="625" t="s">
        <v>43</v>
      </c>
      <c r="D202" s="626" t="s">
        <v>735</v>
      </c>
      <c r="E202" s="626" t="s">
        <v>724</v>
      </c>
      <c r="F202" s="626" t="s">
        <v>725</v>
      </c>
      <c r="J202" s="441"/>
      <c r="Q202" s="439"/>
      <c r="R202" s="442"/>
    </row>
    <row r="203" spans="1:18">
      <c r="A203" s="627">
        <v>1</v>
      </c>
      <c r="B203" s="585" t="s">
        <v>740</v>
      </c>
      <c r="C203" s="585" t="s">
        <v>4</v>
      </c>
      <c r="D203" s="647">
        <v>15000</v>
      </c>
      <c r="E203" s="648">
        <v>1509</v>
      </c>
      <c r="F203" s="470">
        <f>E203/D203</f>
        <v>0.10059999999999999</v>
      </c>
      <c r="J203" s="441"/>
      <c r="Q203" s="439"/>
      <c r="R203" s="442"/>
    </row>
    <row r="204" spans="1:18">
      <c r="A204" s="627">
        <v>2</v>
      </c>
      <c r="B204" s="585" t="s">
        <v>741</v>
      </c>
      <c r="C204" s="585" t="s">
        <v>4</v>
      </c>
      <c r="D204" s="647">
        <v>15000</v>
      </c>
      <c r="E204" s="648">
        <v>1486</v>
      </c>
      <c r="F204" s="470">
        <f t="shared" ref="F204:F210" si="40">E204/D204</f>
        <v>9.9066666666666664E-2</v>
      </c>
      <c r="J204" s="441"/>
      <c r="Q204" s="439"/>
      <c r="R204" s="442"/>
    </row>
    <row r="205" spans="1:18">
      <c r="A205" s="627">
        <v>3</v>
      </c>
      <c r="B205" s="585" t="s">
        <v>742</v>
      </c>
      <c r="C205" s="585" t="s">
        <v>4</v>
      </c>
      <c r="D205" s="647">
        <v>110000</v>
      </c>
      <c r="E205" s="648">
        <v>81461</v>
      </c>
      <c r="F205" s="470">
        <f t="shared" si="40"/>
        <v>0.74055454545454547</v>
      </c>
      <c r="J205" s="441"/>
      <c r="Q205" s="439"/>
      <c r="R205" s="442"/>
    </row>
    <row r="206" spans="1:18">
      <c r="A206" s="627">
        <v>4</v>
      </c>
      <c r="B206" s="585" t="s">
        <v>743</v>
      </c>
      <c r="C206" s="585" t="s">
        <v>4</v>
      </c>
      <c r="D206" s="647">
        <v>100000</v>
      </c>
      <c r="E206" s="648">
        <v>32231</v>
      </c>
      <c r="F206" s="470">
        <f t="shared" si="40"/>
        <v>0.32230999999999999</v>
      </c>
      <c r="J206" s="441"/>
      <c r="Q206" s="439"/>
      <c r="R206" s="442"/>
    </row>
    <row r="207" spans="1:18">
      <c r="A207" s="627">
        <v>5</v>
      </c>
      <c r="B207" s="585" t="s">
        <v>744</v>
      </c>
      <c r="C207" s="585" t="s">
        <v>4</v>
      </c>
      <c r="D207" s="647">
        <v>110000</v>
      </c>
      <c r="E207" s="648">
        <v>56280</v>
      </c>
      <c r="F207" s="470">
        <f t="shared" si="40"/>
        <v>0.51163636363636367</v>
      </c>
      <c r="J207" s="441"/>
      <c r="Q207" s="439"/>
      <c r="R207" s="442"/>
    </row>
    <row r="208" spans="1:18">
      <c r="A208" s="627">
        <v>6</v>
      </c>
      <c r="B208" s="585" t="s">
        <v>745</v>
      </c>
      <c r="C208" s="585" t="s">
        <v>4</v>
      </c>
      <c r="D208" s="647">
        <v>100000</v>
      </c>
      <c r="E208" s="648">
        <v>27251</v>
      </c>
      <c r="F208" s="470">
        <f t="shared" si="40"/>
        <v>0.27250999999999997</v>
      </c>
      <c r="J208" s="441"/>
      <c r="Q208" s="439"/>
      <c r="R208" s="442"/>
    </row>
    <row r="209" spans="1:18">
      <c r="A209" s="649"/>
      <c r="B209" s="650" t="s">
        <v>746</v>
      </c>
      <c r="C209" s="650"/>
      <c r="D209" s="651">
        <v>30000</v>
      </c>
      <c r="E209" s="652">
        <f>E203+E204</f>
        <v>2995</v>
      </c>
      <c r="F209" s="481">
        <f t="shared" si="40"/>
        <v>9.9833333333333329E-2</v>
      </c>
      <c r="J209" s="441"/>
      <c r="Q209" s="439"/>
      <c r="R209" s="442"/>
    </row>
    <row r="210" spans="1:18">
      <c r="A210" s="649"/>
      <c r="B210" s="650" t="s">
        <v>747</v>
      </c>
      <c r="C210" s="650"/>
      <c r="D210" s="653">
        <v>420000</v>
      </c>
      <c r="E210" s="652">
        <f>SUM(E205:E208)</f>
        <v>197223</v>
      </c>
      <c r="F210" s="481">
        <f t="shared" si="40"/>
        <v>0.46957857142857146</v>
      </c>
      <c r="J210" s="441"/>
      <c r="Q210" s="439"/>
      <c r="R210" s="442"/>
    </row>
  </sheetData>
  <autoFilter ref="A74:AC118"/>
  <mergeCells count="14">
    <mergeCell ref="W75:W81"/>
    <mergeCell ref="J31:J35"/>
    <mergeCell ref="J37:J40"/>
    <mergeCell ref="A73:D73"/>
    <mergeCell ref="E73:L73"/>
    <mergeCell ref="M73:T73"/>
    <mergeCell ref="AC161:AC166"/>
    <mergeCell ref="A178:B178"/>
    <mergeCell ref="W93:W95"/>
    <mergeCell ref="W100:W105"/>
    <mergeCell ref="E121:M121"/>
    <mergeCell ref="N121:Y121"/>
    <mergeCell ref="AC123:AC135"/>
    <mergeCell ref="AC150:AC154"/>
  </mergeCells>
  <conditionalFormatting sqref="I176:I177 K176:K177 M176:M17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76:R177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76:I177 K176:K177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76:M177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76:T177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75:T118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75:R118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75:L118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75:J118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23:I171 K123:K171 M123:M17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23:R171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23:I171 K123:K171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23:M171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23:T171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P70"/>
  <sheetViews>
    <sheetView workbookViewId="0">
      <selection activeCell="G64" sqref="G64"/>
    </sheetView>
  </sheetViews>
  <sheetFormatPr defaultRowHeight="15"/>
  <cols>
    <col min="1" max="1" width="11.42578125" bestFit="1" customWidth="1"/>
    <col min="7" max="7" width="28.140625" customWidth="1"/>
    <col min="14" max="14" width="20.28515625" customWidth="1"/>
    <col min="16" max="16" width="11.42578125" customWidth="1"/>
  </cols>
  <sheetData>
    <row r="1" spans="1:16">
      <c r="E1" t="s">
        <v>751</v>
      </c>
      <c r="F1" t="s">
        <v>751</v>
      </c>
      <c r="G1" t="s">
        <v>751</v>
      </c>
      <c r="H1" t="s">
        <v>751</v>
      </c>
      <c r="I1" t="s">
        <v>751</v>
      </c>
      <c r="J1" t="s">
        <v>751</v>
      </c>
      <c r="K1" t="s">
        <v>751</v>
      </c>
      <c r="L1" t="s">
        <v>751</v>
      </c>
      <c r="M1" t="s">
        <v>751</v>
      </c>
      <c r="N1" t="s">
        <v>751</v>
      </c>
      <c r="O1" t="s">
        <v>751</v>
      </c>
      <c r="P1" t="s">
        <v>751</v>
      </c>
    </row>
    <row r="2" spans="1:16">
      <c r="E2" t="s">
        <v>752</v>
      </c>
      <c r="F2" t="s">
        <v>752</v>
      </c>
      <c r="G2" t="s">
        <v>752</v>
      </c>
      <c r="H2" t="s">
        <v>753</v>
      </c>
      <c r="I2" t="s">
        <v>753</v>
      </c>
      <c r="J2" t="s">
        <v>753</v>
      </c>
      <c r="K2" t="s">
        <v>754</v>
      </c>
      <c r="L2" t="s">
        <v>754</v>
      </c>
      <c r="M2" t="s">
        <v>754</v>
      </c>
      <c r="N2" t="s">
        <v>752</v>
      </c>
      <c r="O2" t="s">
        <v>753</v>
      </c>
      <c r="P2" t="s">
        <v>754</v>
      </c>
    </row>
    <row r="3" spans="1:16">
      <c r="A3" t="s">
        <v>755</v>
      </c>
      <c r="B3" t="s">
        <v>756</v>
      </c>
      <c r="C3" t="s">
        <v>103</v>
      </c>
      <c r="D3" t="s">
        <v>757</v>
      </c>
      <c r="E3" t="s">
        <v>758</v>
      </c>
      <c r="F3" t="s">
        <v>759</v>
      </c>
      <c r="G3" t="s">
        <v>760</v>
      </c>
      <c r="H3" t="s">
        <v>758</v>
      </c>
      <c r="I3" t="s">
        <v>759</v>
      </c>
      <c r="J3" t="s">
        <v>760</v>
      </c>
      <c r="K3" t="s">
        <v>758</v>
      </c>
      <c r="L3" t="s">
        <v>759</v>
      </c>
      <c r="M3" t="s">
        <v>760</v>
      </c>
      <c r="N3" t="s">
        <v>3</v>
      </c>
      <c r="O3" t="s">
        <v>3</v>
      </c>
      <c r="P3" t="s">
        <v>3</v>
      </c>
    </row>
    <row r="4" spans="1:16" hidden="1">
      <c r="A4" s="655">
        <v>45670</v>
      </c>
      <c r="B4" t="s">
        <v>761</v>
      </c>
      <c r="C4" t="s">
        <v>15</v>
      </c>
      <c r="D4" t="s">
        <v>15</v>
      </c>
      <c r="E4" s="173">
        <v>1748767</v>
      </c>
      <c r="F4" s="173">
        <v>281825</v>
      </c>
      <c r="G4" s="173">
        <v>30850789</v>
      </c>
      <c r="H4" s="173">
        <v>343637</v>
      </c>
      <c r="I4" s="173">
        <v>83817</v>
      </c>
      <c r="J4">
        <v>70</v>
      </c>
      <c r="K4" s="173">
        <v>2092404</v>
      </c>
      <c r="L4" s="173">
        <v>365642</v>
      </c>
      <c r="M4" s="173">
        <v>30850859</v>
      </c>
      <c r="N4" s="173">
        <v>32881381</v>
      </c>
      <c r="O4" s="173">
        <v>427524</v>
      </c>
      <c r="P4" s="173">
        <v>33308905</v>
      </c>
    </row>
    <row r="5" spans="1:16" hidden="1">
      <c r="A5" s="655">
        <v>45670</v>
      </c>
      <c r="B5" t="s">
        <v>761</v>
      </c>
      <c r="C5" t="s">
        <v>25</v>
      </c>
      <c r="D5" t="s">
        <v>25</v>
      </c>
      <c r="E5" s="173">
        <v>539612</v>
      </c>
      <c r="F5" s="173">
        <v>30130</v>
      </c>
      <c r="G5" s="173">
        <v>9855254</v>
      </c>
      <c r="H5" s="173">
        <v>59203</v>
      </c>
      <c r="I5" s="173">
        <v>5074</v>
      </c>
      <c r="J5">
        <v>0</v>
      </c>
      <c r="K5" s="173">
        <v>598815</v>
      </c>
      <c r="L5" s="173">
        <v>35204</v>
      </c>
      <c r="M5" s="173">
        <v>9855254</v>
      </c>
      <c r="N5" s="173">
        <v>10424996</v>
      </c>
      <c r="O5" s="173">
        <v>64277</v>
      </c>
      <c r="P5" s="173">
        <v>10489273</v>
      </c>
    </row>
    <row r="6" spans="1:16" hidden="1">
      <c r="A6" s="655">
        <v>45670</v>
      </c>
      <c r="B6" t="s">
        <v>761</v>
      </c>
      <c r="C6" t="s">
        <v>30</v>
      </c>
      <c r="D6" t="s">
        <v>30</v>
      </c>
      <c r="E6" s="173">
        <v>1218367</v>
      </c>
      <c r="F6" s="173">
        <v>15792</v>
      </c>
      <c r="G6" s="173">
        <v>19869500</v>
      </c>
      <c r="H6" s="173">
        <v>34247</v>
      </c>
      <c r="I6" s="173">
        <v>1473</v>
      </c>
      <c r="J6">
        <v>35</v>
      </c>
      <c r="K6" s="173">
        <v>1252614</v>
      </c>
      <c r="L6" s="173">
        <v>17265</v>
      </c>
      <c r="M6" s="173">
        <v>19869535</v>
      </c>
      <c r="N6" s="173">
        <v>21103659</v>
      </c>
      <c r="O6" s="173">
        <v>35755</v>
      </c>
      <c r="P6" s="173">
        <v>21139414</v>
      </c>
    </row>
    <row r="7" spans="1:16" hidden="1">
      <c r="A7" s="655">
        <v>45670</v>
      </c>
      <c r="B7" t="s">
        <v>762</v>
      </c>
      <c r="C7" t="s">
        <v>210</v>
      </c>
      <c r="D7" t="s">
        <v>762</v>
      </c>
      <c r="E7" s="173">
        <v>3506746</v>
      </c>
      <c r="F7" s="173">
        <v>327747</v>
      </c>
      <c r="G7" s="173">
        <v>60575543</v>
      </c>
      <c r="H7" s="173">
        <v>437087</v>
      </c>
      <c r="I7" s="173">
        <v>90364</v>
      </c>
      <c r="J7">
        <v>105</v>
      </c>
      <c r="K7" s="173">
        <v>3943833</v>
      </c>
      <c r="L7" s="173">
        <v>418111</v>
      </c>
      <c r="M7" s="173">
        <v>60575648</v>
      </c>
      <c r="N7" s="173">
        <v>64410036</v>
      </c>
      <c r="O7" s="173">
        <v>527556</v>
      </c>
      <c r="P7" s="173">
        <v>64937592</v>
      </c>
    </row>
    <row r="8" spans="1:16" hidden="1">
      <c r="A8" s="655">
        <v>45670</v>
      </c>
      <c r="B8" t="s">
        <v>757</v>
      </c>
      <c r="C8" t="s">
        <v>15</v>
      </c>
      <c r="D8" t="s">
        <v>763</v>
      </c>
      <c r="E8" s="173">
        <v>67800</v>
      </c>
      <c r="F8" s="173">
        <v>20243</v>
      </c>
      <c r="G8" s="173">
        <v>1391110</v>
      </c>
      <c r="H8" s="173">
        <v>17066</v>
      </c>
      <c r="I8" s="173">
        <v>4280</v>
      </c>
      <c r="J8">
        <v>0</v>
      </c>
      <c r="K8" s="173">
        <v>84866</v>
      </c>
      <c r="L8" s="173">
        <v>24523</v>
      </c>
      <c r="M8" s="173">
        <v>1391110</v>
      </c>
      <c r="N8" s="173">
        <v>1479153</v>
      </c>
      <c r="O8" s="173">
        <v>21346</v>
      </c>
      <c r="P8" s="173">
        <v>1500499</v>
      </c>
    </row>
    <row r="9" spans="1:16" hidden="1">
      <c r="A9" s="655">
        <v>45670</v>
      </c>
      <c r="B9" t="s">
        <v>757</v>
      </c>
      <c r="C9" t="s">
        <v>15</v>
      </c>
      <c r="D9" t="s">
        <v>764</v>
      </c>
      <c r="E9" s="173">
        <v>17650</v>
      </c>
      <c r="F9" s="173">
        <v>1435</v>
      </c>
      <c r="G9" s="173">
        <v>216128</v>
      </c>
      <c r="H9" s="173">
        <v>2426</v>
      </c>
      <c r="I9">
        <v>444</v>
      </c>
      <c r="J9">
        <v>0</v>
      </c>
      <c r="K9" s="173">
        <v>20076</v>
      </c>
      <c r="L9" s="173">
        <v>1879</v>
      </c>
      <c r="M9" s="173">
        <v>216128</v>
      </c>
      <c r="N9" s="173">
        <v>235213</v>
      </c>
      <c r="O9" s="173">
        <v>2870</v>
      </c>
      <c r="P9" s="173">
        <v>238083</v>
      </c>
    </row>
    <row r="10" spans="1:16" hidden="1">
      <c r="A10" s="655">
        <v>45670</v>
      </c>
      <c r="B10" t="s">
        <v>757</v>
      </c>
      <c r="C10" t="s">
        <v>15</v>
      </c>
      <c r="D10" t="s">
        <v>765</v>
      </c>
      <c r="E10" s="173">
        <v>56221</v>
      </c>
      <c r="F10" s="173">
        <v>8466</v>
      </c>
      <c r="G10" s="173">
        <v>1219377</v>
      </c>
      <c r="H10" s="173">
        <v>21681</v>
      </c>
      <c r="I10" s="173">
        <v>1997</v>
      </c>
      <c r="J10">
        <v>0</v>
      </c>
      <c r="K10" s="173">
        <v>77902</v>
      </c>
      <c r="L10" s="173">
        <v>10463</v>
      </c>
      <c r="M10" s="173">
        <v>1219377</v>
      </c>
      <c r="N10" s="173">
        <v>1284064</v>
      </c>
      <c r="O10" s="173">
        <v>23678</v>
      </c>
      <c r="P10" s="173">
        <v>1307742</v>
      </c>
    </row>
    <row r="11" spans="1:16" hidden="1">
      <c r="A11" s="655">
        <v>45670</v>
      </c>
      <c r="B11" t="s">
        <v>757</v>
      </c>
      <c r="C11" t="s">
        <v>15</v>
      </c>
      <c r="D11" t="s">
        <v>766</v>
      </c>
      <c r="E11" s="173">
        <v>27413</v>
      </c>
      <c r="F11" s="173">
        <v>1967</v>
      </c>
      <c r="G11" s="173">
        <v>268255</v>
      </c>
      <c r="H11">
        <v>0</v>
      </c>
      <c r="I11">
        <v>823</v>
      </c>
      <c r="J11">
        <v>0</v>
      </c>
      <c r="K11" s="173">
        <v>27413</v>
      </c>
      <c r="L11" s="173">
        <v>2790</v>
      </c>
      <c r="M11" s="173">
        <v>268255</v>
      </c>
      <c r="N11" s="173">
        <v>297635</v>
      </c>
      <c r="O11">
        <v>823</v>
      </c>
      <c r="P11" s="173">
        <v>298458</v>
      </c>
    </row>
    <row r="12" spans="1:16" hidden="1">
      <c r="A12" s="655">
        <v>45670</v>
      </c>
      <c r="B12" t="s">
        <v>757</v>
      </c>
      <c r="C12" t="s">
        <v>15</v>
      </c>
      <c r="D12" t="s">
        <v>767</v>
      </c>
      <c r="E12" s="173">
        <v>23244</v>
      </c>
      <c r="F12" s="173">
        <v>4345</v>
      </c>
      <c r="G12" s="173">
        <v>294528</v>
      </c>
      <c r="H12" s="173">
        <v>3425</v>
      </c>
      <c r="I12">
        <v>851</v>
      </c>
      <c r="J12">
        <v>0</v>
      </c>
      <c r="K12" s="173">
        <v>26669</v>
      </c>
      <c r="L12" s="173">
        <v>5196</v>
      </c>
      <c r="M12" s="173">
        <v>294528</v>
      </c>
      <c r="N12" s="173">
        <v>322117</v>
      </c>
      <c r="O12" s="173">
        <v>4276</v>
      </c>
      <c r="P12" s="173">
        <v>326393</v>
      </c>
    </row>
    <row r="13" spans="1:16" hidden="1">
      <c r="A13" s="655">
        <v>45670</v>
      </c>
      <c r="B13" t="s">
        <v>757</v>
      </c>
      <c r="C13" t="s">
        <v>15</v>
      </c>
      <c r="D13" t="s">
        <v>768</v>
      </c>
      <c r="E13" s="173">
        <v>37361</v>
      </c>
      <c r="F13" s="173">
        <v>1538</v>
      </c>
      <c r="G13" s="173">
        <v>606504</v>
      </c>
      <c r="H13" s="173">
        <v>4004</v>
      </c>
      <c r="I13">
        <v>400</v>
      </c>
      <c r="J13">
        <v>0</v>
      </c>
      <c r="K13" s="173">
        <v>41365</v>
      </c>
      <c r="L13" s="173">
        <v>1938</v>
      </c>
      <c r="M13" s="173">
        <v>606504</v>
      </c>
      <c r="N13" s="173">
        <v>645403</v>
      </c>
      <c r="O13" s="173">
        <v>4404</v>
      </c>
      <c r="P13" s="173">
        <v>649807</v>
      </c>
    </row>
    <row r="14" spans="1:16" hidden="1">
      <c r="A14" s="655">
        <v>45670</v>
      </c>
      <c r="B14" t="s">
        <v>757</v>
      </c>
      <c r="C14" t="s">
        <v>15</v>
      </c>
      <c r="D14" t="s">
        <v>769</v>
      </c>
      <c r="E14" s="173">
        <v>78389</v>
      </c>
      <c r="F14" s="173">
        <v>4350</v>
      </c>
      <c r="G14" s="173">
        <v>1288279</v>
      </c>
      <c r="H14" s="173">
        <v>18207</v>
      </c>
      <c r="I14" s="173">
        <v>1632</v>
      </c>
      <c r="J14">
        <v>0</v>
      </c>
      <c r="K14" s="173">
        <v>96596</v>
      </c>
      <c r="L14" s="173">
        <v>5982</v>
      </c>
      <c r="M14" s="173">
        <v>1288279</v>
      </c>
      <c r="N14" s="173">
        <v>1371018</v>
      </c>
      <c r="O14" s="173">
        <v>19839</v>
      </c>
      <c r="P14" s="173">
        <v>1390857</v>
      </c>
    </row>
    <row r="15" spans="1:16" hidden="1">
      <c r="A15" s="655">
        <v>45670</v>
      </c>
      <c r="B15" t="s">
        <v>757</v>
      </c>
      <c r="C15" t="s">
        <v>15</v>
      </c>
      <c r="D15" t="s">
        <v>770</v>
      </c>
      <c r="E15" s="173">
        <v>50416</v>
      </c>
      <c r="F15" s="173">
        <v>3597</v>
      </c>
      <c r="G15" s="173">
        <v>471085</v>
      </c>
      <c r="H15">
        <v>8</v>
      </c>
      <c r="I15" s="173">
        <v>2384</v>
      </c>
      <c r="J15">
        <v>0</v>
      </c>
      <c r="K15" s="173">
        <v>50424</v>
      </c>
      <c r="L15" s="173">
        <v>5981</v>
      </c>
      <c r="M15" s="173">
        <v>471085</v>
      </c>
      <c r="N15" s="173">
        <v>525098</v>
      </c>
      <c r="O15" s="173">
        <v>2392</v>
      </c>
      <c r="P15" s="173">
        <v>527490</v>
      </c>
    </row>
    <row r="16" spans="1:16" hidden="1">
      <c r="A16" s="655">
        <v>45670</v>
      </c>
      <c r="B16" t="s">
        <v>757</v>
      </c>
      <c r="C16" t="s">
        <v>15</v>
      </c>
      <c r="D16" t="s">
        <v>771</v>
      </c>
      <c r="E16" s="173">
        <v>331483</v>
      </c>
      <c r="F16" s="173">
        <v>88642</v>
      </c>
      <c r="G16" s="173">
        <v>7567526</v>
      </c>
      <c r="H16" s="173">
        <v>113922</v>
      </c>
      <c r="I16" s="173">
        <v>23917</v>
      </c>
      <c r="J16">
        <v>67</v>
      </c>
      <c r="K16" s="173">
        <v>445405</v>
      </c>
      <c r="L16" s="173">
        <v>112559</v>
      </c>
      <c r="M16" s="173">
        <v>7567593</v>
      </c>
      <c r="N16" s="173">
        <v>7987651</v>
      </c>
      <c r="O16" s="173">
        <v>137906</v>
      </c>
      <c r="P16" s="173">
        <v>8125557</v>
      </c>
    </row>
    <row r="17" spans="1:16" hidden="1">
      <c r="A17" s="655">
        <v>45670</v>
      </c>
      <c r="B17" t="s">
        <v>757</v>
      </c>
      <c r="C17" t="s">
        <v>15</v>
      </c>
      <c r="D17" t="s">
        <v>772</v>
      </c>
      <c r="E17" s="173">
        <v>35522</v>
      </c>
      <c r="F17" s="173">
        <v>6529</v>
      </c>
      <c r="G17" s="173">
        <v>534641</v>
      </c>
      <c r="H17" s="173">
        <v>3725</v>
      </c>
      <c r="I17">
        <v>760</v>
      </c>
      <c r="J17">
        <v>0</v>
      </c>
      <c r="K17" s="173">
        <v>39247</v>
      </c>
      <c r="L17" s="173">
        <v>7289</v>
      </c>
      <c r="M17" s="173">
        <v>534641</v>
      </c>
      <c r="N17" s="173">
        <v>576692</v>
      </c>
      <c r="O17" s="173">
        <v>4485</v>
      </c>
      <c r="P17" s="173">
        <v>581177</v>
      </c>
    </row>
    <row r="18" spans="1:16" hidden="1">
      <c r="A18" s="655">
        <v>45670</v>
      </c>
      <c r="B18" t="s">
        <v>757</v>
      </c>
      <c r="C18" t="s">
        <v>15</v>
      </c>
      <c r="D18" t="s">
        <v>773</v>
      </c>
      <c r="E18" s="173">
        <v>70238</v>
      </c>
      <c r="F18" s="173">
        <v>10376</v>
      </c>
      <c r="G18" s="173">
        <v>1215715</v>
      </c>
      <c r="H18" s="173">
        <v>8312</v>
      </c>
      <c r="I18" s="173">
        <v>2419</v>
      </c>
      <c r="J18">
        <v>3</v>
      </c>
      <c r="K18" s="173">
        <v>78550</v>
      </c>
      <c r="L18" s="173">
        <v>12795</v>
      </c>
      <c r="M18" s="173">
        <v>1215718</v>
      </c>
      <c r="N18" s="173">
        <v>1296329</v>
      </c>
      <c r="O18" s="173">
        <v>10734</v>
      </c>
      <c r="P18" s="173">
        <v>1307063</v>
      </c>
    </row>
    <row r="19" spans="1:16" hidden="1">
      <c r="A19" s="655">
        <v>45670</v>
      </c>
      <c r="B19" t="s">
        <v>757</v>
      </c>
      <c r="C19" t="s">
        <v>15</v>
      </c>
      <c r="D19" t="s">
        <v>774</v>
      </c>
      <c r="E19" s="173">
        <v>40044</v>
      </c>
      <c r="F19" s="173">
        <v>1762</v>
      </c>
      <c r="G19" s="173">
        <v>719393</v>
      </c>
      <c r="H19" s="173">
        <v>5275</v>
      </c>
      <c r="I19">
        <v>772</v>
      </c>
      <c r="J19">
        <v>0</v>
      </c>
      <c r="K19" s="173">
        <v>45319</v>
      </c>
      <c r="L19" s="173">
        <v>2534</v>
      </c>
      <c r="M19" s="173">
        <v>719393</v>
      </c>
      <c r="N19" s="173">
        <v>761199</v>
      </c>
      <c r="O19" s="173">
        <v>6047</v>
      </c>
      <c r="P19" s="173">
        <v>767246</v>
      </c>
    </row>
    <row r="20" spans="1:16" hidden="1">
      <c r="A20" s="655">
        <v>45670</v>
      </c>
      <c r="B20" t="s">
        <v>757</v>
      </c>
      <c r="C20" t="s">
        <v>15</v>
      </c>
      <c r="D20" t="s">
        <v>775</v>
      </c>
      <c r="E20" s="173">
        <v>51975</v>
      </c>
      <c r="F20" s="173">
        <v>4180</v>
      </c>
      <c r="G20" s="173">
        <v>956957</v>
      </c>
      <c r="H20" s="173">
        <v>6515</v>
      </c>
      <c r="I20" s="173">
        <v>1308</v>
      </c>
      <c r="J20">
        <v>0</v>
      </c>
      <c r="K20" s="173">
        <v>58490</v>
      </c>
      <c r="L20" s="173">
        <v>5488</v>
      </c>
      <c r="M20" s="173">
        <v>956957</v>
      </c>
      <c r="N20" s="173">
        <v>1013112</v>
      </c>
      <c r="O20" s="173">
        <v>7823</v>
      </c>
      <c r="P20" s="173">
        <v>1020935</v>
      </c>
    </row>
    <row r="21" spans="1:16" hidden="1">
      <c r="A21" s="655">
        <v>45670</v>
      </c>
      <c r="B21" t="s">
        <v>757</v>
      </c>
      <c r="C21" t="s">
        <v>15</v>
      </c>
      <c r="D21" t="s">
        <v>776</v>
      </c>
      <c r="E21" s="173">
        <v>38896</v>
      </c>
      <c r="F21" s="173">
        <v>4829</v>
      </c>
      <c r="G21" s="173">
        <v>480672</v>
      </c>
      <c r="H21" s="173">
        <v>6581</v>
      </c>
      <c r="I21" s="173">
        <v>1291</v>
      </c>
      <c r="J21">
        <v>0</v>
      </c>
      <c r="K21" s="173">
        <v>45477</v>
      </c>
      <c r="L21" s="173">
        <v>6120</v>
      </c>
      <c r="M21" s="173">
        <v>480672</v>
      </c>
      <c r="N21" s="173">
        <v>524397</v>
      </c>
      <c r="O21" s="173">
        <v>7872</v>
      </c>
      <c r="P21" s="173">
        <v>532269</v>
      </c>
    </row>
    <row r="22" spans="1:16" hidden="1">
      <c r="A22" s="655">
        <v>45670</v>
      </c>
      <c r="B22" t="s">
        <v>757</v>
      </c>
      <c r="C22" t="s">
        <v>15</v>
      </c>
      <c r="D22" t="s">
        <v>777</v>
      </c>
      <c r="E22" s="173">
        <v>17375</v>
      </c>
      <c r="F22" s="173">
        <v>2146</v>
      </c>
      <c r="G22" s="173">
        <v>242660</v>
      </c>
      <c r="H22" s="173">
        <v>2955</v>
      </c>
      <c r="I22">
        <v>527</v>
      </c>
      <c r="J22">
        <v>0</v>
      </c>
      <c r="K22" s="173">
        <v>20330</v>
      </c>
      <c r="L22" s="173">
        <v>2673</v>
      </c>
      <c r="M22" s="173">
        <v>242660</v>
      </c>
      <c r="N22" s="173">
        <v>262181</v>
      </c>
      <c r="O22" s="173">
        <v>3482</v>
      </c>
      <c r="P22" s="173">
        <v>265663</v>
      </c>
    </row>
    <row r="23" spans="1:16" hidden="1">
      <c r="A23" s="655">
        <v>45670</v>
      </c>
      <c r="B23" t="s">
        <v>757</v>
      </c>
      <c r="C23" t="s">
        <v>15</v>
      </c>
      <c r="D23" t="s">
        <v>778</v>
      </c>
      <c r="E23" s="173">
        <v>40903</v>
      </c>
      <c r="F23" s="173">
        <v>4546</v>
      </c>
      <c r="G23" s="173">
        <v>534102</v>
      </c>
      <c r="H23" s="173">
        <v>12022</v>
      </c>
      <c r="I23" s="173">
        <v>1394</v>
      </c>
      <c r="J23">
        <v>0</v>
      </c>
      <c r="K23" s="173">
        <v>52925</v>
      </c>
      <c r="L23" s="173">
        <v>5940</v>
      </c>
      <c r="M23" s="173">
        <v>534102</v>
      </c>
      <c r="N23" s="173">
        <v>579551</v>
      </c>
      <c r="O23" s="173">
        <v>13416</v>
      </c>
      <c r="P23" s="173">
        <v>592967</v>
      </c>
    </row>
    <row r="24" spans="1:16" hidden="1">
      <c r="A24" s="655">
        <v>45670</v>
      </c>
      <c r="B24" t="s">
        <v>757</v>
      </c>
      <c r="C24" t="s">
        <v>15</v>
      </c>
      <c r="D24" t="s">
        <v>779</v>
      </c>
      <c r="E24" s="173">
        <v>106166</v>
      </c>
      <c r="F24" s="173">
        <v>23283</v>
      </c>
      <c r="G24" s="173">
        <v>1950508</v>
      </c>
      <c r="H24" s="173">
        <v>14862</v>
      </c>
      <c r="I24" s="173">
        <v>4200</v>
      </c>
      <c r="J24">
        <v>0</v>
      </c>
      <c r="K24" s="173">
        <v>121028</v>
      </c>
      <c r="L24" s="173">
        <v>27483</v>
      </c>
      <c r="M24" s="173">
        <v>1950508</v>
      </c>
      <c r="N24" s="173">
        <v>2079957</v>
      </c>
      <c r="O24" s="173">
        <v>19062</v>
      </c>
      <c r="P24" s="173">
        <v>2099019</v>
      </c>
    </row>
    <row r="25" spans="1:16" hidden="1">
      <c r="A25" s="655">
        <v>45670</v>
      </c>
      <c r="B25" t="s">
        <v>757</v>
      </c>
      <c r="C25" t="s">
        <v>15</v>
      </c>
      <c r="D25" t="s">
        <v>780</v>
      </c>
      <c r="E25" s="173">
        <v>37783</v>
      </c>
      <c r="F25" s="173">
        <v>1687</v>
      </c>
      <c r="G25" s="173">
        <v>555377</v>
      </c>
      <c r="H25" s="173">
        <v>9496</v>
      </c>
      <c r="I25">
        <v>548</v>
      </c>
      <c r="J25">
        <v>0</v>
      </c>
      <c r="K25" s="173">
        <v>47279</v>
      </c>
      <c r="L25" s="173">
        <v>2235</v>
      </c>
      <c r="M25" s="173">
        <v>555377</v>
      </c>
      <c r="N25" s="173">
        <v>594847</v>
      </c>
      <c r="O25" s="173">
        <v>10044</v>
      </c>
      <c r="P25" s="173">
        <v>604891</v>
      </c>
    </row>
    <row r="26" spans="1:16" hidden="1">
      <c r="A26" s="655">
        <v>45670</v>
      </c>
      <c r="B26" t="s">
        <v>757</v>
      </c>
      <c r="C26" t="s">
        <v>15</v>
      </c>
      <c r="D26" t="s">
        <v>781</v>
      </c>
      <c r="E26" s="173">
        <v>55897</v>
      </c>
      <c r="F26" s="173">
        <v>8960</v>
      </c>
      <c r="G26" s="173">
        <v>865301</v>
      </c>
      <c r="H26" s="173">
        <v>7389</v>
      </c>
      <c r="I26" s="173">
        <v>1463</v>
      </c>
      <c r="J26">
        <v>0</v>
      </c>
      <c r="K26" s="173">
        <v>63286</v>
      </c>
      <c r="L26" s="173">
        <v>10423</v>
      </c>
      <c r="M26" s="173">
        <v>865301</v>
      </c>
      <c r="N26" s="173">
        <v>930158</v>
      </c>
      <c r="O26" s="173">
        <v>8852</v>
      </c>
      <c r="P26" s="173">
        <v>939010</v>
      </c>
    </row>
    <row r="27" spans="1:16" hidden="1">
      <c r="A27" s="655">
        <v>45670</v>
      </c>
      <c r="B27" t="s">
        <v>757</v>
      </c>
      <c r="C27" t="s">
        <v>15</v>
      </c>
      <c r="D27" t="s">
        <v>782</v>
      </c>
      <c r="E27" s="173">
        <v>53910</v>
      </c>
      <c r="F27" s="173">
        <v>13819</v>
      </c>
      <c r="G27" s="173">
        <v>1046920</v>
      </c>
      <c r="H27" s="173">
        <v>6620</v>
      </c>
      <c r="I27" s="173">
        <v>2760</v>
      </c>
      <c r="J27">
        <v>0</v>
      </c>
      <c r="K27" s="173">
        <v>60530</v>
      </c>
      <c r="L27" s="173">
        <v>16579</v>
      </c>
      <c r="M27" s="173">
        <v>1046920</v>
      </c>
      <c r="N27" s="173">
        <v>1114649</v>
      </c>
      <c r="O27" s="173">
        <v>9380</v>
      </c>
      <c r="P27" s="173">
        <v>1124029</v>
      </c>
    </row>
    <row r="28" spans="1:16" hidden="1">
      <c r="A28" s="655">
        <v>45670</v>
      </c>
      <c r="B28" t="s">
        <v>757</v>
      </c>
      <c r="C28" t="s">
        <v>15</v>
      </c>
      <c r="D28" t="s">
        <v>783</v>
      </c>
      <c r="E28" s="173">
        <v>21289</v>
      </c>
      <c r="F28" s="173">
        <v>1045</v>
      </c>
      <c r="G28" s="173">
        <v>365314</v>
      </c>
      <c r="H28" s="173">
        <v>2935</v>
      </c>
      <c r="I28">
        <v>317</v>
      </c>
      <c r="J28">
        <v>0</v>
      </c>
      <c r="K28" s="173">
        <v>24224</v>
      </c>
      <c r="L28" s="173">
        <v>1362</v>
      </c>
      <c r="M28" s="173">
        <v>365314</v>
      </c>
      <c r="N28" s="173">
        <v>387648</v>
      </c>
      <c r="O28" s="173">
        <v>3252</v>
      </c>
      <c r="P28" s="173">
        <v>390900</v>
      </c>
    </row>
    <row r="29" spans="1:16" hidden="1">
      <c r="A29" s="655">
        <v>45670</v>
      </c>
      <c r="B29" t="s">
        <v>757</v>
      </c>
      <c r="C29" t="s">
        <v>15</v>
      </c>
      <c r="D29" t="s">
        <v>784</v>
      </c>
      <c r="E29" s="173">
        <v>50949</v>
      </c>
      <c r="F29" s="173">
        <v>4496</v>
      </c>
      <c r="G29" s="173">
        <v>1010953</v>
      </c>
      <c r="H29" s="173">
        <v>7405</v>
      </c>
      <c r="I29" s="173">
        <v>2575</v>
      </c>
      <c r="J29">
        <v>0</v>
      </c>
      <c r="K29" s="173">
        <v>58354</v>
      </c>
      <c r="L29" s="173">
        <v>7071</v>
      </c>
      <c r="M29" s="173">
        <v>1010953</v>
      </c>
      <c r="N29" s="173">
        <v>1066398</v>
      </c>
      <c r="O29" s="173">
        <v>9980</v>
      </c>
      <c r="P29" s="173">
        <v>1076378</v>
      </c>
    </row>
    <row r="30" spans="1:16" hidden="1">
      <c r="A30" s="655">
        <v>45670</v>
      </c>
      <c r="B30" t="s">
        <v>757</v>
      </c>
      <c r="C30" t="s">
        <v>15</v>
      </c>
      <c r="D30" t="s">
        <v>785</v>
      </c>
      <c r="E30" s="173">
        <v>63649</v>
      </c>
      <c r="F30" s="173">
        <v>12272</v>
      </c>
      <c r="G30" s="173">
        <v>808015</v>
      </c>
      <c r="H30" s="173">
        <v>9641</v>
      </c>
      <c r="I30" s="173">
        <v>2055</v>
      </c>
      <c r="J30">
        <v>0</v>
      </c>
      <c r="K30" s="173">
        <v>73290</v>
      </c>
      <c r="L30" s="173">
        <v>14327</v>
      </c>
      <c r="M30" s="173">
        <v>808015</v>
      </c>
      <c r="N30" s="173">
        <v>883936</v>
      </c>
      <c r="O30" s="173">
        <v>11696</v>
      </c>
      <c r="P30" s="173">
        <v>895632</v>
      </c>
    </row>
    <row r="31" spans="1:16" hidden="1">
      <c r="A31" s="655">
        <v>45670</v>
      </c>
      <c r="B31" t="s">
        <v>757</v>
      </c>
      <c r="C31" t="s">
        <v>15</v>
      </c>
      <c r="D31" t="s">
        <v>786</v>
      </c>
      <c r="E31" s="173">
        <v>74698</v>
      </c>
      <c r="F31" s="173">
        <v>2151</v>
      </c>
      <c r="G31" s="173">
        <v>1070884</v>
      </c>
      <c r="H31" s="173">
        <v>4923</v>
      </c>
      <c r="I31" s="173">
        <v>1532</v>
      </c>
      <c r="J31">
        <v>0</v>
      </c>
      <c r="K31" s="173">
        <v>79621</v>
      </c>
      <c r="L31" s="173">
        <v>3683</v>
      </c>
      <c r="M31" s="173">
        <v>1070884</v>
      </c>
      <c r="N31" s="173">
        <v>1147733</v>
      </c>
      <c r="O31" s="173">
        <v>6455</v>
      </c>
      <c r="P31" s="173">
        <v>1154188</v>
      </c>
    </row>
    <row r="32" spans="1:16" hidden="1">
      <c r="A32" s="655">
        <v>45670</v>
      </c>
      <c r="B32" t="s">
        <v>757</v>
      </c>
      <c r="C32" t="s">
        <v>15</v>
      </c>
      <c r="D32" t="s">
        <v>787</v>
      </c>
      <c r="E32" s="173">
        <v>131559</v>
      </c>
      <c r="F32" s="173">
        <v>14417</v>
      </c>
      <c r="G32" s="173">
        <v>2137253</v>
      </c>
      <c r="H32" s="173">
        <v>23722</v>
      </c>
      <c r="I32" s="173">
        <v>3411</v>
      </c>
      <c r="J32">
        <v>0</v>
      </c>
      <c r="K32" s="173">
        <v>155281</v>
      </c>
      <c r="L32" s="173">
        <v>17828</v>
      </c>
      <c r="M32" s="173">
        <v>2137253</v>
      </c>
      <c r="N32" s="173">
        <v>2283229</v>
      </c>
      <c r="O32" s="173">
        <v>27133</v>
      </c>
      <c r="P32" s="173">
        <v>2310362</v>
      </c>
    </row>
    <row r="33" spans="1:16" hidden="1">
      <c r="A33" s="655">
        <v>45670</v>
      </c>
      <c r="B33" t="s">
        <v>757</v>
      </c>
      <c r="C33" t="s">
        <v>15</v>
      </c>
      <c r="D33" t="s">
        <v>788</v>
      </c>
      <c r="E33" s="173">
        <v>53326</v>
      </c>
      <c r="F33" s="173">
        <v>11232</v>
      </c>
      <c r="G33" s="173">
        <v>1019657</v>
      </c>
      <c r="H33" s="173">
        <v>9690</v>
      </c>
      <c r="I33" s="173">
        <v>2072</v>
      </c>
      <c r="J33">
        <v>0</v>
      </c>
      <c r="K33" s="173">
        <v>63016</v>
      </c>
      <c r="L33" s="173">
        <v>13304</v>
      </c>
      <c r="M33" s="173">
        <v>1019657</v>
      </c>
      <c r="N33" s="173">
        <v>1084215</v>
      </c>
      <c r="O33" s="173">
        <v>11762</v>
      </c>
      <c r="P33" s="173">
        <v>1095977</v>
      </c>
    </row>
    <row r="34" spans="1:16" hidden="1">
      <c r="A34" s="655">
        <v>45670</v>
      </c>
      <c r="B34" t="s">
        <v>757</v>
      </c>
      <c r="C34" t="s">
        <v>15</v>
      </c>
      <c r="D34" t="s">
        <v>789</v>
      </c>
      <c r="E34" s="173">
        <v>33745</v>
      </c>
      <c r="F34" s="173">
        <v>7429</v>
      </c>
      <c r="G34" s="173">
        <v>576032</v>
      </c>
      <c r="H34" s="173">
        <v>15001</v>
      </c>
      <c r="I34" s="173">
        <v>12994</v>
      </c>
      <c r="J34">
        <v>0</v>
      </c>
      <c r="K34" s="173">
        <v>48746</v>
      </c>
      <c r="L34" s="173">
        <v>20423</v>
      </c>
      <c r="M34" s="173">
        <v>576032</v>
      </c>
      <c r="N34" s="173">
        <v>617206</v>
      </c>
      <c r="O34" s="173">
        <v>27995</v>
      </c>
      <c r="P34" s="173">
        <v>645201</v>
      </c>
    </row>
    <row r="35" spans="1:16" hidden="1">
      <c r="A35" s="655">
        <v>45670</v>
      </c>
      <c r="B35" t="s">
        <v>757</v>
      </c>
      <c r="C35" t="s">
        <v>15</v>
      </c>
      <c r="D35" t="s">
        <v>790</v>
      </c>
      <c r="E35" s="173">
        <v>48119</v>
      </c>
      <c r="F35" s="173">
        <v>5447</v>
      </c>
      <c r="G35" s="173">
        <v>952087</v>
      </c>
      <c r="H35" s="173">
        <v>5829</v>
      </c>
      <c r="I35" s="173">
        <v>1557</v>
      </c>
      <c r="J35">
        <v>0</v>
      </c>
      <c r="K35" s="173">
        <v>53948</v>
      </c>
      <c r="L35" s="173">
        <v>7004</v>
      </c>
      <c r="M35" s="173">
        <v>952087</v>
      </c>
      <c r="N35" s="173">
        <v>1005653</v>
      </c>
      <c r="O35" s="173">
        <v>7386</v>
      </c>
      <c r="P35" s="173">
        <v>1013039</v>
      </c>
    </row>
    <row r="36" spans="1:16" hidden="1">
      <c r="A36" s="655">
        <v>45670</v>
      </c>
      <c r="B36" t="s">
        <v>757</v>
      </c>
      <c r="C36" t="s">
        <v>15</v>
      </c>
      <c r="D36" t="s">
        <v>791</v>
      </c>
      <c r="E36" s="173">
        <v>32747</v>
      </c>
      <c r="F36" s="173">
        <v>6636</v>
      </c>
      <c r="G36" s="173">
        <v>485556</v>
      </c>
      <c r="H36">
        <v>0</v>
      </c>
      <c r="I36" s="173">
        <v>3134</v>
      </c>
      <c r="J36">
        <v>0</v>
      </c>
      <c r="K36" s="173">
        <v>32747</v>
      </c>
      <c r="L36" s="173">
        <v>9770</v>
      </c>
      <c r="M36" s="173">
        <v>485556</v>
      </c>
      <c r="N36" s="173">
        <v>524939</v>
      </c>
      <c r="O36" s="173">
        <v>3134</v>
      </c>
      <c r="P36" s="173">
        <v>528073</v>
      </c>
    </row>
    <row r="37" spans="1:16" s="137" customFormat="1" hidden="1">
      <c r="A37" s="656">
        <v>45670</v>
      </c>
      <c r="B37" s="137" t="s">
        <v>757</v>
      </c>
      <c r="C37" s="137" t="s">
        <v>25</v>
      </c>
      <c r="D37" s="137" t="s">
        <v>792</v>
      </c>
      <c r="E37" s="657">
        <v>52441</v>
      </c>
      <c r="F37" s="657">
        <v>2960</v>
      </c>
      <c r="G37" s="658">
        <v>986796</v>
      </c>
      <c r="H37" s="657">
        <v>5564</v>
      </c>
      <c r="I37" s="137">
        <v>108</v>
      </c>
      <c r="J37" s="137">
        <v>0</v>
      </c>
      <c r="K37" s="657">
        <v>58005</v>
      </c>
      <c r="L37" s="657">
        <v>3068</v>
      </c>
      <c r="M37" s="657">
        <v>986796</v>
      </c>
      <c r="N37" s="657">
        <v>1042197</v>
      </c>
      <c r="O37" s="657">
        <v>5672</v>
      </c>
      <c r="P37" s="657">
        <v>1047869</v>
      </c>
    </row>
    <row r="38" spans="1:16" hidden="1">
      <c r="A38" s="655">
        <v>45670</v>
      </c>
      <c r="B38" t="s">
        <v>757</v>
      </c>
      <c r="C38" t="s">
        <v>25</v>
      </c>
      <c r="D38" t="s">
        <v>793</v>
      </c>
      <c r="E38" s="173">
        <v>43123</v>
      </c>
      <c r="F38" s="173">
        <v>2844</v>
      </c>
      <c r="G38" s="173">
        <v>742919</v>
      </c>
      <c r="H38" s="173">
        <v>3141</v>
      </c>
      <c r="I38">
        <v>134</v>
      </c>
      <c r="J38">
        <v>0</v>
      </c>
      <c r="K38" s="173">
        <v>46264</v>
      </c>
      <c r="L38" s="173">
        <v>2978</v>
      </c>
      <c r="M38" s="173">
        <v>742919</v>
      </c>
      <c r="N38" s="173">
        <v>788886</v>
      </c>
      <c r="O38" s="173">
        <v>3275</v>
      </c>
      <c r="P38" s="173">
        <v>792161</v>
      </c>
    </row>
    <row r="39" spans="1:16" hidden="1">
      <c r="A39" s="655">
        <v>45670</v>
      </c>
      <c r="B39" t="s">
        <v>757</v>
      </c>
      <c r="C39" t="s">
        <v>25</v>
      </c>
      <c r="D39" t="s">
        <v>794</v>
      </c>
      <c r="E39" s="173">
        <v>23774</v>
      </c>
      <c r="F39">
        <v>738</v>
      </c>
      <c r="G39" s="173">
        <v>467675</v>
      </c>
      <c r="H39" s="173">
        <v>4640</v>
      </c>
      <c r="I39">
        <v>400</v>
      </c>
      <c r="J39">
        <v>0</v>
      </c>
      <c r="K39" s="173">
        <v>28414</v>
      </c>
      <c r="L39" s="173">
        <v>1138</v>
      </c>
      <c r="M39" s="173">
        <v>467675</v>
      </c>
      <c r="N39" s="173">
        <v>492187</v>
      </c>
      <c r="O39" s="173">
        <v>5040</v>
      </c>
      <c r="P39" s="173">
        <v>497227</v>
      </c>
    </row>
    <row r="40" spans="1:16" hidden="1">
      <c r="A40" s="655">
        <v>45670</v>
      </c>
      <c r="B40" t="s">
        <v>757</v>
      </c>
      <c r="C40" t="s">
        <v>25</v>
      </c>
      <c r="D40" t="s">
        <v>795</v>
      </c>
      <c r="E40" s="173">
        <v>63144</v>
      </c>
      <c r="F40" s="173">
        <v>2582</v>
      </c>
      <c r="G40" s="173">
        <v>1043844</v>
      </c>
      <c r="H40" s="173">
        <v>5623</v>
      </c>
      <c r="I40">
        <v>140</v>
      </c>
      <c r="J40">
        <v>0</v>
      </c>
      <c r="K40" s="173">
        <v>68767</v>
      </c>
      <c r="L40" s="173">
        <v>2722</v>
      </c>
      <c r="M40" s="173">
        <v>1043844</v>
      </c>
      <c r="N40" s="173">
        <v>1109570</v>
      </c>
      <c r="O40" s="173">
        <v>5763</v>
      </c>
      <c r="P40" s="173">
        <v>1115333</v>
      </c>
    </row>
    <row r="41" spans="1:16" hidden="1">
      <c r="A41" s="655">
        <v>45670</v>
      </c>
      <c r="B41" t="s">
        <v>757</v>
      </c>
      <c r="C41" t="s">
        <v>25</v>
      </c>
      <c r="D41" t="s">
        <v>796</v>
      </c>
      <c r="E41" s="173">
        <v>15933</v>
      </c>
      <c r="F41" s="173">
        <v>1887</v>
      </c>
      <c r="G41" s="173">
        <v>466854</v>
      </c>
      <c r="H41" s="173">
        <v>3197</v>
      </c>
      <c r="I41">
        <v>867</v>
      </c>
      <c r="J41">
        <v>0</v>
      </c>
      <c r="K41" s="173">
        <v>19130</v>
      </c>
      <c r="L41" s="173">
        <v>2754</v>
      </c>
      <c r="M41" s="173">
        <v>466854</v>
      </c>
      <c r="N41" s="173">
        <v>484674</v>
      </c>
      <c r="O41" s="173">
        <v>4064</v>
      </c>
      <c r="P41" s="173">
        <v>488738</v>
      </c>
    </row>
    <row r="42" spans="1:16" s="137" customFormat="1" hidden="1">
      <c r="A42" s="656">
        <v>45670</v>
      </c>
      <c r="B42" s="137" t="s">
        <v>757</v>
      </c>
      <c r="C42" s="137" t="s">
        <v>25</v>
      </c>
      <c r="D42" s="137" t="s">
        <v>797</v>
      </c>
      <c r="E42" s="657">
        <v>52953</v>
      </c>
      <c r="F42" s="657">
        <v>2269</v>
      </c>
      <c r="G42" s="658">
        <v>971634</v>
      </c>
      <c r="H42" s="657">
        <v>7764</v>
      </c>
      <c r="I42" s="137">
        <v>94</v>
      </c>
      <c r="J42" s="137">
        <v>0</v>
      </c>
      <c r="K42" s="657">
        <v>60717</v>
      </c>
      <c r="L42" s="657">
        <v>2363</v>
      </c>
      <c r="M42" s="657">
        <v>971634</v>
      </c>
      <c r="N42" s="657">
        <v>1026856</v>
      </c>
      <c r="O42" s="657">
        <v>7858</v>
      </c>
      <c r="P42" s="657">
        <v>1034714</v>
      </c>
    </row>
    <row r="43" spans="1:16" hidden="1">
      <c r="A43" s="655">
        <v>45670</v>
      </c>
      <c r="B43" t="s">
        <v>757</v>
      </c>
      <c r="C43" t="s">
        <v>25</v>
      </c>
      <c r="D43" t="s">
        <v>798</v>
      </c>
      <c r="E43" s="173">
        <v>54648</v>
      </c>
      <c r="F43" s="173">
        <v>1648</v>
      </c>
      <c r="G43" s="173">
        <v>737404</v>
      </c>
      <c r="H43">
        <v>265</v>
      </c>
      <c r="I43">
        <v>89</v>
      </c>
      <c r="J43">
        <v>0</v>
      </c>
      <c r="K43" s="173">
        <v>54913</v>
      </c>
      <c r="L43" s="173">
        <v>1737</v>
      </c>
      <c r="M43" s="173">
        <v>737404</v>
      </c>
      <c r="N43" s="173">
        <v>793700</v>
      </c>
      <c r="O43">
        <v>354</v>
      </c>
      <c r="P43" s="173">
        <v>794054</v>
      </c>
    </row>
    <row r="44" spans="1:16" hidden="1">
      <c r="A44" s="655">
        <v>45670</v>
      </c>
      <c r="B44" t="s">
        <v>757</v>
      </c>
      <c r="C44" t="s">
        <v>25</v>
      </c>
      <c r="D44" t="s">
        <v>799</v>
      </c>
      <c r="E44" s="173">
        <v>16065</v>
      </c>
      <c r="F44" s="173">
        <v>1335</v>
      </c>
      <c r="G44" s="173">
        <v>322380</v>
      </c>
      <c r="H44" s="173">
        <v>3184</v>
      </c>
      <c r="I44" s="173">
        <v>53</v>
      </c>
      <c r="J44">
        <v>0</v>
      </c>
      <c r="K44" s="173">
        <v>19249</v>
      </c>
      <c r="L44" s="173">
        <v>1388</v>
      </c>
      <c r="M44" s="173">
        <v>322380</v>
      </c>
      <c r="N44" s="173">
        <v>339780</v>
      </c>
      <c r="O44" s="173">
        <v>3237</v>
      </c>
      <c r="P44" s="173">
        <v>343017</v>
      </c>
    </row>
    <row r="45" spans="1:16" hidden="1">
      <c r="A45" s="655">
        <v>45670</v>
      </c>
      <c r="B45" t="s">
        <v>757</v>
      </c>
      <c r="C45" t="s">
        <v>25</v>
      </c>
      <c r="D45" t="s">
        <v>800</v>
      </c>
      <c r="E45" s="173">
        <v>59181</v>
      </c>
      <c r="F45" s="173">
        <v>3382</v>
      </c>
      <c r="G45" s="173">
        <v>966265</v>
      </c>
      <c r="H45" s="173">
        <v>6379</v>
      </c>
      <c r="I45" s="173">
        <v>1158</v>
      </c>
      <c r="J45">
        <v>0</v>
      </c>
      <c r="K45" s="173">
        <v>65560</v>
      </c>
      <c r="L45" s="173">
        <v>4540</v>
      </c>
      <c r="M45" s="173">
        <v>966265</v>
      </c>
      <c r="N45" s="173">
        <v>1028828</v>
      </c>
      <c r="O45" s="173">
        <v>7537</v>
      </c>
      <c r="P45" s="173">
        <v>1036365</v>
      </c>
    </row>
    <row r="46" spans="1:16" hidden="1">
      <c r="A46" s="655">
        <v>45670</v>
      </c>
      <c r="B46" t="s">
        <v>757</v>
      </c>
      <c r="C46" t="s">
        <v>25</v>
      </c>
      <c r="D46" t="s">
        <v>801</v>
      </c>
      <c r="E46" s="173">
        <v>18315</v>
      </c>
      <c r="F46" s="173">
        <v>3279</v>
      </c>
      <c r="G46" s="173">
        <v>299484</v>
      </c>
      <c r="H46" s="173">
        <v>1336</v>
      </c>
      <c r="I46">
        <v>117</v>
      </c>
      <c r="J46">
        <v>0</v>
      </c>
      <c r="K46" s="173">
        <v>19651</v>
      </c>
      <c r="L46" s="173">
        <v>3396</v>
      </c>
      <c r="M46" s="173">
        <v>299484</v>
      </c>
      <c r="N46" s="173">
        <v>321078</v>
      </c>
      <c r="O46" s="173">
        <v>1453</v>
      </c>
      <c r="P46" s="173">
        <v>322531</v>
      </c>
    </row>
    <row r="47" spans="1:16" hidden="1">
      <c r="A47" s="655">
        <v>45670</v>
      </c>
      <c r="B47" t="s">
        <v>757</v>
      </c>
      <c r="C47" t="s">
        <v>25</v>
      </c>
      <c r="D47" t="s">
        <v>802</v>
      </c>
      <c r="E47" s="173">
        <v>30118</v>
      </c>
      <c r="F47" s="173">
        <v>1617</v>
      </c>
      <c r="G47" s="173">
        <v>555365</v>
      </c>
      <c r="H47" s="173">
        <v>3851</v>
      </c>
      <c r="I47">
        <v>61</v>
      </c>
      <c r="J47">
        <v>0</v>
      </c>
      <c r="K47" s="173">
        <v>33969</v>
      </c>
      <c r="L47" s="173">
        <v>1678</v>
      </c>
      <c r="M47" s="173">
        <v>555365</v>
      </c>
      <c r="N47" s="173">
        <v>587100</v>
      </c>
      <c r="O47" s="173">
        <v>3912</v>
      </c>
      <c r="P47" s="173">
        <v>591012</v>
      </c>
    </row>
    <row r="48" spans="1:16" hidden="1">
      <c r="A48" s="655">
        <v>45670</v>
      </c>
      <c r="B48" t="s">
        <v>757</v>
      </c>
      <c r="C48" t="s">
        <v>25</v>
      </c>
      <c r="D48" t="s">
        <v>803</v>
      </c>
      <c r="E48" s="173">
        <v>37171</v>
      </c>
      <c r="F48">
        <v>679</v>
      </c>
      <c r="G48" s="173">
        <v>765190</v>
      </c>
      <c r="H48" s="173">
        <v>4769</v>
      </c>
      <c r="I48">
        <v>42</v>
      </c>
      <c r="J48">
        <v>0</v>
      </c>
      <c r="K48" s="173">
        <v>41940</v>
      </c>
      <c r="L48">
        <v>721</v>
      </c>
      <c r="M48" s="173">
        <v>765190</v>
      </c>
      <c r="N48" s="173">
        <v>803040</v>
      </c>
      <c r="O48" s="173">
        <v>4811</v>
      </c>
      <c r="P48" s="173">
        <v>807851</v>
      </c>
    </row>
    <row r="49" spans="1:16" hidden="1">
      <c r="A49" s="655">
        <v>45670</v>
      </c>
      <c r="B49" t="s">
        <v>757</v>
      </c>
      <c r="C49" t="s">
        <v>25</v>
      </c>
      <c r="D49" t="s">
        <v>804</v>
      </c>
      <c r="E49" s="173">
        <v>39159</v>
      </c>
      <c r="F49" s="173">
        <v>3443</v>
      </c>
      <c r="G49" s="173">
        <v>711410</v>
      </c>
      <c r="H49" s="173">
        <v>4322</v>
      </c>
      <c r="I49" s="173">
        <v>1361</v>
      </c>
      <c r="J49">
        <v>0</v>
      </c>
      <c r="K49" s="173">
        <v>43481</v>
      </c>
      <c r="L49" s="173">
        <v>4804</v>
      </c>
      <c r="M49" s="173">
        <v>711410</v>
      </c>
      <c r="N49" s="173">
        <v>754012</v>
      </c>
      <c r="O49" s="173">
        <v>5683</v>
      </c>
      <c r="P49" s="173">
        <v>759695</v>
      </c>
    </row>
    <row r="50" spans="1:16" hidden="1">
      <c r="A50" s="655">
        <v>45670</v>
      </c>
      <c r="B50" t="s">
        <v>757</v>
      </c>
      <c r="C50" t="s">
        <v>25</v>
      </c>
      <c r="D50" t="s">
        <v>805</v>
      </c>
      <c r="E50" s="173">
        <v>13486</v>
      </c>
      <c r="F50">
        <v>286</v>
      </c>
      <c r="G50" s="173">
        <v>288242</v>
      </c>
      <c r="H50" s="173">
        <v>2126</v>
      </c>
      <c r="I50">
        <v>16</v>
      </c>
      <c r="J50">
        <v>0</v>
      </c>
      <c r="K50" s="173">
        <v>15612</v>
      </c>
      <c r="L50">
        <v>302</v>
      </c>
      <c r="M50" s="173">
        <v>288242</v>
      </c>
      <c r="N50" s="173">
        <v>302014</v>
      </c>
      <c r="O50" s="173">
        <v>2142</v>
      </c>
      <c r="P50" s="173">
        <v>304156</v>
      </c>
    </row>
    <row r="51" spans="1:16" hidden="1">
      <c r="A51" s="655">
        <v>45670</v>
      </c>
      <c r="B51" t="s">
        <v>757</v>
      </c>
      <c r="C51" t="s">
        <v>25</v>
      </c>
      <c r="D51" t="s">
        <v>806</v>
      </c>
      <c r="E51" s="173">
        <v>20101</v>
      </c>
      <c r="F51" s="173">
        <v>1181</v>
      </c>
      <c r="G51" s="173">
        <v>529792</v>
      </c>
      <c r="H51" s="173">
        <v>3042</v>
      </c>
      <c r="I51">
        <v>434</v>
      </c>
      <c r="J51">
        <v>0</v>
      </c>
      <c r="K51" s="173">
        <v>23143</v>
      </c>
      <c r="L51" s="173">
        <v>1615</v>
      </c>
      <c r="M51" s="173">
        <v>529792</v>
      </c>
      <c r="N51" s="173">
        <v>551074</v>
      </c>
      <c r="O51" s="173">
        <v>3476</v>
      </c>
      <c r="P51" s="173">
        <v>554550</v>
      </c>
    </row>
    <row r="52" spans="1:16" hidden="1">
      <c r="A52" s="655">
        <v>45670</v>
      </c>
      <c r="B52" t="s">
        <v>757</v>
      </c>
      <c r="C52" t="s">
        <v>30</v>
      </c>
      <c r="D52" s="30" t="s">
        <v>807</v>
      </c>
      <c r="E52" s="173">
        <v>87301</v>
      </c>
      <c r="F52">
        <v>693</v>
      </c>
      <c r="G52" s="173">
        <v>1113575</v>
      </c>
      <c r="H52" s="173">
        <v>1685</v>
      </c>
      <c r="I52">
        <v>0</v>
      </c>
      <c r="J52">
        <v>0</v>
      </c>
      <c r="K52" s="173">
        <v>88986</v>
      </c>
      <c r="L52">
        <v>693</v>
      </c>
      <c r="M52" s="173">
        <v>1113575</v>
      </c>
      <c r="N52" s="173">
        <v>1201569</v>
      </c>
      <c r="O52" s="173">
        <v>1685</v>
      </c>
      <c r="P52" s="173">
        <v>1203254</v>
      </c>
    </row>
    <row r="53" spans="1:16" s="47" customFormat="1" hidden="1">
      <c r="A53" s="829">
        <v>45670</v>
      </c>
      <c r="B53" s="47" t="s">
        <v>757</v>
      </c>
      <c r="C53" s="47" t="s">
        <v>30</v>
      </c>
      <c r="D53" s="30" t="s">
        <v>808</v>
      </c>
      <c r="E53" s="830">
        <v>95113</v>
      </c>
      <c r="F53" s="830">
        <v>1059</v>
      </c>
      <c r="G53" s="830">
        <v>2197565</v>
      </c>
      <c r="H53" s="830">
        <v>18915</v>
      </c>
      <c r="I53" s="47">
        <v>151</v>
      </c>
      <c r="J53" s="47">
        <v>0</v>
      </c>
      <c r="K53" s="830">
        <v>114028</v>
      </c>
      <c r="L53" s="830">
        <v>1210</v>
      </c>
      <c r="M53" s="830">
        <v>2197565</v>
      </c>
      <c r="N53" s="830">
        <v>2293737</v>
      </c>
      <c r="O53" s="830">
        <v>19066</v>
      </c>
      <c r="P53" s="830">
        <v>2312803</v>
      </c>
    </row>
    <row r="54" spans="1:16" hidden="1">
      <c r="A54" s="655">
        <v>45670</v>
      </c>
      <c r="B54" t="s">
        <v>757</v>
      </c>
      <c r="C54" t="s">
        <v>30</v>
      </c>
      <c r="D54" t="s">
        <v>809</v>
      </c>
      <c r="E54" s="173">
        <v>16861</v>
      </c>
      <c r="G54" s="173">
        <v>185768</v>
      </c>
      <c r="H54">
        <v>0</v>
      </c>
      <c r="J54">
        <v>0</v>
      </c>
      <c r="K54" s="173">
        <v>16861</v>
      </c>
      <c r="M54" s="173">
        <v>185768</v>
      </c>
      <c r="N54" s="173">
        <v>202629</v>
      </c>
      <c r="O54">
        <v>0</v>
      </c>
      <c r="P54" s="173">
        <v>202629</v>
      </c>
    </row>
    <row r="55" spans="1:16" hidden="1">
      <c r="A55" s="655">
        <v>45670</v>
      </c>
      <c r="B55" t="s">
        <v>757</v>
      </c>
      <c r="C55" t="s">
        <v>30</v>
      </c>
      <c r="D55" t="s">
        <v>810</v>
      </c>
      <c r="E55" s="173">
        <v>45453</v>
      </c>
      <c r="F55" s="173">
        <v>2053</v>
      </c>
      <c r="G55" s="173">
        <v>840498</v>
      </c>
      <c r="H55" s="173">
        <v>4259</v>
      </c>
      <c r="I55">
        <v>685</v>
      </c>
      <c r="J55">
        <v>0</v>
      </c>
      <c r="K55" s="173">
        <v>49712</v>
      </c>
      <c r="L55" s="173">
        <v>2738</v>
      </c>
      <c r="M55" s="173">
        <v>840498</v>
      </c>
      <c r="N55" s="173">
        <v>888004</v>
      </c>
      <c r="O55" s="173">
        <v>4944</v>
      </c>
      <c r="P55" s="173">
        <v>892948</v>
      </c>
    </row>
    <row r="56" spans="1:16">
      <c r="A56" s="655">
        <v>45670</v>
      </c>
      <c r="B56" t="s">
        <v>757</v>
      </c>
      <c r="C56" t="s">
        <v>30</v>
      </c>
      <c r="D56" s="831" t="s">
        <v>811</v>
      </c>
      <c r="E56" s="173">
        <v>60564</v>
      </c>
      <c r="F56">
        <v>243</v>
      </c>
      <c r="G56" s="173">
        <v>913585</v>
      </c>
      <c r="H56">
        <v>0</v>
      </c>
      <c r="I56">
        <v>21</v>
      </c>
      <c r="J56">
        <v>0</v>
      </c>
      <c r="K56" s="173">
        <v>60564</v>
      </c>
      <c r="L56">
        <v>264</v>
      </c>
      <c r="M56" s="173">
        <v>913585</v>
      </c>
      <c r="N56" s="173">
        <v>974392</v>
      </c>
      <c r="O56">
        <v>21</v>
      </c>
      <c r="P56" s="173">
        <v>974413</v>
      </c>
    </row>
    <row r="57" spans="1:16" hidden="1">
      <c r="A57" s="655">
        <v>45670</v>
      </c>
      <c r="B57" t="s">
        <v>757</v>
      </c>
      <c r="C57" t="s">
        <v>30</v>
      </c>
      <c r="D57" t="s">
        <v>812</v>
      </c>
      <c r="E57" s="173">
        <v>15692</v>
      </c>
      <c r="F57">
        <v>552</v>
      </c>
      <c r="G57" s="173">
        <v>226175</v>
      </c>
      <c r="H57">
        <v>0</v>
      </c>
      <c r="I57">
        <v>0</v>
      </c>
      <c r="J57">
        <v>0</v>
      </c>
      <c r="K57" s="173">
        <v>15692</v>
      </c>
      <c r="L57">
        <v>552</v>
      </c>
      <c r="M57" s="173">
        <v>226175</v>
      </c>
      <c r="N57" s="173">
        <v>242419</v>
      </c>
      <c r="O57">
        <v>0</v>
      </c>
      <c r="P57" s="173">
        <v>242419</v>
      </c>
    </row>
    <row r="58" spans="1:16">
      <c r="A58" s="655">
        <v>45670</v>
      </c>
      <c r="B58" t="s">
        <v>757</v>
      </c>
      <c r="C58" t="s">
        <v>30</v>
      </c>
      <c r="D58" s="30" t="s">
        <v>813</v>
      </c>
      <c r="E58" s="173">
        <v>29063</v>
      </c>
      <c r="F58">
        <v>11</v>
      </c>
      <c r="G58" s="173">
        <v>456359</v>
      </c>
      <c r="H58" s="173">
        <v>1937</v>
      </c>
      <c r="I58">
        <v>4</v>
      </c>
      <c r="J58">
        <v>0</v>
      </c>
      <c r="K58" s="173">
        <v>31000</v>
      </c>
      <c r="L58">
        <v>15</v>
      </c>
      <c r="M58" s="173">
        <v>456359</v>
      </c>
      <c r="N58" s="173">
        <v>485433</v>
      </c>
      <c r="O58" s="173">
        <v>1941</v>
      </c>
      <c r="P58" s="173">
        <v>487374</v>
      </c>
    </row>
    <row r="59" spans="1:16" s="47" customFormat="1" hidden="1">
      <c r="A59" s="829">
        <v>45670</v>
      </c>
      <c r="B59" s="47" t="s">
        <v>757</v>
      </c>
      <c r="C59" s="47" t="s">
        <v>30</v>
      </c>
      <c r="D59" s="47" t="s">
        <v>814</v>
      </c>
      <c r="E59" s="830">
        <v>112714</v>
      </c>
      <c r="F59" s="830">
        <v>3759</v>
      </c>
      <c r="G59" s="830">
        <v>2008738</v>
      </c>
      <c r="H59" s="47">
        <v>20</v>
      </c>
      <c r="I59" s="47">
        <v>239</v>
      </c>
      <c r="J59" s="47">
        <v>0</v>
      </c>
      <c r="K59" s="830">
        <v>112734</v>
      </c>
      <c r="L59" s="830">
        <v>3998</v>
      </c>
      <c r="M59" s="830">
        <v>2008738</v>
      </c>
      <c r="N59" s="830">
        <v>2125211</v>
      </c>
      <c r="O59" s="47">
        <v>259</v>
      </c>
      <c r="P59" s="830">
        <v>2125470</v>
      </c>
    </row>
    <row r="60" spans="1:16">
      <c r="A60" s="655">
        <v>45670</v>
      </c>
      <c r="B60" t="s">
        <v>757</v>
      </c>
      <c r="C60" t="s">
        <v>30</v>
      </c>
      <c r="D60" s="831" t="s">
        <v>815</v>
      </c>
      <c r="E60" s="173">
        <v>51149</v>
      </c>
      <c r="G60" s="173">
        <v>731041</v>
      </c>
      <c r="H60" s="173">
        <v>2756</v>
      </c>
      <c r="J60">
        <v>0</v>
      </c>
      <c r="K60" s="173">
        <v>53905</v>
      </c>
      <c r="M60" s="173">
        <v>731041</v>
      </c>
      <c r="N60" s="173">
        <v>782190</v>
      </c>
      <c r="O60" s="173">
        <v>2756</v>
      </c>
      <c r="P60" s="173">
        <v>784946</v>
      </c>
    </row>
    <row r="61" spans="1:16" s="47" customFormat="1" hidden="1">
      <c r="A61" s="829">
        <v>45670</v>
      </c>
      <c r="B61" s="47" t="s">
        <v>757</v>
      </c>
      <c r="C61" s="47" t="s">
        <v>30</v>
      </c>
      <c r="D61" s="47" t="s">
        <v>816</v>
      </c>
      <c r="E61" s="830">
        <v>265883</v>
      </c>
      <c r="F61" s="830">
        <v>2476</v>
      </c>
      <c r="G61" s="830">
        <v>4675803</v>
      </c>
      <c r="H61" s="47">
        <v>0</v>
      </c>
      <c r="I61" s="47">
        <v>12</v>
      </c>
      <c r="J61" s="47">
        <v>35</v>
      </c>
      <c r="K61" s="830">
        <v>265883</v>
      </c>
      <c r="L61" s="830">
        <v>2488</v>
      </c>
      <c r="M61" s="830">
        <v>4675838</v>
      </c>
      <c r="N61" s="830">
        <v>4944162</v>
      </c>
      <c r="O61" s="47">
        <v>47</v>
      </c>
      <c r="P61" s="830">
        <v>4944209</v>
      </c>
    </row>
    <row r="62" spans="1:16" hidden="1">
      <c r="A62" s="655">
        <v>45670</v>
      </c>
      <c r="B62" t="s">
        <v>757</v>
      </c>
      <c r="C62" t="s">
        <v>30</v>
      </c>
      <c r="D62" s="47" t="s">
        <v>817</v>
      </c>
      <c r="E62" s="173">
        <v>23114</v>
      </c>
      <c r="G62" s="173">
        <v>301138</v>
      </c>
      <c r="H62">
        <v>0</v>
      </c>
      <c r="J62">
        <v>0</v>
      </c>
      <c r="K62" s="173">
        <v>23114</v>
      </c>
      <c r="M62" s="173">
        <v>301138</v>
      </c>
      <c r="N62" s="173">
        <v>324252</v>
      </c>
      <c r="O62">
        <v>0</v>
      </c>
      <c r="P62" s="173">
        <v>324252</v>
      </c>
    </row>
    <row r="63" spans="1:16">
      <c r="A63" s="655">
        <v>45670</v>
      </c>
      <c r="B63" t="s">
        <v>757</v>
      </c>
      <c r="C63" t="s">
        <v>30</v>
      </c>
      <c r="D63" s="831" t="s">
        <v>818</v>
      </c>
      <c r="E63" s="173">
        <v>53757</v>
      </c>
      <c r="F63">
        <v>636</v>
      </c>
      <c r="G63" s="173">
        <v>745841</v>
      </c>
      <c r="H63">
        <v>509</v>
      </c>
      <c r="I63">
        <v>0</v>
      </c>
      <c r="J63">
        <v>0</v>
      </c>
      <c r="K63" s="173">
        <v>54266</v>
      </c>
      <c r="L63">
        <v>636</v>
      </c>
      <c r="M63" s="173">
        <v>745841</v>
      </c>
      <c r="N63" s="173">
        <v>800234</v>
      </c>
      <c r="O63">
        <v>509</v>
      </c>
      <c r="P63" s="173">
        <v>800743</v>
      </c>
    </row>
    <row r="64" spans="1:16">
      <c r="A64" s="655">
        <v>45670</v>
      </c>
      <c r="B64" t="s">
        <v>757</v>
      </c>
      <c r="C64" t="s">
        <v>30</v>
      </c>
      <c r="D64" s="831" t="s">
        <v>819</v>
      </c>
      <c r="E64" s="173">
        <v>65092</v>
      </c>
      <c r="F64">
        <v>538</v>
      </c>
      <c r="G64" s="173">
        <v>1047817</v>
      </c>
      <c r="H64">
        <v>0</v>
      </c>
      <c r="I64">
        <v>64</v>
      </c>
      <c r="J64">
        <v>0</v>
      </c>
      <c r="K64" s="173">
        <v>65092</v>
      </c>
      <c r="L64">
        <v>602</v>
      </c>
      <c r="M64" s="173">
        <v>1047817</v>
      </c>
      <c r="N64" s="173">
        <v>1113447</v>
      </c>
      <c r="O64">
        <v>64</v>
      </c>
      <c r="P64" s="173">
        <v>1113511</v>
      </c>
    </row>
    <row r="65" spans="1:16" hidden="1">
      <c r="A65" s="655">
        <v>45670</v>
      </c>
      <c r="B65" t="s">
        <v>757</v>
      </c>
      <c r="C65" t="s">
        <v>30</v>
      </c>
      <c r="D65" t="s">
        <v>820</v>
      </c>
      <c r="E65" s="173">
        <v>50301</v>
      </c>
      <c r="G65" s="173">
        <v>675865</v>
      </c>
      <c r="H65">
        <v>0</v>
      </c>
      <c r="J65">
        <v>0</v>
      </c>
      <c r="K65" s="173">
        <v>50301</v>
      </c>
      <c r="M65" s="173">
        <v>675865</v>
      </c>
      <c r="N65" s="173">
        <v>726166</v>
      </c>
      <c r="O65">
        <v>0</v>
      </c>
      <c r="P65" s="173">
        <v>726166</v>
      </c>
    </row>
    <row r="66" spans="1:16">
      <c r="A66" s="655">
        <v>45670</v>
      </c>
      <c r="B66" t="s">
        <v>757</v>
      </c>
      <c r="C66" t="s">
        <v>30</v>
      </c>
      <c r="D66" s="831" t="s">
        <v>821</v>
      </c>
      <c r="E66" s="173">
        <v>74906</v>
      </c>
      <c r="F66">
        <v>867</v>
      </c>
      <c r="G66" s="173">
        <v>1130918</v>
      </c>
      <c r="H66">
        <v>0</v>
      </c>
      <c r="I66">
        <v>88</v>
      </c>
      <c r="J66">
        <v>0</v>
      </c>
      <c r="K66" s="173">
        <v>74906</v>
      </c>
      <c r="L66">
        <v>955</v>
      </c>
      <c r="M66" s="173">
        <v>1130918</v>
      </c>
      <c r="N66" s="173">
        <v>1206691</v>
      </c>
      <c r="O66">
        <v>88</v>
      </c>
      <c r="P66" s="173">
        <v>1206779</v>
      </c>
    </row>
    <row r="67" spans="1:16">
      <c r="A67" s="655">
        <v>45670</v>
      </c>
      <c r="B67" t="s">
        <v>757</v>
      </c>
      <c r="C67" t="s">
        <v>30</v>
      </c>
      <c r="D67" s="831" t="s">
        <v>822</v>
      </c>
      <c r="E67" s="173">
        <v>56280</v>
      </c>
      <c r="F67">
        <v>959</v>
      </c>
      <c r="G67" s="173">
        <v>887435</v>
      </c>
      <c r="H67">
        <v>335</v>
      </c>
      <c r="I67">
        <v>103</v>
      </c>
      <c r="J67">
        <v>0</v>
      </c>
      <c r="K67" s="173">
        <v>56615</v>
      </c>
      <c r="L67" s="173">
        <v>1062</v>
      </c>
      <c r="M67" s="173">
        <v>887435</v>
      </c>
      <c r="N67" s="173">
        <v>944674</v>
      </c>
      <c r="O67">
        <v>438</v>
      </c>
      <c r="P67" s="173">
        <v>945112</v>
      </c>
    </row>
    <row r="68" spans="1:16" hidden="1">
      <c r="A68" s="655">
        <v>45670</v>
      </c>
      <c r="B68" t="s">
        <v>757</v>
      </c>
      <c r="C68" t="s">
        <v>30</v>
      </c>
      <c r="D68" s="30" t="s">
        <v>823</v>
      </c>
      <c r="E68" s="173">
        <v>43279</v>
      </c>
      <c r="F68">
        <v>879</v>
      </c>
      <c r="G68" s="173">
        <v>598685</v>
      </c>
      <c r="H68" s="173">
        <v>2349</v>
      </c>
      <c r="I68">
        <v>69</v>
      </c>
      <c r="J68">
        <v>0</v>
      </c>
      <c r="K68" s="173">
        <v>45628</v>
      </c>
      <c r="L68">
        <v>948</v>
      </c>
      <c r="M68" s="173">
        <v>598685</v>
      </c>
      <c r="N68" s="173">
        <v>642843</v>
      </c>
      <c r="O68" s="173">
        <v>2418</v>
      </c>
      <c r="P68" s="173">
        <v>645261</v>
      </c>
    </row>
    <row r="69" spans="1:16" hidden="1">
      <c r="A69" s="655">
        <v>45670</v>
      </c>
      <c r="B69" t="s">
        <v>757</v>
      </c>
      <c r="C69" t="s">
        <v>30</v>
      </c>
      <c r="D69" s="30" t="s">
        <v>824</v>
      </c>
      <c r="E69" s="173">
        <v>31734</v>
      </c>
      <c r="F69">
        <v>126</v>
      </c>
      <c r="G69" s="173">
        <v>431667</v>
      </c>
      <c r="H69" s="173">
        <v>1431</v>
      </c>
      <c r="I69">
        <v>5</v>
      </c>
      <c r="J69">
        <v>0</v>
      </c>
      <c r="K69" s="173">
        <v>33165</v>
      </c>
      <c r="L69">
        <v>131</v>
      </c>
      <c r="M69" s="173">
        <v>431667</v>
      </c>
      <c r="N69" s="173">
        <v>463527</v>
      </c>
      <c r="O69" s="173">
        <v>1436</v>
      </c>
      <c r="P69" s="173">
        <v>464963</v>
      </c>
    </row>
    <row r="70" spans="1:16" s="47" customFormat="1" hidden="1">
      <c r="A70" s="829">
        <v>45670</v>
      </c>
      <c r="B70" s="47" t="s">
        <v>757</v>
      </c>
      <c r="C70" s="47" t="s">
        <v>30</v>
      </c>
      <c r="D70" s="30" t="s">
        <v>825</v>
      </c>
      <c r="E70" s="830">
        <v>40111</v>
      </c>
      <c r="F70" s="47">
        <v>941</v>
      </c>
      <c r="G70" s="830">
        <v>701027</v>
      </c>
      <c r="H70" s="47">
        <v>51</v>
      </c>
      <c r="I70" s="47">
        <v>32</v>
      </c>
      <c r="J70" s="47">
        <v>0</v>
      </c>
      <c r="K70" s="830">
        <v>40162</v>
      </c>
      <c r="L70" s="47">
        <v>973</v>
      </c>
      <c r="M70" s="830">
        <v>701027</v>
      </c>
      <c r="N70" s="830">
        <v>742079</v>
      </c>
      <c r="O70" s="47">
        <v>83</v>
      </c>
      <c r="P70" s="830">
        <v>742162</v>
      </c>
    </row>
  </sheetData>
  <autoFilter ref="A3:P70">
    <filterColumn colId="2">
      <filters>
        <filter val="KV3"/>
      </filters>
    </filterColumn>
    <filterColumn colId="3">
      <colorFilter dxfId="20"/>
    </filterColumn>
  </autoFilter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2"/>
  <sheetViews>
    <sheetView topLeftCell="A73" workbookViewId="0">
      <selection activeCell="D90" sqref="D90"/>
    </sheetView>
  </sheetViews>
  <sheetFormatPr defaultRowHeight="15"/>
  <cols>
    <col min="1" max="1" width="9.85546875" bestFit="1" customWidth="1"/>
    <col min="2" max="2" width="8.140625" bestFit="1" customWidth="1"/>
    <col min="3" max="3" width="9.28515625" bestFit="1" customWidth="1"/>
    <col min="4" max="4" width="16.140625" bestFit="1" customWidth="1"/>
    <col min="5" max="5" width="13.5703125" bestFit="1" customWidth="1"/>
    <col min="6" max="6" width="20.42578125" bestFit="1" customWidth="1"/>
    <col min="9" max="9" width="15.85546875" bestFit="1" customWidth="1"/>
  </cols>
  <sheetData>
    <row r="1" spans="1:9">
      <c r="A1" t="s">
        <v>481</v>
      </c>
      <c r="B1" t="s">
        <v>43</v>
      </c>
      <c r="C1" t="s">
        <v>1113</v>
      </c>
      <c r="D1" t="s">
        <v>1114</v>
      </c>
      <c r="E1" t="s">
        <v>1115</v>
      </c>
      <c r="F1" t="s">
        <v>1116</v>
      </c>
      <c r="G1" t="s">
        <v>1117</v>
      </c>
      <c r="H1" t="s">
        <v>1118</v>
      </c>
      <c r="I1" t="s">
        <v>1119</v>
      </c>
    </row>
    <row r="2" spans="1:9">
      <c r="A2" t="s">
        <v>75</v>
      </c>
      <c r="B2" t="s">
        <v>4</v>
      </c>
      <c r="C2" t="s">
        <v>1120</v>
      </c>
      <c r="D2" t="s">
        <v>1134</v>
      </c>
      <c r="E2" t="s">
        <v>1120</v>
      </c>
      <c r="F2" t="s">
        <v>1134</v>
      </c>
      <c r="G2" t="s">
        <v>1120</v>
      </c>
      <c r="H2" t="s">
        <v>1134</v>
      </c>
      <c r="I2" s="331">
        <v>46189.225729166668</v>
      </c>
    </row>
    <row r="3" spans="1:9">
      <c r="A3" t="s">
        <v>75</v>
      </c>
      <c r="B3" t="s">
        <v>4</v>
      </c>
      <c r="C3" t="s">
        <v>1120</v>
      </c>
      <c r="D3" t="s">
        <v>1134</v>
      </c>
      <c r="E3" t="s">
        <v>1135</v>
      </c>
      <c r="F3" t="s">
        <v>1134</v>
      </c>
      <c r="G3" t="s">
        <v>1135</v>
      </c>
      <c r="H3" t="s">
        <v>1134</v>
      </c>
      <c r="I3" s="331">
        <v>46189.225729166668</v>
      </c>
    </row>
    <row r="4" spans="1:9">
      <c r="A4" t="s">
        <v>75</v>
      </c>
      <c r="B4" t="s">
        <v>4</v>
      </c>
      <c r="C4" t="s">
        <v>1120</v>
      </c>
      <c r="D4" t="s">
        <v>1134</v>
      </c>
      <c r="E4" t="s">
        <v>1122</v>
      </c>
      <c r="F4" t="s">
        <v>1134</v>
      </c>
      <c r="G4" t="s">
        <v>1122</v>
      </c>
      <c r="H4" t="s">
        <v>1134</v>
      </c>
      <c r="I4" s="331">
        <v>46189.225729166668</v>
      </c>
    </row>
    <row r="5" spans="1:9">
      <c r="A5" t="s">
        <v>77</v>
      </c>
      <c r="B5" t="s">
        <v>4</v>
      </c>
      <c r="C5" t="s">
        <v>1120</v>
      </c>
      <c r="D5" t="s">
        <v>1134</v>
      </c>
      <c r="E5" t="s">
        <v>1135</v>
      </c>
      <c r="F5" t="s">
        <v>1134</v>
      </c>
      <c r="G5" t="s">
        <v>1135</v>
      </c>
      <c r="H5" t="s">
        <v>1134</v>
      </c>
      <c r="I5" s="331">
        <v>46189.225729166668</v>
      </c>
    </row>
    <row r="6" spans="1:9">
      <c r="A6" t="s">
        <v>77</v>
      </c>
      <c r="B6" t="s">
        <v>4</v>
      </c>
      <c r="C6" t="s">
        <v>1120</v>
      </c>
      <c r="D6" t="s">
        <v>1134</v>
      </c>
      <c r="E6" t="s">
        <v>1122</v>
      </c>
      <c r="F6" t="s">
        <v>1134</v>
      </c>
      <c r="G6" t="s">
        <v>1122</v>
      </c>
      <c r="H6" t="s">
        <v>1134</v>
      </c>
      <c r="I6" s="331">
        <v>46189.225729166668</v>
      </c>
    </row>
    <row r="7" spans="1:9">
      <c r="A7" t="s">
        <v>77</v>
      </c>
      <c r="B7" t="s">
        <v>4</v>
      </c>
      <c r="C7" t="s">
        <v>1120</v>
      </c>
      <c r="D7" t="s">
        <v>1134</v>
      </c>
      <c r="E7" t="s">
        <v>1120</v>
      </c>
      <c r="F7" t="s">
        <v>1134</v>
      </c>
      <c r="G7" t="s">
        <v>1120</v>
      </c>
      <c r="H7" t="s">
        <v>1134</v>
      </c>
      <c r="I7" s="331">
        <v>46189.225729166668</v>
      </c>
    </row>
    <row r="8" spans="1:9">
      <c r="A8" t="s">
        <v>78</v>
      </c>
      <c r="B8" t="s">
        <v>4</v>
      </c>
      <c r="C8" t="s">
        <v>1120</v>
      </c>
      <c r="D8" t="s">
        <v>1136</v>
      </c>
      <c r="E8" t="s">
        <v>1120</v>
      </c>
      <c r="F8" t="s">
        <v>1136</v>
      </c>
      <c r="G8" t="s">
        <v>1120</v>
      </c>
      <c r="H8" t="s">
        <v>1136</v>
      </c>
      <c r="I8" s="331">
        <v>46189.225729166668</v>
      </c>
    </row>
    <row r="9" spans="1:9">
      <c r="A9" t="s">
        <v>78</v>
      </c>
      <c r="B9" t="s">
        <v>4</v>
      </c>
      <c r="C9" t="s">
        <v>1120</v>
      </c>
      <c r="D9" t="s">
        <v>1136</v>
      </c>
      <c r="E9" t="s">
        <v>1122</v>
      </c>
      <c r="F9" t="s">
        <v>1136</v>
      </c>
      <c r="G9" t="s">
        <v>1122</v>
      </c>
      <c r="H9" t="s">
        <v>1136</v>
      </c>
      <c r="I9" s="331">
        <v>46189.225729166668</v>
      </c>
    </row>
    <row r="10" spans="1:9">
      <c r="A10" t="s">
        <v>78</v>
      </c>
      <c r="B10" t="s">
        <v>4</v>
      </c>
      <c r="C10" t="s">
        <v>1120</v>
      </c>
      <c r="D10" t="s">
        <v>1136</v>
      </c>
      <c r="E10" t="s">
        <v>1135</v>
      </c>
      <c r="F10">
        <v>70</v>
      </c>
      <c r="G10" t="s">
        <v>1135</v>
      </c>
      <c r="H10" t="s">
        <v>1136</v>
      </c>
      <c r="I10" s="331">
        <v>46189.225729166668</v>
      </c>
    </row>
    <row r="11" spans="1:9">
      <c r="A11" t="s">
        <v>80</v>
      </c>
      <c r="B11" t="s">
        <v>4</v>
      </c>
      <c r="C11" t="s">
        <v>1120</v>
      </c>
      <c r="D11" t="s">
        <v>1137</v>
      </c>
      <c r="E11" t="s">
        <v>1122</v>
      </c>
      <c r="F11" t="s">
        <v>1137</v>
      </c>
      <c r="G11" t="s">
        <v>1122</v>
      </c>
      <c r="H11" t="s">
        <v>1137</v>
      </c>
      <c r="I11" s="331">
        <v>46189.225729166668</v>
      </c>
    </row>
    <row r="12" spans="1:9">
      <c r="A12" t="s">
        <v>80</v>
      </c>
      <c r="B12" t="s">
        <v>4</v>
      </c>
      <c r="C12" t="s">
        <v>1120</v>
      </c>
      <c r="D12" t="s">
        <v>1137</v>
      </c>
      <c r="E12" t="s">
        <v>1135</v>
      </c>
      <c r="F12" t="s">
        <v>1137</v>
      </c>
      <c r="G12" t="s">
        <v>1135</v>
      </c>
      <c r="H12" t="s">
        <v>1137</v>
      </c>
      <c r="I12" s="331">
        <v>46189.225729166668</v>
      </c>
    </row>
    <row r="13" spans="1:9">
      <c r="A13" t="s">
        <v>80</v>
      </c>
      <c r="B13" t="s">
        <v>4</v>
      </c>
      <c r="C13" t="s">
        <v>1120</v>
      </c>
      <c r="D13" t="s">
        <v>1137</v>
      </c>
      <c r="E13" t="s">
        <v>1120</v>
      </c>
      <c r="F13" t="s">
        <v>1137</v>
      </c>
      <c r="G13" t="s">
        <v>1120</v>
      </c>
      <c r="H13" t="s">
        <v>1137</v>
      </c>
      <c r="I13" s="331">
        <v>46189.225729166668</v>
      </c>
    </row>
    <row r="14" spans="1:9">
      <c r="A14" t="s">
        <v>81</v>
      </c>
      <c r="B14" t="s">
        <v>4</v>
      </c>
      <c r="C14" t="s">
        <v>1120</v>
      </c>
      <c r="D14" t="s">
        <v>1138</v>
      </c>
      <c r="E14" t="s">
        <v>1120</v>
      </c>
      <c r="F14" t="s">
        <v>1138</v>
      </c>
      <c r="G14" t="s">
        <v>1120</v>
      </c>
      <c r="H14" t="s">
        <v>1138</v>
      </c>
      <c r="I14" s="331">
        <v>46189.225729166668</v>
      </c>
    </row>
    <row r="15" spans="1:9">
      <c r="A15" t="s">
        <v>81</v>
      </c>
      <c r="B15" t="s">
        <v>4</v>
      </c>
      <c r="C15" t="s">
        <v>1120</v>
      </c>
      <c r="D15" t="s">
        <v>1138</v>
      </c>
      <c r="E15" t="s">
        <v>1122</v>
      </c>
      <c r="F15" t="s">
        <v>1138</v>
      </c>
      <c r="G15" t="s">
        <v>1122</v>
      </c>
      <c r="H15" t="s">
        <v>1138</v>
      </c>
      <c r="I15" s="331">
        <v>46189.225729166668</v>
      </c>
    </row>
    <row r="16" spans="1:9">
      <c r="A16" t="s">
        <v>81</v>
      </c>
      <c r="B16" t="s">
        <v>4</v>
      </c>
      <c r="C16" t="s">
        <v>1120</v>
      </c>
      <c r="D16" t="s">
        <v>1139</v>
      </c>
      <c r="E16" t="s">
        <v>1135</v>
      </c>
      <c r="F16" t="s">
        <v>1139</v>
      </c>
      <c r="G16" t="s">
        <v>1135</v>
      </c>
      <c r="H16" t="s">
        <v>1139</v>
      </c>
      <c r="I16" s="331">
        <v>46189.225729166668</v>
      </c>
    </row>
    <row r="17" spans="1:9">
      <c r="A17" t="s">
        <v>83</v>
      </c>
      <c r="B17" t="s">
        <v>4</v>
      </c>
      <c r="C17" t="s">
        <v>1120</v>
      </c>
      <c r="D17" t="s">
        <v>1140</v>
      </c>
      <c r="E17" t="s">
        <v>1135</v>
      </c>
      <c r="F17" t="s">
        <v>1140</v>
      </c>
      <c r="G17" t="s">
        <v>1135</v>
      </c>
      <c r="H17" t="s">
        <v>1140</v>
      </c>
      <c r="I17" s="331">
        <v>46189.225729166668</v>
      </c>
    </row>
    <row r="18" spans="1:9">
      <c r="A18" t="s">
        <v>83</v>
      </c>
      <c r="B18" t="s">
        <v>4</v>
      </c>
      <c r="C18" t="s">
        <v>1120</v>
      </c>
      <c r="D18" t="s">
        <v>1138</v>
      </c>
      <c r="E18" t="s">
        <v>1120</v>
      </c>
      <c r="F18" t="s">
        <v>1138</v>
      </c>
      <c r="G18" t="s">
        <v>1120</v>
      </c>
      <c r="H18" t="s">
        <v>1138</v>
      </c>
      <c r="I18" s="331">
        <v>46189.225729166668</v>
      </c>
    </row>
    <row r="19" spans="1:9">
      <c r="A19" t="s">
        <v>83</v>
      </c>
      <c r="B19" t="s">
        <v>4</v>
      </c>
      <c r="C19" t="s">
        <v>1120</v>
      </c>
      <c r="D19" t="s">
        <v>1138</v>
      </c>
      <c r="E19" t="s">
        <v>1122</v>
      </c>
      <c r="F19" t="s">
        <v>1138</v>
      </c>
      <c r="G19" t="s">
        <v>1122</v>
      </c>
      <c r="H19" t="s">
        <v>1138</v>
      </c>
      <c r="I19" s="331">
        <v>46189.225729166668</v>
      </c>
    </row>
    <row r="20" spans="1:9">
      <c r="A20" t="s">
        <v>276</v>
      </c>
      <c r="B20" t="s">
        <v>4</v>
      </c>
      <c r="C20" t="s">
        <v>1120</v>
      </c>
      <c r="D20" t="s">
        <v>1138</v>
      </c>
      <c r="E20" t="s">
        <v>1122</v>
      </c>
      <c r="F20" t="s">
        <v>1138</v>
      </c>
      <c r="G20" t="s">
        <v>1122</v>
      </c>
      <c r="H20" t="s">
        <v>1138</v>
      </c>
      <c r="I20" s="331">
        <v>46189.225729166668</v>
      </c>
    </row>
    <row r="21" spans="1:9">
      <c r="A21" t="s">
        <v>276</v>
      </c>
      <c r="B21" t="s">
        <v>4</v>
      </c>
      <c r="C21" t="s">
        <v>1120</v>
      </c>
      <c r="D21" t="s">
        <v>1138</v>
      </c>
      <c r="E21" t="s">
        <v>1120</v>
      </c>
      <c r="F21" t="s">
        <v>1138</v>
      </c>
      <c r="G21" t="s">
        <v>1120</v>
      </c>
      <c r="H21" t="s">
        <v>1138</v>
      </c>
      <c r="I21" s="331">
        <v>46189.225729166668</v>
      </c>
    </row>
    <row r="22" spans="1:9">
      <c r="A22" t="s">
        <v>276</v>
      </c>
      <c r="B22" t="s">
        <v>4</v>
      </c>
      <c r="C22" t="s">
        <v>1120</v>
      </c>
      <c r="D22" t="s">
        <v>1140</v>
      </c>
      <c r="E22" t="s">
        <v>1135</v>
      </c>
      <c r="F22" t="s">
        <v>1140</v>
      </c>
      <c r="G22" t="s">
        <v>1135</v>
      </c>
      <c r="H22" t="s">
        <v>1140</v>
      </c>
      <c r="I22" s="331">
        <v>46189.225729166668</v>
      </c>
    </row>
    <row r="23" spans="1:9">
      <c r="A23" t="s">
        <v>359</v>
      </c>
      <c r="B23" t="s">
        <v>372</v>
      </c>
      <c r="C23" t="s">
        <v>1120</v>
      </c>
      <c r="D23" t="s">
        <v>1136</v>
      </c>
      <c r="E23" t="s">
        <v>1120</v>
      </c>
      <c r="F23" t="s">
        <v>1136</v>
      </c>
      <c r="G23" t="s">
        <v>1120</v>
      </c>
      <c r="H23" t="s">
        <v>1136</v>
      </c>
      <c r="I23" s="331">
        <v>46189.225729166668</v>
      </c>
    </row>
    <row r="24" spans="1:9">
      <c r="A24" t="s">
        <v>359</v>
      </c>
      <c r="B24" t="s">
        <v>372</v>
      </c>
      <c r="C24" t="s">
        <v>1120</v>
      </c>
      <c r="D24" t="s">
        <v>1136</v>
      </c>
      <c r="E24" t="s">
        <v>1122</v>
      </c>
      <c r="F24" t="s">
        <v>1136</v>
      </c>
      <c r="G24" t="s">
        <v>1122</v>
      </c>
      <c r="H24" t="s">
        <v>1136</v>
      </c>
      <c r="I24" s="331">
        <v>46189.225729166668</v>
      </c>
    </row>
    <row r="25" spans="1:9">
      <c r="A25" t="s">
        <v>360</v>
      </c>
      <c r="B25" t="s">
        <v>372</v>
      </c>
      <c r="C25" t="s">
        <v>1120</v>
      </c>
      <c r="D25" t="s">
        <v>1141</v>
      </c>
      <c r="E25" t="s">
        <v>1120</v>
      </c>
      <c r="F25" t="s">
        <v>1141</v>
      </c>
      <c r="G25" t="s">
        <v>1120</v>
      </c>
      <c r="H25" t="s">
        <v>1141</v>
      </c>
      <c r="I25" s="331">
        <v>46189.225729166668</v>
      </c>
    </row>
    <row r="26" spans="1:9">
      <c r="A26" t="s">
        <v>360</v>
      </c>
      <c r="B26" t="s">
        <v>372</v>
      </c>
      <c r="C26" t="s">
        <v>1120</v>
      </c>
      <c r="D26" t="s">
        <v>1141</v>
      </c>
      <c r="E26" t="s">
        <v>1122</v>
      </c>
      <c r="F26" t="s">
        <v>1141</v>
      </c>
      <c r="G26" t="s">
        <v>1122</v>
      </c>
      <c r="H26" t="s">
        <v>1141</v>
      </c>
      <c r="I26" s="331">
        <v>46189.225729166668</v>
      </c>
    </row>
    <row r="27" spans="1:9">
      <c r="A27" t="s">
        <v>361</v>
      </c>
      <c r="B27" t="s">
        <v>372</v>
      </c>
      <c r="C27" t="s">
        <v>1120</v>
      </c>
      <c r="D27" t="s">
        <v>1141</v>
      </c>
      <c r="E27" t="s">
        <v>1122</v>
      </c>
      <c r="F27" t="s">
        <v>1141</v>
      </c>
      <c r="G27" t="s">
        <v>1122</v>
      </c>
      <c r="H27" t="s">
        <v>1141</v>
      </c>
      <c r="I27" s="331">
        <v>46189.225729166668</v>
      </c>
    </row>
    <row r="28" spans="1:9">
      <c r="A28" t="s">
        <v>361</v>
      </c>
      <c r="B28" t="s">
        <v>372</v>
      </c>
      <c r="C28" t="s">
        <v>1120</v>
      </c>
      <c r="D28" t="s">
        <v>1141</v>
      </c>
      <c r="E28" t="s">
        <v>1120</v>
      </c>
      <c r="F28" t="s">
        <v>1141</v>
      </c>
      <c r="G28" t="s">
        <v>1120</v>
      </c>
      <c r="H28" t="s">
        <v>1141</v>
      </c>
      <c r="I28" s="331">
        <v>46189.225729166668</v>
      </c>
    </row>
    <row r="29" spans="1:9">
      <c r="A29" t="s">
        <v>426</v>
      </c>
      <c r="B29" t="s">
        <v>4</v>
      </c>
      <c r="C29" t="s">
        <v>1120</v>
      </c>
      <c r="D29" t="s">
        <v>1139</v>
      </c>
      <c r="E29" t="s">
        <v>1122</v>
      </c>
      <c r="F29" t="s">
        <v>1139</v>
      </c>
      <c r="G29" t="s">
        <v>1122</v>
      </c>
      <c r="H29" t="s">
        <v>1139</v>
      </c>
      <c r="I29" s="331">
        <v>46189.225729166668</v>
      </c>
    </row>
    <row r="30" spans="1:9">
      <c r="A30" t="s">
        <v>426</v>
      </c>
      <c r="B30" t="s">
        <v>4</v>
      </c>
      <c r="C30" t="s">
        <v>1120</v>
      </c>
      <c r="D30" t="s">
        <v>1139</v>
      </c>
      <c r="E30" t="s">
        <v>1120</v>
      </c>
      <c r="F30" t="s">
        <v>1139</v>
      </c>
      <c r="G30" t="s">
        <v>1120</v>
      </c>
      <c r="H30" t="s">
        <v>1139</v>
      </c>
      <c r="I30" s="331">
        <v>46189.225729166668</v>
      </c>
    </row>
    <row r="31" spans="1:9">
      <c r="A31" t="s">
        <v>1107</v>
      </c>
      <c r="B31" t="s">
        <v>4</v>
      </c>
      <c r="C31" t="s">
        <v>1120</v>
      </c>
      <c r="D31" t="s">
        <v>1139</v>
      </c>
      <c r="E31" t="s">
        <v>1120</v>
      </c>
      <c r="F31" t="s">
        <v>1139</v>
      </c>
      <c r="G31" t="s">
        <v>1120</v>
      </c>
      <c r="H31" t="s">
        <v>1139</v>
      </c>
      <c r="I31" s="331">
        <v>46189.225729166668</v>
      </c>
    </row>
    <row r="32" spans="1:9">
      <c r="A32" t="s">
        <v>1107</v>
      </c>
      <c r="B32" t="s">
        <v>4</v>
      </c>
      <c r="C32" t="s">
        <v>1120</v>
      </c>
      <c r="D32" t="s">
        <v>1139</v>
      </c>
      <c r="E32" t="s">
        <v>1122</v>
      </c>
      <c r="F32" t="s">
        <v>1139</v>
      </c>
      <c r="G32" t="s">
        <v>1122</v>
      </c>
      <c r="H32" t="s">
        <v>1139</v>
      </c>
      <c r="I32" s="331">
        <v>46189.225729166668</v>
      </c>
    </row>
    <row r="33" spans="1:9">
      <c r="A33" t="s">
        <v>886</v>
      </c>
      <c r="B33" t="s">
        <v>372</v>
      </c>
      <c r="C33" t="s">
        <v>1120</v>
      </c>
      <c r="D33" t="s">
        <v>1136</v>
      </c>
      <c r="E33" t="s">
        <v>1120</v>
      </c>
      <c r="F33" t="s">
        <v>1136</v>
      </c>
      <c r="G33" t="s">
        <v>1120</v>
      </c>
      <c r="H33" t="s">
        <v>1136</v>
      </c>
      <c r="I33" s="331">
        <v>46189.225729166668</v>
      </c>
    </row>
    <row r="34" spans="1:9">
      <c r="A34" t="s">
        <v>886</v>
      </c>
      <c r="B34" t="s">
        <v>372</v>
      </c>
      <c r="C34" t="s">
        <v>1120</v>
      </c>
      <c r="D34" t="s">
        <v>1136</v>
      </c>
      <c r="E34" t="s">
        <v>1122</v>
      </c>
      <c r="F34" t="s">
        <v>1136</v>
      </c>
      <c r="G34" t="s">
        <v>1122</v>
      </c>
      <c r="H34" t="s">
        <v>1136</v>
      </c>
      <c r="I34" s="331">
        <v>46189.225729166668</v>
      </c>
    </row>
    <row r="35" spans="1:9">
      <c r="A35" t="s">
        <v>887</v>
      </c>
      <c r="B35" t="s">
        <v>372</v>
      </c>
      <c r="C35" t="s">
        <v>1120</v>
      </c>
      <c r="D35" t="s">
        <v>1136</v>
      </c>
      <c r="E35" t="s">
        <v>1122</v>
      </c>
      <c r="F35" t="s">
        <v>1136</v>
      </c>
      <c r="G35" t="s">
        <v>1122</v>
      </c>
      <c r="H35" t="s">
        <v>1136</v>
      </c>
      <c r="I35" s="331">
        <v>46189.225729166668</v>
      </c>
    </row>
    <row r="36" spans="1:9">
      <c r="A36" t="s">
        <v>887</v>
      </c>
      <c r="B36" t="s">
        <v>372</v>
      </c>
      <c r="C36" t="s">
        <v>1120</v>
      </c>
      <c r="D36" t="s">
        <v>1136</v>
      </c>
      <c r="E36" t="s">
        <v>1120</v>
      </c>
      <c r="F36" t="s">
        <v>1136</v>
      </c>
      <c r="G36" t="s">
        <v>1120</v>
      </c>
      <c r="H36" t="s">
        <v>1136</v>
      </c>
      <c r="I36" s="331">
        <v>46189.225729166668</v>
      </c>
    </row>
    <row r="37" spans="1:9">
      <c r="A37" t="s">
        <v>882</v>
      </c>
      <c r="B37" t="s">
        <v>372</v>
      </c>
      <c r="C37" t="s">
        <v>1120</v>
      </c>
      <c r="D37" t="s">
        <v>1136</v>
      </c>
      <c r="E37" t="s">
        <v>1122</v>
      </c>
      <c r="F37" t="s">
        <v>1136</v>
      </c>
      <c r="G37" t="s">
        <v>1122</v>
      </c>
      <c r="H37" t="s">
        <v>1136</v>
      </c>
      <c r="I37" s="331">
        <v>46189.225729166668</v>
      </c>
    </row>
    <row r="38" spans="1:9">
      <c r="A38" t="s">
        <v>882</v>
      </c>
      <c r="B38" t="s">
        <v>372</v>
      </c>
      <c r="C38" t="s">
        <v>1120</v>
      </c>
      <c r="D38" t="s">
        <v>1136</v>
      </c>
      <c r="E38" t="s">
        <v>1120</v>
      </c>
      <c r="F38" t="s">
        <v>1136</v>
      </c>
      <c r="G38" t="s">
        <v>1120</v>
      </c>
      <c r="H38" t="s">
        <v>1136</v>
      </c>
      <c r="I38" s="331">
        <v>46189.225729166668</v>
      </c>
    </row>
    <row r="39" spans="1:9">
      <c r="A39" t="s">
        <v>883</v>
      </c>
      <c r="B39" t="s">
        <v>372</v>
      </c>
      <c r="C39" t="s">
        <v>1120</v>
      </c>
      <c r="D39" t="s">
        <v>1142</v>
      </c>
      <c r="E39" t="s">
        <v>1122</v>
      </c>
      <c r="F39" t="s">
        <v>1142</v>
      </c>
      <c r="G39" t="s">
        <v>1122</v>
      </c>
      <c r="H39" t="s">
        <v>1142</v>
      </c>
      <c r="I39" s="331">
        <v>46189.225729166668</v>
      </c>
    </row>
    <row r="40" spans="1:9">
      <c r="A40" t="s">
        <v>883</v>
      </c>
      <c r="B40" t="s">
        <v>372</v>
      </c>
      <c r="C40" t="s">
        <v>1120</v>
      </c>
      <c r="D40" t="s">
        <v>1142</v>
      </c>
      <c r="E40" t="s">
        <v>1120</v>
      </c>
      <c r="F40" t="s">
        <v>1142</v>
      </c>
      <c r="G40" t="s">
        <v>1120</v>
      </c>
      <c r="H40" t="s">
        <v>1142</v>
      </c>
      <c r="I40" s="331">
        <v>46189.225729166668</v>
      </c>
    </row>
    <row r="41" spans="1:9">
      <c r="A41" t="s">
        <v>884</v>
      </c>
      <c r="B41" t="s">
        <v>372</v>
      </c>
      <c r="C41" t="s">
        <v>1120</v>
      </c>
      <c r="D41" t="s">
        <v>1142</v>
      </c>
      <c r="E41" t="s">
        <v>1120</v>
      </c>
      <c r="F41" t="s">
        <v>1142</v>
      </c>
      <c r="G41" t="s">
        <v>1120</v>
      </c>
      <c r="H41" t="s">
        <v>1142</v>
      </c>
      <c r="I41" s="331">
        <v>46189.225729166668</v>
      </c>
    </row>
    <row r="42" spans="1:9">
      <c r="A42" t="s">
        <v>884</v>
      </c>
      <c r="B42" t="s">
        <v>372</v>
      </c>
      <c r="C42" t="s">
        <v>1120</v>
      </c>
      <c r="D42" t="s">
        <v>1142</v>
      </c>
      <c r="E42" t="s">
        <v>1122</v>
      </c>
      <c r="F42" t="s">
        <v>1142</v>
      </c>
      <c r="G42" t="s">
        <v>1122</v>
      </c>
      <c r="H42" t="s">
        <v>1142</v>
      </c>
      <c r="I42" s="331">
        <v>46189.225729166668</v>
      </c>
    </row>
    <row r="43" spans="1:9">
      <c r="A43" t="s">
        <v>58</v>
      </c>
      <c r="B43" t="s">
        <v>4</v>
      </c>
      <c r="C43" t="s">
        <v>300</v>
      </c>
      <c r="D43" t="s">
        <v>1143</v>
      </c>
      <c r="E43" t="s">
        <v>300</v>
      </c>
      <c r="F43" t="s">
        <v>1143</v>
      </c>
      <c r="G43" t="s">
        <v>300</v>
      </c>
      <c r="H43" t="s">
        <v>1143</v>
      </c>
      <c r="I43" s="331">
        <v>46189.225729166668</v>
      </c>
    </row>
    <row r="44" spans="1:9">
      <c r="A44" t="s">
        <v>58</v>
      </c>
      <c r="B44" t="s">
        <v>4</v>
      </c>
      <c r="C44" t="s">
        <v>300</v>
      </c>
      <c r="D44" t="s">
        <v>1143</v>
      </c>
      <c r="E44" t="s">
        <v>1123</v>
      </c>
      <c r="F44" t="s">
        <v>1143</v>
      </c>
      <c r="G44" t="s">
        <v>1123</v>
      </c>
      <c r="H44" t="s">
        <v>1143</v>
      </c>
      <c r="I44" s="331">
        <v>46189.225729166668</v>
      </c>
    </row>
    <row r="45" spans="1:9">
      <c r="A45" t="s">
        <v>60</v>
      </c>
      <c r="B45" t="s">
        <v>4</v>
      </c>
      <c r="C45" t="s">
        <v>300</v>
      </c>
      <c r="D45" t="s">
        <v>1143</v>
      </c>
      <c r="E45" t="s">
        <v>1123</v>
      </c>
      <c r="F45" t="s">
        <v>1143</v>
      </c>
      <c r="G45" t="s">
        <v>1123</v>
      </c>
      <c r="H45" t="s">
        <v>1143</v>
      </c>
      <c r="I45" s="331">
        <v>46189.225729166668</v>
      </c>
    </row>
    <row r="46" spans="1:9">
      <c r="A46" t="s">
        <v>60</v>
      </c>
      <c r="B46" t="s">
        <v>4</v>
      </c>
      <c r="C46" t="s">
        <v>300</v>
      </c>
      <c r="D46" t="s">
        <v>1143</v>
      </c>
      <c r="E46" t="s">
        <v>300</v>
      </c>
      <c r="F46" t="s">
        <v>1143</v>
      </c>
      <c r="G46" t="s">
        <v>300</v>
      </c>
      <c r="H46" t="s">
        <v>1143</v>
      </c>
      <c r="I46" s="331">
        <v>46189.225729166668</v>
      </c>
    </row>
    <row r="47" spans="1:9">
      <c r="A47" t="s">
        <v>63</v>
      </c>
      <c r="B47" t="s">
        <v>4</v>
      </c>
      <c r="C47" t="s">
        <v>300</v>
      </c>
      <c r="D47" t="s">
        <v>1143</v>
      </c>
      <c r="E47" t="s">
        <v>300</v>
      </c>
      <c r="F47" t="s">
        <v>1143</v>
      </c>
      <c r="G47" t="s">
        <v>300</v>
      </c>
      <c r="H47" t="s">
        <v>1143</v>
      </c>
      <c r="I47" s="331">
        <v>46189.225729166668</v>
      </c>
    </row>
    <row r="48" spans="1:9">
      <c r="A48" t="s">
        <v>63</v>
      </c>
      <c r="B48" t="s">
        <v>4</v>
      </c>
      <c r="C48" t="s">
        <v>300</v>
      </c>
      <c r="D48" t="s">
        <v>1143</v>
      </c>
      <c r="E48" t="s">
        <v>1123</v>
      </c>
      <c r="F48" t="s">
        <v>1143</v>
      </c>
      <c r="G48" t="s">
        <v>1123</v>
      </c>
      <c r="H48" t="s">
        <v>1143</v>
      </c>
      <c r="I48" s="331">
        <v>46189.225729166668</v>
      </c>
    </row>
    <row r="49" spans="1:9">
      <c r="A49" t="s">
        <v>64</v>
      </c>
      <c r="B49" t="s">
        <v>4</v>
      </c>
      <c r="C49" t="s">
        <v>300</v>
      </c>
      <c r="D49" t="s">
        <v>1144</v>
      </c>
      <c r="E49" t="s">
        <v>1123</v>
      </c>
      <c r="F49" t="s">
        <v>1144</v>
      </c>
      <c r="G49" t="s">
        <v>1123</v>
      </c>
      <c r="H49" t="s">
        <v>1144</v>
      </c>
      <c r="I49" s="331">
        <v>46189.225729166668</v>
      </c>
    </row>
    <row r="50" spans="1:9">
      <c r="A50" t="s">
        <v>64</v>
      </c>
      <c r="B50" t="s">
        <v>4</v>
      </c>
      <c r="C50" t="s">
        <v>300</v>
      </c>
      <c r="D50" t="s">
        <v>1144</v>
      </c>
      <c r="E50" t="s">
        <v>300</v>
      </c>
      <c r="F50" t="s">
        <v>1144</v>
      </c>
      <c r="G50" t="s">
        <v>300</v>
      </c>
      <c r="H50" t="s">
        <v>1144</v>
      </c>
      <c r="I50" s="331">
        <v>46189.225729166668</v>
      </c>
    </row>
    <row r="51" spans="1:9">
      <c r="A51" t="s">
        <v>65</v>
      </c>
      <c r="B51" t="s">
        <v>4</v>
      </c>
      <c r="C51" t="s">
        <v>300</v>
      </c>
      <c r="D51" t="s">
        <v>1144</v>
      </c>
      <c r="E51" t="s">
        <v>1123</v>
      </c>
      <c r="F51" t="s">
        <v>1144</v>
      </c>
      <c r="G51" t="s">
        <v>1123</v>
      </c>
      <c r="H51" t="s">
        <v>1144</v>
      </c>
      <c r="I51" s="331">
        <v>46189.225729166668</v>
      </c>
    </row>
    <row r="52" spans="1:9">
      <c r="A52" t="s">
        <v>65</v>
      </c>
      <c r="B52" t="s">
        <v>4</v>
      </c>
      <c r="C52" t="s">
        <v>300</v>
      </c>
      <c r="D52" t="s">
        <v>1144</v>
      </c>
      <c r="E52" t="s">
        <v>300</v>
      </c>
      <c r="F52" t="s">
        <v>1144</v>
      </c>
      <c r="G52" t="s">
        <v>300</v>
      </c>
      <c r="H52" t="s">
        <v>1144</v>
      </c>
      <c r="I52" s="331">
        <v>46189.225729166668</v>
      </c>
    </row>
    <row r="53" spans="1:9">
      <c r="A53" t="s">
        <v>66</v>
      </c>
      <c r="B53" t="s">
        <v>4</v>
      </c>
      <c r="C53" t="s">
        <v>300</v>
      </c>
      <c r="D53" t="s">
        <v>1136</v>
      </c>
      <c r="E53" t="s">
        <v>300</v>
      </c>
      <c r="F53" t="s">
        <v>1136</v>
      </c>
      <c r="G53" t="s">
        <v>300</v>
      </c>
      <c r="H53" t="s">
        <v>1136</v>
      </c>
      <c r="I53" s="331">
        <v>46189.225729166668</v>
      </c>
    </row>
    <row r="54" spans="1:9">
      <c r="A54" t="s">
        <v>66</v>
      </c>
      <c r="B54" t="s">
        <v>4</v>
      </c>
      <c r="C54" t="s">
        <v>300</v>
      </c>
      <c r="D54" t="s">
        <v>1136</v>
      </c>
      <c r="E54" t="s">
        <v>1123</v>
      </c>
      <c r="F54" t="s">
        <v>1136</v>
      </c>
      <c r="G54" t="s">
        <v>1123</v>
      </c>
      <c r="H54" t="s">
        <v>1136</v>
      </c>
      <c r="I54" s="331">
        <v>46189.225729166668</v>
      </c>
    </row>
    <row r="55" spans="1:9">
      <c r="A55" t="s">
        <v>67</v>
      </c>
      <c r="B55" t="s">
        <v>4</v>
      </c>
      <c r="C55" t="s">
        <v>300</v>
      </c>
      <c r="D55" t="s">
        <v>1144</v>
      </c>
      <c r="E55" t="s">
        <v>1123</v>
      </c>
      <c r="F55" t="s">
        <v>1144</v>
      </c>
      <c r="G55" t="s">
        <v>1123</v>
      </c>
      <c r="H55" t="s">
        <v>1144</v>
      </c>
      <c r="I55" s="331">
        <v>46189.225729166668</v>
      </c>
    </row>
    <row r="56" spans="1:9">
      <c r="A56" t="s">
        <v>67</v>
      </c>
      <c r="B56" t="s">
        <v>4</v>
      </c>
      <c r="C56" t="s">
        <v>300</v>
      </c>
      <c r="D56" t="s">
        <v>1144</v>
      </c>
      <c r="E56" t="s">
        <v>300</v>
      </c>
      <c r="F56" t="s">
        <v>1144</v>
      </c>
      <c r="G56" t="s">
        <v>300</v>
      </c>
      <c r="H56" t="s">
        <v>1144</v>
      </c>
      <c r="I56" s="331">
        <v>46189.225729166668</v>
      </c>
    </row>
    <row r="57" spans="1:9">
      <c r="A57" t="s">
        <v>68</v>
      </c>
      <c r="B57" t="s">
        <v>4</v>
      </c>
      <c r="C57" t="s">
        <v>300</v>
      </c>
      <c r="D57" t="s">
        <v>1144</v>
      </c>
      <c r="E57" t="s">
        <v>1123</v>
      </c>
      <c r="F57" t="s">
        <v>1144</v>
      </c>
      <c r="G57" t="s">
        <v>1123</v>
      </c>
      <c r="H57" t="s">
        <v>1144</v>
      </c>
      <c r="I57" s="331">
        <v>46189.225729166668</v>
      </c>
    </row>
    <row r="58" spans="1:9">
      <c r="A58" t="s">
        <v>68</v>
      </c>
      <c r="B58" t="s">
        <v>4</v>
      </c>
      <c r="C58" t="s">
        <v>300</v>
      </c>
      <c r="D58" t="s">
        <v>1144</v>
      </c>
      <c r="E58" t="s">
        <v>300</v>
      </c>
      <c r="F58" t="s">
        <v>1144</v>
      </c>
      <c r="G58" t="s">
        <v>300</v>
      </c>
      <c r="H58" t="s">
        <v>1144</v>
      </c>
      <c r="I58" s="331">
        <v>46189.225729166668</v>
      </c>
    </row>
    <row r="59" spans="1:9">
      <c r="A59" t="s">
        <v>69</v>
      </c>
      <c r="B59" t="s">
        <v>4</v>
      </c>
      <c r="C59" t="s">
        <v>300</v>
      </c>
      <c r="D59" t="s">
        <v>1145</v>
      </c>
      <c r="E59" t="s">
        <v>300</v>
      </c>
      <c r="F59" t="s">
        <v>1145</v>
      </c>
      <c r="G59" t="s">
        <v>300</v>
      </c>
      <c r="H59" t="s">
        <v>1145</v>
      </c>
      <c r="I59" s="331">
        <v>46189.225729166668</v>
      </c>
    </row>
    <row r="60" spans="1:9">
      <c r="A60" t="s">
        <v>69</v>
      </c>
      <c r="B60" t="s">
        <v>4</v>
      </c>
      <c r="C60" t="s">
        <v>300</v>
      </c>
      <c r="D60" t="s">
        <v>1145</v>
      </c>
      <c r="E60" t="s">
        <v>1123</v>
      </c>
      <c r="F60" t="s">
        <v>1145</v>
      </c>
      <c r="G60" t="s">
        <v>1123</v>
      </c>
      <c r="H60" t="s">
        <v>1145</v>
      </c>
      <c r="I60" s="331">
        <v>46189.225729166668</v>
      </c>
    </row>
    <row r="61" spans="1:9">
      <c r="A61" t="s">
        <v>71</v>
      </c>
      <c r="B61" t="s">
        <v>4</v>
      </c>
      <c r="C61" t="s">
        <v>300</v>
      </c>
      <c r="D61" t="s">
        <v>1145</v>
      </c>
      <c r="E61" t="s">
        <v>1123</v>
      </c>
      <c r="F61" t="s">
        <v>1145</v>
      </c>
      <c r="G61" t="s">
        <v>1123</v>
      </c>
      <c r="H61" t="s">
        <v>1145</v>
      </c>
      <c r="I61" s="331">
        <v>46189.225729166668</v>
      </c>
    </row>
    <row r="62" spans="1:9">
      <c r="A62" t="s">
        <v>71</v>
      </c>
      <c r="B62" t="s">
        <v>4</v>
      </c>
      <c r="C62" t="s">
        <v>300</v>
      </c>
      <c r="D62" t="s">
        <v>1145</v>
      </c>
      <c r="E62" t="s">
        <v>300</v>
      </c>
      <c r="F62" t="s">
        <v>1145</v>
      </c>
      <c r="G62" t="s">
        <v>300</v>
      </c>
      <c r="H62" t="s">
        <v>1145</v>
      </c>
      <c r="I62" s="331">
        <v>46189.225729166668</v>
      </c>
    </row>
    <row r="63" spans="1:9">
      <c r="A63" t="s">
        <v>72</v>
      </c>
      <c r="B63" t="s">
        <v>4</v>
      </c>
      <c r="C63" t="s">
        <v>300</v>
      </c>
      <c r="D63" t="s">
        <v>1145</v>
      </c>
      <c r="E63" t="s">
        <v>300</v>
      </c>
      <c r="F63" t="s">
        <v>1145</v>
      </c>
      <c r="G63" t="s">
        <v>300</v>
      </c>
      <c r="H63" t="s">
        <v>1145</v>
      </c>
      <c r="I63" s="331">
        <v>46189.225729166668</v>
      </c>
    </row>
    <row r="64" spans="1:9">
      <c r="A64" t="s">
        <v>72</v>
      </c>
      <c r="B64" t="s">
        <v>4</v>
      </c>
      <c r="C64" t="s">
        <v>300</v>
      </c>
      <c r="D64" t="s">
        <v>1145</v>
      </c>
      <c r="E64" t="s">
        <v>1123</v>
      </c>
      <c r="F64" t="s">
        <v>1145</v>
      </c>
      <c r="G64" t="s">
        <v>1123</v>
      </c>
      <c r="H64" t="s">
        <v>1145</v>
      </c>
      <c r="I64" s="331">
        <v>46189.225729166668</v>
      </c>
    </row>
    <row r="65" spans="1:9">
      <c r="A65" t="s">
        <v>74</v>
      </c>
      <c r="B65" t="s">
        <v>4</v>
      </c>
      <c r="C65" t="s">
        <v>300</v>
      </c>
      <c r="D65" t="s">
        <v>1134</v>
      </c>
      <c r="E65" t="s">
        <v>1123</v>
      </c>
      <c r="F65" t="s">
        <v>1134</v>
      </c>
      <c r="G65" t="s">
        <v>1123</v>
      </c>
      <c r="H65" t="s">
        <v>1134</v>
      </c>
      <c r="I65" s="331">
        <v>46189.225729166668</v>
      </c>
    </row>
    <row r="66" spans="1:9">
      <c r="A66" t="s">
        <v>74</v>
      </c>
      <c r="B66" t="s">
        <v>4</v>
      </c>
      <c r="C66" t="s">
        <v>300</v>
      </c>
      <c r="D66" t="s">
        <v>1134</v>
      </c>
      <c r="E66" t="s">
        <v>300</v>
      </c>
      <c r="F66" t="s">
        <v>1134</v>
      </c>
      <c r="G66" t="s">
        <v>300</v>
      </c>
      <c r="H66" t="s">
        <v>1134</v>
      </c>
      <c r="I66" s="331">
        <v>46189.225729166668</v>
      </c>
    </row>
    <row r="67" spans="1:9">
      <c r="A67" t="s">
        <v>277</v>
      </c>
      <c r="B67" t="s">
        <v>4</v>
      </c>
      <c r="C67" t="s">
        <v>300</v>
      </c>
      <c r="D67" t="s">
        <v>1145</v>
      </c>
      <c r="E67" t="s">
        <v>300</v>
      </c>
      <c r="F67" t="s">
        <v>1145</v>
      </c>
      <c r="G67" t="s">
        <v>300</v>
      </c>
      <c r="H67" t="s">
        <v>1145</v>
      </c>
      <c r="I67" s="331">
        <v>46189.225729166668</v>
      </c>
    </row>
    <row r="68" spans="1:9">
      <c r="A68" t="s">
        <v>277</v>
      </c>
      <c r="B68" t="s">
        <v>4</v>
      </c>
      <c r="C68" t="s">
        <v>300</v>
      </c>
      <c r="D68" t="s">
        <v>1145</v>
      </c>
      <c r="E68" t="s">
        <v>1123</v>
      </c>
      <c r="F68" t="s">
        <v>1145</v>
      </c>
      <c r="G68" t="s">
        <v>1123</v>
      </c>
      <c r="H68" t="s">
        <v>1145</v>
      </c>
      <c r="I68" s="331">
        <v>46189.225729166668</v>
      </c>
    </row>
    <row r="69" spans="1:9">
      <c r="A69" t="s">
        <v>278</v>
      </c>
      <c r="B69" t="s">
        <v>4</v>
      </c>
      <c r="C69" t="s">
        <v>300</v>
      </c>
      <c r="D69" t="s">
        <v>1145</v>
      </c>
      <c r="E69" t="s">
        <v>1123</v>
      </c>
      <c r="F69" t="s">
        <v>1145</v>
      </c>
      <c r="G69" t="s">
        <v>1123</v>
      </c>
      <c r="H69" t="s">
        <v>1145</v>
      </c>
      <c r="I69" s="331">
        <v>46189.225729166668</v>
      </c>
    </row>
    <row r="70" spans="1:9">
      <c r="A70" t="s">
        <v>278</v>
      </c>
      <c r="B70" t="s">
        <v>4</v>
      </c>
      <c r="C70" t="s">
        <v>300</v>
      </c>
      <c r="D70" t="s">
        <v>1145</v>
      </c>
      <c r="E70" t="s">
        <v>300</v>
      </c>
      <c r="F70" t="s">
        <v>1145</v>
      </c>
      <c r="G70" t="s">
        <v>300</v>
      </c>
      <c r="H70" t="s">
        <v>1145</v>
      </c>
      <c r="I70" s="331">
        <v>46189.225729166668</v>
      </c>
    </row>
    <row r="71" spans="1:9">
      <c r="A71" t="s">
        <v>279</v>
      </c>
      <c r="B71" t="s">
        <v>4</v>
      </c>
      <c r="C71" t="s">
        <v>300</v>
      </c>
      <c r="D71" t="s">
        <v>1145</v>
      </c>
      <c r="E71" t="s">
        <v>1123</v>
      </c>
      <c r="F71" t="s">
        <v>1145</v>
      </c>
      <c r="G71" t="s">
        <v>1123</v>
      </c>
      <c r="H71" t="s">
        <v>1145</v>
      </c>
      <c r="I71" s="331">
        <v>46189.225729166668</v>
      </c>
    </row>
    <row r="72" spans="1:9">
      <c r="A72" t="s">
        <v>279</v>
      </c>
      <c r="B72" t="s">
        <v>4</v>
      </c>
      <c r="C72" t="s">
        <v>300</v>
      </c>
      <c r="D72" t="s">
        <v>1145</v>
      </c>
      <c r="E72" t="s">
        <v>300</v>
      </c>
      <c r="F72" t="s">
        <v>1145</v>
      </c>
      <c r="G72" t="s">
        <v>300</v>
      </c>
      <c r="H72" t="s">
        <v>1145</v>
      </c>
      <c r="I72" s="331">
        <v>46189.225729166668</v>
      </c>
    </row>
    <row r="73" spans="1:9">
      <c r="A73" t="s">
        <v>337</v>
      </c>
      <c r="B73" t="s">
        <v>4</v>
      </c>
      <c r="C73" t="s">
        <v>300</v>
      </c>
      <c r="D73" t="s">
        <v>1134</v>
      </c>
      <c r="E73" t="s">
        <v>300</v>
      </c>
      <c r="F73" t="s">
        <v>1134</v>
      </c>
      <c r="G73" t="s">
        <v>300</v>
      </c>
      <c r="H73" t="s">
        <v>1134</v>
      </c>
      <c r="I73" s="331">
        <v>46189.225729166668</v>
      </c>
    </row>
    <row r="74" spans="1:9">
      <c r="A74" t="s">
        <v>337</v>
      </c>
      <c r="B74" t="s">
        <v>4</v>
      </c>
      <c r="C74" t="s">
        <v>300</v>
      </c>
      <c r="D74" t="s">
        <v>1134</v>
      </c>
      <c r="E74" t="s">
        <v>1123</v>
      </c>
      <c r="F74" t="s">
        <v>1134</v>
      </c>
      <c r="G74" t="s">
        <v>1123</v>
      </c>
      <c r="H74" t="s">
        <v>1134</v>
      </c>
      <c r="I74" s="331">
        <v>46189.225729166668</v>
      </c>
    </row>
    <row r="75" spans="1:9">
      <c r="A75" t="s">
        <v>408</v>
      </c>
      <c r="B75" t="s">
        <v>4</v>
      </c>
      <c r="C75" t="s">
        <v>300</v>
      </c>
      <c r="D75" t="s">
        <v>1144</v>
      </c>
      <c r="E75" t="s">
        <v>1123</v>
      </c>
      <c r="F75" t="s">
        <v>1144</v>
      </c>
      <c r="G75" t="s">
        <v>1123</v>
      </c>
      <c r="H75" t="s">
        <v>1144</v>
      </c>
      <c r="I75" s="331">
        <v>46189.225729166668</v>
      </c>
    </row>
    <row r="76" spans="1:9">
      <c r="A76" t="s">
        <v>408</v>
      </c>
      <c r="B76" t="s">
        <v>4</v>
      </c>
      <c r="C76" t="s">
        <v>300</v>
      </c>
      <c r="D76" t="s">
        <v>1144</v>
      </c>
      <c r="E76" t="s">
        <v>300</v>
      </c>
      <c r="F76" t="s">
        <v>1144</v>
      </c>
      <c r="G76" t="s">
        <v>300</v>
      </c>
      <c r="H76" t="s">
        <v>1144</v>
      </c>
      <c r="I76" s="331">
        <v>46189.225729166668</v>
      </c>
    </row>
    <row r="77" spans="1:9">
      <c r="A77" t="s">
        <v>410</v>
      </c>
      <c r="B77" t="s">
        <v>4</v>
      </c>
      <c r="C77" t="s">
        <v>300</v>
      </c>
      <c r="D77" t="s">
        <v>1144</v>
      </c>
      <c r="E77" t="s">
        <v>1123</v>
      </c>
      <c r="F77" t="s">
        <v>1144</v>
      </c>
      <c r="G77" t="s">
        <v>1123</v>
      </c>
      <c r="H77" t="s">
        <v>1144</v>
      </c>
      <c r="I77" s="331">
        <v>46189.225729166668</v>
      </c>
    </row>
    <row r="78" spans="1:9">
      <c r="A78" t="s">
        <v>410</v>
      </c>
      <c r="B78" t="s">
        <v>4</v>
      </c>
      <c r="C78" t="s">
        <v>300</v>
      </c>
      <c r="D78" t="s">
        <v>1144</v>
      </c>
      <c r="E78" t="s">
        <v>300</v>
      </c>
      <c r="F78" t="s">
        <v>1144</v>
      </c>
      <c r="G78" t="s">
        <v>300</v>
      </c>
      <c r="H78" t="s">
        <v>1144</v>
      </c>
      <c r="I78" s="331">
        <v>46189.225729166668</v>
      </c>
    </row>
    <row r="79" spans="1:9">
      <c r="A79" t="s">
        <v>411</v>
      </c>
      <c r="B79" t="s">
        <v>4</v>
      </c>
      <c r="C79" t="s">
        <v>300</v>
      </c>
      <c r="D79" t="s">
        <v>1145</v>
      </c>
      <c r="E79" t="s">
        <v>300</v>
      </c>
      <c r="F79" t="s">
        <v>1145</v>
      </c>
      <c r="G79" t="s">
        <v>300</v>
      </c>
      <c r="H79" t="s">
        <v>1145</v>
      </c>
      <c r="I79" s="331">
        <v>46189.225729166668</v>
      </c>
    </row>
    <row r="80" spans="1:9">
      <c r="A80" t="s">
        <v>411</v>
      </c>
      <c r="B80" t="s">
        <v>4</v>
      </c>
      <c r="C80" t="s">
        <v>300</v>
      </c>
      <c r="D80" t="s">
        <v>1145</v>
      </c>
      <c r="E80" t="s">
        <v>1123</v>
      </c>
      <c r="F80" t="s">
        <v>1145</v>
      </c>
      <c r="G80" t="s">
        <v>1123</v>
      </c>
      <c r="H80" t="s">
        <v>1145</v>
      </c>
      <c r="I80" s="331">
        <v>46189.225729166668</v>
      </c>
    </row>
    <row r="81" spans="1:9">
      <c r="A81" t="s">
        <v>1109</v>
      </c>
      <c r="B81" t="s">
        <v>4</v>
      </c>
      <c r="C81" t="s">
        <v>300</v>
      </c>
      <c r="D81" t="s">
        <v>1145</v>
      </c>
      <c r="E81" t="s">
        <v>1123</v>
      </c>
      <c r="F81" t="s">
        <v>1145</v>
      </c>
      <c r="G81" t="s">
        <v>1123</v>
      </c>
      <c r="H81" t="s">
        <v>1145</v>
      </c>
      <c r="I81" s="331">
        <v>46189.225729166668</v>
      </c>
    </row>
    <row r="82" spans="1:9">
      <c r="A82" t="s">
        <v>1109</v>
      </c>
      <c r="B82" t="s">
        <v>4</v>
      </c>
      <c r="C82" t="s">
        <v>300</v>
      </c>
      <c r="D82" t="s">
        <v>1145</v>
      </c>
      <c r="E82" t="s">
        <v>300</v>
      </c>
      <c r="F82" t="s">
        <v>1145</v>
      </c>
      <c r="G82" t="s">
        <v>300</v>
      </c>
      <c r="H82" t="s">
        <v>1145</v>
      </c>
      <c r="I82" s="331">
        <v>46189.225729166668</v>
      </c>
    </row>
    <row r="83" spans="1:9">
      <c r="A83" t="s">
        <v>976</v>
      </c>
      <c r="B83" t="s">
        <v>4</v>
      </c>
      <c r="C83" t="s">
        <v>300</v>
      </c>
      <c r="D83" t="s">
        <v>1136</v>
      </c>
      <c r="E83" t="s">
        <v>300</v>
      </c>
      <c r="F83" t="s">
        <v>1136</v>
      </c>
      <c r="G83" t="s">
        <v>300</v>
      </c>
      <c r="H83" t="s">
        <v>1136</v>
      </c>
      <c r="I83" s="331">
        <v>46189.225729166668</v>
      </c>
    </row>
    <row r="84" spans="1:9">
      <c r="A84" t="s">
        <v>976</v>
      </c>
      <c r="B84" t="s">
        <v>4</v>
      </c>
      <c r="C84" t="s">
        <v>300</v>
      </c>
      <c r="D84" t="s">
        <v>1136</v>
      </c>
      <c r="E84" t="s">
        <v>1123</v>
      </c>
      <c r="F84" t="s">
        <v>1136</v>
      </c>
      <c r="G84" t="s">
        <v>1123</v>
      </c>
      <c r="H84" t="s">
        <v>1136</v>
      </c>
      <c r="I84" s="331">
        <v>46189.225729166668</v>
      </c>
    </row>
    <row r="85" spans="1:9">
      <c r="A85" t="s">
        <v>979</v>
      </c>
      <c r="B85" t="s">
        <v>4</v>
      </c>
      <c r="C85" t="s">
        <v>300</v>
      </c>
      <c r="D85" t="s">
        <v>1134</v>
      </c>
      <c r="E85" t="s">
        <v>300</v>
      </c>
      <c r="F85" t="s">
        <v>1134</v>
      </c>
      <c r="G85" t="s">
        <v>300</v>
      </c>
      <c r="H85" t="s">
        <v>1134</v>
      </c>
      <c r="I85" s="331">
        <v>46189.225729166668</v>
      </c>
    </row>
    <row r="86" spans="1:9">
      <c r="A86" t="s">
        <v>979</v>
      </c>
      <c r="B86" t="s">
        <v>4</v>
      </c>
      <c r="C86" t="s">
        <v>300</v>
      </c>
      <c r="D86" t="s">
        <v>1134</v>
      </c>
      <c r="E86" t="s">
        <v>1123</v>
      </c>
      <c r="F86" t="s">
        <v>1134</v>
      </c>
      <c r="G86" t="s">
        <v>1123</v>
      </c>
      <c r="H86" t="s">
        <v>1134</v>
      </c>
      <c r="I86" s="331">
        <v>46189.225729166668</v>
      </c>
    </row>
    <row r="87" spans="1:9">
      <c r="A87" t="s">
        <v>980</v>
      </c>
      <c r="B87" t="s">
        <v>4</v>
      </c>
      <c r="C87" t="s">
        <v>300</v>
      </c>
      <c r="D87" t="s">
        <v>1136</v>
      </c>
      <c r="E87" t="s">
        <v>300</v>
      </c>
      <c r="F87" t="s">
        <v>1136</v>
      </c>
      <c r="G87" t="s">
        <v>300</v>
      </c>
      <c r="H87" t="s">
        <v>1136</v>
      </c>
      <c r="I87" s="331">
        <v>46189.225729166668</v>
      </c>
    </row>
    <row r="88" spans="1:9">
      <c r="A88" t="s">
        <v>980</v>
      </c>
      <c r="B88" t="s">
        <v>4</v>
      </c>
      <c r="C88" t="s">
        <v>300</v>
      </c>
      <c r="D88" t="s">
        <v>1136</v>
      </c>
      <c r="E88" t="s">
        <v>1123</v>
      </c>
      <c r="F88" t="s">
        <v>1136</v>
      </c>
      <c r="G88" t="s">
        <v>1123</v>
      </c>
      <c r="H88" t="s">
        <v>1136</v>
      </c>
      <c r="I88" s="331">
        <v>46189.225729166668</v>
      </c>
    </row>
    <row r="89" spans="1:9">
      <c r="A89" t="s">
        <v>1108</v>
      </c>
      <c r="B89" t="s">
        <v>4</v>
      </c>
      <c r="C89" t="s">
        <v>300</v>
      </c>
      <c r="D89" t="s">
        <v>1136</v>
      </c>
      <c r="E89" t="s">
        <v>300</v>
      </c>
      <c r="F89" t="s">
        <v>1136</v>
      </c>
      <c r="G89" t="s">
        <v>300</v>
      </c>
      <c r="H89" t="s">
        <v>1136</v>
      </c>
      <c r="I89" s="331">
        <v>46189.225729166668</v>
      </c>
    </row>
    <row r="90" spans="1:9">
      <c r="A90" t="s">
        <v>1108</v>
      </c>
      <c r="B90" t="s">
        <v>4</v>
      </c>
      <c r="C90" t="s">
        <v>300</v>
      </c>
      <c r="D90" t="s">
        <v>1136</v>
      </c>
      <c r="E90" t="s">
        <v>1123</v>
      </c>
      <c r="F90" t="s">
        <v>1136</v>
      </c>
      <c r="G90" t="s">
        <v>1123</v>
      </c>
      <c r="H90" t="s">
        <v>1136</v>
      </c>
      <c r="I90" s="331">
        <v>46189.225729166668</v>
      </c>
    </row>
    <row r="91" spans="1:9">
      <c r="A91" t="s">
        <v>84</v>
      </c>
      <c r="B91" t="s">
        <v>4</v>
      </c>
      <c r="C91" t="s">
        <v>1102</v>
      </c>
      <c r="D91" t="s">
        <v>1142</v>
      </c>
      <c r="E91" t="s">
        <v>1124</v>
      </c>
      <c r="F91" t="s">
        <v>1142</v>
      </c>
      <c r="G91" t="s">
        <v>1124</v>
      </c>
      <c r="H91" t="s">
        <v>1142</v>
      </c>
      <c r="I91" s="331">
        <v>46189.225729166668</v>
      </c>
    </row>
    <row r="92" spans="1:9">
      <c r="A92" t="s">
        <v>84</v>
      </c>
      <c r="B92" t="s">
        <v>4</v>
      </c>
      <c r="C92" t="s">
        <v>1102</v>
      </c>
      <c r="D92" t="s">
        <v>1142</v>
      </c>
      <c r="E92" t="s">
        <v>1102</v>
      </c>
      <c r="F92" t="s">
        <v>1142</v>
      </c>
      <c r="G92" t="s">
        <v>1102</v>
      </c>
      <c r="H92" t="s">
        <v>1142</v>
      </c>
      <c r="I92" s="331">
        <v>46189.225729166668</v>
      </c>
    </row>
    <row r="93" spans="1:9">
      <c r="A93" t="s">
        <v>86</v>
      </c>
      <c r="B93" t="s">
        <v>4</v>
      </c>
      <c r="C93" t="s">
        <v>1102</v>
      </c>
      <c r="D93" t="s">
        <v>1142</v>
      </c>
      <c r="E93" t="s">
        <v>1124</v>
      </c>
      <c r="F93" t="s">
        <v>1142</v>
      </c>
      <c r="G93" t="s">
        <v>1124</v>
      </c>
      <c r="H93" t="s">
        <v>1142</v>
      </c>
      <c r="I93" s="331">
        <v>46189.225729166668</v>
      </c>
    </row>
    <row r="94" spans="1:9">
      <c r="A94" t="s">
        <v>86</v>
      </c>
      <c r="B94" t="s">
        <v>4</v>
      </c>
      <c r="C94" t="s">
        <v>1102</v>
      </c>
      <c r="D94" t="s">
        <v>1142</v>
      </c>
      <c r="E94" t="s">
        <v>1102</v>
      </c>
      <c r="F94" t="s">
        <v>1142</v>
      </c>
      <c r="G94" t="s">
        <v>1102</v>
      </c>
      <c r="H94" t="s">
        <v>1142</v>
      </c>
      <c r="I94" s="331">
        <v>46189.225729166668</v>
      </c>
    </row>
    <row r="95" spans="1:9">
      <c r="A95" t="s">
        <v>89</v>
      </c>
      <c r="B95" t="s">
        <v>4</v>
      </c>
      <c r="C95" t="s">
        <v>1102</v>
      </c>
      <c r="D95" t="s">
        <v>1142</v>
      </c>
      <c r="E95" t="s">
        <v>1124</v>
      </c>
      <c r="F95" t="s">
        <v>1142</v>
      </c>
      <c r="G95" t="s">
        <v>1124</v>
      </c>
      <c r="H95" t="s">
        <v>1142</v>
      </c>
      <c r="I95" s="331">
        <v>46189.225729166668</v>
      </c>
    </row>
    <row r="96" spans="1:9">
      <c r="A96" t="s">
        <v>89</v>
      </c>
      <c r="B96" t="s">
        <v>4</v>
      </c>
      <c r="C96" t="s">
        <v>1102</v>
      </c>
      <c r="D96" t="s">
        <v>1142</v>
      </c>
      <c r="E96" t="s">
        <v>1102</v>
      </c>
      <c r="F96" t="s">
        <v>1142</v>
      </c>
      <c r="G96" t="s">
        <v>1102</v>
      </c>
      <c r="H96" t="s">
        <v>1142</v>
      </c>
      <c r="I96" s="331">
        <v>46189.225729166668</v>
      </c>
    </row>
    <row r="97" spans="1:9">
      <c r="A97" t="s">
        <v>90</v>
      </c>
      <c r="B97" t="s">
        <v>4</v>
      </c>
      <c r="C97" t="s">
        <v>1102</v>
      </c>
      <c r="D97" t="s">
        <v>1146</v>
      </c>
      <c r="E97" t="s">
        <v>1124</v>
      </c>
      <c r="F97" t="s">
        <v>1146</v>
      </c>
      <c r="G97" t="s">
        <v>1124</v>
      </c>
      <c r="H97" t="s">
        <v>1146</v>
      </c>
      <c r="I97" s="331">
        <v>46189.225729166668</v>
      </c>
    </row>
    <row r="98" spans="1:9">
      <c r="A98" t="s">
        <v>90</v>
      </c>
      <c r="B98" t="s">
        <v>4</v>
      </c>
      <c r="C98" t="s">
        <v>1102</v>
      </c>
      <c r="D98" t="s">
        <v>1146</v>
      </c>
      <c r="E98" t="s">
        <v>1102</v>
      </c>
      <c r="F98" t="s">
        <v>1146</v>
      </c>
      <c r="G98" t="s">
        <v>1102</v>
      </c>
      <c r="H98" t="s">
        <v>1146</v>
      </c>
      <c r="I98" s="331">
        <v>46189.225729166668</v>
      </c>
    </row>
    <row r="99" spans="1:9">
      <c r="A99" t="s">
        <v>91</v>
      </c>
      <c r="B99" t="s">
        <v>4</v>
      </c>
      <c r="C99" t="s">
        <v>1102</v>
      </c>
      <c r="D99" t="s">
        <v>1147</v>
      </c>
      <c r="E99" t="s">
        <v>1124</v>
      </c>
      <c r="F99" t="s">
        <v>1147</v>
      </c>
      <c r="G99" t="s">
        <v>1124</v>
      </c>
      <c r="H99" t="s">
        <v>1147</v>
      </c>
      <c r="I99" s="331">
        <v>46189.225729166668</v>
      </c>
    </row>
    <row r="100" spans="1:9">
      <c r="A100" t="s">
        <v>91</v>
      </c>
      <c r="B100" t="s">
        <v>4</v>
      </c>
      <c r="C100" t="s">
        <v>1102</v>
      </c>
      <c r="D100" t="s">
        <v>1147</v>
      </c>
      <c r="E100" t="s">
        <v>1102</v>
      </c>
      <c r="F100" t="s">
        <v>1147</v>
      </c>
      <c r="G100" t="s">
        <v>1102</v>
      </c>
      <c r="H100" t="s">
        <v>1147</v>
      </c>
      <c r="I100" s="331">
        <v>46189.225729166668</v>
      </c>
    </row>
    <row r="101" spans="1:9">
      <c r="A101" t="s">
        <v>93</v>
      </c>
      <c r="B101" t="s">
        <v>4</v>
      </c>
      <c r="C101" t="s">
        <v>1102</v>
      </c>
      <c r="D101" t="s">
        <v>1146</v>
      </c>
      <c r="E101" t="s">
        <v>1102</v>
      </c>
      <c r="F101" t="s">
        <v>1146</v>
      </c>
      <c r="G101" t="s">
        <v>1102</v>
      </c>
      <c r="H101" t="s">
        <v>1146</v>
      </c>
      <c r="I101" s="331">
        <v>46189.225729166668</v>
      </c>
    </row>
    <row r="102" spans="1:9">
      <c r="A102" t="s">
        <v>93</v>
      </c>
      <c r="B102" t="s">
        <v>4</v>
      </c>
      <c r="C102" t="s">
        <v>1102</v>
      </c>
      <c r="D102" t="s">
        <v>1146</v>
      </c>
      <c r="E102" t="s">
        <v>1124</v>
      </c>
      <c r="F102" t="s">
        <v>1146</v>
      </c>
      <c r="G102" t="s">
        <v>1124</v>
      </c>
      <c r="H102" t="s">
        <v>1146</v>
      </c>
      <c r="I102" s="331">
        <v>46189.225729166668</v>
      </c>
    </row>
    <row r="103" spans="1:9">
      <c r="A103" t="s">
        <v>328</v>
      </c>
      <c r="B103" t="s">
        <v>4</v>
      </c>
      <c r="C103" t="s">
        <v>1102</v>
      </c>
      <c r="D103" t="s">
        <v>1148</v>
      </c>
      <c r="E103" t="s">
        <v>1102</v>
      </c>
      <c r="F103" t="s">
        <v>1148</v>
      </c>
      <c r="G103" t="s">
        <v>1102</v>
      </c>
      <c r="H103" t="s">
        <v>1148</v>
      </c>
      <c r="I103" s="331">
        <v>46189.225729166668</v>
      </c>
    </row>
    <row r="104" spans="1:9">
      <c r="A104" t="s">
        <v>328</v>
      </c>
      <c r="B104" t="s">
        <v>4</v>
      </c>
      <c r="C104" t="s">
        <v>1102</v>
      </c>
      <c r="D104" t="s">
        <v>1148</v>
      </c>
      <c r="E104" t="s">
        <v>1124</v>
      </c>
      <c r="F104" t="s">
        <v>1148</v>
      </c>
      <c r="G104" t="s">
        <v>1124</v>
      </c>
      <c r="H104" t="s">
        <v>1148</v>
      </c>
      <c r="I104" s="331">
        <v>46189.225729166668</v>
      </c>
    </row>
    <row r="105" spans="1:9">
      <c r="A105" t="s">
        <v>445</v>
      </c>
      <c r="B105" t="s">
        <v>4</v>
      </c>
      <c r="C105" t="s">
        <v>1102</v>
      </c>
      <c r="D105" t="s">
        <v>1148</v>
      </c>
      <c r="E105" t="s">
        <v>1102</v>
      </c>
      <c r="F105" t="s">
        <v>1148</v>
      </c>
      <c r="G105" t="s">
        <v>1102</v>
      </c>
      <c r="H105" t="s">
        <v>1148</v>
      </c>
      <c r="I105" s="331">
        <v>46189.225729166668</v>
      </c>
    </row>
    <row r="106" spans="1:9">
      <c r="A106" t="s">
        <v>445</v>
      </c>
      <c r="B106" t="s">
        <v>4</v>
      </c>
      <c r="C106" t="s">
        <v>1102</v>
      </c>
      <c r="D106" t="s">
        <v>1148</v>
      </c>
      <c r="E106" t="s">
        <v>1124</v>
      </c>
      <c r="F106" t="s">
        <v>1148</v>
      </c>
      <c r="G106" t="s">
        <v>1124</v>
      </c>
      <c r="H106" t="s">
        <v>1148</v>
      </c>
      <c r="I106" s="331">
        <v>46189.225729166668</v>
      </c>
    </row>
    <row r="107" spans="1:9">
      <c r="A107" t="s">
        <v>446</v>
      </c>
      <c r="B107" t="s">
        <v>4</v>
      </c>
      <c r="C107" t="s">
        <v>1102</v>
      </c>
      <c r="D107" t="s">
        <v>1148</v>
      </c>
      <c r="E107" t="s">
        <v>1102</v>
      </c>
      <c r="F107" t="s">
        <v>1148</v>
      </c>
      <c r="G107" t="s">
        <v>1102</v>
      </c>
      <c r="H107" t="s">
        <v>1148</v>
      </c>
      <c r="I107" s="331">
        <v>46189.225729166668</v>
      </c>
    </row>
    <row r="108" spans="1:9">
      <c r="A108" t="s">
        <v>446</v>
      </c>
      <c r="B108" t="s">
        <v>4</v>
      </c>
      <c r="C108" t="s">
        <v>1102</v>
      </c>
      <c r="D108" t="s">
        <v>1148</v>
      </c>
      <c r="E108" t="s">
        <v>1124</v>
      </c>
      <c r="F108" t="s">
        <v>1148</v>
      </c>
      <c r="G108" t="s">
        <v>1124</v>
      </c>
      <c r="H108" t="s">
        <v>1148</v>
      </c>
      <c r="I108" s="331">
        <v>46189.225729166668</v>
      </c>
    </row>
    <row r="109" spans="1:9">
      <c r="A109" t="s">
        <v>1110</v>
      </c>
      <c r="B109" t="s">
        <v>4</v>
      </c>
      <c r="C109" t="s">
        <v>1102</v>
      </c>
      <c r="D109" t="s">
        <v>1148</v>
      </c>
      <c r="E109" t="s">
        <v>1124</v>
      </c>
      <c r="F109" t="s">
        <v>1148</v>
      </c>
      <c r="G109" t="s">
        <v>1124</v>
      </c>
      <c r="H109" t="s">
        <v>1148</v>
      </c>
      <c r="I109" s="331">
        <v>46189.225729166668</v>
      </c>
    </row>
    <row r="110" spans="1:9">
      <c r="A110" t="s">
        <v>1110</v>
      </c>
      <c r="B110" t="s">
        <v>4</v>
      </c>
      <c r="C110" t="s">
        <v>1102</v>
      </c>
      <c r="D110" t="s">
        <v>1148</v>
      </c>
      <c r="E110" t="s">
        <v>1102</v>
      </c>
      <c r="F110" t="s">
        <v>1148</v>
      </c>
      <c r="G110" t="s">
        <v>1102</v>
      </c>
      <c r="H110" t="s">
        <v>1148</v>
      </c>
      <c r="I110" s="331">
        <v>46189.225729166668</v>
      </c>
    </row>
    <row r="111" spans="1:9">
      <c r="A111" t="s">
        <v>889</v>
      </c>
      <c r="B111" t="s">
        <v>372</v>
      </c>
      <c r="C111" t="s">
        <v>1102</v>
      </c>
      <c r="D111" t="s">
        <v>1141</v>
      </c>
      <c r="E111" t="s">
        <v>1124</v>
      </c>
      <c r="F111" t="s">
        <v>1141</v>
      </c>
      <c r="G111" t="s">
        <v>1124</v>
      </c>
      <c r="H111" t="s">
        <v>1141</v>
      </c>
      <c r="I111" s="331">
        <v>46189.225729166668</v>
      </c>
    </row>
    <row r="112" spans="1:9">
      <c r="A112" t="s">
        <v>889</v>
      </c>
      <c r="B112" t="s">
        <v>372</v>
      </c>
      <c r="C112" t="s">
        <v>1102</v>
      </c>
      <c r="D112" t="s">
        <v>1141</v>
      </c>
      <c r="E112" t="s">
        <v>1102</v>
      </c>
      <c r="F112" t="s">
        <v>1141</v>
      </c>
      <c r="G112" t="s">
        <v>1102</v>
      </c>
      <c r="H112" t="s">
        <v>1141</v>
      </c>
      <c r="I112" s="331">
        <v>46189.225729166668</v>
      </c>
    </row>
    <row r="113" spans="1:9">
      <c r="A113" t="s">
        <v>891</v>
      </c>
      <c r="B113" t="s">
        <v>372</v>
      </c>
      <c r="C113" t="s">
        <v>1102</v>
      </c>
      <c r="D113" t="s">
        <v>1141</v>
      </c>
      <c r="E113" t="s">
        <v>1102</v>
      </c>
      <c r="F113" t="s">
        <v>1141</v>
      </c>
      <c r="G113" t="s">
        <v>1102</v>
      </c>
      <c r="H113" t="s">
        <v>1141</v>
      </c>
      <c r="I113" s="331">
        <v>46189.225729166668</v>
      </c>
    </row>
    <row r="114" spans="1:9">
      <c r="A114" t="s">
        <v>891</v>
      </c>
      <c r="B114" t="s">
        <v>372</v>
      </c>
      <c r="C114" t="s">
        <v>1102</v>
      </c>
      <c r="D114" t="s">
        <v>1141</v>
      </c>
      <c r="E114" t="s">
        <v>1124</v>
      </c>
      <c r="F114" t="s">
        <v>1141</v>
      </c>
      <c r="G114" t="s">
        <v>1124</v>
      </c>
      <c r="H114" t="s">
        <v>1141</v>
      </c>
      <c r="I114" s="331">
        <v>46189.225729166668</v>
      </c>
    </row>
    <row r="115" spans="1:9">
      <c r="A115" t="s">
        <v>892</v>
      </c>
      <c r="B115" t="s">
        <v>372</v>
      </c>
      <c r="C115" t="s">
        <v>1102</v>
      </c>
      <c r="D115" t="s">
        <v>1141</v>
      </c>
      <c r="E115" t="s">
        <v>1102</v>
      </c>
      <c r="F115" t="s">
        <v>1141</v>
      </c>
      <c r="G115" t="s">
        <v>1102</v>
      </c>
      <c r="H115" t="s">
        <v>1141</v>
      </c>
      <c r="I115" s="331">
        <v>46189.225729166668</v>
      </c>
    </row>
    <row r="116" spans="1:9">
      <c r="A116" t="s">
        <v>892</v>
      </c>
      <c r="B116" t="s">
        <v>372</v>
      </c>
      <c r="C116" t="s">
        <v>1102</v>
      </c>
      <c r="D116" t="s">
        <v>1141</v>
      </c>
      <c r="E116" t="s">
        <v>1124</v>
      </c>
      <c r="F116" t="s">
        <v>1141</v>
      </c>
      <c r="G116" t="s">
        <v>1124</v>
      </c>
      <c r="H116" t="s">
        <v>1141</v>
      </c>
      <c r="I116" s="331">
        <v>46189.225729166668</v>
      </c>
    </row>
    <row r="117" spans="1:9">
      <c r="A117" t="s">
        <v>497</v>
      </c>
      <c r="B117" t="s">
        <v>372</v>
      </c>
      <c r="C117" t="s">
        <v>300</v>
      </c>
      <c r="D117" t="s">
        <v>1149</v>
      </c>
      <c r="E117" t="s">
        <v>300</v>
      </c>
      <c r="F117" t="s">
        <v>1149</v>
      </c>
      <c r="G117" t="s">
        <v>300</v>
      </c>
      <c r="H117" t="s">
        <v>1149</v>
      </c>
      <c r="I117" s="331">
        <v>46189.225729166668</v>
      </c>
    </row>
    <row r="118" spans="1:9">
      <c r="A118" t="s">
        <v>497</v>
      </c>
      <c r="B118" t="s">
        <v>372</v>
      </c>
      <c r="C118" t="s">
        <v>300</v>
      </c>
      <c r="D118" t="s">
        <v>1149</v>
      </c>
      <c r="E118" t="s">
        <v>1123</v>
      </c>
      <c r="F118" t="s">
        <v>1149</v>
      </c>
      <c r="G118" t="s">
        <v>1123</v>
      </c>
      <c r="H118" t="s">
        <v>1149</v>
      </c>
      <c r="I118" s="331">
        <v>46189.225729166668</v>
      </c>
    </row>
    <row r="119" spans="1:9">
      <c r="A119" t="s">
        <v>496</v>
      </c>
      <c r="B119" t="s">
        <v>372</v>
      </c>
      <c r="C119" t="s">
        <v>300</v>
      </c>
      <c r="D119" t="s">
        <v>1149</v>
      </c>
      <c r="E119" t="s">
        <v>300</v>
      </c>
      <c r="F119" t="s">
        <v>1149</v>
      </c>
      <c r="G119" t="s">
        <v>300</v>
      </c>
      <c r="H119" t="s">
        <v>1149</v>
      </c>
      <c r="I119" s="331">
        <v>46189.225729166668</v>
      </c>
    </row>
    <row r="120" spans="1:9">
      <c r="A120" t="s">
        <v>496</v>
      </c>
      <c r="B120" t="s">
        <v>372</v>
      </c>
      <c r="C120" t="s">
        <v>300</v>
      </c>
      <c r="D120" t="s">
        <v>1149</v>
      </c>
      <c r="E120" t="s">
        <v>1123</v>
      </c>
      <c r="F120" t="s">
        <v>1149</v>
      </c>
      <c r="G120" t="s">
        <v>1123</v>
      </c>
      <c r="H120" t="s">
        <v>1149</v>
      </c>
      <c r="I120" s="331">
        <v>46189.225729166668</v>
      </c>
    </row>
    <row r="121" spans="1:9">
      <c r="A121" t="s">
        <v>498</v>
      </c>
      <c r="B121" t="s">
        <v>372</v>
      </c>
      <c r="C121" t="s">
        <v>300</v>
      </c>
      <c r="D121" t="s">
        <v>1145</v>
      </c>
      <c r="E121" t="s">
        <v>1123</v>
      </c>
      <c r="F121" t="s">
        <v>1145</v>
      </c>
      <c r="G121" t="s">
        <v>1123</v>
      </c>
      <c r="H121" t="s">
        <v>1145</v>
      </c>
      <c r="I121" s="331">
        <v>46189.225729166668</v>
      </c>
    </row>
    <row r="122" spans="1:9">
      <c r="A122" t="s">
        <v>498</v>
      </c>
      <c r="B122" t="s">
        <v>372</v>
      </c>
      <c r="C122" t="s">
        <v>300</v>
      </c>
      <c r="D122" t="s">
        <v>1145</v>
      </c>
      <c r="E122" t="s">
        <v>300</v>
      </c>
      <c r="F122" t="s">
        <v>1145</v>
      </c>
      <c r="G122" t="s">
        <v>300</v>
      </c>
      <c r="H122" t="s">
        <v>1145</v>
      </c>
      <c r="I122" s="331">
        <v>46189.225729166668</v>
      </c>
    </row>
    <row r="123" spans="1:9">
      <c r="A123" t="s">
        <v>492</v>
      </c>
      <c r="B123" t="s">
        <v>372</v>
      </c>
      <c r="C123" t="s">
        <v>300</v>
      </c>
      <c r="D123" t="s">
        <v>1145</v>
      </c>
      <c r="E123" t="s">
        <v>1123</v>
      </c>
      <c r="F123" t="s">
        <v>1145</v>
      </c>
      <c r="G123" t="s">
        <v>1123</v>
      </c>
      <c r="H123" t="s">
        <v>1145</v>
      </c>
      <c r="I123" s="331">
        <v>46189.225729166668</v>
      </c>
    </row>
    <row r="124" spans="1:9">
      <c r="A124" t="s">
        <v>492</v>
      </c>
      <c r="B124" t="s">
        <v>372</v>
      </c>
      <c r="C124" t="s">
        <v>300</v>
      </c>
      <c r="D124" t="s">
        <v>1145</v>
      </c>
      <c r="E124" t="s">
        <v>300</v>
      </c>
      <c r="F124" t="s">
        <v>1145</v>
      </c>
      <c r="G124" t="s">
        <v>300</v>
      </c>
      <c r="H124" t="s">
        <v>1145</v>
      </c>
      <c r="I124" s="331">
        <v>46189.225729166668</v>
      </c>
    </row>
    <row r="125" spans="1:9">
      <c r="A125" t="s">
        <v>451</v>
      </c>
      <c r="B125" t="s">
        <v>372</v>
      </c>
      <c r="C125" t="s">
        <v>1102</v>
      </c>
      <c r="D125" t="s">
        <v>1148</v>
      </c>
      <c r="E125" t="s">
        <v>1124</v>
      </c>
      <c r="F125" t="s">
        <v>1148</v>
      </c>
      <c r="G125" t="s">
        <v>1124</v>
      </c>
      <c r="H125" t="s">
        <v>1148</v>
      </c>
      <c r="I125" s="331">
        <v>46189.225729166668</v>
      </c>
    </row>
    <row r="126" spans="1:9">
      <c r="A126" t="s">
        <v>451</v>
      </c>
      <c r="B126" t="s">
        <v>372</v>
      </c>
      <c r="C126" t="s">
        <v>1102</v>
      </c>
      <c r="D126" t="s">
        <v>1148</v>
      </c>
      <c r="E126" t="s">
        <v>1102</v>
      </c>
      <c r="F126" t="s">
        <v>1148</v>
      </c>
      <c r="G126" t="s">
        <v>1102</v>
      </c>
      <c r="H126" t="s">
        <v>1148</v>
      </c>
      <c r="I126" s="331">
        <v>46189.225729166668</v>
      </c>
    </row>
    <row r="127" spans="1:9">
      <c r="A127" t="s">
        <v>452</v>
      </c>
      <c r="B127" t="s">
        <v>372</v>
      </c>
      <c r="C127" t="s">
        <v>1102</v>
      </c>
      <c r="D127" t="s">
        <v>1148</v>
      </c>
      <c r="E127" t="s">
        <v>1124</v>
      </c>
      <c r="F127" t="s">
        <v>1148</v>
      </c>
      <c r="G127" t="s">
        <v>1124</v>
      </c>
      <c r="H127" t="s">
        <v>1148</v>
      </c>
      <c r="I127" s="331">
        <v>46189.225729166668</v>
      </c>
    </row>
    <row r="128" spans="1:9">
      <c r="A128" t="s">
        <v>452</v>
      </c>
      <c r="B128" t="s">
        <v>372</v>
      </c>
      <c r="C128" t="s">
        <v>1102</v>
      </c>
      <c r="D128" t="s">
        <v>1148</v>
      </c>
      <c r="E128" t="s">
        <v>1102</v>
      </c>
      <c r="F128" t="s">
        <v>1148</v>
      </c>
      <c r="G128" t="s">
        <v>1102</v>
      </c>
      <c r="H128" t="s">
        <v>1148</v>
      </c>
      <c r="I128" s="331">
        <v>46189.225729166668</v>
      </c>
    </row>
    <row r="129" spans="1:9">
      <c r="A129" t="s">
        <v>453</v>
      </c>
      <c r="B129" t="s">
        <v>372</v>
      </c>
      <c r="C129" t="s">
        <v>1102</v>
      </c>
      <c r="D129" t="s">
        <v>1148</v>
      </c>
      <c r="E129" t="s">
        <v>1124</v>
      </c>
      <c r="F129" t="s">
        <v>1148</v>
      </c>
      <c r="G129" t="s">
        <v>1124</v>
      </c>
      <c r="H129" t="s">
        <v>1148</v>
      </c>
      <c r="I129" s="331">
        <v>46189.225729166668</v>
      </c>
    </row>
    <row r="130" spans="1:9">
      <c r="A130" t="s">
        <v>453</v>
      </c>
      <c r="B130" t="s">
        <v>372</v>
      </c>
      <c r="C130" t="s">
        <v>1102</v>
      </c>
      <c r="D130" t="s">
        <v>1148</v>
      </c>
      <c r="E130" t="s">
        <v>1102</v>
      </c>
      <c r="F130" t="s">
        <v>1148</v>
      </c>
      <c r="G130" t="s">
        <v>1102</v>
      </c>
      <c r="H130" t="s">
        <v>1148</v>
      </c>
      <c r="I130" s="331">
        <v>46189.225729166668</v>
      </c>
    </row>
    <row r="131" spans="1:9">
      <c r="A131" t="s">
        <v>491</v>
      </c>
      <c r="B131" t="s">
        <v>372</v>
      </c>
      <c r="C131" t="s">
        <v>1102</v>
      </c>
      <c r="D131" t="s">
        <v>1148</v>
      </c>
      <c r="E131" t="s">
        <v>1124</v>
      </c>
      <c r="F131" t="s">
        <v>1148</v>
      </c>
      <c r="G131" t="s">
        <v>1124</v>
      </c>
      <c r="H131" t="s">
        <v>1148</v>
      </c>
      <c r="I131" s="331">
        <v>46189.225729166668</v>
      </c>
    </row>
    <row r="132" spans="1:9">
      <c r="A132" t="s">
        <v>491</v>
      </c>
      <c r="B132" t="s">
        <v>372</v>
      </c>
      <c r="C132" t="s">
        <v>1102</v>
      </c>
      <c r="D132" t="s">
        <v>1148</v>
      </c>
      <c r="E132" t="s">
        <v>1102</v>
      </c>
      <c r="F132" t="s">
        <v>1148</v>
      </c>
      <c r="G132" t="s">
        <v>1102</v>
      </c>
      <c r="H132" t="s">
        <v>1148</v>
      </c>
      <c r="I132" s="331">
        <v>46189.225729166668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4"/>
  <sheetViews>
    <sheetView topLeftCell="A28" workbookViewId="0">
      <selection activeCell="G41" sqref="G41"/>
    </sheetView>
  </sheetViews>
  <sheetFormatPr defaultRowHeight="15"/>
  <cols>
    <col min="4" max="4" width="19.140625" customWidth="1"/>
    <col min="5" max="5" width="17.85546875" bestFit="1" customWidth="1"/>
    <col min="6" max="6" width="26.85546875" bestFit="1" customWidth="1"/>
    <col min="7" max="7" width="37.85546875" customWidth="1"/>
    <col min="8" max="8" width="11" bestFit="1" customWidth="1"/>
    <col min="11" max="11" width="6.7109375" bestFit="1" customWidth="1"/>
    <col min="12" max="12" width="9" bestFit="1" customWidth="1"/>
    <col min="13" max="13" width="15.140625" bestFit="1" customWidth="1"/>
    <col min="14" max="14" width="18.140625" bestFit="1" customWidth="1"/>
  </cols>
  <sheetData>
    <row r="1" spans="1:14" ht="30">
      <c r="A1" s="332" t="s">
        <v>7</v>
      </c>
      <c r="B1" s="332" t="s">
        <v>43</v>
      </c>
      <c r="C1" s="332" t="s">
        <v>9</v>
      </c>
      <c r="D1" s="399" t="s">
        <v>494</v>
      </c>
      <c r="E1" s="403" t="s">
        <v>510</v>
      </c>
      <c r="F1" s="403" t="s">
        <v>519</v>
      </c>
      <c r="G1" s="403" t="s">
        <v>524</v>
      </c>
      <c r="H1" s="178" t="s">
        <v>555</v>
      </c>
      <c r="K1" s="407" t="s">
        <v>526</v>
      </c>
      <c r="L1" s="407" t="s">
        <v>7</v>
      </c>
      <c r="M1" s="407" t="s">
        <v>527</v>
      </c>
      <c r="N1" s="408" t="s">
        <v>528</v>
      </c>
    </row>
    <row r="2" spans="1:14">
      <c r="A2" s="400" t="s">
        <v>58</v>
      </c>
      <c r="B2" s="400" t="s">
        <v>4</v>
      </c>
      <c r="C2" s="400" t="s">
        <v>15</v>
      </c>
      <c r="D2" s="403" t="s">
        <v>287</v>
      </c>
      <c r="E2" s="416" t="s">
        <v>511</v>
      </c>
      <c r="F2" s="403" t="s">
        <v>520</v>
      </c>
      <c r="G2" s="403"/>
      <c r="H2">
        <v>1</v>
      </c>
      <c r="K2" s="1121" t="s">
        <v>529</v>
      </c>
      <c r="L2" s="409" t="s">
        <v>60</v>
      </c>
      <c r="M2" s="409" t="s">
        <v>530</v>
      </c>
      <c r="N2" s="410"/>
    </row>
    <row r="3" spans="1:14">
      <c r="A3" s="412" t="s">
        <v>60</v>
      </c>
      <c r="B3" s="412" t="s">
        <v>4</v>
      </c>
      <c r="C3" s="412" t="s">
        <v>15</v>
      </c>
      <c r="D3" s="413" t="s">
        <v>287</v>
      </c>
      <c r="E3" s="415" t="s">
        <v>517</v>
      </c>
      <c r="F3" s="662" t="s">
        <v>523</v>
      </c>
      <c r="G3" s="413" t="s">
        <v>828</v>
      </c>
      <c r="H3">
        <v>1</v>
      </c>
      <c r="K3" s="1121"/>
      <c r="L3" s="409" t="s">
        <v>64</v>
      </c>
      <c r="M3" s="409" t="s">
        <v>521</v>
      </c>
      <c r="N3" s="410" t="s">
        <v>531</v>
      </c>
    </row>
    <row r="4" spans="1:14">
      <c r="A4" s="400" t="s">
        <v>61</v>
      </c>
      <c r="B4" s="400" t="s">
        <v>4</v>
      </c>
      <c r="C4" s="400" t="s">
        <v>15</v>
      </c>
      <c r="D4" s="403" t="s">
        <v>287</v>
      </c>
      <c r="E4" s="405" t="s">
        <v>571</v>
      </c>
      <c r="F4" s="403" t="s">
        <v>520</v>
      </c>
      <c r="G4" s="403"/>
      <c r="H4">
        <v>1</v>
      </c>
      <c r="K4" s="1121" t="s">
        <v>532</v>
      </c>
      <c r="L4" s="409" t="s">
        <v>279</v>
      </c>
      <c r="M4" s="409" t="s">
        <v>533</v>
      </c>
      <c r="N4" s="410"/>
    </row>
    <row r="5" spans="1:14">
      <c r="A5" s="400" t="s">
        <v>63</v>
      </c>
      <c r="B5" s="400" t="s">
        <v>4</v>
      </c>
      <c r="C5" s="400" t="s">
        <v>15</v>
      </c>
      <c r="D5" s="403" t="s">
        <v>287</v>
      </c>
      <c r="E5" s="661">
        <v>45651</v>
      </c>
      <c r="F5" s="403" t="s">
        <v>548</v>
      </c>
      <c r="G5" s="429"/>
      <c r="H5">
        <v>1</v>
      </c>
      <c r="K5" s="1121"/>
      <c r="L5" s="409" t="s">
        <v>276</v>
      </c>
      <c r="M5" s="409" t="s">
        <v>533</v>
      </c>
      <c r="N5" s="410"/>
    </row>
    <row r="6" spans="1:14">
      <c r="A6" s="412" t="s">
        <v>64</v>
      </c>
      <c r="B6" s="412" t="s">
        <v>4</v>
      </c>
      <c r="C6" s="412" t="s">
        <v>15</v>
      </c>
      <c r="D6" s="413" t="s">
        <v>287</v>
      </c>
      <c r="E6" s="414" t="s">
        <v>518</v>
      </c>
      <c r="F6" s="662" t="s">
        <v>522</v>
      </c>
      <c r="G6" s="413" t="s">
        <v>828</v>
      </c>
      <c r="H6">
        <v>1</v>
      </c>
      <c r="K6" s="1121"/>
      <c r="L6" s="409" t="s">
        <v>72</v>
      </c>
      <c r="M6" s="409" t="s">
        <v>533</v>
      </c>
      <c r="N6" s="410"/>
    </row>
    <row r="7" spans="1:14">
      <c r="A7" s="400" t="s">
        <v>65</v>
      </c>
      <c r="B7" s="400" t="s">
        <v>4</v>
      </c>
      <c r="C7" s="400" t="s">
        <v>15</v>
      </c>
      <c r="D7" s="403" t="s">
        <v>287</v>
      </c>
      <c r="E7" s="411" t="s">
        <v>549</v>
      </c>
      <c r="F7" s="403" t="s">
        <v>548</v>
      </c>
      <c r="G7" s="429"/>
      <c r="H7">
        <v>1</v>
      </c>
      <c r="K7" s="1121"/>
      <c r="L7" s="409" t="s">
        <v>74</v>
      </c>
      <c r="M7" s="409" t="s">
        <v>521</v>
      </c>
      <c r="N7" s="410" t="s">
        <v>531</v>
      </c>
    </row>
    <row r="8" spans="1:14">
      <c r="A8" s="400" t="s">
        <v>66</v>
      </c>
      <c r="B8" s="400" t="s">
        <v>4</v>
      </c>
      <c r="C8" s="400" t="s">
        <v>15</v>
      </c>
      <c r="D8" s="403" t="s">
        <v>287</v>
      </c>
      <c r="E8" s="403" t="s">
        <v>512</v>
      </c>
      <c r="F8" s="403" t="s">
        <v>520</v>
      </c>
      <c r="G8" s="403"/>
      <c r="H8">
        <v>1</v>
      </c>
      <c r="K8" s="1121"/>
      <c r="L8" s="409" t="s">
        <v>83</v>
      </c>
      <c r="M8" s="409" t="s">
        <v>521</v>
      </c>
      <c r="N8" s="410" t="s">
        <v>531</v>
      </c>
    </row>
    <row r="9" spans="1:14">
      <c r="A9" s="400" t="s">
        <v>67</v>
      </c>
      <c r="B9" s="400" t="s">
        <v>4</v>
      </c>
      <c r="C9" s="400" t="s">
        <v>15</v>
      </c>
      <c r="D9" s="403" t="s">
        <v>287</v>
      </c>
      <c r="E9" s="416" t="s">
        <v>513</v>
      </c>
      <c r="F9" s="403" t="s">
        <v>520</v>
      </c>
      <c r="G9" s="403"/>
      <c r="H9">
        <v>1</v>
      </c>
    </row>
    <row r="10" spans="1:14">
      <c r="A10" s="400" t="s">
        <v>68</v>
      </c>
      <c r="B10" s="400" t="s">
        <v>4</v>
      </c>
      <c r="C10" s="400" t="s">
        <v>15</v>
      </c>
      <c r="D10" s="403" t="s">
        <v>287</v>
      </c>
      <c r="E10" s="416" t="s">
        <v>516</v>
      </c>
      <c r="F10" s="403" t="s">
        <v>520</v>
      </c>
      <c r="G10" s="403"/>
      <c r="H10">
        <v>1</v>
      </c>
    </row>
    <row r="11" spans="1:14">
      <c r="A11" s="401" t="s">
        <v>75</v>
      </c>
      <c r="B11" s="401" t="s">
        <v>4</v>
      </c>
      <c r="C11" s="401" t="s">
        <v>25</v>
      </c>
      <c r="D11" s="403" t="s">
        <v>287</v>
      </c>
      <c r="E11" s="404" t="s">
        <v>550</v>
      </c>
      <c r="F11" s="403" t="s">
        <v>520</v>
      </c>
      <c r="G11" s="403"/>
      <c r="H11">
        <v>1</v>
      </c>
    </row>
    <row r="12" spans="1:14">
      <c r="A12" s="401" t="s">
        <v>77</v>
      </c>
      <c r="B12" s="401" t="s">
        <v>4</v>
      </c>
      <c r="C12" s="401" t="s">
        <v>25</v>
      </c>
      <c r="D12" s="403" t="s">
        <v>287</v>
      </c>
      <c r="E12" s="404" t="s">
        <v>550</v>
      </c>
      <c r="F12" s="403" t="s">
        <v>520</v>
      </c>
      <c r="G12" s="403"/>
      <c r="H12">
        <v>1</v>
      </c>
    </row>
    <row r="13" spans="1:14">
      <c r="A13" s="401" t="s">
        <v>78</v>
      </c>
      <c r="B13" s="401" t="s">
        <v>4</v>
      </c>
      <c r="C13" s="401" t="s">
        <v>25</v>
      </c>
      <c r="D13" s="403" t="s">
        <v>287</v>
      </c>
      <c r="E13" s="404" t="s">
        <v>550</v>
      </c>
      <c r="F13" s="403" t="s">
        <v>548</v>
      </c>
      <c r="G13" s="403"/>
      <c r="H13">
        <v>1</v>
      </c>
    </row>
    <row r="14" spans="1:14">
      <c r="A14" s="401" t="s">
        <v>80</v>
      </c>
      <c r="B14" s="401" t="s">
        <v>4</v>
      </c>
      <c r="C14" s="401" t="s">
        <v>25</v>
      </c>
      <c r="D14" s="403" t="s">
        <v>287</v>
      </c>
      <c r="E14" s="416" t="s">
        <v>551</v>
      </c>
      <c r="F14" s="403" t="s">
        <v>548</v>
      </c>
      <c r="G14" s="403"/>
      <c r="H14">
        <v>1</v>
      </c>
    </row>
    <row r="15" spans="1:14">
      <c r="A15" s="402" t="s">
        <v>84</v>
      </c>
      <c r="B15" s="402" t="s">
        <v>4</v>
      </c>
      <c r="C15" s="402" t="s">
        <v>30</v>
      </c>
      <c r="D15" s="403" t="s">
        <v>287</v>
      </c>
      <c r="E15" s="405" t="s">
        <v>515</v>
      </c>
      <c r="F15" s="403" t="s">
        <v>520</v>
      </c>
      <c r="G15" s="403"/>
      <c r="H15">
        <v>1</v>
      </c>
    </row>
    <row r="16" spans="1:14">
      <c r="A16" s="402" t="s">
        <v>86</v>
      </c>
      <c r="B16" s="402" t="s">
        <v>4</v>
      </c>
      <c r="C16" s="402" t="s">
        <v>30</v>
      </c>
      <c r="D16" s="403" t="s">
        <v>287</v>
      </c>
      <c r="E16" s="403" t="s">
        <v>514</v>
      </c>
      <c r="F16" s="403" t="s">
        <v>520</v>
      </c>
      <c r="G16" s="403"/>
      <c r="H16">
        <v>1</v>
      </c>
    </row>
    <row r="17" spans="1:8">
      <c r="A17" s="402" t="s">
        <v>87</v>
      </c>
      <c r="B17" s="402" t="s">
        <v>4</v>
      </c>
      <c r="C17" s="402" t="s">
        <v>30</v>
      </c>
      <c r="D17" s="403" t="s">
        <v>287</v>
      </c>
      <c r="E17" s="416" t="s">
        <v>535</v>
      </c>
      <c r="F17" s="403" t="s">
        <v>520</v>
      </c>
      <c r="G17" s="403"/>
      <c r="H17">
        <v>1</v>
      </c>
    </row>
    <row r="18" spans="1:8">
      <c r="A18" s="402" t="s">
        <v>89</v>
      </c>
      <c r="B18" s="402" t="s">
        <v>4</v>
      </c>
      <c r="C18" s="402" t="s">
        <v>30</v>
      </c>
      <c r="D18" s="403" t="s">
        <v>287</v>
      </c>
      <c r="E18" s="403" t="s">
        <v>534</v>
      </c>
      <c r="F18" s="403" t="s">
        <v>520</v>
      </c>
      <c r="G18" s="403"/>
      <c r="H18">
        <v>1</v>
      </c>
    </row>
    <row r="19" spans="1:8">
      <c r="A19" s="402" t="s">
        <v>90</v>
      </c>
      <c r="B19" s="402" t="s">
        <v>4</v>
      </c>
      <c r="C19" s="402" t="s">
        <v>30</v>
      </c>
      <c r="D19" s="403" t="s">
        <v>287</v>
      </c>
      <c r="E19" s="416" t="s">
        <v>552</v>
      </c>
      <c r="F19" s="403" t="s">
        <v>548</v>
      </c>
      <c r="G19" s="403"/>
      <c r="H19">
        <v>1</v>
      </c>
    </row>
    <row r="20" spans="1:8">
      <c r="A20" s="402" t="s">
        <v>91</v>
      </c>
      <c r="B20" s="402" t="s">
        <v>4</v>
      </c>
      <c r="C20" s="402" t="s">
        <v>30</v>
      </c>
      <c r="D20" s="403" t="s">
        <v>287</v>
      </c>
      <c r="E20" s="416" t="s">
        <v>553</v>
      </c>
      <c r="F20" s="403" t="s">
        <v>548</v>
      </c>
      <c r="G20" s="403"/>
      <c r="H20">
        <v>1</v>
      </c>
    </row>
    <row r="21" spans="1:8">
      <c r="A21" s="402" t="s">
        <v>93</v>
      </c>
      <c r="B21" s="402" t="s">
        <v>4</v>
      </c>
      <c r="C21" s="402" t="s">
        <v>30</v>
      </c>
      <c r="D21" s="403" t="s">
        <v>287</v>
      </c>
      <c r="E21" s="416" t="s">
        <v>554</v>
      </c>
      <c r="F21" s="403" t="s">
        <v>548</v>
      </c>
      <c r="G21" s="403"/>
      <c r="H21">
        <v>1</v>
      </c>
    </row>
    <row r="22" spans="1:8">
      <c r="A22" s="34" t="s">
        <v>69</v>
      </c>
      <c r="B22" s="34" t="s">
        <v>4</v>
      </c>
      <c r="C22" s="35" t="s">
        <v>15</v>
      </c>
      <c r="D22" s="406" t="s">
        <v>403</v>
      </c>
      <c r="E22" s="430" t="s">
        <v>557</v>
      </c>
      <c r="F22" s="403" t="s">
        <v>556</v>
      </c>
      <c r="G22" s="406"/>
      <c r="H22">
        <v>4</v>
      </c>
    </row>
    <row r="23" spans="1:8">
      <c r="A23" s="34" t="s">
        <v>71</v>
      </c>
      <c r="B23" s="34" t="s">
        <v>4</v>
      </c>
      <c r="C23" s="35" t="s">
        <v>15</v>
      </c>
      <c r="D23" s="406" t="s">
        <v>403</v>
      </c>
      <c r="E23" s="430" t="s">
        <v>558</v>
      </c>
      <c r="F23" s="403" t="s">
        <v>556</v>
      </c>
      <c r="G23" s="406"/>
      <c r="H23">
        <v>2</v>
      </c>
    </row>
    <row r="24" spans="1:8" ht="45">
      <c r="A24" s="34" t="s">
        <v>72</v>
      </c>
      <c r="B24" s="34" t="s">
        <v>4</v>
      </c>
      <c r="C24" s="35" t="s">
        <v>15</v>
      </c>
      <c r="D24" s="406" t="s">
        <v>404</v>
      </c>
      <c r="E24" s="430" t="s">
        <v>559</v>
      </c>
      <c r="F24" s="406" t="s">
        <v>525</v>
      </c>
      <c r="G24" s="434" t="s">
        <v>573</v>
      </c>
    </row>
    <row r="25" spans="1:8" ht="45">
      <c r="A25" s="101" t="s">
        <v>74</v>
      </c>
      <c r="B25" s="101" t="s">
        <v>4</v>
      </c>
      <c r="C25" s="102" t="s">
        <v>15</v>
      </c>
      <c r="D25" s="142" t="s">
        <v>404</v>
      </c>
      <c r="E25" s="430" t="s">
        <v>561</v>
      </c>
      <c r="F25" s="406" t="s">
        <v>560</v>
      </c>
      <c r="G25" s="434" t="s">
        <v>573</v>
      </c>
    </row>
    <row r="26" spans="1:8">
      <c r="A26" s="34" t="s">
        <v>277</v>
      </c>
      <c r="B26" s="34" t="s">
        <v>4</v>
      </c>
      <c r="C26" s="35" t="s">
        <v>15</v>
      </c>
      <c r="D26" s="406" t="s">
        <v>403</v>
      </c>
      <c r="E26" s="430" t="s">
        <v>562</v>
      </c>
      <c r="F26" s="403" t="s">
        <v>556</v>
      </c>
      <c r="G26" s="406"/>
      <c r="H26">
        <v>3</v>
      </c>
    </row>
    <row r="27" spans="1:8">
      <c r="A27" s="34" t="s">
        <v>278</v>
      </c>
      <c r="B27" s="34" t="s">
        <v>4</v>
      </c>
      <c r="C27" s="35" t="s">
        <v>15</v>
      </c>
      <c r="D27" s="406" t="s">
        <v>403</v>
      </c>
      <c r="E27" s="430" t="s">
        <v>563</v>
      </c>
      <c r="F27" s="403" t="s">
        <v>556</v>
      </c>
      <c r="G27" s="406"/>
      <c r="H27">
        <v>3</v>
      </c>
    </row>
    <row r="28" spans="1:8" ht="45">
      <c r="A28" s="34" t="s">
        <v>279</v>
      </c>
      <c r="B28" s="34" t="s">
        <v>4</v>
      </c>
      <c r="C28" s="35" t="s">
        <v>15</v>
      </c>
      <c r="D28" s="406" t="s">
        <v>404</v>
      </c>
      <c r="E28" s="430" t="s">
        <v>564</v>
      </c>
      <c r="F28" s="406" t="s">
        <v>525</v>
      </c>
      <c r="G28" s="434" t="s">
        <v>573</v>
      </c>
    </row>
    <row r="29" spans="1:8" ht="45">
      <c r="A29" s="34" t="s">
        <v>337</v>
      </c>
      <c r="B29" s="34" t="s">
        <v>4</v>
      </c>
      <c r="C29" s="35" t="s">
        <v>15</v>
      </c>
      <c r="D29" s="406" t="s">
        <v>404</v>
      </c>
      <c r="E29" s="431" t="s">
        <v>572</v>
      </c>
      <c r="F29" s="406" t="s">
        <v>565</v>
      </c>
      <c r="G29" s="434" t="s">
        <v>573</v>
      </c>
    </row>
    <row r="30" spans="1:8" ht="30">
      <c r="A30" s="39" t="s">
        <v>81</v>
      </c>
      <c r="B30" s="39" t="s">
        <v>4</v>
      </c>
      <c r="C30" s="40" t="s">
        <v>25</v>
      </c>
      <c r="D30" s="406" t="s">
        <v>424</v>
      </c>
      <c r="E30" s="432" t="s">
        <v>566</v>
      </c>
      <c r="F30" s="433" t="s">
        <v>293</v>
      </c>
      <c r="G30" s="434" t="s">
        <v>574</v>
      </c>
    </row>
    <row r="31" spans="1:8" ht="60">
      <c r="A31" s="101" t="s">
        <v>83</v>
      </c>
      <c r="B31" s="101" t="s">
        <v>4</v>
      </c>
      <c r="C31" s="102" t="s">
        <v>25</v>
      </c>
      <c r="D31" s="142" t="s">
        <v>424</v>
      </c>
      <c r="E31" s="431" t="s">
        <v>567</v>
      </c>
      <c r="F31" s="142" t="s">
        <v>522</v>
      </c>
      <c r="G31" s="435" t="s">
        <v>575</v>
      </c>
    </row>
    <row r="32" spans="1:8" ht="45">
      <c r="A32" s="39" t="s">
        <v>276</v>
      </c>
      <c r="B32" s="39" t="s">
        <v>4</v>
      </c>
      <c r="C32" s="40" t="s">
        <v>25</v>
      </c>
      <c r="D32" s="406" t="s">
        <v>424</v>
      </c>
      <c r="E32" s="431" t="s">
        <v>568</v>
      </c>
      <c r="F32" s="406" t="s">
        <v>525</v>
      </c>
      <c r="G32" s="434" t="s">
        <v>573</v>
      </c>
    </row>
    <row r="33" spans="1:7" ht="45">
      <c r="A33" s="42" t="s">
        <v>328</v>
      </c>
      <c r="B33" s="42" t="s">
        <v>4</v>
      </c>
      <c r="C33" s="43" t="s">
        <v>30</v>
      </c>
      <c r="D33" s="406" t="s">
        <v>440</v>
      </c>
      <c r="E33" s="431" t="s">
        <v>569</v>
      </c>
      <c r="F33" s="406" t="s">
        <v>565</v>
      </c>
      <c r="G33" s="434" t="s">
        <v>570</v>
      </c>
    </row>
    <row r="34" spans="1:7">
      <c r="A34" s="3" t="s">
        <v>919</v>
      </c>
      <c r="B34" s="3" t="s">
        <v>1121</v>
      </c>
    </row>
    <row r="35" spans="1:7">
      <c r="A35" s="3" t="s">
        <v>16</v>
      </c>
      <c r="B35" s="3">
        <v>1.65</v>
      </c>
    </row>
    <row r="36" spans="1:7">
      <c r="A36" s="3" t="s">
        <v>17</v>
      </c>
      <c r="B36" s="3">
        <v>1.65</v>
      </c>
    </row>
    <row r="37" spans="1:7">
      <c r="A37" s="3" t="s">
        <v>18</v>
      </c>
      <c r="B37" s="3">
        <v>1.84</v>
      </c>
    </row>
    <row r="38" spans="1:7">
      <c r="A38" s="3" t="s">
        <v>19</v>
      </c>
      <c r="B38" s="3">
        <v>1.84</v>
      </c>
    </row>
    <row r="39" spans="1:7">
      <c r="A39" s="3" t="s">
        <v>20</v>
      </c>
      <c r="B39" s="3">
        <v>1.84</v>
      </c>
    </row>
    <row r="40" spans="1:7">
      <c r="A40" s="3" t="s">
        <v>21</v>
      </c>
      <c r="B40" s="3">
        <v>1.84</v>
      </c>
    </row>
    <row r="41" spans="1:7">
      <c r="A41" s="3" t="s">
        <v>22</v>
      </c>
      <c r="B41" s="3">
        <v>1.89</v>
      </c>
    </row>
    <row r="42" spans="1:7">
      <c r="A42" s="3" t="s">
        <v>106</v>
      </c>
      <c r="B42" s="3">
        <v>1.89</v>
      </c>
    </row>
    <row r="43" spans="1:7">
      <c r="A43" s="3" t="s">
        <v>107</v>
      </c>
      <c r="B43" s="168" t="s">
        <v>291</v>
      </c>
    </row>
    <row r="44" spans="1:7">
      <c r="A44" s="3" t="s">
        <v>108</v>
      </c>
      <c r="B44" s="168" t="s">
        <v>291</v>
      </c>
    </row>
    <row r="45" spans="1:7">
      <c r="A45" s="3" t="s">
        <v>345</v>
      </c>
      <c r="B45" s="3">
        <v>1.89</v>
      </c>
    </row>
    <row r="46" spans="1:7">
      <c r="A46" s="3" t="s">
        <v>346</v>
      </c>
      <c r="B46" s="3">
        <v>1.73</v>
      </c>
    </row>
    <row r="47" spans="1:7">
      <c r="A47" s="3" t="s">
        <v>689</v>
      </c>
      <c r="B47" s="3">
        <v>1.86</v>
      </c>
    </row>
    <row r="48" spans="1:7">
      <c r="A48" s="3" t="s">
        <v>690</v>
      </c>
      <c r="B48" s="3">
        <v>1.86</v>
      </c>
    </row>
    <row r="49" spans="1:2">
      <c r="A49" s="3" t="s">
        <v>691</v>
      </c>
      <c r="B49" s="3">
        <v>1.86</v>
      </c>
    </row>
    <row r="50" spans="1:2">
      <c r="A50" s="3" t="s">
        <v>1111</v>
      </c>
      <c r="B50" s="3">
        <v>1.89</v>
      </c>
    </row>
    <row r="51" spans="1:2">
      <c r="A51" s="3" t="s">
        <v>1112</v>
      </c>
      <c r="B51" s="3">
        <v>1.89</v>
      </c>
    </row>
    <row r="52" spans="1:2">
      <c r="A52" s="3" t="s">
        <v>24</v>
      </c>
      <c r="B52" s="3">
        <v>1.65</v>
      </c>
    </row>
    <row r="53" spans="1:2">
      <c r="A53" s="3" t="s">
        <v>26</v>
      </c>
      <c r="B53" s="3">
        <v>1.65</v>
      </c>
    </row>
    <row r="54" spans="1:2">
      <c r="A54" s="3" t="s">
        <v>27</v>
      </c>
      <c r="B54" s="3">
        <v>1.86</v>
      </c>
    </row>
    <row r="55" spans="1:2">
      <c r="A55" s="3" t="s">
        <v>105</v>
      </c>
      <c r="B55" s="3">
        <v>1.5</v>
      </c>
    </row>
    <row r="56" spans="1:2">
      <c r="A56" s="3" t="s">
        <v>29</v>
      </c>
      <c r="B56" s="3">
        <v>1.65</v>
      </c>
    </row>
    <row r="57" spans="1:2">
      <c r="A57" s="3" t="s">
        <v>31</v>
      </c>
      <c r="B57" s="3">
        <v>1.65</v>
      </c>
    </row>
    <row r="58" spans="1:2">
      <c r="A58" s="3" t="s">
        <v>32</v>
      </c>
      <c r="B58" s="3">
        <v>1.84</v>
      </c>
    </row>
    <row r="59" spans="1:2">
      <c r="A59" s="3" t="s">
        <v>33</v>
      </c>
      <c r="B59" s="3">
        <v>1.84</v>
      </c>
    </row>
    <row r="60" spans="1:2">
      <c r="A60" s="3" t="s">
        <v>34</v>
      </c>
      <c r="B60" s="3">
        <v>1.84</v>
      </c>
    </row>
    <row r="61" spans="1:2">
      <c r="A61" s="3" t="s">
        <v>35</v>
      </c>
      <c r="B61" s="3">
        <v>1.61</v>
      </c>
    </row>
    <row r="62" spans="1:2">
      <c r="A62" s="3" t="s">
        <v>131</v>
      </c>
      <c r="B62" s="3">
        <v>1.61</v>
      </c>
    </row>
    <row r="63" spans="1:2">
      <c r="A63" s="3" t="s">
        <v>132</v>
      </c>
      <c r="B63" s="3">
        <v>1.61</v>
      </c>
    </row>
    <row r="64" spans="1:2">
      <c r="A64" s="3" t="s">
        <v>336</v>
      </c>
      <c r="B64" s="3">
        <v>1.73</v>
      </c>
    </row>
  </sheetData>
  <autoFilter ref="A1:N33"/>
  <mergeCells count="2">
    <mergeCell ref="K2:K3"/>
    <mergeCell ref="K4:K8"/>
  </mergeCells>
  <conditionalFormatting sqref="G33">
    <cfRule type="containsText" dxfId="19" priority="2" operator="containsText" text="2.17">
      <formula>NOT(ISERROR(SEARCH("2.17",G33)))</formula>
    </cfRule>
  </conditionalFormatting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152"/>
  <sheetViews>
    <sheetView topLeftCell="A10" zoomScale="85" zoomScaleNormal="85" workbookViewId="0">
      <selection activeCell="H34" sqref="H34:H37"/>
    </sheetView>
  </sheetViews>
  <sheetFormatPr defaultColWidth="8.85546875" defaultRowHeight="12.75"/>
  <cols>
    <col min="1" max="1" width="8.85546875" style="246"/>
    <col min="2" max="2" width="29.140625" style="242" customWidth="1"/>
    <col min="3" max="3" width="16.5703125" style="242" customWidth="1"/>
    <col min="4" max="4" width="18.7109375" style="242" customWidth="1"/>
    <col min="5" max="5" width="17.42578125" style="244" customWidth="1"/>
    <col min="6" max="6" width="10.85546875" style="244" bestFit="1" customWidth="1"/>
    <col min="7" max="7" width="18.5703125" style="244" customWidth="1"/>
    <col min="8" max="8" width="12.5703125" style="244" bestFit="1" customWidth="1"/>
    <col min="9" max="9" width="19.85546875" style="244" customWidth="1"/>
    <col min="10" max="10" width="11.7109375" style="244" hidden="1" customWidth="1"/>
    <col min="11" max="11" width="14.7109375" style="244" bestFit="1" customWidth="1"/>
    <col min="12" max="12" width="10.140625" style="245" customWidth="1"/>
    <col min="13" max="13" width="15.140625" style="245" customWidth="1"/>
    <col min="14" max="14" width="17.85546875" style="245" bestFit="1" customWidth="1"/>
    <col min="15" max="15" width="10" style="245" bestFit="1" customWidth="1"/>
    <col min="16" max="16" width="10.28515625" style="244" customWidth="1"/>
    <col min="17" max="17" width="13.28515625" style="244" bestFit="1" customWidth="1"/>
    <col min="18" max="18" width="13.140625" style="244" customWidth="1"/>
    <col min="19" max="19" width="11.140625" style="244" bestFit="1" customWidth="1"/>
    <col min="20" max="20" width="28.85546875" style="245" customWidth="1"/>
    <col min="21" max="21" width="17.140625" style="245" bestFit="1" customWidth="1"/>
    <col min="22" max="16384" width="8.85546875" style="245"/>
  </cols>
  <sheetData>
    <row r="1" spans="1:2">
      <c r="A1" s="240" t="s">
        <v>373</v>
      </c>
      <c r="B1" s="241" t="s">
        <v>374</v>
      </c>
    </row>
    <row r="10" spans="1:2">
      <c r="A10" s="240" t="s">
        <v>375</v>
      </c>
      <c r="B10" s="241" t="s">
        <v>376</v>
      </c>
    </row>
    <row r="11" spans="1:2" ht="14.25">
      <c r="A11" s="240">
        <v>1</v>
      </c>
      <c r="B11" s="243" t="s">
        <v>377</v>
      </c>
    </row>
    <row r="22" spans="1:24">
      <c r="A22" s="240">
        <v>2</v>
      </c>
      <c r="B22" s="241" t="s">
        <v>378</v>
      </c>
    </row>
    <row r="23" spans="1:24">
      <c r="A23" s="240" t="s">
        <v>379</v>
      </c>
      <c r="B23" s="241" t="s">
        <v>380</v>
      </c>
    </row>
    <row r="24" spans="1:24" ht="46.9" customHeight="1">
      <c r="A24" s="246">
        <v>1</v>
      </c>
      <c r="B24" s="1126"/>
      <c r="C24" s="1126"/>
      <c r="D24" s="1126"/>
      <c r="E24" s="1126"/>
    </row>
    <row r="25" spans="1:24" ht="14.45" customHeight="1">
      <c r="A25" s="1127" t="s">
        <v>103</v>
      </c>
      <c r="B25" s="1128" t="s">
        <v>381</v>
      </c>
      <c r="C25" s="1129"/>
      <c r="D25" s="1129"/>
      <c r="E25" s="1129"/>
      <c r="F25" s="1129"/>
      <c r="G25" s="1129"/>
      <c r="H25" s="1129"/>
      <c r="I25" s="1129"/>
      <c r="J25" s="1130"/>
      <c r="K25" s="1127" t="s">
        <v>382</v>
      </c>
      <c r="L25" s="1127"/>
      <c r="M25" s="1127" t="s">
        <v>2</v>
      </c>
      <c r="N25" s="1127"/>
      <c r="O25" s="1127"/>
      <c r="P25" s="1127"/>
      <c r="Q25" s="1127"/>
      <c r="R25" s="1127"/>
      <c r="S25" s="1127"/>
      <c r="T25" s="1127" t="s">
        <v>14</v>
      </c>
    </row>
    <row r="26" spans="1:24" ht="38.25">
      <c r="A26" s="1127"/>
      <c r="B26" s="247" t="s">
        <v>383</v>
      </c>
      <c r="C26" s="230" t="s">
        <v>384</v>
      </c>
      <c r="D26" s="230" t="s">
        <v>385</v>
      </c>
      <c r="E26" s="230" t="s">
        <v>386</v>
      </c>
      <c r="F26" s="248" t="s">
        <v>387</v>
      </c>
      <c r="G26" s="248" t="s">
        <v>388</v>
      </c>
      <c r="H26" s="248" t="s">
        <v>389</v>
      </c>
      <c r="I26" s="248" t="s">
        <v>390</v>
      </c>
      <c r="J26" s="248" t="s">
        <v>391</v>
      </c>
      <c r="K26" s="247" t="s">
        <v>392</v>
      </c>
      <c r="L26" s="249" t="s">
        <v>393</v>
      </c>
      <c r="M26" s="249" t="s">
        <v>394</v>
      </c>
      <c r="N26" s="250" t="s">
        <v>2</v>
      </c>
      <c r="O26" s="250" t="s">
        <v>43</v>
      </c>
      <c r="P26" s="249" t="s">
        <v>395</v>
      </c>
      <c r="Q26" s="249" t="s">
        <v>396</v>
      </c>
      <c r="R26" s="249" t="s">
        <v>397</v>
      </c>
      <c r="S26" s="231" t="s">
        <v>398</v>
      </c>
      <c r="T26" s="1127"/>
    </row>
    <row r="27" spans="1:24">
      <c r="A27" s="1133" t="s">
        <v>15</v>
      </c>
      <c r="B27" s="1136" t="s">
        <v>59</v>
      </c>
      <c r="C27" s="1137">
        <v>120000</v>
      </c>
      <c r="D27" s="1124">
        <v>0</v>
      </c>
      <c r="E27" s="1122">
        <f>C27+D27</f>
        <v>120000</v>
      </c>
      <c r="F27" s="1124">
        <v>0</v>
      </c>
      <c r="G27" s="1122">
        <f>E27+F27</f>
        <v>120000</v>
      </c>
      <c r="H27" s="1124">
        <v>0</v>
      </c>
      <c r="I27" s="1122">
        <f>G27+H27</f>
        <v>120000</v>
      </c>
      <c r="J27" s="1124"/>
      <c r="K27" s="1136" t="s">
        <v>399</v>
      </c>
      <c r="L27" s="251"/>
      <c r="M27" s="1159" t="s">
        <v>400</v>
      </c>
      <c r="N27" s="111" t="s">
        <v>58</v>
      </c>
      <c r="O27" s="111" t="s">
        <v>4</v>
      </c>
      <c r="P27" s="16">
        <v>80000</v>
      </c>
      <c r="Q27" s="16">
        <f>P27*80%</f>
        <v>64000</v>
      </c>
      <c r="R27" s="1137">
        <f>I27-SUM(Q27:Q28)</f>
        <v>-8000</v>
      </c>
      <c r="S27" s="16">
        <v>1500000</v>
      </c>
      <c r="T27" s="252"/>
    </row>
    <row r="28" spans="1:24">
      <c r="A28" s="1134"/>
      <c r="B28" s="1136"/>
      <c r="C28" s="1138"/>
      <c r="D28" s="1125"/>
      <c r="E28" s="1123"/>
      <c r="F28" s="1125"/>
      <c r="G28" s="1123"/>
      <c r="H28" s="1125"/>
      <c r="I28" s="1123"/>
      <c r="J28" s="1125"/>
      <c r="K28" s="1136"/>
      <c r="L28" s="251"/>
      <c r="M28" s="1160"/>
      <c r="N28" s="111" t="s">
        <v>60</v>
      </c>
      <c r="O28" s="111" t="s">
        <v>4</v>
      </c>
      <c r="P28" s="16">
        <v>80000</v>
      </c>
      <c r="Q28" s="16">
        <f t="shared" ref="Q28:Q84" si="0">P28*80%</f>
        <v>64000</v>
      </c>
      <c r="R28" s="1138"/>
      <c r="S28" s="16">
        <v>1500000</v>
      </c>
      <c r="T28" s="252"/>
    </row>
    <row r="29" spans="1:24" s="258" customFormat="1">
      <c r="A29" s="1134"/>
      <c r="B29" s="1131" t="s">
        <v>62</v>
      </c>
      <c r="C29" s="1122">
        <v>416000</v>
      </c>
      <c r="D29" s="987">
        <v>0</v>
      </c>
      <c r="E29" s="1149">
        <f>C29+D29</f>
        <v>416000</v>
      </c>
      <c r="F29" s="1163">
        <v>0</v>
      </c>
      <c r="G29" s="1122">
        <f>E29+F29</f>
        <v>416000</v>
      </c>
      <c r="H29" s="1163">
        <v>0</v>
      </c>
      <c r="I29" s="1122">
        <f>G29+H29</f>
        <v>416000</v>
      </c>
      <c r="J29" s="1137">
        <f>200</f>
        <v>200</v>
      </c>
      <c r="K29" s="1131" t="s">
        <v>401</v>
      </c>
      <c r="L29" s="2"/>
      <c r="M29" s="1159" t="s">
        <v>400</v>
      </c>
      <c r="N29" s="253" t="s">
        <v>61</v>
      </c>
      <c r="O29" s="254" t="s">
        <v>4</v>
      </c>
      <c r="P29" s="255">
        <v>80000</v>
      </c>
      <c r="Q29" s="16">
        <f t="shared" si="0"/>
        <v>64000</v>
      </c>
      <c r="R29" s="1163">
        <f>I29-SUM(Q29:Q33)</f>
        <v>16000</v>
      </c>
      <c r="S29" s="256">
        <v>1500000</v>
      </c>
      <c r="T29" s="257"/>
    </row>
    <row r="30" spans="1:24">
      <c r="A30" s="1134"/>
      <c r="B30" s="1132"/>
      <c r="C30" s="1147"/>
      <c r="D30" s="1148"/>
      <c r="E30" s="1150"/>
      <c r="F30" s="1164"/>
      <c r="G30" s="1147"/>
      <c r="H30" s="1164"/>
      <c r="I30" s="1147"/>
      <c r="J30" s="1166"/>
      <c r="K30" s="1132"/>
      <c r="L30" s="2"/>
      <c r="M30" s="1162"/>
      <c r="N30" s="259" t="s">
        <v>67</v>
      </c>
      <c r="O30" s="111" t="s">
        <v>4</v>
      </c>
      <c r="P30" s="16">
        <v>150000</v>
      </c>
      <c r="Q30" s="16">
        <f t="shared" si="0"/>
        <v>120000</v>
      </c>
      <c r="R30" s="1164"/>
      <c r="S30" s="16">
        <v>1500000</v>
      </c>
      <c r="T30" s="260"/>
    </row>
    <row r="31" spans="1:24">
      <c r="A31" s="1134"/>
      <c r="B31" s="1132"/>
      <c r="C31" s="1147"/>
      <c r="D31" s="1148"/>
      <c r="E31" s="1150"/>
      <c r="F31" s="1164"/>
      <c r="G31" s="1147"/>
      <c r="H31" s="1164"/>
      <c r="I31" s="1147"/>
      <c r="J31" s="1166"/>
      <c r="K31" s="1132"/>
      <c r="L31" s="251"/>
      <c r="M31" s="1162"/>
      <c r="N31" s="111" t="s">
        <v>68</v>
      </c>
      <c r="O31" s="111" t="s">
        <v>4</v>
      </c>
      <c r="P31" s="16">
        <v>150000</v>
      </c>
      <c r="Q31" s="16">
        <f t="shared" si="0"/>
        <v>120000</v>
      </c>
      <c r="R31" s="1164"/>
      <c r="S31" s="16">
        <v>2800000</v>
      </c>
      <c r="T31" s="260"/>
      <c r="U31" s="113"/>
      <c r="V31" s="111"/>
      <c r="W31" s="16"/>
      <c r="X31" s="16"/>
    </row>
    <row r="32" spans="1:24">
      <c r="A32" s="1134"/>
      <c r="B32" s="1132"/>
      <c r="C32" s="1147"/>
      <c r="D32" s="1148"/>
      <c r="E32" s="1150"/>
      <c r="F32" s="1164"/>
      <c r="G32" s="1147"/>
      <c r="H32" s="1164"/>
      <c r="I32" s="1147"/>
      <c r="J32" s="1166"/>
      <c r="K32" s="1132"/>
      <c r="L32" s="251"/>
      <c r="M32" s="1162"/>
      <c r="N32" s="111" t="s">
        <v>256</v>
      </c>
      <c r="O32" s="111" t="s">
        <v>249</v>
      </c>
      <c r="P32" s="16">
        <v>60000</v>
      </c>
      <c r="Q32" s="16">
        <f t="shared" si="0"/>
        <v>48000</v>
      </c>
      <c r="R32" s="1164"/>
      <c r="S32" s="16">
        <v>1500000</v>
      </c>
      <c r="T32" s="260"/>
    </row>
    <row r="33" spans="1:20">
      <c r="A33" s="1134"/>
      <c r="B33" s="1132"/>
      <c r="C33" s="1123"/>
      <c r="D33" s="986"/>
      <c r="E33" s="1151"/>
      <c r="F33" s="1165"/>
      <c r="G33" s="1123"/>
      <c r="H33" s="1165"/>
      <c r="I33" s="1123"/>
      <c r="J33" s="1138"/>
      <c r="K33" s="1132"/>
      <c r="L33" s="251"/>
      <c r="M33" s="1160"/>
      <c r="N33" s="111" t="s">
        <v>248</v>
      </c>
      <c r="O33" s="111" t="s">
        <v>249</v>
      </c>
      <c r="P33" s="16">
        <v>60000</v>
      </c>
      <c r="Q33" s="16">
        <f t="shared" si="0"/>
        <v>48000</v>
      </c>
      <c r="R33" s="1165"/>
      <c r="S33" s="16">
        <v>1000000</v>
      </c>
      <c r="T33" s="261"/>
    </row>
    <row r="34" spans="1:20">
      <c r="A34" s="1134"/>
      <c r="B34" s="1139" t="s">
        <v>460</v>
      </c>
      <c r="C34" s="1152">
        <v>0</v>
      </c>
      <c r="D34" s="1143">
        <v>300000</v>
      </c>
      <c r="E34" s="1146">
        <f>C34+D34</f>
        <v>300000</v>
      </c>
      <c r="F34" s="1152">
        <v>150000</v>
      </c>
      <c r="G34" s="1155">
        <f>E34+F34</f>
        <v>450000</v>
      </c>
      <c r="H34" s="1152">
        <v>0</v>
      </c>
      <c r="I34" s="1155">
        <f>G34+H34</f>
        <v>450000</v>
      </c>
      <c r="J34" s="1140">
        <f>400</f>
        <v>400</v>
      </c>
      <c r="K34" s="1139" t="s">
        <v>401</v>
      </c>
      <c r="L34" s="2"/>
      <c r="M34" s="1167" t="s">
        <v>400</v>
      </c>
      <c r="N34" s="2" t="s">
        <v>64</v>
      </c>
      <c r="O34" s="111" t="s">
        <v>4</v>
      </c>
      <c r="P34" s="255">
        <v>150000</v>
      </c>
      <c r="Q34" s="16">
        <f t="shared" si="0"/>
        <v>120000</v>
      </c>
      <c r="R34" s="1140">
        <f>I34-SUM(Q34:Q37)</f>
        <v>66000</v>
      </c>
      <c r="S34" s="16">
        <v>2800000</v>
      </c>
      <c r="T34" s="262"/>
    </row>
    <row r="35" spans="1:20" s="258" customFormat="1">
      <c r="A35" s="1134"/>
      <c r="B35" s="1139"/>
      <c r="C35" s="1153"/>
      <c r="D35" s="1144"/>
      <c r="E35" s="1146"/>
      <c r="F35" s="1153"/>
      <c r="G35" s="1155"/>
      <c r="H35" s="1153"/>
      <c r="I35" s="1155"/>
      <c r="J35" s="1141"/>
      <c r="K35" s="1139"/>
      <c r="L35" s="2"/>
      <c r="M35" s="1167"/>
      <c r="N35" s="2" t="s">
        <v>65</v>
      </c>
      <c r="O35" s="254" t="s">
        <v>4</v>
      </c>
      <c r="P35" s="255">
        <v>150000</v>
      </c>
      <c r="Q35" s="256">
        <f t="shared" si="0"/>
        <v>120000</v>
      </c>
      <c r="R35" s="1141"/>
      <c r="S35" s="256">
        <v>2800000</v>
      </c>
      <c r="T35" s="262"/>
    </row>
    <row r="36" spans="1:20">
      <c r="A36" s="1134"/>
      <c r="B36" s="1139"/>
      <c r="C36" s="1153"/>
      <c r="D36" s="1144"/>
      <c r="E36" s="1146"/>
      <c r="F36" s="1153"/>
      <c r="G36" s="1155"/>
      <c r="H36" s="1153"/>
      <c r="I36" s="1155"/>
      <c r="J36" s="1141"/>
      <c r="K36" s="1139"/>
      <c r="L36" s="251"/>
      <c r="M36" s="1167"/>
      <c r="N36" s="111" t="s">
        <v>66</v>
      </c>
      <c r="O36" s="111" t="s">
        <v>4</v>
      </c>
      <c r="P36" s="16">
        <v>100000</v>
      </c>
      <c r="Q36" s="16">
        <f t="shared" si="0"/>
        <v>80000</v>
      </c>
      <c r="R36" s="1141"/>
      <c r="S36" s="16">
        <v>2400000</v>
      </c>
      <c r="T36" s="262"/>
    </row>
    <row r="37" spans="1:20">
      <c r="A37" s="1134"/>
      <c r="B37" s="1139"/>
      <c r="C37" s="1154"/>
      <c r="D37" s="1145"/>
      <c r="E37" s="1146"/>
      <c r="F37" s="1154"/>
      <c r="G37" s="1155"/>
      <c r="H37" s="1154"/>
      <c r="I37" s="1155"/>
      <c r="J37" s="1142"/>
      <c r="K37" s="1139"/>
      <c r="L37" s="251"/>
      <c r="M37" s="1167"/>
      <c r="N37" s="262" t="s">
        <v>63</v>
      </c>
      <c r="O37" s="113" t="s">
        <v>4</v>
      </c>
      <c r="P37" s="263">
        <v>80000</v>
      </c>
      <c r="Q37" s="17">
        <f t="shared" si="0"/>
        <v>64000</v>
      </c>
      <c r="R37" s="1142"/>
      <c r="S37" s="16">
        <v>2800000</v>
      </c>
      <c r="T37" s="262"/>
    </row>
    <row r="38" spans="1:20">
      <c r="A38" s="1134"/>
      <c r="B38" s="1139" t="s">
        <v>462</v>
      </c>
      <c r="C38" s="1140">
        <v>312000</v>
      </c>
      <c r="D38" s="1143">
        <v>104000</v>
      </c>
      <c r="E38" s="1146">
        <f>C38+D38</f>
        <v>416000</v>
      </c>
      <c r="F38" s="1152">
        <v>0</v>
      </c>
      <c r="G38" s="1161">
        <f>E38+F38</f>
        <v>416000</v>
      </c>
      <c r="H38" s="1140">
        <v>0</v>
      </c>
      <c r="I38" s="1161">
        <f>G38+H38</f>
        <v>416000</v>
      </c>
      <c r="J38" s="1161">
        <f>400</f>
        <v>400</v>
      </c>
      <c r="K38" s="1139" t="s">
        <v>402</v>
      </c>
      <c r="L38" s="2"/>
      <c r="M38" s="1173" t="s">
        <v>403</v>
      </c>
      <c r="N38" s="2" t="s">
        <v>71</v>
      </c>
      <c r="O38" s="111" t="s">
        <v>4</v>
      </c>
      <c r="P38" s="255">
        <v>150000</v>
      </c>
      <c r="Q38" s="16">
        <f t="shared" si="0"/>
        <v>120000</v>
      </c>
      <c r="R38" s="1156">
        <f>I38-SUM(Q38:Q40)</f>
        <v>56000</v>
      </c>
      <c r="S38" s="264">
        <v>4000000</v>
      </c>
      <c r="T38" s="265"/>
    </row>
    <row r="39" spans="1:20">
      <c r="A39" s="1134"/>
      <c r="B39" s="1139"/>
      <c r="C39" s="1141"/>
      <c r="D39" s="1144"/>
      <c r="E39" s="1146"/>
      <c r="F39" s="1153"/>
      <c r="G39" s="1161"/>
      <c r="H39" s="1141"/>
      <c r="I39" s="1161"/>
      <c r="J39" s="1161"/>
      <c r="K39" s="1139"/>
      <c r="L39" s="2"/>
      <c r="M39" s="1173"/>
      <c r="N39" s="2" t="s">
        <v>277</v>
      </c>
      <c r="O39" s="111" t="s">
        <v>4</v>
      </c>
      <c r="P39" s="255">
        <v>150000</v>
      </c>
      <c r="Q39" s="16">
        <f t="shared" si="0"/>
        <v>120000</v>
      </c>
      <c r="R39" s="1157"/>
      <c r="S39" s="264">
        <v>4000000</v>
      </c>
      <c r="T39" s="265"/>
    </row>
    <row r="40" spans="1:20">
      <c r="A40" s="1134"/>
      <c r="B40" s="1139"/>
      <c r="C40" s="1142"/>
      <c r="D40" s="1145"/>
      <c r="E40" s="1146"/>
      <c r="F40" s="1154"/>
      <c r="G40" s="1161"/>
      <c r="H40" s="1142"/>
      <c r="I40" s="1161"/>
      <c r="J40" s="1161"/>
      <c r="K40" s="1139"/>
      <c r="L40" s="2"/>
      <c r="M40" s="1173"/>
      <c r="N40" s="2" t="s">
        <v>278</v>
      </c>
      <c r="O40" s="111" t="s">
        <v>4</v>
      </c>
      <c r="P40" s="255">
        <v>150000</v>
      </c>
      <c r="Q40" s="16">
        <f t="shared" si="0"/>
        <v>120000</v>
      </c>
      <c r="R40" s="1158"/>
      <c r="S40" s="264">
        <v>4000000</v>
      </c>
      <c r="T40" s="265"/>
    </row>
    <row r="41" spans="1:20">
      <c r="A41" s="1134"/>
      <c r="B41" s="1139" t="s">
        <v>463</v>
      </c>
      <c r="C41" s="1140">
        <v>312000</v>
      </c>
      <c r="D41" s="1143">
        <v>104000</v>
      </c>
      <c r="E41" s="1146">
        <f>C41+D41</f>
        <v>416000</v>
      </c>
      <c r="F41" s="1152">
        <v>0</v>
      </c>
      <c r="G41" s="1161">
        <f>E41+F41</f>
        <v>416000</v>
      </c>
      <c r="H41" s="1140">
        <v>0</v>
      </c>
      <c r="I41" s="1161">
        <f>G41+H41</f>
        <v>416000</v>
      </c>
      <c r="J41" s="1161">
        <f>400</f>
        <v>400</v>
      </c>
      <c r="K41" s="1139" t="s">
        <v>402</v>
      </c>
      <c r="L41" s="2"/>
      <c r="M41" s="1170" t="s">
        <v>404</v>
      </c>
      <c r="N41" s="266" t="s">
        <v>72</v>
      </c>
      <c r="O41" s="266" t="s">
        <v>4</v>
      </c>
      <c r="P41" s="267">
        <v>150000</v>
      </c>
      <c r="Q41" s="267">
        <f t="shared" si="0"/>
        <v>120000</v>
      </c>
      <c r="R41" s="1156">
        <f>I41-SUM(Q41:Q43)</f>
        <v>56000</v>
      </c>
      <c r="S41" s="267">
        <v>4000000</v>
      </c>
      <c r="T41" s="268"/>
    </row>
    <row r="42" spans="1:20">
      <c r="A42" s="1134"/>
      <c r="B42" s="1139"/>
      <c r="C42" s="1141"/>
      <c r="D42" s="1144"/>
      <c r="E42" s="1146"/>
      <c r="F42" s="1153"/>
      <c r="G42" s="1161"/>
      <c r="H42" s="1141"/>
      <c r="I42" s="1161"/>
      <c r="J42" s="1161"/>
      <c r="K42" s="1139"/>
      <c r="L42" s="2"/>
      <c r="M42" s="1171"/>
      <c r="N42" s="266" t="s">
        <v>279</v>
      </c>
      <c r="O42" s="266" t="s">
        <v>4</v>
      </c>
      <c r="P42" s="267">
        <v>150000</v>
      </c>
      <c r="Q42" s="267">
        <f t="shared" si="0"/>
        <v>120000</v>
      </c>
      <c r="R42" s="1157"/>
      <c r="S42" s="267">
        <v>4000000</v>
      </c>
      <c r="T42" s="268"/>
    </row>
    <row r="43" spans="1:20">
      <c r="A43" s="1134"/>
      <c r="B43" s="1139"/>
      <c r="C43" s="1142"/>
      <c r="D43" s="1145"/>
      <c r="E43" s="1146"/>
      <c r="F43" s="1154"/>
      <c r="G43" s="1161"/>
      <c r="H43" s="1142"/>
      <c r="I43" s="1161"/>
      <c r="J43" s="1161"/>
      <c r="K43" s="1139"/>
      <c r="L43" s="2"/>
      <c r="M43" s="1172"/>
      <c r="N43" s="269" t="s">
        <v>337</v>
      </c>
      <c r="O43" s="266" t="s">
        <v>4</v>
      </c>
      <c r="P43" s="267">
        <v>150000</v>
      </c>
      <c r="Q43" s="267">
        <f t="shared" si="0"/>
        <v>120000</v>
      </c>
      <c r="R43" s="1158"/>
      <c r="S43" s="267">
        <v>4000000</v>
      </c>
      <c r="T43" s="268"/>
    </row>
    <row r="44" spans="1:20">
      <c r="A44" s="1134"/>
      <c r="B44" s="1168" t="s">
        <v>461</v>
      </c>
      <c r="C44" s="1174"/>
      <c r="D44" s="1122">
        <v>300000</v>
      </c>
      <c r="E44" s="1122">
        <f>C44+D44</f>
        <v>300000</v>
      </c>
      <c r="F44" s="1174"/>
      <c r="G44" s="1122">
        <f>E44+F44</f>
        <v>300000</v>
      </c>
      <c r="H44" s="1174"/>
      <c r="I44" s="1122">
        <f>G44+H44</f>
        <v>300000</v>
      </c>
      <c r="J44" s="1140">
        <v>400</v>
      </c>
      <c r="K44" s="1168" t="s">
        <v>402</v>
      </c>
      <c r="L44" s="2"/>
      <c r="M44" s="1167" t="s">
        <v>405</v>
      </c>
      <c r="N44" s="2" t="s">
        <v>69</v>
      </c>
      <c r="O44" s="111" t="s">
        <v>4</v>
      </c>
      <c r="P44" s="255">
        <v>150000</v>
      </c>
      <c r="Q44" s="16">
        <f>P44*80%</f>
        <v>120000</v>
      </c>
      <c r="R44" s="1137">
        <f>I44-SUM(Q44:Q45)</f>
        <v>60000</v>
      </c>
      <c r="S44" s="264">
        <v>4000000</v>
      </c>
      <c r="T44" s="268"/>
    </row>
    <row r="45" spans="1:20">
      <c r="A45" s="1134"/>
      <c r="B45" s="1169"/>
      <c r="C45" s="1175"/>
      <c r="D45" s="1123"/>
      <c r="E45" s="1123"/>
      <c r="F45" s="1175"/>
      <c r="G45" s="1123"/>
      <c r="H45" s="1175"/>
      <c r="I45" s="1123"/>
      <c r="J45" s="1142"/>
      <c r="K45" s="1169"/>
      <c r="L45" s="2"/>
      <c r="M45" s="1167"/>
      <c r="N45" s="266" t="s">
        <v>74</v>
      </c>
      <c r="O45" s="266" t="s">
        <v>4</v>
      </c>
      <c r="P45" s="267">
        <v>150000</v>
      </c>
      <c r="Q45" s="267">
        <f t="shared" ref="Q45:Q49" si="1">P45*80%</f>
        <v>120000</v>
      </c>
      <c r="R45" s="1138"/>
      <c r="S45" s="264">
        <v>4000000</v>
      </c>
      <c r="T45" s="268"/>
    </row>
    <row r="46" spans="1:20" ht="15">
      <c r="A46" s="1134"/>
      <c r="B46" s="1176" t="s">
        <v>464</v>
      </c>
      <c r="C46" s="1140">
        <v>0</v>
      </c>
      <c r="D46" s="1140">
        <v>300000</v>
      </c>
      <c r="E46" s="1140">
        <f>C46+D46</f>
        <v>300000</v>
      </c>
      <c r="F46" s="1152">
        <v>150000</v>
      </c>
      <c r="G46" s="1140">
        <f>E46+F46</f>
        <v>450000</v>
      </c>
      <c r="H46" s="1140">
        <v>0</v>
      </c>
      <c r="I46" s="1140">
        <f>G46+H46</f>
        <v>450000</v>
      </c>
      <c r="J46" s="1140">
        <f>400</f>
        <v>400</v>
      </c>
      <c r="K46" s="1176" t="s">
        <v>406</v>
      </c>
      <c r="L46" s="2"/>
      <c r="M46" s="1179" t="s">
        <v>407</v>
      </c>
      <c r="N46" s="270" t="s">
        <v>408</v>
      </c>
      <c r="O46" s="113" t="s">
        <v>4</v>
      </c>
      <c r="P46" s="271">
        <v>100000</v>
      </c>
      <c r="Q46" s="272">
        <f t="shared" si="1"/>
        <v>80000</v>
      </c>
      <c r="R46" s="1155">
        <f>I46-SUM(Q46:Q49)</f>
        <v>50000</v>
      </c>
      <c r="S46" s="273">
        <v>3500000</v>
      </c>
      <c r="T46" s="268" t="s">
        <v>409</v>
      </c>
    </row>
    <row r="47" spans="1:20" ht="15">
      <c r="A47" s="1134"/>
      <c r="B47" s="1177"/>
      <c r="C47" s="1141"/>
      <c r="D47" s="1141"/>
      <c r="E47" s="1141"/>
      <c r="F47" s="1153"/>
      <c r="G47" s="1141"/>
      <c r="H47" s="1141"/>
      <c r="I47" s="1141"/>
      <c r="J47" s="1141"/>
      <c r="K47" s="1177"/>
      <c r="L47" s="2"/>
      <c r="M47" s="1180"/>
      <c r="N47" s="270" t="s">
        <v>410</v>
      </c>
      <c r="O47" s="113" t="s">
        <v>4</v>
      </c>
      <c r="P47" s="271">
        <v>100000</v>
      </c>
      <c r="Q47" s="272">
        <f t="shared" si="1"/>
        <v>80000</v>
      </c>
      <c r="R47" s="1155"/>
      <c r="S47" s="273">
        <v>3500000</v>
      </c>
      <c r="T47" s="268" t="s">
        <v>409</v>
      </c>
    </row>
    <row r="48" spans="1:20" ht="15">
      <c r="A48" s="1134"/>
      <c r="B48" s="1177"/>
      <c r="C48" s="1141"/>
      <c r="D48" s="1141"/>
      <c r="E48" s="1141"/>
      <c r="F48" s="1153"/>
      <c r="G48" s="1141"/>
      <c r="H48" s="1141"/>
      <c r="I48" s="1141"/>
      <c r="J48" s="1141"/>
      <c r="K48" s="1177"/>
      <c r="L48" s="2"/>
      <c r="M48" s="1180"/>
      <c r="N48" s="270" t="s">
        <v>411</v>
      </c>
      <c r="O48" s="274" t="s">
        <v>4</v>
      </c>
      <c r="P48" s="272">
        <v>150000</v>
      </c>
      <c r="Q48" s="272">
        <f t="shared" si="1"/>
        <v>120000</v>
      </c>
      <c r="R48" s="1155"/>
      <c r="S48" s="272">
        <v>4500000</v>
      </c>
      <c r="T48" s="268" t="s">
        <v>409</v>
      </c>
    </row>
    <row r="49" spans="1:21" ht="15">
      <c r="A49" s="1134"/>
      <c r="B49" s="1178"/>
      <c r="C49" s="1142"/>
      <c r="D49" s="1142"/>
      <c r="E49" s="1142"/>
      <c r="F49" s="1154"/>
      <c r="G49" s="1142"/>
      <c r="H49" s="1142"/>
      <c r="I49" s="1142"/>
      <c r="J49" s="1142"/>
      <c r="K49" s="1178"/>
      <c r="L49" s="2"/>
      <c r="M49" s="1181"/>
      <c r="N49" s="270" t="s">
        <v>412</v>
      </c>
      <c r="O49" s="274" t="s">
        <v>4</v>
      </c>
      <c r="P49" s="272">
        <v>150000</v>
      </c>
      <c r="Q49" s="272">
        <f t="shared" si="1"/>
        <v>120000</v>
      </c>
      <c r="R49" s="1155"/>
      <c r="S49" s="272">
        <v>4500000</v>
      </c>
      <c r="T49" s="268" t="s">
        <v>409</v>
      </c>
    </row>
    <row r="50" spans="1:21" ht="15" customHeight="1">
      <c r="A50" s="1134"/>
      <c r="B50" s="1176" t="s">
        <v>465</v>
      </c>
      <c r="C50" s="1155">
        <v>0</v>
      </c>
      <c r="D50" s="1146">
        <v>0</v>
      </c>
      <c r="E50" s="1146">
        <f>C50+D50</f>
        <v>0</v>
      </c>
      <c r="F50" s="1152">
        <f>150000</f>
        <v>150000</v>
      </c>
      <c r="G50" s="1155">
        <f>E50+F50</f>
        <v>150000</v>
      </c>
      <c r="H50" s="1155">
        <v>300000</v>
      </c>
      <c r="I50" s="1155">
        <f>G50+H50</f>
        <v>450000</v>
      </c>
      <c r="J50" s="1161">
        <f>400</f>
        <v>400</v>
      </c>
      <c r="K50" s="1176" t="s">
        <v>413</v>
      </c>
      <c r="L50" s="2"/>
      <c r="M50" s="1179" t="s">
        <v>414</v>
      </c>
      <c r="N50" s="270" t="s">
        <v>415</v>
      </c>
      <c r="O50" s="113" t="s">
        <v>249</v>
      </c>
      <c r="P50" s="263">
        <v>150000</v>
      </c>
      <c r="Q50" s="16">
        <f t="shared" si="0"/>
        <v>120000</v>
      </c>
      <c r="R50" s="1155">
        <f>I50-SUM(Q50:Q53)</f>
        <v>10000</v>
      </c>
      <c r="S50" s="273">
        <v>4500000</v>
      </c>
      <c r="T50" s="268" t="s">
        <v>416</v>
      </c>
    </row>
    <row r="51" spans="1:21" ht="15">
      <c r="A51" s="1134"/>
      <c r="B51" s="1177"/>
      <c r="C51" s="1155"/>
      <c r="D51" s="1146"/>
      <c r="E51" s="1146"/>
      <c r="F51" s="1153"/>
      <c r="G51" s="1155"/>
      <c r="H51" s="1155"/>
      <c r="I51" s="1155"/>
      <c r="J51" s="1161"/>
      <c r="K51" s="1177"/>
      <c r="L51" s="2"/>
      <c r="M51" s="1180"/>
      <c r="N51" s="270" t="s">
        <v>417</v>
      </c>
      <c r="O51" s="113" t="s">
        <v>249</v>
      </c>
      <c r="P51" s="263">
        <v>150000</v>
      </c>
      <c r="Q51" s="16">
        <f t="shared" si="0"/>
        <v>120000</v>
      </c>
      <c r="R51" s="1155"/>
      <c r="S51" s="273">
        <v>4500000</v>
      </c>
      <c r="T51" s="268" t="s">
        <v>416</v>
      </c>
    </row>
    <row r="52" spans="1:21" ht="15">
      <c r="A52" s="1134"/>
      <c r="B52" s="1177"/>
      <c r="C52" s="1155"/>
      <c r="D52" s="1146"/>
      <c r="E52" s="1146"/>
      <c r="F52" s="1153"/>
      <c r="G52" s="1155"/>
      <c r="H52" s="1155"/>
      <c r="I52" s="1155"/>
      <c r="J52" s="1161"/>
      <c r="K52" s="1177"/>
      <c r="L52" s="2"/>
      <c r="M52" s="1180"/>
      <c r="N52" s="270" t="s">
        <v>418</v>
      </c>
      <c r="O52" s="113" t="s">
        <v>249</v>
      </c>
      <c r="P52" s="263">
        <v>100000</v>
      </c>
      <c r="Q52" s="16">
        <f t="shared" si="0"/>
        <v>80000</v>
      </c>
      <c r="R52" s="1155"/>
      <c r="S52" s="273">
        <v>3500000</v>
      </c>
      <c r="T52" s="268" t="s">
        <v>416</v>
      </c>
    </row>
    <row r="53" spans="1:21" ht="15">
      <c r="A53" s="1135"/>
      <c r="B53" s="1178"/>
      <c r="C53" s="1155"/>
      <c r="D53" s="1146"/>
      <c r="E53" s="1146"/>
      <c r="F53" s="1154"/>
      <c r="G53" s="1155"/>
      <c r="H53" s="1155"/>
      <c r="I53" s="1155"/>
      <c r="J53" s="1161"/>
      <c r="K53" s="1178"/>
      <c r="L53" s="2"/>
      <c r="M53" s="1181"/>
      <c r="N53" s="270" t="s">
        <v>419</v>
      </c>
      <c r="O53" s="113" t="s">
        <v>249</v>
      </c>
      <c r="P53" s="263">
        <v>150000</v>
      </c>
      <c r="Q53" s="16">
        <f t="shared" si="0"/>
        <v>120000</v>
      </c>
      <c r="R53" s="1155"/>
      <c r="S53" s="273">
        <v>4500000</v>
      </c>
      <c r="T53" s="268" t="s">
        <v>420</v>
      </c>
      <c r="U53" s="275"/>
    </row>
    <row r="54" spans="1:21" ht="14.45" customHeight="1">
      <c r="A54" s="1133" t="s">
        <v>25</v>
      </c>
      <c r="B54" s="1131" t="s">
        <v>76</v>
      </c>
      <c r="C54" s="1143">
        <v>120000</v>
      </c>
      <c r="D54" s="1143">
        <v>0</v>
      </c>
      <c r="E54" s="1182">
        <f>C54+D54</f>
        <v>120000</v>
      </c>
      <c r="F54" s="1143">
        <v>0</v>
      </c>
      <c r="G54" s="1182">
        <f>E54+F54</f>
        <v>120000</v>
      </c>
      <c r="H54" s="1143">
        <v>0</v>
      </c>
      <c r="I54" s="1182">
        <f>G54+H54</f>
        <v>120000</v>
      </c>
      <c r="J54" s="1140"/>
      <c r="K54" s="1184" t="s">
        <v>421</v>
      </c>
      <c r="L54" s="2"/>
      <c r="M54" s="1159" t="s">
        <v>400</v>
      </c>
      <c r="N54" s="111" t="s">
        <v>75</v>
      </c>
      <c r="O54" s="111" t="s">
        <v>4</v>
      </c>
      <c r="P54" s="255">
        <v>80000</v>
      </c>
      <c r="Q54" s="16">
        <f t="shared" si="0"/>
        <v>64000</v>
      </c>
      <c r="R54" s="1143">
        <f>I54-SUM(Q54:Q55)</f>
        <v>-8000</v>
      </c>
      <c r="S54" s="16">
        <v>1500000</v>
      </c>
      <c r="T54" s="276"/>
      <c r="U54" s="275"/>
    </row>
    <row r="55" spans="1:21">
      <c r="A55" s="1134"/>
      <c r="B55" s="1186"/>
      <c r="C55" s="1145"/>
      <c r="D55" s="1145"/>
      <c r="E55" s="1183"/>
      <c r="F55" s="1145"/>
      <c r="G55" s="1183"/>
      <c r="H55" s="1145"/>
      <c r="I55" s="1183"/>
      <c r="J55" s="1142"/>
      <c r="K55" s="1185"/>
      <c r="L55" s="2"/>
      <c r="M55" s="1160"/>
      <c r="N55" s="111" t="s">
        <v>77</v>
      </c>
      <c r="O55" s="111" t="s">
        <v>4</v>
      </c>
      <c r="P55" s="255">
        <v>80000</v>
      </c>
      <c r="Q55" s="16">
        <f t="shared" si="0"/>
        <v>64000</v>
      </c>
      <c r="R55" s="1145"/>
      <c r="S55" s="16">
        <v>1500000</v>
      </c>
      <c r="T55" s="276"/>
      <c r="U55" s="275"/>
    </row>
    <row r="56" spans="1:21" ht="13.15" customHeight="1">
      <c r="A56" s="1134"/>
      <c r="B56" s="1131" t="s">
        <v>79</v>
      </c>
      <c r="C56" s="1143">
        <v>208000</v>
      </c>
      <c r="D56" s="1143">
        <v>0</v>
      </c>
      <c r="E56" s="1182">
        <f>C56+D56</f>
        <v>208000</v>
      </c>
      <c r="F56" s="1143">
        <v>0</v>
      </c>
      <c r="G56" s="1182">
        <f>E56+F56</f>
        <v>208000</v>
      </c>
      <c r="H56" s="1143">
        <v>0</v>
      </c>
      <c r="I56" s="1182">
        <f>G56+H56</f>
        <v>208000</v>
      </c>
      <c r="J56" s="1140">
        <f>120</f>
        <v>120</v>
      </c>
      <c r="K56" s="1184" t="s">
        <v>422</v>
      </c>
      <c r="L56" s="2"/>
      <c r="M56" s="1159" t="s">
        <v>400</v>
      </c>
      <c r="N56" s="111" t="s">
        <v>78</v>
      </c>
      <c r="O56" s="111" t="s">
        <v>4</v>
      </c>
      <c r="P56" s="255">
        <v>80000</v>
      </c>
      <c r="Q56" s="16">
        <f t="shared" si="0"/>
        <v>64000</v>
      </c>
      <c r="R56" s="1143">
        <f>I56-SUM(Q56:Q57)</f>
        <v>56000</v>
      </c>
      <c r="S56" s="16">
        <v>2000000</v>
      </c>
      <c r="T56" s="276"/>
      <c r="U56" s="275"/>
    </row>
    <row r="57" spans="1:21" ht="13.15" customHeight="1">
      <c r="A57" s="1134"/>
      <c r="B57" s="1186"/>
      <c r="C57" s="1145"/>
      <c r="D57" s="1145"/>
      <c r="E57" s="1183"/>
      <c r="F57" s="1145"/>
      <c r="G57" s="1183"/>
      <c r="H57" s="1145"/>
      <c r="I57" s="1183"/>
      <c r="J57" s="1142"/>
      <c r="K57" s="1185"/>
      <c r="L57" s="2"/>
      <c r="M57" s="1160"/>
      <c r="N57" s="111" t="s">
        <v>80</v>
      </c>
      <c r="O57" s="111" t="s">
        <v>4</v>
      </c>
      <c r="P57" s="255">
        <v>110000</v>
      </c>
      <c r="Q57" s="16">
        <f t="shared" si="0"/>
        <v>88000</v>
      </c>
      <c r="R57" s="1145"/>
      <c r="S57" s="16">
        <v>1800000</v>
      </c>
      <c r="T57" s="276"/>
      <c r="U57" s="275"/>
    </row>
    <row r="58" spans="1:21" ht="15" customHeight="1">
      <c r="A58" s="1134"/>
      <c r="B58" s="1189" t="s">
        <v>459</v>
      </c>
      <c r="C58" s="1143">
        <v>208000</v>
      </c>
      <c r="D58" s="1143">
        <v>52000</v>
      </c>
      <c r="E58" s="1182">
        <f>C58+D58</f>
        <v>260000</v>
      </c>
      <c r="F58" s="1152"/>
      <c r="G58" s="1182">
        <f>E58+F58</f>
        <v>260000</v>
      </c>
      <c r="H58" s="1152"/>
      <c r="I58" s="1182">
        <f>G58+H58</f>
        <v>260000</v>
      </c>
      <c r="J58" s="1140">
        <f>200</f>
        <v>200</v>
      </c>
      <c r="K58" s="1189" t="s">
        <v>423</v>
      </c>
      <c r="L58" s="2"/>
      <c r="M58" s="1167" t="s">
        <v>424</v>
      </c>
      <c r="N58" s="2" t="s">
        <v>81</v>
      </c>
      <c r="O58" s="111" t="s">
        <v>4</v>
      </c>
      <c r="P58" s="255">
        <v>150000</v>
      </c>
      <c r="Q58" s="16">
        <f t="shared" si="0"/>
        <v>120000</v>
      </c>
      <c r="R58" s="1152">
        <f>I58-SUM(Q58:Q59)</f>
        <v>20000</v>
      </c>
      <c r="S58" s="264">
        <v>4000000</v>
      </c>
      <c r="T58" s="265"/>
      <c r="U58" s="275"/>
    </row>
    <row r="59" spans="1:21">
      <c r="A59" s="1134"/>
      <c r="B59" s="1189"/>
      <c r="C59" s="1145"/>
      <c r="D59" s="1145"/>
      <c r="E59" s="1183"/>
      <c r="F59" s="1154"/>
      <c r="G59" s="1183"/>
      <c r="H59" s="1154"/>
      <c r="I59" s="1183"/>
      <c r="J59" s="1142"/>
      <c r="K59" s="1189"/>
      <c r="L59" s="2"/>
      <c r="M59" s="1167"/>
      <c r="N59" s="2" t="s">
        <v>83</v>
      </c>
      <c r="O59" s="111" t="s">
        <v>4</v>
      </c>
      <c r="P59" s="255">
        <v>150000</v>
      </c>
      <c r="Q59" s="16">
        <f t="shared" si="0"/>
        <v>120000</v>
      </c>
      <c r="R59" s="1154"/>
      <c r="S59" s="264">
        <v>4000000</v>
      </c>
      <c r="T59" s="265"/>
      <c r="U59" s="275"/>
    </row>
    <row r="60" spans="1:21" ht="14.45" customHeight="1">
      <c r="A60" s="1134"/>
      <c r="B60" s="1187" t="s">
        <v>466</v>
      </c>
      <c r="C60" s="1152">
        <v>0</v>
      </c>
      <c r="D60" s="1143">
        <v>300000</v>
      </c>
      <c r="E60" s="1182">
        <f>C60+D60</f>
        <v>300000</v>
      </c>
      <c r="F60" s="1152">
        <v>150000</v>
      </c>
      <c r="G60" s="1191">
        <f>E60+F60</f>
        <v>450000</v>
      </c>
      <c r="H60" s="1152">
        <v>0</v>
      </c>
      <c r="I60" s="1191">
        <f>G60+H60</f>
        <v>450000</v>
      </c>
      <c r="J60" s="1140">
        <f>400</f>
        <v>400</v>
      </c>
      <c r="K60" s="1189" t="s">
        <v>423</v>
      </c>
      <c r="L60" s="2"/>
      <c r="M60" s="1167"/>
      <c r="N60" s="2" t="s">
        <v>276</v>
      </c>
      <c r="O60" s="111" t="s">
        <v>4</v>
      </c>
      <c r="P60" s="255">
        <v>150000</v>
      </c>
      <c r="Q60" s="16">
        <f t="shared" si="0"/>
        <v>120000</v>
      </c>
      <c r="R60" s="1152">
        <f>I60-SUM(Q60:Q62)</f>
        <v>90000</v>
      </c>
      <c r="S60" s="264">
        <v>4000000</v>
      </c>
      <c r="T60" s="265"/>
      <c r="U60" s="275"/>
    </row>
    <row r="61" spans="1:21" ht="15">
      <c r="A61" s="1134"/>
      <c r="B61" s="1187"/>
      <c r="C61" s="1153"/>
      <c r="D61" s="1144"/>
      <c r="E61" s="1188"/>
      <c r="F61" s="1153"/>
      <c r="G61" s="1192"/>
      <c r="H61" s="1153"/>
      <c r="I61" s="1192"/>
      <c r="J61" s="1141"/>
      <c r="K61" s="1189"/>
      <c r="L61" s="2"/>
      <c r="M61" s="1190" t="s">
        <v>425</v>
      </c>
      <c r="N61" s="270" t="s">
        <v>426</v>
      </c>
      <c r="O61" s="274" t="s">
        <v>4</v>
      </c>
      <c r="P61" s="272">
        <v>150000</v>
      </c>
      <c r="Q61" s="272">
        <f t="shared" si="0"/>
        <v>120000</v>
      </c>
      <c r="R61" s="1153"/>
      <c r="S61" s="273">
        <v>4500000</v>
      </c>
      <c r="T61" s="265"/>
      <c r="U61" s="275"/>
    </row>
    <row r="62" spans="1:21" ht="15">
      <c r="A62" s="1134"/>
      <c r="B62" s="1187"/>
      <c r="C62" s="1153"/>
      <c r="D62" s="1144"/>
      <c r="E62" s="1188"/>
      <c r="F62" s="1153"/>
      <c r="G62" s="1192"/>
      <c r="H62" s="1153"/>
      <c r="I62" s="1192"/>
      <c r="J62" s="1141"/>
      <c r="K62" s="265" t="s">
        <v>423</v>
      </c>
      <c r="L62" s="2"/>
      <c r="M62" s="1190"/>
      <c r="N62" s="277" t="s">
        <v>427</v>
      </c>
      <c r="O62" s="274" t="s">
        <v>4</v>
      </c>
      <c r="P62" s="272">
        <v>150000</v>
      </c>
      <c r="Q62" s="272">
        <f t="shared" si="0"/>
        <v>120000</v>
      </c>
      <c r="R62" s="1153"/>
      <c r="S62" s="273">
        <v>4500000</v>
      </c>
      <c r="T62" s="265" t="s">
        <v>428</v>
      </c>
      <c r="U62" s="275"/>
    </row>
    <row r="63" spans="1:21">
      <c r="A63" s="1134"/>
      <c r="B63" s="1187" t="s">
        <v>467</v>
      </c>
      <c r="C63" s="1152">
        <v>0</v>
      </c>
      <c r="D63" s="1143">
        <v>300000</v>
      </c>
      <c r="E63" s="1146">
        <f>C63+D63</f>
        <v>300000</v>
      </c>
      <c r="F63" s="1152">
        <v>150000</v>
      </c>
      <c r="G63" s="1155">
        <f>E63+F63</f>
        <v>450000</v>
      </c>
      <c r="H63" s="1152">
        <v>0</v>
      </c>
      <c r="I63" s="1155">
        <f>G63+H63</f>
        <v>450000</v>
      </c>
      <c r="J63" s="1140">
        <f>400</f>
        <v>400</v>
      </c>
      <c r="K63" s="265" t="s">
        <v>423</v>
      </c>
      <c r="L63" s="2"/>
      <c r="M63" s="1167" t="s">
        <v>357</v>
      </c>
      <c r="N63" s="278" t="s">
        <v>359</v>
      </c>
      <c r="O63" s="278" t="s">
        <v>429</v>
      </c>
      <c r="P63" s="279">
        <v>150000</v>
      </c>
      <c r="Q63" s="16">
        <f t="shared" si="0"/>
        <v>120000</v>
      </c>
      <c r="R63" s="1152">
        <f>I63-SUM(Q63:Q65)</f>
        <v>90000</v>
      </c>
      <c r="S63" s="280">
        <v>4000000</v>
      </c>
      <c r="T63" s="262"/>
      <c r="U63" s="275"/>
    </row>
    <row r="64" spans="1:21">
      <c r="A64" s="1134"/>
      <c r="B64" s="1187"/>
      <c r="C64" s="1153"/>
      <c r="D64" s="1144"/>
      <c r="E64" s="1146"/>
      <c r="F64" s="1153"/>
      <c r="G64" s="1155"/>
      <c r="H64" s="1153"/>
      <c r="I64" s="1155"/>
      <c r="J64" s="1141"/>
      <c r="K64" s="1189" t="s">
        <v>423</v>
      </c>
      <c r="L64" s="2"/>
      <c r="M64" s="1167"/>
      <c r="N64" s="278" t="s">
        <v>360</v>
      </c>
      <c r="O64" s="278" t="s">
        <v>429</v>
      </c>
      <c r="P64" s="279">
        <v>150000</v>
      </c>
      <c r="Q64" s="16">
        <f t="shared" si="0"/>
        <v>120000</v>
      </c>
      <c r="R64" s="1153"/>
      <c r="S64" s="280">
        <v>4000000</v>
      </c>
      <c r="T64" s="262"/>
      <c r="U64" s="275"/>
    </row>
    <row r="65" spans="1:21">
      <c r="A65" s="1135"/>
      <c r="B65" s="1187"/>
      <c r="C65" s="1154"/>
      <c r="D65" s="1145"/>
      <c r="E65" s="1146"/>
      <c r="F65" s="1153"/>
      <c r="G65" s="1155"/>
      <c r="H65" s="1154"/>
      <c r="I65" s="1155"/>
      <c r="J65" s="1142"/>
      <c r="K65" s="1189"/>
      <c r="L65" s="2"/>
      <c r="M65" s="1167"/>
      <c r="N65" s="278" t="s">
        <v>361</v>
      </c>
      <c r="O65" s="278" t="s">
        <v>429</v>
      </c>
      <c r="P65" s="279">
        <v>150000</v>
      </c>
      <c r="Q65" s="16">
        <f t="shared" si="0"/>
        <v>120000</v>
      </c>
      <c r="R65" s="1154"/>
      <c r="S65" s="280">
        <v>4000000</v>
      </c>
      <c r="T65" s="281" t="s">
        <v>428</v>
      </c>
      <c r="U65" s="275"/>
    </row>
    <row r="66" spans="1:21" ht="14.45" customHeight="1">
      <c r="A66" s="1194" t="s">
        <v>30</v>
      </c>
      <c r="B66" s="1136" t="s">
        <v>85</v>
      </c>
      <c r="C66" s="1195">
        <v>120000</v>
      </c>
      <c r="D66" s="1196">
        <v>0</v>
      </c>
      <c r="E66" s="1195">
        <f>C66+D66</f>
        <v>120000</v>
      </c>
      <c r="F66" s="1197">
        <v>0</v>
      </c>
      <c r="G66" s="1195">
        <f>E66+F66</f>
        <v>120000</v>
      </c>
      <c r="H66" s="1197">
        <v>0</v>
      </c>
      <c r="I66" s="1195">
        <f>G66+H66</f>
        <v>120000</v>
      </c>
      <c r="J66" s="1193"/>
      <c r="K66" s="1184" t="s">
        <v>421</v>
      </c>
      <c r="L66" s="2"/>
      <c r="M66" s="1199" t="s">
        <v>400</v>
      </c>
      <c r="N66" s="2" t="s">
        <v>84</v>
      </c>
      <c r="O66" s="111" t="s">
        <v>4</v>
      </c>
      <c r="P66" s="16">
        <v>80000</v>
      </c>
      <c r="Q66" s="16">
        <f t="shared" si="0"/>
        <v>64000</v>
      </c>
      <c r="R66" s="1197">
        <f>I66-SUM(Q66:Q67)</f>
        <v>-8000</v>
      </c>
      <c r="S66" s="16">
        <v>1500000</v>
      </c>
      <c r="T66" s="276"/>
      <c r="U66" s="275"/>
    </row>
    <row r="67" spans="1:21">
      <c r="A67" s="1194"/>
      <c r="B67" s="1136"/>
      <c r="C67" s="1195"/>
      <c r="D67" s="1196"/>
      <c r="E67" s="1195"/>
      <c r="F67" s="1197"/>
      <c r="G67" s="1195"/>
      <c r="H67" s="1197"/>
      <c r="I67" s="1195"/>
      <c r="J67" s="1193"/>
      <c r="K67" s="1185"/>
      <c r="L67" s="2"/>
      <c r="M67" s="1199"/>
      <c r="N67" s="2" t="s">
        <v>86</v>
      </c>
      <c r="O67" s="111" t="s">
        <v>4</v>
      </c>
      <c r="P67" s="16">
        <v>80000</v>
      </c>
      <c r="Q67" s="16">
        <f t="shared" si="0"/>
        <v>64000</v>
      </c>
      <c r="R67" s="1197"/>
      <c r="S67" s="16">
        <v>1500000</v>
      </c>
      <c r="T67" s="276"/>
      <c r="U67" s="275"/>
    </row>
    <row r="68" spans="1:21">
      <c r="A68" s="1194"/>
      <c r="B68" s="1136" t="s">
        <v>88</v>
      </c>
      <c r="C68" s="1200">
        <v>364000</v>
      </c>
      <c r="D68" s="1196">
        <v>0</v>
      </c>
      <c r="E68" s="1201">
        <f>C68+D68</f>
        <v>364000</v>
      </c>
      <c r="F68" s="1197">
        <v>0</v>
      </c>
      <c r="G68" s="1200">
        <f>E68+F68</f>
        <v>364000</v>
      </c>
      <c r="H68" s="1197">
        <v>0</v>
      </c>
      <c r="I68" s="1200">
        <f>G68+H68</f>
        <v>364000</v>
      </c>
      <c r="J68" s="1193">
        <f>200</f>
        <v>200</v>
      </c>
      <c r="K68" s="1184" t="s">
        <v>430</v>
      </c>
      <c r="L68" s="2"/>
      <c r="M68" s="1167" t="s">
        <v>400</v>
      </c>
      <c r="N68" s="2" t="s">
        <v>87</v>
      </c>
      <c r="O68" s="111" t="s">
        <v>4</v>
      </c>
      <c r="P68" s="16">
        <v>80000</v>
      </c>
      <c r="Q68" s="16">
        <f t="shared" si="0"/>
        <v>64000</v>
      </c>
      <c r="R68" s="1197">
        <f>I68-SUM(Q68:Q70)</f>
        <v>60000</v>
      </c>
      <c r="S68" s="16">
        <v>1500000</v>
      </c>
      <c r="T68" s="276"/>
      <c r="U68" s="275"/>
    </row>
    <row r="69" spans="1:21">
      <c r="A69" s="1194"/>
      <c r="B69" s="1136"/>
      <c r="C69" s="1200"/>
      <c r="D69" s="1196"/>
      <c r="E69" s="1201"/>
      <c r="F69" s="1197"/>
      <c r="G69" s="1200"/>
      <c r="H69" s="1197"/>
      <c r="I69" s="1200"/>
      <c r="J69" s="1193"/>
      <c r="K69" s="1173"/>
      <c r="L69" s="2"/>
      <c r="M69" s="1167"/>
      <c r="N69" s="2" t="s">
        <v>91</v>
      </c>
      <c r="O69" s="111" t="s">
        <v>4</v>
      </c>
      <c r="P69" s="16">
        <v>150000</v>
      </c>
      <c r="Q69" s="16">
        <f t="shared" si="0"/>
        <v>120000</v>
      </c>
      <c r="R69" s="1197"/>
      <c r="S69" s="16">
        <v>2500000</v>
      </c>
      <c r="T69" s="276"/>
      <c r="U69" s="275"/>
    </row>
    <row r="70" spans="1:21">
      <c r="A70" s="1194"/>
      <c r="B70" s="1136"/>
      <c r="C70" s="1200"/>
      <c r="D70" s="1196"/>
      <c r="E70" s="1201"/>
      <c r="F70" s="1197"/>
      <c r="G70" s="1200"/>
      <c r="H70" s="1197"/>
      <c r="I70" s="1200"/>
      <c r="J70" s="1193"/>
      <c r="K70" s="1185"/>
      <c r="L70" s="2"/>
      <c r="M70" s="1167"/>
      <c r="N70" s="2" t="s">
        <v>93</v>
      </c>
      <c r="O70" s="111" t="s">
        <v>4</v>
      </c>
      <c r="P70" s="16">
        <v>150000</v>
      </c>
      <c r="Q70" s="16">
        <f t="shared" si="0"/>
        <v>120000</v>
      </c>
      <c r="R70" s="1197"/>
      <c r="S70" s="16">
        <v>2700000</v>
      </c>
      <c r="T70" s="276"/>
      <c r="U70" s="275"/>
    </row>
    <row r="71" spans="1:21" ht="26.45" customHeight="1">
      <c r="A71" s="1194"/>
      <c r="B71" s="1189" t="s">
        <v>431</v>
      </c>
      <c r="C71" s="1198">
        <v>208000</v>
      </c>
      <c r="D71" s="1146">
        <v>104000</v>
      </c>
      <c r="E71" s="1146">
        <f>+C71+D71</f>
        <v>312000</v>
      </c>
      <c r="F71" s="1155">
        <v>0</v>
      </c>
      <c r="G71" s="1198">
        <f>+E71+F71</f>
        <v>312000</v>
      </c>
      <c r="H71" s="1155">
        <v>0</v>
      </c>
      <c r="I71" s="1198">
        <f>+G71+H71-52000</f>
        <v>260000</v>
      </c>
      <c r="J71" s="1161">
        <f>300</f>
        <v>300</v>
      </c>
      <c r="K71" s="1194" t="s">
        <v>430</v>
      </c>
      <c r="L71" s="2"/>
      <c r="M71" s="1167" t="s">
        <v>400</v>
      </c>
      <c r="N71" s="2" t="s">
        <v>89</v>
      </c>
      <c r="O71" s="254" t="s">
        <v>4</v>
      </c>
      <c r="P71" s="256">
        <v>80000</v>
      </c>
      <c r="Q71" s="256">
        <f t="shared" si="0"/>
        <v>64000</v>
      </c>
      <c r="R71" s="1155">
        <f>I71-SUM(Q71:Q72)</f>
        <v>76000</v>
      </c>
      <c r="S71" s="16">
        <v>1500000</v>
      </c>
      <c r="T71" s="1202" t="s">
        <v>432</v>
      </c>
      <c r="U71" s="275"/>
    </row>
    <row r="72" spans="1:21">
      <c r="A72" s="1194"/>
      <c r="B72" s="1189"/>
      <c r="C72" s="1198"/>
      <c r="D72" s="1146"/>
      <c r="E72" s="1146"/>
      <c r="F72" s="1155"/>
      <c r="G72" s="1198"/>
      <c r="H72" s="1155"/>
      <c r="I72" s="1198"/>
      <c r="J72" s="1161"/>
      <c r="K72" s="1194"/>
      <c r="L72" s="2"/>
      <c r="M72" s="1167"/>
      <c r="N72" s="2" t="s">
        <v>90</v>
      </c>
      <c r="O72" s="111" t="s">
        <v>4</v>
      </c>
      <c r="P72" s="16">
        <v>150000</v>
      </c>
      <c r="Q72" s="16">
        <f t="shared" si="0"/>
        <v>120000</v>
      </c>
      <c r="R72" s="1155"/>
      <c r="S72" s="16">
        <v>2700000</v>
      </c>
      <c r="T72" s="1203"/>
      <c r="U72" s="275"/>
    </row>
    <row r="73" spans="1:21">
      <c r="A73" s="1194"/>
      <c r="B73" s="1189" t="s">
        <v>433</v>
      </c>
      <c r="C73" s="1198">
        <v>260000</v>
      </c>
      <c r="D73" s="1146">
        <v>52000</v>
      </c>
      <c r="E73" s="1146">
        <v>312000</v>
      </c>
      <c r="F73" s="1155">
        <v>0</v>
      </c>
      <c r="G73" s="1198">
        <v>312000</v>
      </c>
      <c r="H73" s="1155">
        <v>0</v>
      </c>
      <c r="I73" s="1198">
        <f>G73+H73+52000</f>
        <v>364000</v>
      </c>
      <c r="J73" s="1161">
        <f>300</f>
        <v>300</v>
      </c>
      <c r="K73" s="1189" t="s">
        <v>423</v>
      </c>
      <c r="L73" s="2"/>
      <c r="M73" s="1184" t="s">
        <v>434</v>
      </c>
      <c r="N73" s="2" t="s">
        <v>435</v>
      </c>
      <c r="O73" s="2" t="s">
        <v>251</v>
      </c>
      <c r="P73" s="255">
        <v>100000</v>
      </c>
      <c r="Q73" s="16">
        <f t="shared" si="0"/>
        <v>80000</v>
      </c>
      <c r="R73" s="1155">
        <f>I73-SUM(Q73:Q76)</f>
        <v>4000</v>
      </c>
      <c r="S73" s="264">
        <v>2000000</v>
      </c>
      <c r="T73" s="1202" t="s">
        <v>436</v>
      </c>
      <c r="U73" s="275"/>
    </row>
    <row r="74" spans="1:21">
      <c r="A74" s="1194"/>
      <c r="B74" s="1189"/>
      <c r="C74" s="1198"/>
      <c r="D74" s="1146"/>
      <c r="E74" s="1146"/>
      <c r="F74" s="1155"/>
      <c r="G74" s="1198"/>
      <c r="H74" s="1155"/>
      <c r="I74" s="1198"/>
      <c r="J74" s="1161"/>
      <c r="K74" s="1189"/>
      <c r="L74" s="282"/>
      <c r="M74" s="1185"/>
      <c r="N74" s="282" t="s">
        <v>437</v>
      </c>
      <c r="O74" s="2" t="s">
        <v>251</v>
      </c>
      <c r="P74" s="255">
        <v>100000</v>
      </c>
      <c r="Q74" s="16">
        <f t="shared" si="0"/>
        <v>80000</v>
      </c>
      <c r="R74" s="1155"/>
      <c r="S74" s="264">
        <v>2000000</v>
      </c>
      <c r="T74" s="1203"/>
      <c r="U74" s="275"/>
    </row>
    <row r="75" spans="1:21">
      <c r="A75" s="1194"/>
      <c r="B75" s="1189"/>
      <c r="C75" s="1198"/>
      <c r="D75" s="1146"/>
      <c r="E75" s="1146"/>
      <c r="F75" s="1155"/>
      <c r="G75" s="1198"/>
      <c r="H75" s="1155"/>
      <c r="I75" s="1198"/>
      <c r="J75" s="1161"/>
      <c r="K75" s="1189"/>
      <c r="L75" s="282"/>
      <c r="M75" s="283" t="s">
        <v>438</v>
      </c>
      <c r="N75" s="2" t="s">
        <v>439</v>
      </c>
      <c r="O75" s="2" t="s">
        <v>251</v>
      </c>
      <c r="P75" s="255">
        <v>100000</v>
      </c>
      <c r="Q75" s="16">
        <f t="shared" si="0"/>
        <v>80000</v>
      </c>
      <c r="R75" s="1155"/>
      <c r="S75" s="264">
        <v>2000000</v>
      </c>
      <c r="T75" s="265" t="s">
        <v>428</v>
      </c>
      <c r="U75" s="275"/>
    </row>
    <row r="76" spans="1:21">
      <c r="A76" s="1194"/>
      <c r="B76" s="1189"/>
      <c r="C76" s="1198"/>
      <c r="D76" s="1146"/>
      <c r="E76" s="1146"/>
      <c r="F76" s="1155"/>
      <c r="G76" s="1198"/>
      <c r="H76" s="1155"/>
      <c r="I76" s="1198"/>
      <c r="J76" s="1161"/>
      <c r="K76" s="1189"/>
      <c r="L76" s="282"/>
      <c r="M76" s="1" t="s">
        <v>440</v>
      </c>
      <c r="N76" s="284" t="s">
        <v>441</v>
      </c>
      <c r="O76" s="111" t="s">
        <v>4</v>
      </c>
      <c r="P76" s="285">
        <v>150000</v>
      </c>
      <c r="Q76" s="16">
        <f t="shared" si="0"/>
        <v>120000</v>
      </c>
      <c r="R76" s="1155"/>
      <c r="S76" s="264">
        <v>4000000</v>
      </c>
      <c r="T76" s="281"/>
      <c r="U76" s="275"/>
    </row>
    <row r="77" spans="1:21">
      <c r="A77" s="1194"/>
      <c r="B77" s="1176" t="s">
        <v>442</v>
      </c>
      <c r="C77" s="1152">
        <v>0</v>
      </c>
      <c r="D77" s="1143">
        <v>300000</v>
      </c>
      <c r="E77" s="1143">
        <f>C77+D77</f>
        <v>300000</v>
      </c>
      <c r="F77" s="1152">
        <v>150000</v>
      </c>
      <c r="G77" s="1152">
        <f>E77+F77</f>
        <v>450000</v>
      </c>
      <c r="H77" s="1152">
        <v>0</v>
      </c>
      <c r="I77" s="1152">
        <f>G77+H77</f>
        <v>450000</v>
      </c>
      <c r="J77" s="1140">
        <f>400</f>
        <v>400</v>
      </c>
      <c r="K77" s="1189" t="s">
        <v>423</v>
      </c>
      <c r="L77" s="282"/>
      <c r="M77" s="1" t="s">
        <v>438</v>
      </c>
      <c r="N77" s="284" t="s">
        <v>443</v>
      </c>
      <c r="O77" s="2" t="s">
        <v>251</v>
      </c>
      <c r="P77" s="255">
        <v>100000</v>
      </c>
      <c r="Q77" s="16">
        <f t="shared" si="0"/>
        <v>80000</v>
      </c>
      <c r="R77" s="1152">
        <f>I77-SUM(Q77:Q80)</f>
        <v>10000</v>
      </c>
      <c r="S77" s="264">
        <v>2000000</v>
      </c>
      <c r="T77" s="281"/>
      <c r="U77" s="275"/>
    </row>
    <row r="78" spans="1:21" ht="15">
      <c r="A78" s="1194"/>
      <c r="B78" s="1177"/>
      <c r="C78" s="1153"/>
      <c r="D78" s="1144"/>
      <c r="E78" s="1144"/>
      <c r="F78" s="1153"/>
      <c r="G78" s="1153"/>
      <c r="H78" s="1153"/>
      <c r="I78" s="1153"/>
      <c r="J78" s="1141"/>
      <c r="K78" s="1189"/>
      <c r="L78" s="2"/>
      <c r="M78" s="1179" t="s">
        <v>444</v>
      </c>
      <c r="N78" s="270" t="s">
        <v>445</v>
      </c>
      <c r="O78" s="113" t="s">
        <v>4</v>
      </c>
      <c r="P78" s="263">
        <v>150000</v>
      </c>
      <c r="Q78" s="17">
        <f t="shared" si="0"/>
        <v>120000</v>
      </c>
      <c r="R78" s="1153"/>
      <c r="S78" s="273">
        <v>4500000</v>
      </c>
      <c r="T78" s="262"/>
    </row>
    <row r="79" spans="1:21" ht="15">
      <c r="A79" s="1194"/>
      <c r="B79" s="1177"/>
      <c r="C79" s="1153"/>
      <c r="D79" s="1144"/>
      <c r="E79" s="1144"/>
      <c r="F79" s="1153"/>
      <c r="G79" s="1153"/>
      <c r="H79" s="1153"/>
      <c r="I79" s="1153"/>
      <c r="J79" s="1141"/>
      <c r="K79" s="1189"/>
      <c r="L79" s="2"/>
      <c r="M79" s="1180"/>
      <c r="N79" s="270" t="s">
        <v>446</v>
      </c>
      <c r="O79" s="113" t="s">
        <v>4</v>
      </c>
      <c r="P79" s="263">
        <v>150000</v>
      </c>
      <c r="Q79" s="17">
        <f t="shared" si="0"/>
        <v>120000</v>
      </c>
      <c r="R79" s="1153"/>
      <c r="S79" s="273">
        <v>4500000</v>
      </c>
      <c r="T79" s="262"/>
    </row>
    <row r="80" spans="1:21" ht="15">
      <c r="A80" s="1194"/>
      <c r="B80" s="1178"/>
      <c r="C80" s="1154"/>
      <c r="D80" s="1145"/>
      <c r="E80" s="1145"/>
      <c r="F80" s="1154"/>
      <c r="G80" s="1154"/>
      <c r="H80" s="1154"/>
      <c r="I80" s="1154"/>
      <c r="J80" s="1142"/>
      <c r="K80" s="1189"/>
      <c r="L80" s="2"/>
      <c r="M80" s="1181"/>
      <c r="N80" s="277" t="s">
        <v>447</v>
      </c>
      <c r="O80" s="113" t="s">
        <v>4</v>
      </c>
      <c r="P80" s="263">
        <v>150000</v>
      </c>
      <c r="Q80" s="17">
        <f t="shared" si="0"/>
        <v>120000</v>
      </c>
      <c r="R80" s="1154"/>
      <c r="S80" s="273">
        <v>4500000</v>
      </c>
      <c r="T80" s="262" t="s">
        <v>428</v>
      </c>
      <c r="U80" s="275"/>
    </row>
    <row r="81" spans="1:21" ht="13.15" customHeight="1">
      <c r="A81" s="1194"/>
      <c r="B81" s="1187" t="s">
        <v>448</v>
      </c>
      <c r="C81" s="1155">
        <v>0</v>
      </c>
      <c r="D81" s="1146">
        <v>0</v>
      </c>
      <c r="E81" s="1146">
        <f>C81+D81</f>
        <v>0</v>
      </c>
      <c r="F81" s="1152">
        <v>150000</v>
      </c>
      <c r="G81" s="1155">
        <f>E81+F81</f>
        <v>150000</v>
      </c>
      <c r="H81" s="1155">
        <v>300000</v>
      </c>
      <c r="I81" s="1155">
        <f>G81+H81</f>
        <v>450000</v>
      </c>
      <c r="J81" s="1161">
        <f>400</f>
        <v>400</v>
      </c>
      <c r="K81" s="1174" t="s">
        <v>449</v>
      </c>
      <c r="L81" s="2"/>
      <c r="M81" s="1179" t="s">
        <v>450</v>
      </c>
      <c r="N81" s="270" t="s">
        <v>451</v>
      </c>
      <c r="O81" s="113" t="s">
        <v>249</v>
      </c>
      <c r="P81" s="263">
        <v>150000</v>
      </c>
      <c r="Q81" s="17">
        <f t="shared" si="0"/>
        <v>120000</v>
      </c>
      <c r="R81" s="1152">
        <f>I81-SUM(Q81:Q84)</f>
        <v>10000</v>
      </c>
      <c r="S81" s="273">
        <v>4500000</v>
      </c>
      <c r="T81" s="286"/>
      <c r="U81" s="275"/>
    </row>
    <row r="82" spans="1:21" ht="15">
      <c r="A82" s="1194"/>
      <c r="B82" s="1187"/>
      <c r="C82" s="1155"/>
      <c r="D82" s="1146"/>
      <c r="E82" s="1146"/>
      <c r="F82" s="1153"/>
      <c r="G82" s="1155"/>
      <c r="H82" s="1155"/>
      <c r="I82" s="1155"/>
      <c r="J82" s="1161"/>
      <c r="K82" s="1204"/>
      <c r="L82" s="2"/>
      <c r="M82" s="1180"/>
      <c r="N82" s="270" t="s">
        <v>452</v>
      </c>
      <c r="O82" s="113" t="s">
        <v>249</v>
      </c>
      <c r="P82" s="263">
        <v>150000</v>
      </c>
      <c r="Q82" s="17">
        <f t="shared" si="0"/>
        <v>120000</v>
      </c>
      <c r="R82" s="1153"/>
      <c r="S82" s="273">
        <v>4500000</v>
      </c>
      <c r="T82" s="287"/>
      <c r="U82" s="275"/>
    </row>
    <row r="83" spans="1:21" ht="15">
      <c r="A83" s="1194"/>
      <c r="B83" s="1187"/>
      <c r="C83" s="1155"/>
      <c r="D83" s="1146"/>
      <c r="E83" s="1146"/>
      <c r="F83" s="1153"/>
      <c r="G83" s="1155"/>
      <c r="H83" s="1155"/>
      <c r="I83" s="1155"/>
      <c r="J83" s="1161"/>
      <c r="K83" s="1204"/>
      <c r="L83" s="2"/>
      <c r="M83" s="1180"/>
      <c r="N83" s="270" t="s">
        <v>453</v>
      </c>
      <c r="O83" s="113" t="s">
        <v>249</v>
      </c>
      <c r="P83" s="263">
        <v>100000</v>
      </c>
      <c r="Q83" s="17">
        <f t="shared" si="0"/>
        <v>80000</v>
      </c>
      <c r="R83" s="1153"/>
      <c r="S83" s="273">
        <v>3500000</v>
      </c>
      <c r="T83" s="287"/>
      <c r="U83" s="275"/>
    </row>
    <row r="84" spans="1:21" ht="15">
      <c r="A84" s="1194"/>
      <c r="B84" s="1187"/>
      <c r="C84" s="1155"/>
      <c r="D84" s="1146"/>
      <c r="E84" s="1146"/>
      <c r="F84" s="1154"/>
      <c r="G84" s="1155"/>
      <c r="H84" s="1155"/>
      <c r="I84" s="1155"/>
      <c r="J84" s="1161"/>
      <c r="K84" s="1175"/>
      <c r="L84" s="2"/>
      <c r="M84" s="1181"/>
      <c r="N84" s="270" t="s">
        <v>454</v>
      </c>
      <c r="O84" s="113" t="s">
        <v>249</v>
      </c>
      <c r="P84" s="263">
        <v>150000</v>
      </c>
      <c r="Q84" s="17">
        <f t="shared" si="0"/>
        <v>120000</v>
      </c>
      <c r="R84" s="1154"/>
      <c r="S84" s="273">
        <v>4500000</v>
      </c>
      <c r="T84" s="288" t="s">
        <v>428</v>
      </c>
      <c r="U84" s="275"/>
    </row>
    <row r="85" spans="1:21">
      <c r="D85" s="289">
        <f>SUM(D27:D84)</f>
        <v>2216000</v>
      </c>
      <c r="F85" s="289">
        <f>SUM(F27:F84)</f>
        <v>1050000</v>
      </c>
      <c r="G85" s="289">
        <f>SUM(G27:G84)</f>
        <v>5914000</v>
      </c>
      <c r="H85" s="289">
        <f>SUM(H27:H84)</f>
        <v>600000</v>
      </c>
      <c r="I85" s="289">
        <f>SUM(I27:I84)</f>
        <v>6514000</v>
      </c>
      <c r="J85" s="289"/>
      <c r="P85" s="289">
        <f>SUM(P27:P84)</f>
        <v>7260000</v>
      </c>
      <c r="Q85" s="289">
        <f>SUM(Q27:Q84)</f>
        <v>5808000</v>
      </c>
    </row>
    <row r="86" spans="1:21">
      <c r="D86" s="290" t="e">
        <f>#REF!+D39+D58+D71+D73</f>
        <v>#REF!</v>
      </c>
    </row>
    <row r="87" spans="1:21">
      <c r="D87" s="290" t="e">
        <f>D85-D86</f>
        <v>#REF!</v>
      </c>
    </row>
    <row r="90" spans="1:21">
      <c r="C90" s="245"/>
      <c r="D90" s="245"/>
      <c r="E90" s="245"/>
      <c r="F90" s="245"/>
      <c r="G90" s="245"/>
      <c r="H90" s="245"/>
      <c r="I90" s="245"/>
      <c r="J90" s="245"/>
      <c r="K90" s="245"/>
      <c r="P90" s="245"/>
      <c r="Q90" s="245"/>
      <c r="R90" s="245"/>
      <c r="S90" s="245"/>
    </row>
    <row r="92" spans="1:21">
      <c r="C92" s="245"/>
      <c r="D92" s="245"/>
      <c r="E92" s="245"/>
      <c r="F92" s="245"/>
      <c r="G92" s="245"/>
      <c r="H92" s="245"/>
      <c r="I92" s="245"/>
      <c r="J92" s="245"/>
      <c r="K92" s="245"/>
      <c r="P92" s="245"/>
      <c r="Q92" s="245"/>
      <c r="R92" s="245"/>
      <c r="S92" s="245"/>
    </row>
    <row r="152" spans="1:21" s="244" customFormat="1">
      <c r="A152" s="246"/>
      <c r="B152" s="242"/>
      <c r="C152" s="242"/>
      <c r="D152" s="242"/>
      <c r="I152" s="291">
        <f>100%-H152</f>
        <v>1</v>
      </c>
      <c r="J152" s="291"/>
      <c r="L152" s="245"/>
      <c r="M152" s="245"/>
      <c r="N152" s="245"/>
      <c r="O152" s="245"/>
      <c r="T152" s="245"/>
      <c r="U152" s="245"/>
    </row>
  </sheetData>
  <mergeCells count="239">
    <mergeCell ref="B77:B80"/>
    <mergeCell ref="C77:C80"/>
    <mergeCell ref="B81:B84"/>
    <mergeCell ref="C81:C84"/>
    <mergeCell ref="D81:D84"/>
    <mergeCell ref="E81:E84"/>
    <mergeCell ref="R81:R84"/>
    <mergeCell ref="G81:G84"/>
    <mergeCell ref="H81:H84"/>
    <mergeCell ref="I81:I84"/>
    <mergeCell ref="J81:J84"/>
    <mergeCell ref="K81:K84"/>
    <mergeCell ref="M81:M84"/>
    <mergeCell ref="H77:H80"/>
    <mergeCell ref="I77:I80"/>
    <mergeCell ref="J77:J80"/>
    <mergeCell ref="R77:R80"/>
    <mergeCell ref="M78:M80"/>
    <mergeCell ref="F81:F84"/>
    <mergeCell ref="G77:G80"/>
    <mergeCell ref="D77:D80"/>
    <mergeCell ref="K77:K80"/>
    <mergeCell ref="T71:T72"/>
    <mergeCell ref="B73:B76"/>
    <mergeCell ref="C73:C76"/>
    <mergeCell ref="D73:D76"/>
    <mergeCell ref="E73:E76"/>
    <mergeCell ref="F73:F76"/>
    <mergeCell ref="G73:G76"/>
    <mergeCell ref="H73:H76"/>
    <mergeCell ref="I73:I76"/>
    <mergeCell ref="J73:J76"/>
    <mergeCell ref="H71:H72"/>
    <mergeCell ref="K73:K76"/>
    <mergeCell ref="T73:T74"/>
    <mergeCell ref="J71:J72"/>
    <mergeCell ref="K71:K72"/>
    <mergeCell ref="M71:M72"/>
    <mergeCell ref="R71:R72"/>
    <mergeCell ref="B71:B72"/>
    <mergeCell ref="C71:C72"/>
    <mergeCell ref="D71:D72"/>
    <mergeCell ref="M73:M74"/>
    <mergeCell ref="R73:R76"/>
    <mergeCell ref="K66:K67"/>
    <mergeCell ref="M66:M67"/>
    <mergeCell ref="R66:R67"/>
    <mergeCell ref="B68:B70"/>
    <mergeCell ref="C68:C70"/>
    <mergeCell ref="D68:D70"/>
    <mergeCell ref="E68:E70"/>
    <mergeCell ref="F68:F70"/>
    <mergeCell ref="G68:G70"/>
    <mergeCell ref="H68:H70"/>
    <mergeCell ref="I68:I70"/>
    <mergeCell ref="J68:J70"/>
    <mergeCell ref="K68:K70"/>
    <mergeCell ref="M68:M70"/>
    <mergeCell ref="R68:R70"/>
    <mergeCell ref="A54:A65"/>
    <mergeCell ref="B63:B65"/>
    <mergeCell ref="E56:E57"/>
    <mergeCell ref="F56:F57"/>
    <mergeCell ref="G60:G62"/>
    <mergeCell ref="H60:H62"/>
    <mergeCell ref="I60:I62"/>
    <mergeCell ref="J60:J62"/>
    <mergeCell ref="J66:J67"/>
    <mergeCell ref="A66:A84"/>
    <mergeCell ref="B66:B67"/>
    <mergeCell ref="C66:C67"/>
    <mergeCell ref="D66:D67"/>
    <mergeCell ref="E66:E67"/>
    <mergeCell ref="F66:F67"/>
    <mergeCell ref="G66:G67"/>
    <mergeCell ref="H66:H67"/>
    <mergeCell ref="I66:I67"/>
    <mergeCell ref="E71:E72"/>
    <mergeCell ref="F71:F72"/>
    <mergeCell ref="G71:G72"/>
    <mergeCell ref="I71:I72"/>
    <mergeCell ref="E77:E80"/>
    <mergeCell ref="F77:F80"/>
    <mergeCell ref="G58:G59"/>
    <mergeCell ref="H58:H59"/>
    <mergeCell ref="R60:R62"/>
    <mergeCell ref="M61:M62"/>
    <mergeCell ref="I58:I59"/>
    <mergeCell ref="J58:J59"/>
    <mergeCell ref="M58:M60"/>
    <mergeCell ref="R58:R59"/>
    <mergeCell ref="C63:C65"/>
    <mergeCell ref="D63:D65"/>
    <mergeCell ref="E63:E65"/>
    <mergeCell ref="K58:K59"/>
    <mergeCell ref="K60:K61"/>
    <mergeCell ref="K64:K65"/>
    <mergeCell ref="R63:R65"/>
    <mergeCell ref="F63:F65"/>
    <mergeCell ref="G63:G65"/>
    <mergeCell ref="H63:H65"/>
    <mergeCell ref="I63:I65"/>
    <mergeCell ref="J63:J65"/>
    <mergeCell ref="M63:M65"/>
    <mergeCell ref="B54:B55"/>
    <mergeCell ref="C54:C55"/>
    <mergeCell ref="D54:D55"/>
    <mergeCell ref="E54:E55"/>
    <mergeCell ref="F54:F55"/>
    <mergeCell ref="B60:B62"/>
    <mergeCell ref="C60:C62"/>
    <mergeCell ref="D60:D62"/>
    <mergeCell ref="E60:E62"/>
    <mergeCell ref="F60:F62"/>
    <mergeCell ref="B58:B59"/>
    <mergeCell ref="C58:C59"/>
    <mergeCell ref="D58:D59"/>
    <mergeCell ref="E58:E59"/>
    <mergeCell ref="F58:F59"/>
    <mergeCell ref="B56:B57"/>
    <mergeCell ref="C56:C57"/>
    <mergeCell ref="D56:D57"/>
    <mergeCell ref="R54:R55"/>
    <mergeCell ref="G54:G55"/>
    <mergeCell ref="H54:H55"/>
    <mergeCell ref="I54:I55"/>
    <mergeCell ref="J54:J55"/>
    <mergeCell ref="K54:K55"/>
    <mergeCell ref="M54:M55"/>
    <mergeCell ref="K56:K57"/>
    <mergeCell ref="M56:M57"/>
    <mergeCell ref="R56:R57"/>
    <mergeCell ref="G56:G57"/>
    <mergeCell ref="H56:H57"/>
    <mergeCell ref="I56:I57"/>
    <mergeCell ref="J56:J57"/>
    <mergeCell ref="J46:J49"/>
    <mergeCell ref="K46:K49"/>
    <mergeCell ref="M46:M49"/>
    <mergeCell ref="R46:R49"/>
    <mergeCell ref="B50:B53"/>
    <mergeCell ref="C50:C53"/>
    <mergeCell ref="D50:D53"/>
    <mergeCell ref="E50:E53"/>
    <mergeCell ref="F50:F53"/>
    <mergeCell ref="G50:G53"/>
    <mergeCell ref="B46:B49"/>
    <mergeCell ref="C46:C49"/>
    <mergeCell ref="D46:D49"/>
    <mergeCell ref="E46:E49"/>
    <mergeCell ref="F46:F49"/>
    <mergeCell ref="G46:G49"/>
    <mergeCell ref="H46:H49"/>
    <mergeCell ref="I46:I49"/>
    <mergeCell ref="K50:K53"/>
    <mergeCell ref="M50:M53"/>
    <mergeCell ref="R50:R53"/>
    <mergeCell ref="H50:H53"/>
    <mergeCell ref="I50:I53"/>
    <mergeCell ref="J50:J53"/>
    <mergeCell ref="H38:H40"/>
    <mergeCell ref="I38:I40"/>
    <mergeCell ref="J38:J40"/>
    <mergeCell ref="M38:M40"/>
    <mergeCell ref="R41:R43"/>
    <mergeCell ref="H44:H45"/>
    <mergeCell ref="I44:I45"/>
    <mergeCell ref="J44:J45"/>
    <mergeCell ref="B44:B45"/>
    <mergeCell ref="C44:C45"/>
    <mergeCell ref="D44:D45"/>
    <mergeCell ref="E44:E45"/>
    <mergeCell ref="F44:F45"/>
    <mergeCell ref="G44:G45"/>
    <mergeCell ref="F41:F43"/>
    <mergeCell ref="G41:G43"/>
    <mergeCell ref="H41:H43"/>
    <mergeCell ref="I34:I37"/>
    <mergeCell ref="J34:J37"/>
    <mergeCell ref="M34:M37"/>
    <mergeCell ref="R34:R37"/>
    <mergeCell ref="K41:K43"/>
    <mergeCell ref="K44:K45"/>
    <mergeCell ref="M44:M45"/>
    <mergeCell ref="R44:R45"/>
    <mergeCell ref="R29:R33"/>
    <mergeCell ref="K34:K37"/>
    <mergeCell ref="K38:K40"/>
    <mergeCell ref="I41:I43"/>
    <mergeCell ref="J41:J43"/>
    <mergeCell ref="M41:M43"/>
    <mergeCell ref="B34:B37"/>
    <mergeCell ref="C34:C37"/>
    <mergeCell ref="D34:D37"/>
    <mergeCell ref="E34:E37"/>
    <mergeCell ref="F34:F37"/>
    <mergeCell ref="G34:G37"/>
    <mergeCell ref="H34:H37"/>
    <mergeCell ref="R38:R40"/>
    <mergeCell ref="K27:K28"/>
    <mergeCell ref="M27:M28"/>
    <mergeCell ref="B38:B40"/>
    <mergeCell ref="C38:C40"/>
    <mergeCell ref="D38:D40"/>
    <mergeCell ref="E38:E40"/>
    <mergeCell ref="F38:F40"/>
    <mergeCell ref="G38:G40"/>
    <mergeCell ref="M29:M33"/>
    <mergeCell ref="F29:F33"/>
    <mergeCell ref="G29:G33"/>
    <mergeCell ref="H29:H33"/>
    <mergeCell ref="I29:I33"/>
    <mergeCell ref="J29:J33"/>
    <mergeCell ref="G27:G28"/>
    <mergeCell ref="H27:H28"/>
    <mergeCell ref="I27:I28"/>
    <mergeCell ref="J27:J28"/>
    <mergeCell ref="B24:E24"/>
    <mergeCell ref="A25:A26"/>
    <mergeCell ref="B25:J25"/>
    <mergeCell ref="K25:L25"/>
    <mergeCell ref="M25:S25"/>
    <mergeCell ref="T25:T26"/>
    <mergeCell ref="K29:K33"/>
    <mergeCell ref="A27:A53"/>
    <mergeCell ref="B27:B28"/>
    <mergeCell ref="C27:C28"/>
    <mergeCell ref="D27:D28"/>
    <mergeCell ref="E27:E28"/>
    <mergeCell ref="F27:F28"/>
    <mergeCell ref="B41:B43"/>
    <mergeCell ref="C41:C43"/>
    <mergeCell ref="D41:D43"/>
    <mergeCell ref="E41:E43"/>
    <mergeCell ref="R27:R28"/>
    <mergeCell ref="B29:B33"/>
    <mergeCell ref="C29:C33"/>
    <mergeCell ref="D29:D33"/>
    <mergeCell ref="E29:E33"/>
  </mergeCells>
  <pageMargins left="0.7" right="0.7" top="0.75" bottom="0.75" header="0.3" footer="0.3"/>
  <pageSetup orientation="portrait" r:id="rId1"/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3"/>
  <sheetViews>
    <sheetView topLeftCell="F1" zoomScaleNormal="100" workbookViewId="0">
      <selection activeCell="H30" sqref="H30"/>
    </sheetView>
  </sheetViews>
  <sheetFormatPr defaultRowHeight="15"/>
  <cols>
    <col min="5" max="5" width="19.28515625" bestFit="1" customWidth="1"/>
    <col min="6" max="6" width="16.42578125" bestFit="1" customWidth="1"/>
    <col min="7" max="7" width="31.85546875" bestFit="1" customWidth="1"/>
    <col min="8" max="8" width="23.140625" bestFit="1" customWidth="1"/>
    <col min="9" max="9" width="30" bestFit="1" customWidth="1"/>
    <col min="11" max="11" width="26" bestFit="1" customWidth="1"/>
    <col min="13" max="13" width="19.7109375" bestFit="1" customWidth="1"/>
    <col min="14" max="14" width="28.42578125" bestFit="1" customWidth="1"/>
    <col min="15" max="15" width="30.5703125" bestFit="1" customWidth="1"/>
    <col min="16" max="16" width="8" customWidth="1"/>
    <col min="20" max="20" width="25.85546875" bestFit="1" customWidth="1"/>
  </cols>
  <sheetData>
    <row r="1" spans="1:28">
      <c r="A1" t="s">
        <v>133</v>
      </c>
      <c r="B1" t="s">
        <v>103</v>
      </c>
      <c r="C1" t="s">
        <v>134</v>
      </c>
      <c r="D1" t="s">
        <v>135</v>
      </c>
      <c r="E1" t="s">
        <v>136</v>
      </c>
      <c r="F1" t="s">
        <v>137</v>
      </c>
      <c r="G1" t="s">
        <v>138</v>
      </c>
      <c r="H1" t="s">
        <v>139</v>
      </c>
      <c r="I1" t="s">
        <v>140</v>
      </c>
      <c r="J1" t="s">
        <v>141</v>
      </c>
      <c r="K1" t="s">
        <v>142</v>
      </c>
      <c r="L1" t="s">
        <v>143</v>
      </c>
      <c r="M1" t="s">
        <v>144</v>
      </c>
      <c r="N1" t="s">
        <v>145</v>
      </c>
      <c r="O1" t="s">
        <v>146</v>
      </c>
      <c r="P1" t="s">
        <v>147</v>
      </c>
      <c r="Q1" t="s">
        <v>148</v>
      </c>
      <c r="R1" t="s">
        <v>149</v>
      </c>
      <c r="S1" t="s">
        <v>150</v>
      </c>
      <c r="T1" t="s">
        <v>151</v>
      </c>
      <c r="U1" t="s">
        <v>152</v>
      </c>
      <c r="V1" t="s">
        <v>153</v>
      </c>
      <c r="W1" t="s">
        <v>154</v>
      </c>
      <c r="X1" t="s">
        <v>155</v>
      </c>
      <c r="Y1" t="s">
        <v>156</v>
      </c>
      <c r="Z1" t="s">
        <v>157</v>
      </c>
      <c r="AA1" t="s">
        <v>158</v>
      </c>
      <c r="AB1" t="s">
        <v>159</v>
      </c>
    </row>
    <row r="2" spans="1:28">
      <c r="A2" t="s">
        <v>509</v>
      </c>
      <c r="B2" t="s">
        <v>15</v>
      </c>
      <c r="C2" t="s">
        <v>160</v>
      </c>
      <c r="D2" t="s">
        <v>173</v>
      </c>
      <c r="E2" s="75">
        <v>114625.65</v>
      </c>
      <c r="F2" s="75">
        <v>11540.85</v>
      </c>
      <c r="G2" s="75">
        <v>126166.51</v>
      </c>
      <c r="H2" s="75">
        <v>200000</v>
      </c>
      <c r="I2" s="75">
        <v>180000</v>
      </c>
      <c r="J2">
        <v>63.08</v>
      </c>
      <c r="K2" s="75">
        <v>68461.41</v>
      </c>
      <c r="L2">
        <v>34.229999999999997</v>
      </c>
      <c r="M2">
        <v>70.09</v>
      </c>
      <c r="N2" s="75">
        <v>97670</v>
      </c>
      <c r="O2" s="75">
        <v>3008708</v>
      </c>
      <c r="P2" s="75">
        <v>3092211</v>
      </c>
      <c r="Q2" s="75">
        <v>3092211</v>
      </c>
      <c r="R2" s="75">
        <v>4000000</v>
      </c>
      <c r="S2">
        <v>77.31</v>
      </c>
      <c r="T2" s="75">
        <v>4063232</v>
      </c>
      <c r="U2">
        <v>76.099999999999994</v>
      </c>
      <c r="V2" s="75">
        <v>78082</v>
      </c>
      <c r="W2" s="75">
        <v>1937531</v>
      </c>
      <c r="X2" s="75">
        <v>2005506</v>
      </c>
      <c r="Y2">
        <v>50.14</v>
      </c>
      <c r="Z2" s="75">
        <v>2006624</v>
      </c>
      <c r="AA2" s="75">
        <v>4063232</v>
      </c>
      <c r="AB2">
        <v>49.38</v>
      </c>
    </row>
    <row r="3" spans="1:28">
      <c r="A3" t="s">
        <v>509</v>
      </c>
      <c r="B3" t="s">
        <v>15</v>
      </c>
      <c r="C3" t="s">
        <v>160</v>
      </c>
      <c r="D3" t="s">
        <v>172</v>
      </c>
      <c r="E3" s="75">
        <v>114402.39</v>
      </c>
      <c r="F3" s="75">
        <v>11280.26</v>
      </c>
      <c r="G3" s="75">
        <v>125682.64</v>
      </c>
      <c r="H3" s="75">
        <v>200000</v>
      </c>
      <c r="I3" s="75">
        <v>180000</v>
      </c>
      <c r="J3">
        <v>62.84</v>
      </c>
      <c r="K3" s="75">
        <v>68974.289999999994</v>
      </c>
      <c r="L3">
        <v>34.49</v>
      </c>
      <c r="M3">
        <v>69.819999999999993</v>
      </c>
      <c r="N3" s="75">
        <v>95285</v>
      </c>
      <c r="O3" s="75">
        <v>2977242</v>
      </c>
      <c r="P3" s="75">
        <v>3058420</v>
      </c>
      <c r="Q3" s="75">
        <v>3058420</v>
      </c>
      <c r="R3" s="75">
        <v>4000000</v>
      </c>
      <c r="S3">
        <v>76.459999999999994</v>
      </c>
      <c r="T3" s="75">
        <v>4063232</v>
      </c>
      <c r="U3">
        <v>75.27</v>
      </c>
      <c r="V3" s="75">
        <v>77035</v>
      </c>
      <c r="W3" s="75">
        <v>1919601</v>
      </c>
      <c r="X3" s="75">
        <v>1986395</v>
      </c>
      <c r="Y3">
        <v>49.66</v>
      </c>
      <c r="Z3" s="75">
        <v>1987517</v>
      </c>
      <c r="AA3" s="75">
        <v>4063232</v>
      </c>
      <c r="AB3">
        <v>48.91</v>
      </c>
    </row>
    <row r="4" spans="1:28">
      <c r="A4" t="s">
        <v>509</v>
      </c>
      <c r="B4" t="s">
        <v>15</v>
      </c>
      <c r="C4" t="s">
        <v>160</v>
      </c>
      <c r="D4" t="s">
        <v>171</v>
      </c>
      <c r="E4" s="75">
        <v>113882.87</v>
      </c>
      <c r="F4" s="75">
        <v>11223.83</v>
      </c>
      <c r="G4" s="75">
        <v>125106.69</v>
      </c>
      <c r="H4" s="75">
        <v>200000</v>
      </c>
      <c r="I4" s="75">
        <v>180000</v>
      </c>
      <c r="J4">
        <v>62.55</v>
      </c>
      <c r="K4" s="75">
        <v>68224.320000000007</v>
      </c>
      <c r="L4">
        <v>34.11</v>
      </c>
      <c r="M4">
        <v>69.5</v>
      </c>
      <c r="N4" s="75">
        <v>93132</v>
      </c>
      <c r="O4" s="75">
        <v>2958370</v>
      </c>
      <c r="P4" s="75">
        <v>3037553</v>
      </c>
      <c r="Q4" s="75">
        <v>3037553</v>
      </c>
      <c r="R4" s="75">
        <v>4000000</v>
      </c>
      <c r="S4">
        <v>75.94</v>
      </c>
      <c r="T4" s="75">
        <v>4063232</v>
      </c>
      <c r="U4">
        <v>74.760000000000005</v>
      </c>
      <c r="V4" s="75">
        <v>75039</v>
      </c>
      <c r="W4" s="75">
        <v>1906871</v>
      </c>
      <c r="X4" s="75">
        <v>1971904</v>
      </c>
      <c r="Y4">
        <v>49.3</v>
      </c>
      <c r="Z4" s="75">
        <v>1973068</v>
      </c>
      <c r="AA4" s="75">
        <v>4063232</v>
      </c>
      <c r="AB4">
        <v>48.56</v>
      </c>
    </row>
    <row r="5" spans="1:28">
      <c r="A5" t="s">
        <v>509</v>
      </c>
      <c r="B5" t="s">
        <v>15</v>
      </c>
      <c r="C5" t="s">
        <v>160</v>
      </c>
      <c r="D5" t="s">
        <v>170</v>
      </c>
      <c r="E5" s="75">
        <v>112908.94</v>
      </c>
      <c r="F5" s="75">
        <v>11280.06</v>
      </c>
      <c r="G5" s="75">
        <v>124189</v>
      </c>
      <c r="H5" s="75">
        <v>200000</v>
      </c>
      <c r="I5" s="75">
        <v>180000</v>
      </c>
      <c r="J5">
        <v>62.09</v>
      </c>
      <c r="K5" s="75">
        <v>67358.289999999994</v>
      </c>
      <c r="L5">
        <v>33.68</v>
      </c>
      <c r="M5">
        <v>68.989999999999995</v>
      </c>
      <c r="N5" s="75">
        <v>93944</v>
      </c>
      <c r="O5" s="75">
        <v>2953056</v>
      </c>
      <c r="P5" s="75">
        <v>3031313</v>
      </c>
      <c r="Q5" s="75">
        <v>3031313</v>
      </c>
      <c r="R5" s="75">
        <v>4000000</v>
      </c>
      <c r="S5">
        <v>75.78</v>
      </c>
      <c r="T5" s="75">
        <v>4063232</v>
      </c>
      <c r="U5">
        <v>74.599999999999994</v>
      </c>
      <c r="V5" s="75">
        <v>75996</v>
      </c>
      <c r="W5" s="75">
        <v>1901765</v>
      </c>
      <c r="X5" s="75">
        <v>1966935</v>
      </c>
      <c r="Y5">
        <v>49.17</v>
      </c>
      <c r="Z5" s="75">
        <v>1968069</v>
      </c>
      <c r="AA5" s="75">
        <v>4063232</v>
      </c>
      <c r="AB5">
        <v>48.44</v>
      </c>
    </row>
    <row r="6" spans="1:28">
      <c r="A6" t="s">
        <v>509</v>
      </c>
      <c r="B6" t="s">
        <v>15</v>
      </c>
      <c r="C6" t="s">
        <v>160</v>
      </c>
      <c r="D6" t="s">
        <v>168</v>
      </c>
      <c r="E6" s="75">
        <v>99068.98</v>
      </c>
      <c r="F6" s="75">
        <v>9842.9699999999993</v>
      </c>
      <c r="G6" s="75">
        <v>108911.94</v>
      </c>
      <c r="H6" s="75">
        <v>135000</v>
      </c>
      <c r="I6" s="75">
        <v>150000</v>
      </c>
      <c r="J6">
        <v>80.680000000000007</v>
      </c>
      <c r="K6" s="75">
        <v>59303.63</v>
      </c>
      <c r="L6">
        <v>43.93</v>
      </c>
      <c r="M6">
        <v>72.61</v>
      </c>
      <c r="N6" s="75">
        <v>81724</v>
      </c>
      <c r="O6" s="75">
        <v>2662566</v>
      </c>
      <c r="P6" s="75">
        <v>2730393</v>
      </c>
      <c r="Q6" s="75">
        <v>2730393</v>
      </c>
      <c r="R6" s="75">
        <v>2800000</v>
      </c>
      <c r="S6">
        <v>97.51</v>
      </c>
      <c r="T6" s="75">
        <v>2990000</v>
      </c>
      <c r="U6">
        <v>91.32</v>
      </c>
      <c r="V6" s="75">
        <v>65177</v>
      </c>
      <c r="W6" s="75">
        <v>1617532</v>
      </c>
      <c r="X6" s="75">
        <v>1672942</v>
      </c>
      <c r="Y6">
        <v>59.75</v>
      </c>
      <c r="Z6" s="75">
        <v>1674020</v>
      </c>
      <c r="AA6" s="75">
        <v>2730000</v>
      </c>
      <c r="AB6">
        <v>61.32</v>
      </c>
    </row>
    <row r="7" spans="1:28">
      <c r="A7" t="s">
        <v>509</v>
      </c>
      <c r="B7" t="s">
        <v>15</v>
      </c>
      <c r="C7" t="s">
        <v>160</v>
      </c>
      <c r="D7" t="s">
        <v>169</v>
      </c>
      <c r="E7" s="75">
        <v>99062.53</v>
      </c>
      <c r="F7" s="75">
        <v>9788.1200000000008</v>
      </c>
      <c r="G7" s="75">
        <v>108850.65</v>
      </c>
      <c r="H7" s="75">
        <v>135000</v>
      </c>
      <c r="I7" s="75">
        <v>150000</v>
      </c>
      <c r="J7">
        <v>80.63</v>
      </c>
      <c r="K7" s="75">
        <v>59520.05</v>
      </c>
      <c r="L7">
        <v>44.09</v>
      </c>
      <c r="M7">
        <v>72.569999999999993</v>
      </c>
      <c r="N7" s="75">
        <v>82627</v>
      </c>
      <c r="O7" s="75">
        <v>2669348</v>
      </c>
      <c r="P7" s="75">
        <v>2740138</v>
      </c>
      <c r="Q7" s="75">
        <v>2740138</v>
      </c>
      <c r="R7" s="75">
        <v>2800000</v>
      </c>
      <c r="S7">
        <v>97.86</v>
      </c>
      <c r="T7" s="75">
        <v>2990000</v>
      </c>
      <c r="U7">
        <v>91.64</v>
      </c>
      <c r="V7" s="75">
        <v>65187</v>
      </c>
      <c r="W7" s="75">
        <v>1622969</v>
      </c>
      <c r="X7" s="75">
        <v>1679723</v>
      </c>
      <c r="Y7">
        <v>59.99</v>
      </c>
      <c r="Z7" s="75">
        <v>1680793</v>
      </c>
      <c r="AA7" s="75">
        <v>2730000</v>
      </c>
      <c r="AB7">
        <v>61.57</v>
      </c>
    </row>
    <row r="8" spans="1:28">
      <c r="A8" t="s">
        <v>509</v>
      </c>
      <c r="B8" t="s">
        <v>15</v>
      </c>
      <c r="C8" t="s">
        <v>160</v>
      </c>
      <c r="D8" t="s">
        <v>166</v>
      </c>
      <c r="E8" s="75">
        <v>96554.5</v>
      </c>
      <c r="F8" s="75">
        <v>9677.06</v>
      </c>
      <c r="G8" s="75">
        <v>106231.56</v>
      </c>
      <c r="H8" s="75">
        <v>135000</v>
      </c>
      <c r="I8" s="75">
        <v>150000</v>
      </c>
      <c r="J8">
        <v>78.69</v>
      </c>
      <c r="K8" s="75">
        <v>57755.69</v>
      </c>
      <c r="L8">
        <v>42.78</v>
      </c>
      <c r="M8">
        <v>70.819999999999993</v>
      </c>
      <c r="N8" s="75">
        <v>80760</v>
      </c>
      <c r="O8" s="75">
        <v>2663016</v>
      </c>
      <c r="P8" s="75">
        <v>2730753</v>
      </c>
      <c r="Q8" s="75">
        <v>2730753</v>
      </c>
      <c r="R8" s="75">
        <v>2800000</v>
      </c>
      <c r="S8">
        <v>97.53</v>
      </c>
      <c r="T8" s="75">
        <v>2990000</v>
      </c>
      <c r="U8">
        <v>91.33</v>
      </c>
      <c r="V8" s="75">
        <v>64478</v>
      </c>
      <c r="W8" s="75">
        <v>1616241</v>
      </c>
      <c r="X8" s="75">
        <v>1671795</v>
      </c>
      <c r="Y8">
        <v>59.71</v>
      </c>
      <c r="Z8" s="75">
        <v>1672861</v>
      </c>
      <c r="AA8" s="75">
        <v>2730000</v>
      </c>
      <c r="AB8">
        <v>61.28</v>
      </c>
    </row>
    <row r="9" spans="1:28">
      <c r="A9" t="s">
        <v>509</v>
      </c>
      <c r="B9" t="s">
        <v>15</v>
      </c>
      <c r="C9" t="s">
        <v>160</v>
      </c>
      <c r="D9" t="s">
        <v>165</v>
      </c>
      <c r="E9" s="75">
        <v>98595</v>
      </c>
      <c r="F9" s="75">
        <v>9850.23</v>
      </c>
      <c r="G9" s="75">
        <v>108445.23</v>
      </c>
      <c r="H9" s="75">
        <v>135000</v>
      </c>
      <c r="I9" s="75">
        <v>150000</v>
      </c>
      <c r="J9">
        <v>80.33</v>
      </c>
      <c r="K9" s="75">
        <v>58228.98</v>
      </c>
      <c r="L9">
        <v>43.13</v>
      </c>
      <c r="M9">
        <v>72.3</v>
      </c>
      <c r="N9" s="75">
        <v>80025</v>
      </c>
      <c r="O9" s="75">
        <v>2653472</v>
      </c>
      <c r="P9" s="75">
        <v>2721489</v>
      </c>
      <c r="Q9" s="75">
        <v>2721489</v>
      </c>
      <c r="R9" s="75">
        <v>2800000</v>
      </c>
      <c r="S9">
        <v>97.2</v>
      </c>
      <c r="T9" s="75">
        <v>2990000</v>
      </c>
      <c r="U9">
        <v>91.02</v>
      </c>
      <c r="V9" s="75">
        <v>63975</v>
      </c>
      <c r="W9" s="75">
        <v>1608892</v>
      </c>
      <c r="X9" s="75">
        <v>1664407</v>
      </c>
      <c r="Y9">
        <v>59.44</v>
      </c>
      <c r="Z9" s="75">
        <v>1665499</v>
      </c>
      <c r="AA9" s="75">
        <v>2730000</v>
      </c>
      <c r="AB9">
        <v>61.01</v>
      </c>
    </row>
    <row r="10" spans="1:28">
      <c r="A10" t="s">
        <v>509</v>
      </c>
      <c r="B10" t="s">
        <v>15</v>
      </c>
      <c r="C10" t="s">
        <v>160</v>
      </c>
      <c r="D10" t="s">
        <v>167</v>
      </c>
      <c r="E10" s="75">
        <v>69950.5</v>
      </c>
      <c r="F10" s="75">
        <v>7050.92</v>
      </c>
      <c r="G10" s="75">
        <v>77001.42</v>
      </c>
      <c r="H10" s="75">
        <v>100000</v>
      </c>
      <c r="I10" s="75">
        <v>100000</v>
      </c>
      <c r="J10">
        <v>77</v>
      </c>
      <c r="K10" s="75">
        <v>40900.47</v>
      </c>
      <c r="L10">
        <v>40.9</v>
      </c>
      <c r="M10">
        <v>77</v>
      </c>
      <c r="N10" s="75">
        <v>54281</v>
      </c>
      <c r="O10" s="75">
        <v>1994961</v>
      </c>
      <c r="P10" s="75">
        <v>2042447</v>
      </c>
      <c r="Q10" s="75">
        <v>2042447</v>
      </c>
      <c r="R10" s="75">
        <v>2400000</v>
      </c>
      <c r="S10">
        <v>85.1</v>
      </c>
      <c r="T10" s="75">
        <v>2470000</v>
      </c>
      <c r="U10">
        <v>82.69</v>
      </c>
      <c r="V10" s="75">
        <v>40833</v>
      </c>
      <c r="W10" s="75">
        <v>1191876</v>
      </c>
      <c r="X10" s="75">
        <v>1229119</v>
      </c>
      <c r="Y10">
        <v>51.21</v>
      </c>
      <c r="Z10" s="75">
        <v>1229842</v>
      </c>
      <c r="AA10" s="75">
        <v>2015000</v>
      </c>
      <c r="AB10">
        <v>61.03</v>
      </c>
    </row>
    <row r="11" spans="1:28">
      <c r="A11" t="s">
        <v>509</v>
      </c>
      <c r="B11" t="s">
        <v>15</v>
      </c>
      <c r="C11" t="s">
        <v>160</v>
      </c>
      <c r="D11" t="s">
        <v>161</v>
      </c>
      <c r="E11" s="75">
        <v>56167.82</v>
      </c>
      <c r="F11" s="75">
        <v>5534.64</v>
      </c>
      <c r="G11" s="75">
        <v>61702.46</v>
      </c>
      <c r="H11" s="75">
        <v>60000</v>
      </c>
      <c r="I11" s="75">
        <v>80000</v>
      </c>
      <c r="J11">
        <v>102.84</v>
      </c>
      <c r="K11" s="75">
        <v>33826.19</v>
      </c>
      <c r="L11">
        <v>56.38</v>
      </c>
      <c r="M11">
        <v>77.13</v>
      </c>
      <c r="N11" s="75">
        <v>49290</v>
      </c>
      <c r="O11" s="75">
        <v>1441395</v>
      </c>
      <c r="P11" s="75">
        <v>1484134</v>
      </c>
      <c r="Q11" s="75">
        <v>1484134</v>
      </c>
      <c r="R11" s="75">
        <v>1500000</v>
      </c>
      <c r="S11">
        <v>98.94</v>
      </c>
      <c r="T11" s="75">
        <v>1755000</v>
      </c>
      <c r="U11">
        <v>84.57</v>
      </c>
      <c r="V11" s="75">
        <v>37956</v>
      </c>
      <c r="W11" s="75">
        <v>854057</v>
      </c>
      <c r="X11" s="75">
        <v>888556</v>
      </c>
      <c r="Y11">
        <v>59.24</v>
      </c>
      <c r="Z11" s="75">
        <v>889372</v>
      </c>
      <c r="AA11" s="75">
        <v>1495000</v>
      </c>
      <c r="AB11">
        <v>59.49</v>
      </c>
    </row>
    <row r="12" spans="1:28">
      <c r="A12" t="s">
        <v>509</v>
      </c>
      <c r="B12" t="s">
        <v>15</v>
      </c>
      <c r="C12" t="s">
        <v>160</v>
      </c>
      <c r="D12" t="s">
        <v>162</v>
      </c>
      <c r="E12" s="75">
        <v>56962.53</v>
      </c>
      <c r="F12" s="75">
        <v>5609.27</v>
      </c>
      <c r="G12" s="75">
        <v>62571.8</v>
      </c>
      <c r="H12" s="75">
        <v>60000</v>
      </c>
      <c r="I12" s="75">
        <v>80000</v>
      </c>
      <c r="J12">
        <v>104.29</v>
      </c>
      <c r="K12" s="75">
        <v>34155.040000000001</v>
      </c>
      <c r="L12">
        <v>56.93</v>
      </c>
      <c r="M12">
        <v>78.209999999999994</v>
      </c>
      <c r="N12" s="75">
        <v>49488</v>
      </c>
      <c r="O12" s="75">
        <v>1449818</v>
      </c>
      <c r="P12" s="75">
        <v>1493881</v>
      </c>
      <c r="Q12" s="75">
        <v>1493881</v>
      </c>
      <c r="R12" s="75">
        <v>1500000</v>
      </c>
      <c r="S12">
        <v>99.59</v>
      </c>
      <c r="T12" s="75">
        <v>1755000</v>
      </c>
      <c r="U12">
        <v>85.12</v>
      </c>
      <c r="V12" s="75">
        <v>38115</v>
      </c>
      <c r="W12" s="75">
        <v>860445</v>
      </c>
      <c r="X12" s="75">
        <v>895640</v>
      </c>
      <c r="Y12">
        <v>59.71</v>
      </c>
      <c r="Z12" s="75">
        <v>896449</v>
      </c>
      <c r="AA12" s="75">
        <v>1495000</v>
      </c>
      <c r="AB12">
        <v>59.96</v>
      </c>
    </row>
    <row r="13" spans="1:28">
      <c r="A13" t="s">
        <v>509</v>
      </c>
      <c r="B13" t="s">
        <v>15</v>
      </c>
      <c r="C13" t="s">
        <v>160</v>
      </c>
      <c r="D13" t="s">
        <v>163</v>
      </c>
      <c r="E13" s="75">
        <v>49868.15</v>
      </c>
      <c r="F13" s="75">
        <v>4975.03</v>
      </c>
      <c r="G13" s="75">
        <v>54843.18</v>
      </c>
      <c r="H13" s="75">
        <v>60000</v>
      </c>
      <c r="I13" s="75">
        <v>80000</v>
      </c>
      <c r="J13">
        <v>91.41</v>
      </c>
      <c r="K13" s="75">
        <v>27574.18</v>
      </c>
      <c r="L13">
        <v>45.96</v>
      </c>
      <c r="M13">
        <v>68.55</v>
      </c>
      <c r="N13" s="75">
        <v>87569</v>
      </c>
      <c r="O13" s="75">
        <v>1319245</v>
      </c>
      <c r="P13" s="75">
        <v>1400477</v>
      </c>
      <c r="Q13" s="75">
        <v>1400477</v>
      </c>
      <c r="R13" s="75">
        <v>1500000</v>
      </c>
      <c r="S13">
        <v>93.37</v>
      </c>
      <c r="T13" s="75">
        <v>1690000</v>
      </c>
      <c r="U13">
        <v>82.87</v>
      </c>
      <c r="V13" s="75">
        <v>33172</v>
      </c>
      <c r="W13" s="75">
        <v>704552</v>
      </c>
      <c r="X13" s="75">
        <v>732941</v>
      </c>
      <c r="Y13">
        <v>48.86</v>
      </c>
      <c r="Z13" s="75">
        <v>734127</v>
      </c>
      <c r="AA13" s="75">
        <v>1495000</v>
      </c>
      <c r="AB13">
        <v>49.11</v>
      </c>
    </row>
    <row r="14" spans="1:28">
      <c r="A14" t="s">
        <v>509</v>
      </c>
      <c r="B14" t="s">
        <v>15</v>
      </c>
      <c r="C14" t="s">
        <v>160</v>
      </c>
      <c r="D14" t="s">
        <v>164</v>
      </c>
      <c r="E14" s="75">
        <v>55927.54</v>
      </c>
      <c r="F14" s="75">
        <v>5484.03</v>
      </c>
      <c r="G14" s="75">
        <v>61411.57</v>
      </c>
      <c r="H14" s="75">
        <v>60000</v>
      </c>
      <c r="I14" s="75">
        <v>80000</v>
      </c>
      <c r="J14">
        <v>102.35</v>
      </c>
      <c r="K14" s="75">
        <v>31117.57</v>
      </c>
      <c r="L14">
        <v>51.86</v>
      </c>
      <c r="M14">
        <v>76.760000000000005</v>
      </c>
      <c r="N14" s="75">
        <v>87052</v>
      </c>
      <c r="O14" s="75">
        <v>1357580</v>
      </c>
      <c r="P14" s="75">
        <v>1439348</v>
      </c>
      <c r="Q14" s="75">
        <v>1439348</v>
      </c>
      <c r="R14" s="75">
        <v>1500000</v>
      </c>
      <c r="S14">
        <v>95.96</v>
      </c>
      <c r="T14" s="75">
        <v>1690000</v>
      </c>
      <c r="U14">
        <v>85.17</v>
      </c>
      <c r="V14" s="75">
        <v>36054</v>
      </c>
      <c r="W14" s="75">
        <v>774547</v>
      </c>
      <c r="X14" s="75">
        <v>807137</v>
      </c>
      <c r="Y14">
        <v>53.81</v>
      </c>
      <c r="Z14" s="75">
        <v>807930</v>
      </c>
      <c r="AA14" s="75">
        <v>1495000</v>
      </c>
      <c r="AB14">
        <v>54.04</v>
      </c>
    </row>
    <row r="15" spans="1:28">
      <c r="A15" t="s">
        <v>509</v>
      </c>
      <c r="B15" t="s">
        <v>15</v>
      </c>
      <c r="C15" t="s">
        <v>160</v>
      </c>
      <c r="D15" t="s">
        <v>272</v>
      </c>
      <c r="E15" s="75">
        <v>110081.93</v>
      </c>
      <c r="F15" s="75">
        <v>10998.82</v>
      </c>
      <c r="G15" s="75">
        <v>121080.75</v>
      </c>
      <c r="H15" s="75">
        <v>200000</v>
      </c>
      <c r="I15" s="75">
        <v>180000</v>
      </c>
      <c r="J15">
        <v>60.54</v>
      </c>
      <c r="K15" s="75">
        <v>66389.61</v>
      </c>
      <c r="L15">
        <v>33.19</v>
      </c>
      <c r="M15">
        <v>67.27</v>
      </c>
      <c r="N15" s="75">
        <v>94064</v>
      </c>
      <c r="O15" s="75">
        <v>3060825</v>
      </c>
      <c r="P15" s="75">
        <v>3139886</v>
      </c>
      <c r="Q15" s="75">
        <v>3139886</v>
      </c>
      <c r="R15" s="75">
        <v>4000000</v>
      </c>
      <c r="S15">
        <v>78.5</v>
      </c>
      <c r="T15" s="75">
        <v>4063232</v>
      </c>
      <c r="U15">
        <v>77.28</v>
      </c>
      <c r="V15" s="75">
        <v>75770</v>
      </c>
      <c r="W15" s="75">
        <v>1876413</v>
      </c>
      <c r="X15" s="75">
        <v>1941452</v>
      </c>
      <c r="Y15">
        <v>48.54</v>
      </c>
      <c r="Z15" s="75">
        <v>1942606</v>
      </c>
      <c r="AA15" s="75">
        <v>4063232</v>
      </c>
      <c r="AB15">
        <v>47.81</v>
      </c>
    </row>
    <row r="16" spans="1:28">
      <c r="A16" t="s">
        <v>509</v>
      </c>
      <c r="B16" t="s">
        <v>15</v>
      </c>
      <c r="C16" t="s">
        <v>160</v>
      </c>
      <c r="D16" t="s">
        <v>273</v>
      </c>
      <c r="E16" s="75">
        <v>110137.66</v>
      </c>
      <c r="F16" s="75">
        <v>11014.53</v>
      </c>
      <c r="G16" s="75">
        <v>121152.19</v>
      </c>
      <c r="H16" s="75">
        <v>200000</v>
      </c>
      <c r="I16" s="75">
        <v>180000</v>
      </c>
      <c r="J16">
        <v>60.58</v>
      </c>
      <c r="K16" s="75">
        <v>66220.039999999994</v>
      </c>
      <c r="L16">
        <v>33.11</v>
      </c>
      <c r="M16">
        <v>67.31</v>
      </c>
      <c r="N16" s="75">
        <v>98548</v>
      </c>
      <c r="O16" s="75">
        <v>3064632</v>
      </c>
      <c r="P16" s="75">
        <v>3147582</v>
      </c>
      <c r="Q16" s="75">
        <v>3147582</v>
      </c>
      <c r="R16" s="75">
        <v>4000000</v>
      </c>
      <c r="S16">
        <v>78.69</v>
      </c>
      <c r="T16" s="75">
        <v>4063232</v>
      </c>
      <c r="U16">
        <v>77.459999999999994</v>
      </c>
      <c r="V16" s="75">
        <v>78465</v>
      </c>
      <c r="W16" s="75">
        <v>1880120</v>
      </c>
      <c r="X16" s="75">
        <v>1947116</v>
      </c>
      <c r="Y16">
        <v>48.68</v>
      </c>
      <c r="Z16" s="75">
        <v>1948184</v>
      </c>
      <c r="AA16" s="75">
        <v>4063232</v>
      </c>
      <c r="AB16">
        <v>47.95</v>
      </c>
    </row>
    <row r="17" spans="1:28">
      <c r="A17" t="s">
        <v>509</v>
      </c>
      <c r="B17" t="s">
        <v>15</v>
      </c>
      <c r="C17" t="s">
        <v>160</v>
      </c>
      <c r="D17" t="s">
        <v>274</v>
      </c>
      <c r="E17" s="75">
        <v>111677.06</v>
      </c>
      <c r="F17" s="75">
        <v>11180.71</v>
      </c>
      <c r="G17" s="75">
        <v>122857.77</v>
      </c>
      <c r="H17" s="75">
        <v>200000</v>
      </c>
      <c r="I17" s="75">
        <v>180000</v>
      </c>
      <c r="J17">
        <v>61.43</v>
      </c>
      <c r="K17" s="75">
        <v>67583.73</v>
      </c>
      <c r="L17">
        <v>33.79</v>
      </c>
      <c r="M17">
        <v>68.25</v>
      </c>
      <c r="N17" s="75">
        <v>100143</v>
      </c>
      <c r="O17" s="75">
        <v>3111790</v>
      </c>
      <c r="P17" s="75">
        <v>3195879</v>
      </c>
      <c r="Q17" s="75">
        <v>3195879</v>
      </c>
      <c r="R17" s="75">
        <v>4000000</v>
      </c>
      <c r="S17">
        <v>79.900000000000006</v>
      </c>
      <c r="T17" s="75">
        <v>4063232</v>
      </c>
      <c r="U17">
        <v>78.650000000000006</v>
      </c>
      <c r="V17" s="75">
        <v>80598</v>
      </c>
      <c r="W17" s="75">
        <v>1902895</v>
      </c>
      <c r="X17" s="75">
        <v>1972530</v>
      </c>
      <c r="Y17">
        <v>49.31</v>
      </c>
      <c r="Z17" s="75">
        <v>1973595</v>
      </c>
      <c r="AA17" s="75">
        <v>4063232</v>
      </c>
      <c r="AB17">
        <v>48.57</v>
      </c>
    </row>
    <row r="18" spans="1:28">
      <c r="A18" t="s">
        <v>509</v>
      </c>
      <c r="B18" t="s">
        <v>15</v>
      </c>
      <c r="C18" t="s">
        <v>160</v>
      </c>
      <c r="D18" t="s">
        <v>339</v>
      </c>
      <c r="E18" s="75">
        <v>110393.61</v>
      </c>
      <c r="F18" s="75">
        <v>10917.64</v>
      </c>
      <c r="G18" s="75">
        <v>121311.25</v>
      </c>
      <c r="K18" s="75">
        <v>66696.67</v>
      </c>
      <c r="N18" s="75">
        <v>104397</v>
      </c>
      <c r="O18" s="75">
        <v>3101342</v>
      </c>
      <c r="P18" s="75">
        <v>3189850</v>
      </c>
      <c r="Q18" s="75">
        <v>3189850</v>
      </c>
      <c r="V18" s="75">
        <v>83041</v>
      </c>
      <c r="W18" s="75">
        <v>1903675</v>
      </c>
      <c r="X18" s="75">
        <v>1975350</v>
      </c>
      <c r="Z18" s="75">
        <v>1976528</v>
      </c>
    </row>
    <row r="19" spans="1:28">
      <c r="A19" t="s">
        <v>509</v>
      </c>
      <c r="B19" t="s">
        <v>15</v>
      </c>
      <c r="C19" t="s">
        <v>160</v>
      </c>
      <c r="D19" t="s">
        <v>3</v>
      </c>
      <c r="E19" s="75">
        <v>1580267.66</v>
      </c>
      <c r="F19" s="75">
        <v>157248.95999999999</v>
      </c>
      <c r="G19" s="75">
        <v>1737516.62</v>
      </c>
      <c r="H19" s="75">
        <v>2280000</v>
      </c>
      <c r="I19" s="75">
        <v>2280000</v>
      </c>
      <c r="J19">
        <v>76.959999999999994</v>
      </c>
      <c r="K19" s="75">
        <v>942290.16</v>
      </c>
      <c r="L19">
        <v>41.41</v>
      </c>
      <c r="M19">
        <v>71.7</v>
      </c>
      <c r="N19" s="75">
        <v>1429999</v>
      </c>
      <c r="O19" s="75">
        <v>42447366</v>
      </c>
      <c r="P19" s="75">
        <v>43675754</v>
      </c>
      <c r="Q19" s="75">
        <v>43675754</v>
      </c>
      <c r="R19" s="75">
        <v>47600000</v>
      </c>
      <c r="S19">
        <v>79.900000000000006</v>
      </c>
      <c r="T19" s="75">
        <v>49762624</v>
      </c>
      <c r="U19">
        <v>82.49</v>
      </c>
      <c r="V19" s="75">
        <v>1068973</v>
      </c>
      <c r="W19" s="75">
        <v>26079982</v>
      </c>
      <c r="X19" s="75">
        <v>27009448</v>
      </c>
      <c r="Y19">
        <v>53.53</v>
      </c>
      <c r="Z19" s="75">
        <v>27027084</v>
      </c>
      <c r="AA19" s="75">
        <v>47357624</v>
      </c>
      <c r="AB19">
        <v>54.28</v>
      </c>
    </row>
    <row r="20" spans="1:28">
      <c r="A20" t="s">
        <v>509</v>
      </c>
      <c r="B20" t="s">
        <v>15</v>
      </c>
      <c r="C20" t="s">
        <v>174</v>
      </c>
      <c r="D20" t="s">
        <v>280</v>
      </c>
      <c r="E20" s="75">
        <v>1920.26</v>
      </c>
      <c r="F20">
        <v>151.30000000000001</v>
      </c>
      <c r="G20" s="75">
        <v>2071.56</v>
      </c>
      <c r="H20" s="75">
        <v>80000</v>
      </c>
      <c r="I20" s="75">
        <v>80000</v>
      </c>
      <c r="J20">
        <v>2.59</v>
      </c>
      <c r="M20">
        <v>2.59</v>
      </c>
      <c r="N20">
        <v>0</v>
      </c>
      <c r="O20" s="75">
        <v>33212</v>
      </c>
      <c r="P20" s="75">
        <v>33212</v>
      </c>
      <c r="Q20" s="75">
        <v>33212</v>
      </c>
      <c r="R20" s="75">
        <v>1500000</v>
      </c>
      <c r="S20">
        <v>2.21</v>
      </c>
      <c r="T20" s="75">
        <v>1500000</v>
      </c>
      <c r="U20">
        <v>2.21</v>
      </c>
      <c r="Z20">
        <v>0</v>
      </c>
      <c r="AA20" s="75">
        <v>28376952</v>
      </c>
      <c r="AB20">
        <v>0</v>
      </c>
    </row>
    <row r="21" spans="1:28">
      <c r="A21" t="s">
        <v>509</v>
      </c>
      <c r="B21" t="s">
        <v>15</v>
      </c>
      <c r="C21" t="s">
        <v>174</v>
      </c>
      <c r="D21" t="s">
        <v>281</v>
      </c>
      <c r="E21" s="75">
        <v>5337.19</v>
      </c>
      <c r="F21">
        <v>460.73</v>
      </c>
      <c r="G21" s="75">
        <v>5797.92</v>
      </c>
      <c r="H21" s="75">
        <v>70000</v>
      </c>
      <c r="I21" s="75">
        <v>70000</v>
      </c>
      <c r="J21">
        <v>8.2799999999999994</v>
      </c>
      <c r="M21">
        <v>8.2799999999999994</v>
      </c>
      <c r="N21">
        <v>0</v>
      </c>
      <c r="O21" s="75">
        <v>86154</v>
      </c>
      <c r="P21" s="75">
        <v>86154</v>
      </c>
      <c r="Q21" s="75">
        <v>86154</v>
      </c>
      <c r="R21" s="75">
        <v>1000000</v>
      </c>
      <c r="S21">
        <v>8.6199999999999992</v>
      </c>
      <c r="T21" s="75">
        <v>1114032</v>
      </c>
      <c r="U21">
        <v>7.73</v>
      </c>
      <c r="Z21">
        <v>0</v>
      </c>
      <c r="AA21" s="75">
        <v>28376952</v>
      </c>
      <c r="AB21">
        <v>0</v>
      </c>
    </row>
    <row r="22" spans="1:28">
      <c r="A22" t="s">
        <v>509</v>
      </c>
      <c r="B22" t="s">
        <v>15</v>
      </c>
      <c r="C22" t="s">
        <v>174</v>
      </c>
      <c r="D22" t="s">
        <v>3</v>
      </c>
      <c r="E22" s="75">
        <v>7257.45</v>
      </c>
      <c r="F22">
        <v>612.03</v>
      </c>
      <c r="G22" s="75">
        <v>7869.48</v>
      </c>
      <c r="H22" s="75">
        <v>150000</v>
      </c>
      <c r="I22" s="75">
        <v>150000</v>
      </c>
      <c r="J22">
        <v>5.44</v>
      </c>
      <c r="M22">
        <v>5.44</v>
      </c>
      <c r="N22">
        <v>0</v>
      </c>
      <c r="O22" s="75">
        <v>119366</v>
      </c>
      <c r="P22" s="75">
        <v>119366</v>
      </c>
      <c r="Q22" s="75">
        <v>119366</v>
      </c>
      <c r="R22" s="75">
        <v>2500000</v>
      </c>
      <c r="S22">
        <v>5.74</v>
      </c>
      <c r="T22" s="75">
        <v>2614032</v>
      </c>
      <c r="U22">
        <v>4.97</v>
      </c>
      <c r="Z22">
        <v>0</v>
      </c>
      <c r="AA22" s="75">
        <v>56753904</v>
      </c>
      <c r="AB22">
        <v>0</v>
      </c>
    </row>
    <row r="23" spans="1:28">
      <c r="A23" t="s">
        <v>509</v>
      </c>
      <c r="B23" t="s">
        <v>25</v>
      </c>
      <c r="C23" t="s">
        <v>160</v>
      </c>
      <c r="D23" t="s">
        <v>179</v>
      </c>
      <c r="E23" s="75">
        <v>103296.03</v>
      </c>
      <c r="F23" s="75">
        <v>9178.34</v>
      </c>
      <c r="G23" s="75">
        <v>112474.37</v>
      </c>
      <c r="H23" s="75">
        <v>200000</v>
      </c>
      <c r="I23" s="75">
        <v>180000</v>
      </c>
      <c r="J23">
        <v>56.24</v>
      </c>
      <c r="K23" s="75">
        <v>57988.76</v>
      </c>
      <c r="L23">
        <v>28.99</v>
      </c>
      <c r="M23">
        <v>62.49</v>
      </c>
      <c r="N23" s="75">
        <v>36167</v>
      </c>
      <c r="O23" s="75">
        <v>2343137</v>
      </c>
      <c r="P23" s="75">
        <v>2372152</v>
      </c>
      <c r="Q23" s="75">
        <v>2372152</v>
      </c>
      <c r="R23" s="75">
        <v>4000000</v>
      </c>
      <c r="S23">
        <v>59.3</v>
      </c>
      <c r="T23" s="75">
        <v>4063232</v>
      </c>
      <c r="U23">
        <v>58.38</v>
      </c>
      <c r="V23" s="75">
        <v>22756</v>
      </c>
      <c r="W23" s="75">
        <v>1478714</v>
      </c>
      <c r="X23" s="75">
        <v>1496954</v>
      </c>
      <c r="Y23">
        <v>37.42</v>
      </c>
      <c r="Z23" s="75">
        <v>1501321</v>
      </c>
      <c r="AA23" s="75">
        <v>4063232</v>
      </c>
      <c r="AB23">
        <v>36.950000000000003</v>
      </c>
    </row>
    <row r="24" spans="1:28">
      <c r="A24" t="s">
        <v>509</v>
      </c>
      <c r="B24" t="s">
        <v>25</v>
      </c>
      <c r="C24" t="s">
        <v>160</v>
      </c>
      <c r="D24" t="s">
        <v>178</v>
      </c>
      <c r="E24" s="75">
        <v>60493.2</v>
      </c>
      <c r="F24" s="75">
        <v>5398.23</v>
      </c>
      <c r="G24" s="75">
        <v>65891.429999999993</v>
      </c>
      <c r="H24" s="75">
        <v>90000</v>
      </c>
      <c r="I24" s="75">
        <v>110000</v>
      </c>
      <c r="J24">
        <v>73.209999999999994</v>
      </c>
      <c r="K24" s="75">
        <v>34004.69</v>
      </c>
      <c r="L24">
        <v>37.78</v>
      </c>
      <c r="M24">
        <v>59.9</v>
      </c>
      <c r="N24" s="75">
        <v>23461</v>
      </c>
      <c r="O24" s="75">
        <v>1357401</v>
      </c>
      <c r="P24" s="75">
        <v>1376458</v>
      </c>
      <c r="Q24" s="75">
        <v>1376458</v>
      </c>
      <c r="R24" s="75">
        <v>1800000</v>
      </c>
      <c r="S24">
        <v>76.47</v>
      </c>
      <c r="T24" s="75">
        <v>2015000</v>
      </c>
      <c r="U24">
        <v>68.31</v>
      </c>
      <c r="V24" s="75">
        <v>14047</v>
      </c>
      <c r="W24" s="75">
        <v>848251</v>
      </c>
      <c r="X24" s="75">
        <v>859588</v>
      </c>
      <c r="Y24">
        <v>47.75</v>
      </c>
      <c r="Z24" s="75">
        <v>863655</v>
      </c>
      <c r="AA24" s="75">
        <v>2535000</v>
      </c>
      <c r="AB24">
        <v>34.07</v>
      </c>
    </row>
    <row r="25" spans="1:28">
      <c r="A25" t="s">
        <v>509</v>
      </c>
      <c r="B25" t="s">
        <v>25</v>
      </c>
      <c r="C25" t="s">
        <v>160</v>
      </c>
      <c r="D25" t="s">
        <v>180</v>
      </c>
      <c r="E25" s="75">
        <v>102955.01</v>
      </c>
      <c r="F25" s="75">
        <v>9120.6299999999992</v>
      </c>
      <c r="G25" s="75">
        <v>112075.64</v>
      </c>
      <c r="H25" s="75">
        <v>200000</v>
      </c>
      <c r="I25" s="75">
        <v>180000</v>
      </c>
      <c r="J25">
        <v>56.04</v>
      </c>
      <c r="K25" s="75">
        <v>57819.39</v>
      </c>
      <c r="L25">
        <v>28.91</v>
      </c>
      <c r="M25">
        <v>62.26</v>
      </c>
      <c r="N25" s="75">
        <v>34965</v>
      </c>
      <c r="O25" s="75">
        <v>2353770</v>
      </c>
      <c r="P25" s="75">
        <v>2382211</v>
      </c>
      <c r="Q25" s="75">
        <v>2382211</v>
      </c>
      <c r="R25" s="75">
        <v>4000000</v>
      </c>
      <c r="S25">
        <v>59.56</v>
      </c>
      <c r="T25" s="75">
        <v>4063232</v>
      </c>
      <c r="U25">
        <v>58.63</v>
      </c>
      <c r="V25" s="75">
        <v>22722</v>
      </c>
      <c r="W25" s="75">
        <v>1486996</v>
      </c>
      <c r="X25" s="75">
        <v>1505239</v>
      </c>
      <c r="Y25">
        <v>37.630000000000003</v>
      </c>
      <c r="Z25" s="75">
        <v>1509494</v>
      </c>
      <c r="AA25" s="75">
        <v>4063232</v>
      </c>
      <c r="AB25">
        <v>37.15</v>
      </c>
    </row>
    <row r="26" spans="1:28">
      <c r="A26" t="s">
        <v>509</v>
      </c>
      <c r="B26" t="s">
        <v>25</v>
      </c>
      <c r="C26" t="s">
        <v>160</v>
      </c>
      <c r="D26" t="s">
        <v>177</v>
      </c>
      <c r="E26" s="75">
        <v>64015.49</v>
      </c>
      <c r="F26" s="75">
        <v>5703.08</v>
      </c>
      <c r="G26" s="75">
        <v>69718.570000000007</v>
      </c>
      <c r="H26" s="75">
        <v>70000</v>
      </c>
      <c r="I26" s="75">
        <v>80000</v>
      </c>
      <c r="J26">
        <v>99.6</v>
      </c>
      <c r="K26" s="75">
        <v>36313.129999999997</v>
      </c>
      <c r="L26">
        <v>51.88</v>
      </c>
      <c r="M26">
        <v>87.15</v>
      </c>
      <c r="N26" s="75">
        <v>24084</v>
      </c>
      <c r="O26" s="75">
        <v>1443006</v>
      </c>
      <c r="P26" s="75">
        <v>1462473</v>
      </c>
      <c r="Q26" s="75">
        <v>1462473</v>
      </c>
      <c r="R26" s="75">
        <v>2000000</v>
      </c>
      <c r="S26">
        <v>73.12</v>
      </c>
      <c r="T26" s="75">
        <v>2148216</v>
      </c>
      <c r="U26">
        <v>68.08</v>
      </c>
      <c r="V26" s="75">
        <v>14615</v>
      </c>
      <c r="W26" s="75">
        <v>905072</v>
      </c>
      <c r="X26" s="75">
        <v>916375</v>
      </c>
      <c r="Y26">
        <v>45.82</v>
      </c>
      <c r="Z26" s="75">
        <v>920458</v>
      </c>
      <c r="AA26" s="75">
        <v>1755000</v>
      </c>
      <c r="AB26">
        <v>52.45</v>
      </c>
    </row>
    <row r="27" spans="1:28">
      <c r="A27" t="s">
        <v>509</v>
      </c>
      <c r="B27" t="s">
        <v>25</v>
      </c>
      <c r="C27" t="s">
        <v>160</v>
      </c>
      <c r="D27" t="s">
        <v>176</v>
      </c>
      <c r="E27" s="75">
        <v>45596.81</v>
      </c>
      <c r="F27" s="75">
        <v>3980.48</v>
      </c>
      <c r="G27" s="75">
        <v>45596.81</v>
      </c>
      <c r="H27" s="75">
        <v>60000</v>
      </c>
      <c r="I27" s="75">
        <v>80000</v>
      </c>
      <c r="J27">
        <v>75.989999999999995</v>
      </c>
      <c r="K27" s="75">
        <v>10131.14</v>
      </c>
      <c r="L27">
        <v>16.89</v>
      </c>
      <c r="M27">
        <v>57</v>
      </c>
      <c r="N27" s="75">
        <v>43746</v>
      </c>
      <c r="O27" s="75">
        <v>1045822</v>
      </c>
      <c r="P27" s="75">
        <v>1085302</v>
      </c>
      <c r="Q27" s="75">
        <v>1085302</v>
      </c>
      <c r="R27" s="75">
        <v>1500000</v>
      </c>
      <c r="S27">
        <v>72.349999999999994</v>
      </c>
      <c r="T27" s="75">
        <v>1690000</v>
      </c>
      <c r="U27">
        <v>64.22</v>
      </c>
      <c r="V27" s="75">
        <v>11200</v>
      </c>
      <c r="W27" s="75">
        <v>641841</v>
      </c>
      <c r="X27" s="75">
        <v>650709</v>
      </c>
      <c r="Y27">
        <v>43.38</v>
      </c>
      <c r="Z27" s="75">
        <v>654599</v>
      </c>
      <c r="AA27" s="75">
        <v>1495000</v>
      </c>
      <c r="AB27">
        <v>43.79</v>
      </c>
    </row>
    <row r="28" spans="1:28">
      <c r="A28" t="s">
        <v>509</v>
      </c>
      <c r="B28" t="s">
        <v>25</v>
      </c>
      <c r="C28" t="s">
        <v>160</v>
      </c>
      <c r="D28" t="s">
        <v>175</v>
      </c>
      <c r="E28" s="75">
        <v>45125.58</v>
      </c>
      <c r="F28" s="75">
        <v>3998.21</v>
      </c>
      <c r="G28" s="75">
        <v>49123.78</v>
      </c>
      <c r="H28" s="75">
        <v>60000</v>
      </c>
      <c r="I28" s="75">
        <v>80000</v>
      </c>
      <c r="J28">
        <v>81.87</v>
      </c>
      <c r="K28" s="75">
        <v>10070.82</v>
      </c>
      <c r="L28">
        <v>16.78</v>
      </c>
      <c r="M28">
        <v>61.4</v>
      </c>
      <c r="N28" s="75">
        <v>43529</v>
      </c>
      <c r="O28" s="75">
        <v>1038005</v>
      </c>
      <c r="P28" s="75">
        <v>1077283</v>
      </c>
      <c r="Q28" s="75">
        <v>1077283</v>
      </c>
      <c r="R28" s="75">
        <v>1500000</v>
      </c>
      <c r="S28">
        <v>71.819999999999993</v>
      </c>
      <c r="T28" s="75">
        <v>1690000</v>
      </c>
      <c r="U28">
        <v>63.74</v>
      </c>
      <c r="V28" s="75">
        <v>11271</v>
      </c>
      <c r="W28" s="75">
        <v>636563</v>
      </c>
      <c r="X28" s="75">
        <v>645247</v>
      </c>
      <c r="Y28">
        <v>43.02</v>
      </c>
      <c r="Z28" s="75">
        <v>649165</v>
      </c>
      <c r="AA28" s="75">
        <v>1495000</v>
      </c>
      <c r="AB28">
        <v>43.42</v>
      </c>
    </row>
    <row r="29" spans="1:28">
      <c r="A29" t="s">
        <v>509</v>
      </c>
      <c r="B29" t="s">
        <v>25</v>
      </c>
      <c r="C29" t="s">
        <v>160</v>
      </c>
      <c r="D29" t="s">
        <v>275</v>
      </c>
      <c r="E29" s="75">
        <v>102140.15</v>
      </c>
      <c r="F29" s="75">
        <v>9129.92</v>
      </c>
      <c r="G29" s="75">
        <v>111270.06</v>
      </c>
      <c r="H29" s="75">
        <v>200000</v>
      </c>
      <c r="I29" s="75">
        <v>180000</v>
      </c>
      <c r="J29">
        <v>55.64</v>
      </c>
      <c r="K29" s="75">
        <v>56847.99</v>
      </c>
      <c r="L29">
        <v>28.42</v>
      </c>
      <c r="M29">
        <v>61.82</v>
      </c>
      <c r="N29" s="75">
        <v>34507</v>
      </c>
      <c r="O29" s="75">
        <v>2341909</v>
      </c>
      <c r="P29" s="75">
        <v>2369770</v>
      </c>
      <c r="Q29" s="75">
        <v>2369770</v>
      </c>
      <c r="R29" s="75">
        <v>4000000</v>
      </c>
      <c r="S29">
        <v>59.24</v>
      </c>
      <c r="T29" s="75">
        <v>4063232</v>
      </c>
      <c r="U29">
        <v>58.32</v>
      </c>
      <c r="V29" s="75">
        <v>22454</v>
      </c>
      <c r="W29" s="75">
        <v>1479616</v>
      </c>
      <c r="X29" s="75">
        <v>1497705</v>
      </c>
      <c r="Y29">
        <v>37.44</v>
      </c>
      <c r="Z29" s="75">
        <v>1501856</v>
      </c>
      <c r="AA29" s="75">
        <v>4063232</v>
      </c>
      <c r="AB29">
        <v>36.96</v>
      </c>
    </row>
    <row r="30" spans="1:28">
      <c r="A30" t="s">
        <v>509</v>
      </c>
      <c r="B30" t="s">
        <v>25</v>
      </c>
      <c r="C30" t="s">
        <v>160</v>
      </c>
      <c r="D30" t="s">
        <v>3</v>
      </c>
      <c r="E30" s="75">
        <v>523622.27</v>
      </c>
      <c r="F30" s="75">
        <v>46508.87</v>
      </c>
      <c r="G30" s="75">
        <v>566150.66</v>
      </c>
      <c r="H30" s="75">
        <v>880000</v>
      </c>
      <c r="I30" s="75">
        <v>890000</v>
      </c>
      <c r="J30">
        <v>71.23</v>
      </c>
      <c r="K30" s="75">
        <v>263175.92</v>
      </c>
      <c r="L30">
        <v>29.95</v>
      </c>
      <c r="M30">
        <v>64.569999999999993</v>
      </c>
      <c r="N30" s="75">
        <v>240459</v>
      </c>
      <c r="O30" s="75">
        <v>11923050</v>
      </c>
      <c r="P30" s="75">
        <v>12125649</v>
      </c>
      <c r="Q30" s="75">
        <v>12125649</v>
      </c>
      <c r="R30" s="75">
        <v>18800000</v>
      </c>
      <c r="S30">
        <v>59.56</v>
      </c>
      <c r="T30" s="75">
        <v>19732912</v>
      </c>
      <c r="U30">
        <v>62.81</v>
      </c>
      <c r="V30" s="75">
        <v>119065</v>
      </c>
      <c r="W30" s="75">
        <v>7477053</v>
      </c>
      <c r="X30" s="75">
        <v>7571817</v>
      </c>
      <c r="Y30">
        <v>41.78</v>
      </c>
      <c r="Z30" s="75">
        <v>7600548</v>
      </c>
      <c r="AA30" s="75">
        <v>19469696</v>
      </c>
      <c r="AB30">
        <v>40.68</v>
      </c>
    </row>
    <row r="31" spans="1:28">
      <c r="A31" t="s">
        <v>509</v>
      </c>
      <c r="B31" t="s">
        <v>25</v>
      </c>
      <c r="C31" t="s">
        <v>174</v>
      </c>
      <c r="D31" t="s">
        <v>340</v>
      </c>
      <c r="E31" s="75">
        <v>51055.32</v>
      </c>
      <c r="F31" s="75">
        <v>4070.24</v>
      </c>
      <c r="G31" s="75">
        <v>55125.56</v>
      </c>
      <c r="N31">
        <v>0</v>
      </c>
      <c r="O31" s="75">
        <v>889891</v>
      </c>
      <c r="P31" s="75">
        <v>889891</v>
      </c>
      <c r="Q31" s="75">
        <v>889891</v>
      </c>
      <c r="Z31">
        <v>0</v>
      </c>
    </row>
    <row r="32" spans="1:28">
      <c r="A32" t="s">
        <v>509</v>
      </c>
      <c r="B32" t="s">
        <v>25</v>
      </c>
      <c r="C32" t="s">
        <v>174</v>
      </c>
      <c r="D32" t="s">
        <v>341</v>
      </c>
      <c r="E32" s="75">
        <v>16569.13</v>
      </c>
      <c r="F32" s="75">
        <v>1294.95</v>
      </c>
      <c r="G32" s="75">
        <v>17864.080000000002</v>
      </c>
      <c r="N32">
        <v>0</v>
      </c>
      <c r="O32" s="75">
        <v>149475</v>
      </c>
      <c r="P32" s="75">
        <v>149475</v>
      </c>
      <c r="Q32" s="75">
        <v>149475</v>
      </c>
      <c r="Z32">
        <v>0</v>
      </c>
    </row>
    <row r="33" spans="1:28">
      <c r="A33" t="s">
        <v>509</v>
      </c>
      <c r="B33" t="s">
        <v>25</v>
      </c>
      <c r="C33" t="s">
        <v>174</v>
      </c>
      <c r="D33" t="s">
        <v>3</v>
      </c>
      <c r="E33" s="75">
        <v>67624.45</v>
      </c>
      <c r="F33" s="75">
        <v>5365.19</v>
      </c>
      <c r="G33" s="75">
        <v>72989.64</v>
      </c>
      <c r="N33">
        <v>0</v>
      </c>
      <c r="O33" s="75">
        <v>1039366</v>
      </c>
      <c r="P33" s="75">
        <v>1039366</v>
      </c>
      <c r="Q33" s="75">
        <v>1039366</v>
      </c>
      <c r="Z33">
        <v>0</v>
      </c>
    </row>
    <row r="34" spans="1:28">
      <c r="A34" t="s">
        <v>509</v>
      </c>
      <c r="B34" t="s">
        <v>30</v>
      </c>
      <c r="C34" t="s">
        <v>160</v>
      </c>
      <c r="D34" t="s">
        <v>187</v>
      </c>
      <c r="E34" s="75">
        <v>106623.76</v>
      </c>
      <c r="F34" s="75">
        <v>10240.99</v>
      </c>
      <c r="G34" s="75">
        <v>116864.74</v>
      </c>
      <c r="H34" s="75">
        <v>120000</v>
      </c>
      <c r="I34" s="75">
        <v>150000</v>
      </c>
      <c r="J34">
        <v>97.39</v>
      </c>
      <c r="K34" s="75">
        <v>59456.65</v>
      </c>
      <c r="L34">
        <v>49.55</v>
      </c>
      <c r="M34">
        <v>77.91</v>
      </c>
      <c r="N34" s="75">
        <v>27595</v>
      </c>
      <c r="O34" s="75">
        <v>2514969</v>
      </c>
      <c r="P34" s="75">
        <v>2540179</v>
      </c>
      <c r="Q34" s="75">
        <v>2540179</v>
      </c>
      <c r="R34" s="75">
        <v>2700000</v>
      </c>
      <c r="S34">
        <v>94.08</v>
      </c>
      <c r="T34" s="75">
        <v>2985000</v>
      </c>
      <c r="U34">
        <v>85.1</v>
      </c>
      <c r="V34" s="75">
        <v>16937</v>
      </c>
      <c r="W34" s="75">
        <v>1519541</v>
      </c>
      <c r="X34" s="75">
        <v>1535396</v>
      </c>
      <c r="Y34">
        <v>56.87</v>
      </c>
      <c r="Z34" s="75">
        <v>1536330</v>
      </c>
      <c r="AA34" s="75">
        <v>2730000</v>
      </c>
      <c r="AB34">
        <v>56.28</v>
      </c>
    </row>
    <row r="35" spans="1:28">
      <c r="A35" t="s">
        <v>509</v>
      </c>
      <c r="B35" t="s">
        <v>30</v>
      </c>
      <c r="C35" t="s">
        <v>160</v>
      </c>
      <c r="D35" t="s">
        <v>185</v>
      </c>
      <c r="E35" s="75">
        <v>104502.85</v>
      </c>
      <c r="F35" s="75">
        <v>10149.49</v>
      </c>
      <c r="G35" s="75">
        <v>114652.33</v>
      </c>
      <c r="H35" s="75">
        <v>130000</v>
      </c>
      <c r="I35" s="75">
        <v>150000</v>
      </c>
      <c r="J35">
        <v>88.19</v>
      </c>
      <c r="K35" s="75">
        <v>58449.54</v>
      </c>
      <c r="L35">
        <v>44.96</v>
      </c>
      <c r="M35">
        <v>76.430000000000007</v>
      </c>
      <c r="N35" s="75">
        <v>27532</v>
      </c>
      <c r="O35" s="75">
        <v>2471107</v>
      </c>
      <c r="P35" s="75">
        <v>2496796</v>
      </c>
      <c r="Q35" s="75">
        <v>2496796</v>
      </c>
      <c r="R35" s="75">
        <v>2700000</v>
      </c>
      <c r="S35">
        <v>92.47</v>
      </c>
      <c r="T35" s="75">
        <v>2990000</v>
      </c>
      <c r="U35">
        <v>83.5</v>
      </c>
      <c r="V35" s="75">
        <v>16333</v>
      </c>
      <c r="W35" s="75">
        <v>1495818</v>
      </c>
      <c r="X35" s="75">
        <v>1511386</v>
      </c>
      <c r="Y35">
        <v>55.98</v>
      </c>
      <c r="Z35" s="75">
        <v>1512313</v>
      </c>
      <c r="AA35" s="75">
        <v>2730000</v>
      </c>
      <c r="AB35">
        <v>55.4</v>
      </c>
    </row>
    <row r="36" spans="1:28">
      <c r="A36" t="s">
        <v>509</v>
      </c>
      <c r="B36" t="s">
        <v>30</v>
      </c>
      <c r="C36" t="s">
        <v>160</v>
      </c>
      <c r="D36" t="s">
        <v>186</v>
      </c>
      <c r="E36" s="75">
        <v>99624.49</v>
      </c>
      <c r="F36" s="75">
        <v>9542.1299999999992</v>
      </c>
      <c r="G36" s="75">
        <v>109166.62</v>
      </c>
      <c r="H36" s="75">
        <v>130000</v>
      </c>
      <c r="I36" s="75">
        <v>150000</v>
      </c>
      <c r="J36">
        <v>83.97</v>
      </c>
      <c r="K36" s="75">
        <v>55944.91</v>
      </c>
      <c r="L36">
        <v>43.03</v>
      </c>
      <c r="M36">
        <v>72.78</v>
      </c>
      <c r="N36" s="75">
        <v>25855</v>
      </c>
      <c r="O36" s="75">
        <v>2332425</v>
      </c>
      <c r="P36" s="75">
        <v>2356373</v>
      </c>
      <c r="Q36" s="75">
        <v>2356373</v>
      </c>
      <c r="R36" s="75">
        <v>2500000</v>
      </c>
      <c r="S36">
        <v>94.25</v>
      </c>
      <c r="T36" s="75">
        <v>2470000</v>
      </c>
      <c r="U36">
        <v>95.4</v>
      </c>
      <c r="V36" s="75">
        <v>15742</v>
      </c>
      <c r="W36" s="75">
        <v>1407331</v>
      </c>
      <c r="X36" s="75">
        <v>1421911</v>
      </c>
      <c r="Y36">
        <v>56.88</v>
      </c>
      <c r="Z36" s="75">
        <v>1422807</v>
      </c>
      <c r="AA36" s="75">
        <v>2535000</v>
      </c>
      <c r="AB36">
        <v>56.13</v>
      </c>
    </row>
    <row r="37" spans="1:28">
      <c r="A37" t="s">
        <v>509</v>
      </c>
      <c r="B37" t="s">
        <v>30</v>
      </c>
      <c r="C37" t="s">
        <v>160</v>
      </c>
      <c r="D37" t="s">
        <v>183</v>
      </c>
      <c r="E37" s="75">
        <v>52442.13</v>
      </c>
      <c r="F37" s="75">
        <v>5184.5200000000004</v>
      </c>
      <c r="G37" s="75">
        <v>57626.65</v>
      </c>
      <c r="H37" s="75">
        <v>60000</v>
      </c>
      <c r="I37" s="75">
        <v>80000</v>
      </c>
      <c r="J37">
        <v>96.04</v>
      </c>
      <c r="K37" s="75">
        <v>28921.94</v>
      </c>
      <c r="L37">
        <v>48.2</v>
      </c>
      <c r="M37">
        <v>72.03</v>
      </c>
      <c r="N37" s="75">
        <v>69875</v>
      </c>
      <c r="O37" s="75">
        <v>1321204</v>
      </c>
      <c r="P37" s="75">
        <v>1390480</v>
      </c>
      <c r="Q37" s="75">
        <v>1390480</v>
      </c>
      <c r="R37" s="75">
        <v>1500000</v>
      </c>
      <c r="S37">
        <v>92.7</v>
      </c>
      <c r="T37" s="75">
        <v>1690000</v>
      </c>
      <c r="U37">
        <v>82.28</v>
      </c>
      <c r="V37" s="75">
        <v>10209</v>
      </c>
      <c r="W37" s="75">
        <v>720348</v>
      </c>
      <c r="X37" s="75">
        <v>729507</v>
      </c>
      <c r="Y37">
        <v>48.63</v>
      </c>
      <c r="Z37" s="75">
        <v>730534</v>
      </c>
      <c r="AA37" s="75">
        <v>1495000</v>
      </c>
      <c r="AB37">
        <v>48.87</v>
      </c>
    </row>
    <row r="38" spans="1:28">
      <c r="A38" t="s">
        <v>509</v>
      </c>
      <c r="B38" t="s">
        <v>30</v>
      </c>
      <c r="C38" t="s">
        <v>160</v>
      </c>
      <c r="D38" t="s">
        <v>184</v>
      </c>
      <c r="E38" s="75">
        <v>52664.480000000003</v>
      </c>
      <c r="F38" s="75">
        <v>5073.9399999999996</v>
      </c>
      <c r="G38" s="75">
        <v>57738.41</v>
      </c>
      <c r="H38" s="75">
        <v>60000</v>
      </c>
      <c r="I38" s="75">
        <v>80000</v>
      </c>
      <c r="J38">
        <v>96.23</v>
      </c>
      <c r="K38" s="75">
        <v>28945.84</v>
      </c>
      <c r="L38">
        <v>48.24</v>
      </c>
      <c r="M38">
        <v>72.17</v>
      </c>
      <c r="N38" s="75">
        <v>66094</v>
      </c>
      <c r="O38" s="75">
        <v>1216682</v>
      </c>
      <c r="P38" s="75">
        <v>1282307</v>
      </c>
      <c r="Q38" s="75">
        <v>1282307</v>
      </c>
      <c r="R38" s="75">
        <v>1500000</v>
      </c>
      <c r="S38">
        <v>85.49</v>
      </c>
      <c r="T38" s="75">
        <v>1690000</v>
      </c>
      <c r="U38">
        <v>75.88</v>
      </c>
      <c r="V38" s="75">
        <v>9885</v>
      </c>
      <c r="W38" s="75">
        <v>711126</v>
      </c>
      <c r="X38" s="75">
        <v>720084</v>
      </c>
      <c r="Y38">
        <v>48.01</v>
      </c>
      <c r="Z38" s="75">
        <v>720743</v>
      </c>
      <c r="AA38" s="75">
        <v>1495000</v>
      </c>
      <c r="AB38">
        <v>48.21</v>
      </c>
    </row>
    <row r="39" spans="1:28">
      <c r="A39" t="s">
        <v>509</v>
      </c>
      <c r="B39" t="s">
        <v>30</v>
      </c>
      <c r="C39" t="s">
        <v>160</v>
      </c>
      <c r="D39" t="s">
        <v>182</v>
      </c>
      <c r="E39" s="75">
        <v>52254.63</v>
      </c>
      <c r="F39" s="75">
        <v>5062.66</v>
      </c>
      <c r="G39" s="75">
        <v>57317.29</v>
      </c>
      <c r="H39" s="75">
        <v>60000</v>
      </c>
      <c r="I39" s="75">
        <v>80000</v>
      </c>
      <c r="J39">
        <v>95.53</v>
      </c>
      <c r="K39" s="75">
        <v>29375.01</v>
      </c>
      <c r="L39">
        <v>48.96</v>
      </c>
      <c r="M39">
        <v>71.650000000000006</v>
      </c>
      <c r="N39" s="75">
        <v>17674</v>
      </c>
      <c r="O39" s="75">
        <v>1176743</v>
      </c>
      <c r="P39" s="75">
        <v>1193615</v>
      </c>
      <c r="Q39" s="75">
        <v>1193615</v>
      </c>
      <c r="R39" s="75">
        <v>1500000</v>
      </c>
      <c r="S39">
        <v>79.569999999999993</v>
      </c>
      <c r="T39" s="75">
        <v>1690000</v>
      </c>
      <c r="U39">
        <v>70.63</v>
      </c>
      <c r="V39" s="75">
        <v>9943</v>
      </c>
      <c r="W39" s="75">
        <v>711866</v>
      </c>
      <c r="X39" s="75">
        <v>720815</v>
      </c>
      <c r="Y39">
        <v>48.05</v>
      </c>
      <c r="Z39" s="75">
        <v>721481</v>
      </c>
      <c r="AA39" s="75">
        <v>1495000</v>
      </c>
      <c r="AB39">
        <v>48.26</v>
      </c>
    </row>
    <row r="40" spans="1:28">
      <c r="A40" t="s">
        <v>509</v>
      </c>
      <c r="B40" t="s">
        <v>30</v>
      </c>
      <c r="C40" t="s">
        <v>160</v>
      </c>
      <c r="D40" t="s">
        <v>181</v>
      </c>
      <c r="E40" s="75">
        <v>43741.31</v>
      </c>
      <c r="F40" s="75">
        <v>3749.67</v>
      </c>
      <c r="G40" s="75">
        <v>47490.99</v>
      </c>
      <c r="H40" s="75">
        <v>60000</v>
      </c>
      <c r="I40" s="75">
        <v>80000</v>
      </c>
      <c r="J40">
        <v>79.150000000000006</v>
      </c>
      <c r="K40" s="75">
        <v>24718.16</v>
      </c>
      <c r="L40">
        <v>41.2</v>
      </c>
      <c r="M40">
        <v>59.36</v>
      </c>
      <c r="N40" s="75">
        <v>18041</v>
      </c>
      <c r="O40" s="75">
        <v>1175868</v>
      </c>
      <c r="P40" s="75">
        <v>1192404</v>
      </c>
      <c r="Q40" s="75">
        <v>1192404</v>
      </c>
      <c r="R40" s="75">
        <v>1500000</v>
      </c>
      <c r="S40">
        <v>79.489999999999995</v>
      </c>
      <c r="T40" s="75">
        <v>1690000</v>
      </c>
      <c r="U40">
        <v>70.56</v>
      </c>
      <c r="V40" s="75">
        <v>9686</v>
      </c>
      <c r="W40" s="75">
        <v>701339</v>
      </c>
      <c r="X40" s="75">
        <v>709875</v>
      </c>
      <c r="Y40">
        <v>47.33</v>
      </c>
      <c r="Z40" s="75">
        <v>710514</v>
      </c>
      <c r="AA40" s="75">
        <v>1495000</v>
      </c>
      <c r="AB40">
        <v>47.53</v>
      </c>
    </row>
    <row r="41" spans="1:28">
      <c r="A41" t="s">
        <v>509</v>
      </c>
      <c r="B41" t="s">
        <v>30</v>
      </c>
      <c r="C41" t="s">
        <v>160</v>
      </c>
      <c r="D41" t="s">
        <v>326</v>
      </c>
      <c r="E41" s="75">
        <v>111298.97</v>
      </c>
      <c r="F41" s="75">
        <v>10765.18</v>
      </c>
      <c r="G41" s="75">
        <v>122064.15</v>
      </c>
      <c r="K41" s="75">
        <v>61342.39</v>
      </c>
      <c r="N41" s="75">
        <v>30266</v>
      </c>
      <c r="O41" s="75">
        <v>2688665</v>
      </c>
      <c r="P41" s="75">
        <v>2715246</v>
      </c>
      <c r="Q41" s="75">
        <v>2715246</v>
      </c>
      <c r="V41" s="75">
        <v>19102</v>
      </c>
      <c r="W41" s="75">
        <v>1632445</v>
      </c>
      <c r="X41" s="75">
        <v>1650891</v>
      </c>
      <c r="Z41" s="75">
        <v>1651856</v>
      </c>
    </row>
    <row r="42" spans="1:28">
      <c r="A42" t="s">
        <v>509</v>
      </c>
      <c r="B42" t="s">
        <v>30</v>
      </c>
      <c r="C42" t="s">
        <v>160</v>
      </c>
      <c r="D42" t="s">
        <v>3</v>
      </c>
      <c r="E42" s="75">
        <v>623152.6</v>
      </c>
      <c r="F42" s="75">
        <v>59768.57</v>
      </c>
      <c r="G42" s="75">
        <v>682921.18</v>
      </c>
      <c r="H42" s="75">
        <v>620000</v>
      </c>
      <c r="I42" s="75">
        <v>770000</v>
      </c>
      <c r="J42">
        <v>90.93</v>
      </c>
      <c r="K42" s="75">
        <v>347154.44</v>
      </c>
      <c r="L42">
        <v>46.31</v>
      </c>
      <c r="M42">
        <v>71.760000000000005</v>
      </c>
      <c r="N42" s="75">
        <v>282932</v>
      </c>
      <c r="O42" s="75">
        <v>14897663</v>
      </c>
      <c r="P42" s="75">
        <v>15167400</v>
      </c>
      <c r="Q42" s="75">
        <v>15167400</v>
      </c>
      <c r="R42" s="75">
        <v>13900000</v>
      </c>
      <c r="S42">
        <v>100.56</v>
      </c>
      <c r="T42" s="75">
        <v>15205000</v>
      </c>
      <c r="U42">
        <v>80.48</v>
      </c>
      <c r="V42" s="75">
        <v>107837</v>
      </c>
      <c r="W42" s="75">
        <v>8899814</v>
      </c>
      <c r="X42" s="75">
        <v>8999865</v>
      </c>
      <c r="Y42">
        <v>51.68</v>
      </c>
      <c r="Z42" s="75">
        <v>9006578</v>
      </c>
      <c r="AA42" s="75">
        <v>13975000</v>
      </c>
      <c r="AB42">
        <v>51.52</v>
      </c>
    </row>
    <row r="43" spans="1:28">
      <c r="A43" t="s">
        <v>509</v>
      </c>
      <c r="B43" t="s">
        <v>3</v>
      </c>
      <c r="C43" t="s">
        <v>3</v>
      </c>
      <c r="D43" t="s">
        <v>3</v>
      </c>
      <c r="E43" s="75">
        <v>2801924.44</v>
      </c>
      <c r="F43" s="75">
        <v>269503.62</v>
      </c>
      <c r="G43" s="75">
        <v>3067447.58</v>
      </c>
      <c r="H43" s="75">
        <v>3930000</v>
      </c>
      <c r="I43" s="75">
        <v>4090000</v>
      </c>
      <c r="J43">
        <v>74.290000000000006</v>
      </c>
      <c r="K43" s="75">
        <v>1552620.52</v>
      </c>
      <c r="L43">
        <v>39.880000000000003</v>
      </c>
      <c r="M43">
        <v>66.010000000000005</v>
      </c>
      <c r="N43" s="75">
        <v>1953390</v>
      </c>
      <c r="O43" s="75">
        <v>70426811</v>
      </c>
      <c r="P43" s="75">
        <v>72127535</v>
      </c>
      <c r="Q43" s="75">
        <v>72127535</v>
      </c>
      <c r="R43" s="75">
        <v>82800000</v>
      </c>
      <c r="S43">
        <v>79.900000000000006</v>
      </c>
      <c r="T43" s="75">
        <v>87314568</v>
      </c>
      <c r="U43">
        <v>72.900000000000006</v>
      </c>
      <c r="V43" s="75">
        <v>1295875</v>
      </c>
      <c r="W43" s="75">
        <v>42456849</v>
      </c>
      <c r="X43" s="75">
        <v>43581130</v>
      </c>
      <c r="Y43">
        <v>50.36</v>
      </c>
      <c r="Z43" s="75">
        <v>43634210</v>
      </c>
      <c r="AA43" s="75">
        <v>137556224</v>
      </c>
      <c r="AB43">
        <v>47.31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Q58"/>
  <sheetViews>
    <sheetView zoomScaleNormal="100" workbookViewId="0">
      <pane xSplit="5" ySplit="2" topLeftCell="F3" activePane="bottomRight" state="frozen"/>
      <selection pane="topRight" activeCell="BH1" sqref="BH1"/>
      <selection pane="bottomLeft" activeCell="A3" sqref="A3"/>
      <selection pane="bottomRight" activeCell="L11" sqref="L11"/>
    </sheetView>
  </sheetViews>
  <sheetFormatPr defaultColWidth="8.7109375" defaultRowHeight="15"/>
  <cols>
    <col min="1" max="1" width="4.42578125" style="65" bestFit="1" customWidth="1"/>
    <col min="2" max="2" width="10.7109375" style="65" customWidth="1"/>
    <col min="3" max="3" width="7.5703125" style="65" customWidth="1"/>
    <col min="4" max="4" width="6" style="65" customWidth="1"/>
    <col min="5" max="5" width="12.42578125" style="65" customWidth="1"/>
    <col min="6" max="6" width="18.5703125" style="71" bestFit="1" customWidth="1"/>
    <col min="7" max="7" width="15.5703125" style="71" customWidth="1"/>
    <col min="8" max="8" width="13.28515625" style="72" bestFit="1" customWidth="1"/>
    <col min="9" max="9" width="14.85546875" style="145" bestFit="1" customWidth="1"/>
    <col min="10" max="10" width="9.85546875" style="145" customWidth="1"/>
    <col min="11" max="11" width="10.5703125" style="63" bestFit="1" customWidth="1"/>
    <col min="12" max="12" width="12.42578125" style="161" customWidth="1"/>
    <col min="13" max="13" width="9.85546875" style="64" customWidth="1"/>
    <col min="14" max="14" width="9.85546875" style="64" bestFit="1" customWidth="1"/>
    <col min="15" max="15" width="9.85546875" style="71" customWidth="1"/>
    <col min="16" max="16" width="9.85546875" style="64" customWidth="1"/>
    <col min="17" max="17" width="20.85546875" style="64" bestFit="1" customWidth="1"/>
    <col min="18" max="16384" width="8.7109375" style="65"/>
  </cols>
  <sheetData>
    <row r="1" spans="1:17" ht="27.6" customHeight="1">
      <c r="A1" s="7"/>
      <c r="B1" s="7"/>
      <c r="C1" s="7"/>
      <c r="D1" s="7"/>
      <c r="E1" s="397"/>
      <c r="F1" s="1002" t="str">
        <f>Input_TaiNguyenNode__GGSN_Daily!A4</f>
        <v>14/08/2024</v>
      </c>
      <c r="G1" s="1002"/>
      <c r="H1" s="398" t="s">
        <v>6</v>
      </c>
      <c r="I1" s="1001" t="s">
        <v>371</v>
      </c>
      <c r="J1" s="1001"/>
      <c r="K1" s="73"/>
      <c r="L1" s="158"/>
      <c r="M1" s="67"/>
      <c r="N1" s="67"/>
      <c r="O1" s="142"/>
      <c r="P1" s="67"/>
      <c r="Q1" s="237"/>
    </row>
    <row r="2" spans="1:17" ht="60">
      <c r="A2" s="7" t="s">
        <v>0</v>
      </c>
      <c r="B2" s="7" t="s">
        <v>7</v>
      </c>
      <c r="C2" s="7" t="s">
        <v>43</v>
      </c>
      <c r="D2" s="7" t="s">
        <v>44</v>
      </c>
      <c r="E2" s="7" t="s">
        <v>502</v>
      </c>
      <c r="F2" s="178" t="s">
        <v>506</v>
      </c>
      <c r="G2" s="178" t="s">
        <v>505</v>
      </c>
      <c r="H2" s="31" t="s">
        <v>508</v>
      </c>
      <c r="I2" s="9" t="s">
        <v>263</v>
      </c>
      <c r="J2" s="9" t="s">
        <v>49</v>
      </c>
      <c r="K2" s="32" t="s">
        <v>51</v>
      </c>
      <c r="L2" s="159" t="s">
        <v>476</v>
      </c>
      <c r="M2" s="32" t="s">
        <v>266</v>
      </c>
      <c r="N2" s="141" t="s">
        <v>268</v>
      </c>
      <c r="O2" s="9" t="s">
        <v>269</v>
      </c>
      <c r="P2" s="32" t="s">
        <v>318</v>
      </c>
      <c r="Q2" s="238" t="s">
        <v>370</v>
      </c>
    </row>
    <row r="3" spans="1:17" s="199" customFormat="1">
      <c r="A3" s="110">
        <v>1</v>
      </c>
      <c r="B3" s="111" t="s">
        <v>58</v>
      </c>
      <c r="C3" s="111" t="s">
        <v>4</v>
      </c>
      <c r="D3" s="112" t="s">
        <v>15</v>
      </c>
      <c r="E3" s="16">
        <f>VLOOKUP(B3,[13]Sheet1!$A:$C,3,FALSE)</f>
        <v>975000</v>
      </c>
      <c r="F3" s="77">
        <f>VLOOKUP(B3,IP_pool__IMS_Peak_day_crosstab!B:F,5,FALSE)</f>
        <v>47</v>
      </c>
      <c r="G3" s="77">
        <f>VLOOKUP(B3,IP_pool__IMS_Peak_day_crosstab!B:F,4,FALSE)</f>
        <v>982993</v>
      </c>
      <c r="H3" s="195">
        <f>F3/E3</f>
        <v>4.8205128205128205E-5</v>
      </c>
      <c r="I3" s="77">
        <f t="shared" ref="I3:I8" si="0">(F3+(O3/SUM($O$3:$O$21)-L3/SUM($L$3:$L$21))*SUM($F$3:$F$21))*N3</f>
        <v>47</v>
      </c>
      <c r="J3" s="195">
        <f t="shared" ref="J3:J8" si="1">I3/E3</f>
        <v>4.8205128205128205E-5</v>
      </c>
      <c r="K3" s="16">
        <v>60000</v>
      </c>
      <c r="L3" s="16">
        <v>40</v>
      </c>
      <c r="M3" s="16">
        <f t="shared" ref="M3:M43" si="2">G3/(SUM($G$3:$G$21))*SUM($L$3:$L$21)</f>
        <v>79.251728285839292</v>
      </c>
      <c r="N3" s="165">
        <f t="shared" ref="N3:N40" si="3">IF(O3=0,0,1)</f>
        <v>1</v>
      </c>
      <c r="O3" s="16">
        <v>40</v>
      </c>
      <c r="P3" s="197" t="str">
        <f>IF(L3=O3,"NO","YES")</f>
        <v>NO</v>
      </c>
      <c r="Q3" s="239" t="str">
        <f>VLOOKUP(B3,Input_Lic_Rate_PS!K:S,9,FALSE)</f>
        <v>SSR 8020</v>
      </c>
    </row>
    <row r="4" spans="1:17" s="199" customFormat="1">
      <c r="A4" s="110">
        <v>2</v>
      </c>
      <c r="B4" s="111" t="s">
        <v>60</v>
      </c>
      <c r="C4" s="111" t="s">
        <v>4</v>
      </c>
      <c r="D4" s="112" t="s">
        <v>15</v>
      </c>
      <c r="E4" s="16">
        <f>VLOOKUP(B4,[13]Sheet1!$A:$C,3,FALSE)</f>
        <v>975000</v>
      </c>
      <c r="F4" s="77">
        <f>VLOOKUP(B4,IP_pool__IMS_Peak_day_crosstab!B:F,5,FALSE)</f>
        <v>499944</v>
      </c>
      <c r="G4" s="77">
        <f>VLOOKUP(B4,IP_pool__IMS_Peak_day_crosstab!B:F,4,FALSE)</f>
        <v>483096</v>
      </c>
      <c r="H4" s="195">
        <f t="shared" ref="H4:H47" si="4">F4/E4</f>
        <v>0.51276307692307688</v>
      </c>
      <c r="I4" s="77">
        <f t="shared" si="0"/>
        <v>499944</v>
      </c>
      <c r="J4" s="195">
        <f t="shared" si="1"/>
        <v>0.51276307692307688</v>
      </c>
      <c r="K4" s="16">
        <v>60000</v>
      </c>
      <c r="L4" s="16">
        <v>40</v>
      </c>
      <c r="M4" s="16">
        <f t="shared" si="2"/>
        <v>38.948591625755029</v>
      </c>
      <c r="N4" s="165">
        <f t="shared" si="3"/>
        <v>1</v>
      </c>
      <c r="O4" s="16">
        <v>40</v>
      </c>
      <c r="P4" s="197" t="str">
        <f t="shared" ref="P4:P43" si="5">IF(L4=O4,"NO","YES")</f>
        <v>NO</v>
      </c>
      <c r="Q4" s="239" t="str">
        <f>VLOOKUP(B4,Input_Lic_Rate_PS!K:S,9,FALSE)</f>
        <v>SSR 8020</v>
      </c>
    </row>
    <row r="5" spans="1:17" s="224" customFormat="1">
      <c r="A5" s="128">
        <v>3</v>
      </c>
      <c r="B5" s="129" t="s">
        <v>61</v>
      </c>
      <c r="C5" s="129" t="s">
        <v>4</v>
      </c>
      <c r="D5" s="130" t="s">
        <v>15</v>
      </c>
      <c r="E5" s="16">
        <f>VLOOKUP(B5,[13]Sheet1!$A:$C,3,FALSE)</f>
        <v>975000</v>
      </c>
      <c r="F5" s="77">
        <f>VLOOKUP(B5,IP_pool__IMS_Peak_day_crosstab!B:F,5,FALSE)</f>
        <v>107941</v>
      </c>
      <c r="G5" s="77">
        <f>VLOOKUP(B5,IP_pool__IMS_Peak_day_crosstab!B:F,4,FALSE)</f>
        <v>875099</v>
      </c>
      <c r="H5" s="195">
        <f t="shared" si="4"/>
        <v>0.11070871794871795</v>
      </c>
      <c r="I5" s="219">
        <f t="shared" si="0"/>
        <v>107941</v>
      </c>
      <c r="J5" s="220">
        <f t="shared" si="1"/>
        <v>0.11070871794871795</v>
      </c>
      <c r="K5" s="131">
        <v>60000</v>
      </c>
      <c r="L5" s="131">
        <v>35</v>
      </c>
      <c r="M5" s="131">
        <f t="shared" si="2"/>
        <v>70.553003094843689</v>
      </c>
      <c r="N5" s="222">
        <f t="shared" si="3"/>
        <v>1</v>
      </c>
      <c r="O5" s="131">
        <v>35</v>
      </c>
      <c r="P5" s="292" t="str">
        <f t="shared" si="5"/>
        <v>NO</v>
      </c>
      <c r="Q5" s="293" t="str">
        <f>VLOOKUP(B5,Input_Lic_Rate_PS!K:S,9,FALSE)</f>
        <v>SSR 8020</v>
      </c>
    </row>
    <row r="6" spans="1:17" s="224" customFormat="1">
      <c r="A6" s="128">
        <v>4</v>
      </c>
      <c r="B6" s="129" t="s">
        <v>63</v>
      </c>
      <c r="C6" s="129" t="s">
        <v>4</v>
      </c>
      <c r="D6" s="130" t="s">
        <v>15</v>
      </c>
      <c r="E6" s="16">
        <f>VLOOKUP(B6,[13]Sheet1!$A:$C,3,FALSE)</f>
        <v>975000</v>
      </c>
      <c r="F6" s="77">
        <f>VLOOKUP(B6,IP_pool__IMS_Peak_day_crosstab!B:F,5,FALSE)</f>
        <v>499944</v>
      </c>
      <c r="G6" s="77">
        <f>VLOOKUP(B6,IP_pool__IMS_Peak_day_crosstab!B:F,4,FALSE)</f>
        <v>483096</v>
      </c>
      <c r="H6" s="195">
        <f t="shared" si="4"/>
        <v>0.51276307692307688</v>
      </c>
      <c r="I6" s="219">
        <f t="shared" si="0"/>
        <v>499944</v>
      </c>
      <c r="J6" s="220">
        <f t="shared" si="1"/>
        <v>0.51276307692307688</v>
      </c>
      <c r="K6" s="131">
        <v>60000</v>
      </c>
      <c r="L6" s="131">
        <v>35</v>
      </c>
      <c r="M6" s="131">
        <f t="shared" si="2"/>
        <v>38.948591625755029</v>
      </c>
      <c r="N6" s="222">
        <f t="shared" si="3"/>
        <v>1</v>
      </c>
      <c r="O6" s="131">
        <v>35</v>
      </c>
      <c r="P6" s="292" t="str">
        <f t="shared" si="5"/>
        <v>NO</v>
      </c>
      <c r="Q6" s="293" t="str">
        <f>VLOOKUP(B6,Input_Lic_Rate_PS!K:S,9,FALSE)</f>
        <v>SSR 8020</v>
      </c>
    </row>
    <row r="7" spans="1:17" s="224" customFormat="1">
      <c r="A7" s="128">
        <v>5</v>
      </c>
      <c r="B7" s="129" t="s">
        <v>67</v>
      </c>
      <c r="C7" s="129" t="s">
        <v>4</v>
      </c>
      <c r="D7" s="130" t="s">
        <v>15</v>
      </c>
      <c r="E7" s="16">
        <f>VLOOKUP(B7,[13]Sheet1!$A:$C,3,FALSE)</f>
        <v>1690000</v>
      </c>
      <c r="F7" s="77">
        <f>VLOOKUP(B7,IP_pool__IMS_Peak_day_crosstab!B:F,5,FALSE)</f>
        <v>932483</v>
      </c>
      <c r="G7" s="77">
        <f>VLOOKUP(B7,IP_pool__IMS_Peak_day_crosstab!B:F,4,FALSE)</f>
        <v>771453</v>
      </c>
      <c r="H7" s="195">
        <f t="shared" si="4"/>
        <v>0.55176508875739649</v>
      </c>
      <c r="I7" s="219">
        <f t="shared" si="0"/>
        <v>932483</v>
      </c>
      <c r="J7" s="220">
        <f t="shared" si="1"/>
        <v>0.55176508875739649</v>
      </c>
      <c r="K7" s="131">
        <v>135000</v>
      </c>
      <c r="L7" s="131">
        <v>80</v>
      </c>
      <c r="M7" s="131">
        <f t="shared" si="2"/>
        <v>62.196763905028398</v>
      </c>
      <c r="N7" s="222">
        <f t="shared" si="3"/>
        <v>1</v>
      </c>
      <c r="O7" s="131">
        <v>80</v>
      </c>
      <c r="P7" s="292" t="str">
        <f t="shared" si="5"/>
        <v>NO</v>
      </c>
      <c r="Q7" s="293" t="str">
        <f>VLOOKUP(B7,Input_Lic_Rate_PS!K:S,9,FALSE)</f>
        <v>SSR 8020</v>
      </c>
    </row>
    <row r="8" spans="1:17" s="224" customFormat="1">
      <c r="A8" s="128">
        <v>6</v>
      </c>
      <c r="B8" s="129" t="s">
        <v>68</v>
      </c>
      <c r="C8" s="129" t="s">
        <v>4</v>
      </c>
      <c r="D8" s="130" t="s">
        <v>15</v>
      </c>
      <c r="E8" s="16">
        <f>VLOOKUP(B8,[13]Sheet1!$A:$C,3,FALSE)</f>
        <v>1690000</v>
      </c>
      <c r="F8" s="77">
        <f>VLOOKUP(B8,IP_pool__IMS_Peak_day_crosstab!B:F,5,FALSE)</f>
        <v>933505</v>
      </c>
      <c r="G8" s="77">
        <f>VLOOKUP(B8,IP_pool__IMS_Peak_day_crosstab!B:F,4,FALSE)</f>
        <v>770431</v>
      </c>
      <c r="H8" s="195">
        <f t="shared" si="4"/>
        <v>0.55236982248520705</v>
      </c>
      <c r="I8" s="219">
        <f t="shared" si="0"/>
        <v>933505</v>
      </c>
      <c r="J8" s="220">
        <f t="shared" si="1"/>
        <v>0.55236982248520705</v>
      </c>
      <c r="K8" s="131">
        <v>135000</v>
      </c>
      <c r="L8" s="131">
        <v>80</v>
      </c>
      <c r="M8" s="131">
        <f t="shared" si="2"/>
        <v>62.114367319998671</v>
      </c>
      <c r="N8" s="222">
        <f t="shared" si="3"/>
        <v>1</v>
      </c>
      <c r="O8" s="131">
        <v>80</v>
      </c>
      <c r="P8" s="292" t="str">
        <f t="shared" si="5"/>
        <v>NO</v>
      </c>
      <c r="Q8" s="293" t="str">
        <f>VLOOKUP(B8,Input_Lic_Rate_PS!K:S,9,FALSE)</f>
        <v>SSR 8020</v>
      </c>
    </row>
    <row r="9" spans="1:17" s="224" customFormat="1">
      <c r="A9" s="128">
        <v>7</v>
      </c>
      <c r="B9" s="295" t="s">
        <v>256</v>
      </c>
      <c r="C9" s="295" t="s">
        <v>249</v>
      </c>
      <c r="D9" s="130" t="s">
        <v>15</v>
      </c>
      <c r="E9" s="16">
        <v>0</v>
      </c>
      <c r="F9" s="77"/>
      <c r="G9" s="77"/>
      <c r="H9" s="195"/>
      <c r="I9" s="296">
        <f>F9</f>
        <v>0</v>
      </c>
      <c r="J9" s="220"/>
      <c r="K9" s="221">
        <v>60000</v>
      </c>
      <c r="L9" s="131">
        <v>10</v>
      </c>
      <c r="M9" s="298">
        <f t="shared" si="2"/>
        <v>0</v>
      </c>
      <c r="N9" s="222">
        <f t="shared" si="3"/>
        <v>1</v>
      </c>
      <c r="O9" s="131">
        <v>10</v>
      </c>
      <c r="P9" s="292" t="str">
        <f t="shared" si="5"/>
        <v>NO</v>
      </c>
      <c r="Q9" s="293" t="str">
        <f>VLOOKUP(B9,Input_Lic_Rate_PS!K:S,9,FALSE)</f>
        <v>VHT</v>
      </c>
    </row>
    <row r="10" spans="1:17" s="224" customFormat="1">
      <c r="A10" s="128">
        <v>8</v>
      </c>
      <c r="B10" s="295" t="s">
        <v>248</v>
      </c>
      <c r="C10" s="295" t="s">
        <v>249</v>
      </c>
      <c r="D10" s="299" t="s">
        <v>15</v>
      </c>
      <c r="E10" s="16">
        <v>0</v>
      </c>
      <c r="F10" s="77"/>
      <c r="G10" s="77"/>
      <c r="H10" s="195"/>
      <c r="I10" s="296">
        <f>F10</f>
        <v>0</v>
      </c>
      <c r="J10" s="220"/>
      <c r="K10" s="221">
        <v>60000</v>
      </c>
      <c r="L10" s="131">
        <v>10</v>
      </c>
      <c r="M10" s="298">
        <f t="shared" si="2"/>
        <v>0</v>
      </c>
      <c r="N10" s="222">
        <f t="shared" si="3"/>
        <v>1</v>
      </c>
      <c r="O10" s="131">
        <v>10</v>
      </c>
      <c r="P10" s="292" t="str">
        <f t="shared" si="5"/>
        <v>NO</v>
      </c>
      <c r="Q10" s="293" t="str">
        <f>VLOOKUP(B10,Input_Lic_Rate_PS!K:S,9,FALSE)</f>
        <v>VHT</v>
      </c>
    </row>
    <row r="11" spans="1:17" s="64" customFormat="1" ht="15" customHeight="1">
      <c r="A11" s="114">
        <v>9</v>
      </c>
      <c r="B11" s="115" t="s">
        <v>64</v>
      </c>
      <c r="C11" s="115" t="s">
        <v>4</v>
      </c>
      <c r="D11" s="116" t="s">
        <v>15</v>
      </c>
      <c r="E11" s="16">
        <f>VLOOKUP(B11,[13]Sheet1!$A:$C,3,FALSE)</f>
        <v>1885000</v>
      </c>
      <c r="F11" s="77">
        <f>VLOOKUP(B11,IP_pool__IMS_Peak_day_crosstab!B:F,5,FALSE)</f>
        <v>926735</v>
      </c>
      <c r="G11" s="77">
        <f>VLOOKUP(B11,IP_pool__IMS_Peak_day_crosstab!B:F,4,FALSE)</f>
        <v>973809</v>
      </c>
      <c r="H11" s="195">
        <f t="shared" si="4"/>
        <v>0.4916366047745358</v>
      </c>
      <c r="I11" s="163">
        <f t="shared" ref="I11:I21" si="6">(F11+(O11/SUM($O$3:$O$21)-L11/SUM($L$3:$L$21))*SUM($F$3:$F$21))*N11</f>
        <v>926735</v>
      </c>
      <c r="J11" s="164">
        <f t="shared" ref="J11:J20" si="7">I11/E11</f>
        <v>0.4916366047745358</v>
      </c>
      <c r="K11" s="37">
        <v>135000</v>
      </c>
      <c r="L11" s="37">
        <v>80</v>
      </c>
      <c r="M11" s="37">
        <f t="shared" si="2"/>
        <v>78.511287740914611</v>
      </c>
      <c r="N11" s="165">
        <f t="shared" si="3"/>
        <v>1</v>
      </c>
      <c r="O11" s="37">
        <v>80</v>
      </c>
      <c r="P11" s="303" t="str">
        <f t="shared" si="5"/>
        <v>NO</v>
      </c>
      <c r="Q11" s="304" t="str">
        <f>VLOOKUP(B11,Input_Lic_Rate_PS!K:S,9,FALSE)</f>
        <v>SSR 8020</v>
      </c>
    </row>
    <row r="12" spans="1:17" s="64" customFormat="1">
      <c r="A12" s="114">
        <v>10</v>
      </c>
      <c r="B12" s="115" t="s">
        <v>65</v>
      </c>
      <c r="C12" s="115" t="s">
        <v>4</v>
      </c>
      <c r="D12" s="116" t="s">
        <v>15</v>
      </c>
      <c r="E12" s="16">
        <f>VLOOKUP(B12,[13]Sheet1!$A:$C,3,FALSE)</f>
        <v>1885000</v>
      </c>
      <c r="F12" s="77">
        <f>VLOOKUP(B12,IP_pool__IMS_Peak_day_crosstab!B:F,5,FALSE)</f>
        <v>927864</v>
      </c>
      <c r="G12" s="77">
        <f>VLOOKUP(B12,IP_pool__IMS_Peak_day_crosstab!B:F,4,FALSE)</f>
        <v>972680</v>
      </c>
      <c r="H12" s="195">
        <f t="shared" si="4"/>
        <v>0.49223554376657824</v>
      </c>
      <c r="I12" s="163">
        <f t="shared" si="6"/>
        <v>927864</v>
      </c>
      <c r="J12" s="164">
        <f t="shared" si="7"/>
        <v>0.49223554376657824</v>
      </c>
      <c r="K12" s="37">
        <v>135000</v>
      </c>
      <c r="L12" s="37">
        <v>70</v>
      </c>
      <c r="M12" s="37">
        <f t="shared" si="2"/>
        <v>78.420264507550073</v>
      </c>
      <c r="N12" s="165">
        <f t="shared" si="3"/>
        <v>1</v>
      </c>
      <c r="O12" s="37">
        <v>70</v>
      </c>
      <c r="P12" s="303" t="str">
        <f t="shared" si="5"/>
        <v>NO</v>
      </c>
      <c r="Q12" s="304" t="str">
        <f>VLOOKUP(B12,Input_Lic_Rate_PS!K:S,9,FALSE)</f>
        <v>SSR 8020</v>
      </c>
    </row>
    <row r="13" spans="1:17" s="64" customFormat="1">
      <c r="A13" s="114">
        <v>11</v>
      </c>
      <c r="B13" s="115" t="s">
        <v>66</v>
      </c>
      <c r="C13" s="115" t="s">
        <v>4</v>
      </c>
      <c r="D13" s="116" t="s">
        <v>15</v>
      </c>
      <c r="E13" s="16">
        <f>VLOOKUP(B13,[13]Sheet1!$A:$C,3,FALSE)</f>
        <v>1495000</v>
      </c>
      <c r="F13" s="77">
        <f>VLOOKUP(B13,IP_pool__IMS_Peak_day_crosstab!B:F,5,FALSE)</f>
        <v>836388</v>
      </c>
      <c r="G13" s="77">
        <f>VLOOKUP(B13,IP_pool__IMS_Peak_day_crosstab!B:F,4,FALSE)</f>
        <v>670940</v>
      </c>
      <c r="H13" s="195">
        <f t="shared" si="4"/>
        <v>0.55945685618729102</v>
      </c>
      <c r="I13" s="163">
        <f t="shared" si="6"/>
        <v>836388</v>
      </c>
      <c r="J13" s="164">
        <f t="shared" si="7"/>
        <v>0.55945685618729102</v>
      </c>
      <c r="K13" s="37">
        <v>100000</v>
      </c>
      <c r="L13" s="37">
        <v>70</v>
      </c>
      <c r="M13" s="37">
        <f t="shared" si="2"/>
        <v>54.093116203371757</v>
      </c>
      <c r="N13" s="165">
        <f t="shared" si="3"/>
        <v>1</v>
      </c>
      <c r="O13" s="37">
        <v>70</v>
      </c>
      <c r="P13" s="303" t="str">
        <f t="shared" si="5"/>
        <v>NO</v>
      </c>
      <c r="Q13" s="304" t="str">
        <f>VLOOKUP(B13,Input_Lic_Rate_PS!K:S,9,FALSE)</f>
        <v>SSR 8020</v>
      </c>
    </row>
    <row r="14" spans="1:17" s="318" customFormat="1" ht="15" customHeight="1">
      <c r="A14" s="306">
        <v>12</v>
      </c>
      <c r="B14" s="307" t="s">
        <v>69</v>
      </c>
      <c r="C14" s="307" t="s">
        <v>4</v>
      </c>
      <c r="D14" s="308" t="s">
        <v>15</v>
      </c>
      <c r="E14" s="16">
        <f>VLOOKUP(B14,[13]Sheet1!$A:$C,3,FALSE)</f>
        <v>1365000</v>
      </c>
      <c r="F14" s="77">
        <f>VLOOKUP(B14,IP_pool__IMS_Peak_day_crosstab!B:F,5,FALSE)</f>
        <v>940719</v>
      </c>
      <c r="G14" s="77">
        <f>VLOOKUP(B14,IP_pool__IMS_Peak_day_crosstab!B:F,4,FALSE)</f>
        <v>1337012</v>
      </c>
      <c r="H14" s="195">
        <f t="shared" si="4"/>
        <v>0.68917142857142855</v>
      </c>
      <c r="I14" s="310">
        <f t="shared" si="6"/>
        <v>940719</v>
      </c>
      <c r="J14" s="311">
        <f t="shared" si="7"/>
        <v>0.68917142857142855</v>
      </c>
      <c r="K14" s="309">
        <v>200000</v>
      </c>
      <c r="L14" s="309">
        <v>95</v>
      </c>
      <c r="M14" s="309">
        <f t="shared" si="2"/>
        <v>107.79376021895024</v>
      </c>
      <c r="N14" s="313">
        <f t="shared" si="3"/>
        <v>1</v>
      </c>
      <c r="O14" s="314">
        <v>95</v>
      </c>
      <c r="P14" s="315" t="str">
        <f t="shared" si="5"/>
        <v>NO</v>
      </c>
      <c r="Q14" s="316" t="str">
        <f>VLOOKUP(B14,Input_Lic_Rate_PS!K:S,9,FALSE)</f>
        <v>TCHL01</v>
      </c>
    </row>
    <row r="15" spans="1:17" s="318" customFormat="1">
      <c r="A15" s="306">
        <v>13</v>
      </c>
      <c r="B15" s="307" t="s">
        <v>74</v>
      </c>
      <c r="C15" s="307" t="s">
        <v>4</v>
      </c>
      <c r="D15" s="308" t="s">
        <v>15</v>
      </c>
      <c r="E15" s="16">
        <f>VLOOKUP(B15,[13]Sheet1!$A:$C,3,FALSE)</f>
        <v>2210000</v>
      </c>
      <c r="F15" s="77">
        <f>VLOOKUP(B15,IP_pool__IMS_Peak_day_crosstab!B:F,5,FALSE)</f>
        <v>986924</v>
      </c>
      <c r="G15" s="77">
        <f>VLOOKUP(B15,IP_pool__IMS_Peak_day_crosstab!B:F,4,FALSE)</f>
        <v>1241300</v>
      </c>
      <c r="H15" s="195">
        <f t="shared" si="4"/>
        <v>0.44657194570135744</v>
      </c>
      <c r="I15" s="310">
        <f t="shared" si="6"/>
        <v>986924</v>
      </c>
      <c r="J15" s="311">
        <f t="shared" si="7"/>
        <v>0.44657194570135744</v>
      </c>
      <c r="K15" s="309">
        <v>200000</v>
      </c>
      <c r="L15" s="309">
        <v>105</v>
      </c>
      <c r="M15" s="309">
        <f t="shared" si="2"/>
        <v>100.07718297201741</v>
      </c>
      <c r="N15" s="313">
        <f t="shared" si="3"/>
        <v>1</v>
      </c>
      <c r="O15" s="309">
        <v>105</v>
      </c>
      <c r="P15" s="315" t="str">
        <f t="shared" si="5"/>
        <v>NO</v>
      </c>
      <c r="Q15" s="316" t="str">
        <f>VLOOKUP(B15,Input_Lic_Rate_PS!K:S,9,FALSE)</f>
        <v>TCHL02</v>
      </c>
    </row>
    <row r="16" spans="1:17" s="64" customFormat="1" ht="15" customHeight="1">
      <c r="A16" s="114">
        <v>14</v>
      </c>
      <c r="B16" s="115" t="s">
        <v>71</v>
      </c>
      <c r="C16" s="115" t="s">
        <v>4</v>
      </c>
      <c r="D16" s="116" t="s">
        <v>15</v>
      </c>
      <c r="E16" s="16">
        <f>VLOOKUP(B16,[13]Sheet1!$A:$C,3,FALSE)</f>
        <v>2210000</v>
      </c>
      <c r="F16" s="77">
        <f>VLOOKUP(B16,IP_pool__IMS_Peak_day_crosstab!B:F,5,FALSE)</f>
        <v>891212</v>
      </c>
      <c r="G16" s="77">
        <f>VLOOKUP(B16,IP_pool__IMS_Peak_day_crosstab!B:F,4,FALSE)</f>
        <v>1337012</v>
      </c>
      <c r="H16" s="195">
        <f t="shared" si="4"/>
        <v>0.40326334841628958</v>
      </c>
      <c r="I16" s="163">
        <f t="shared" si="6"/>
        <v>891212</v>
      </c>
      <c r="J16" s="164">
        <f t="shared" si="7"/>
        <v>0.40326334841628958</v>
      </c>
      <c r="K16" s="37">
        <v>200000</v>
      </c>
      <c r="L16" s="37">
        <v>95</v>
      </c>
      <c r="M16" s="37">
        <f t="shared" si="2"/>
        <v>107.79376021895024</v>
      </c>
      <c r="N16" s="165">
        <f t="shared" si="3"/>
        <v>1</v>
      </c>
      <c r="O16" s="166">
        <v>95</v>
      </c>
      <c r="P16" s="303" t="str">
        <f t="shared" si="5"/>
        <v>NO</v>
      </c>
      <c r="Q16" s="304" t="str">
        <f>VLOOKUP(B16,Input_Lic_Rate_PS!K:S,9,FALSE)</f>
        <v>TCHL01</v>
      </c>
    </row>
    <row r="17" spans="1:17" s="64" customFormat="1">
      <c r="A17" s="114">
        <v>15</v>
      </c>
      <c r="B17" s="115" t="s">
        <v>277</v>
      </c>
      <c r="C17" s="115" t="s">
        <v>4</v>
      </c>
      <c r="D17" s="116" t="s">
        <v>15</v>
      </c>
      <c r="E17" s="16">
        <f>VLOOKUP(B17,[13]Sheet1!$A:$C,3,FALSE)</f>
        <v>2210000</v>
      </c>
      <c r="F17" s="77">
        <f>VLOOKUP(B17,IP_pool__IMS_Peak_day_crosstab!B:F,5,FALSE)</f>
        <v>1025726</v>
      </c>
      <c r="G17" s="77">
        <f>VLOOKUP(B17,IP_pool__IMS_Peak_day_crosstab!B:F,4,FALSE)</f>
        <v>1202498</v>
      </c>
      <c r="H17" s="195">
        <f t="shared" si="4"/>
        <v>0.4641294117647059</v>
      </c>
      <c r="I17" s="163">
        <f t="shared" si="6"/>
        <v>1025726</v>
      </c>
      <c r="J17" s="164">
        <f t="shared" si="7"/>
        <v>0.4641294117647059</v>
      </c>
      <c r="K17" s="37">
        <v>200000</v>
      </c>
      <c r="L17" s="37">
        <v>95</v>
      </c>
      <c r="M17" s="37">
        <f t="shared" si="2"/>
        <v>96.948853918863279</v>
      </c>
      <c r="N17" s="165">
        <f t="shared" si="3"/>
        <v>1</v>
      </c>
      <c r="O17" s="166">
        <v>95</v>
      </c>
      <c r="P17" s="303" t="str">
        <f t="shared" si="5"/>
        <v>NO</v>
      </c>
      <c r="Q17" s="304" t="str">
        <f>VLOOKUP(B17,Input_Lic_Rate_PS!K:S,9,FALSE)</f>
        <v>TCHL01</v>
      </c>
    </row>
    <row r="18" spans="1:17" s="64" customFormat="1">
      <c r="A18" s="114">
        <v>16</v>
      </c>
      <c r="B18" s="115" t="s">
        <v>278</v>
      </c>
      <c r="C18" s="115" t="s">
        <v>4</v>
      </c>
      <c r="D18" s="116" t="s">
        <v>15</v>
      </c>
      <c r="E18" s="16">
        <f>VLOOKUP(B18,[13]Sheet1!$A:$C,3,FALSE)</f>
        <v>2210000</v>
      </c>
      <c r="F18" s="77">
        <f>VLOOKUP(B18,IP_pool__IMS_Peak_day_crosstab!B:F,5,FALSE)</f>
        <v>1029247</v>
      </c>
      <c r="G18" s="77">
        <f>VLOOKUP(B18,IP_pool__IMS_Peak_day_crosstab!B:F,4,FALSE)</f>
        <v>1198977</v>
      </c>
      <c r="H18" s="195">
        <f t="shared" si="4"/>
        <v>0.46572262443438917</v>
      </c>
      <c r="I18" s="163">
        <f t="shared" si="6"/>
        <v>1029247</v>
      </c>
      <c r="J18" s="164">
        <f t="shared" si="7"/>
        <v>0.46572262443438917</v>
      </c>
      <c r="K18" s="37">
        <v>200000</v>
      </c>
      <c r="L18" s="37">
        <v>95</v>
      </c>
      <c r="M18" s="37">
        <f t="shared" si="2"/>
        <v>96.664980752630726</v>
      </c>
      <c r="N18" s="165">
        <f t="shared" si="3"/>
        <v>1</v>
      </c>
      <c r="O18" s="166">
        <v>95</v>
      </c>
      <c r="P18" s="303" t="str">
        <f t="shared" si="5"/>
        <v>NO</v>
      </c>
      <c r="Q18" s="304" t="str">
        <f>VLOOKUP(B18,Input_Lic_Rate_PS!K:S,9,FALSE)</f>
        <v>TCHL01</v>
      </c>
    </row>
    <row r="19" spans="1:17" s="71" customFormat="1" ht="15" customHeight="1">
      <c r="A19" s="146">
        <v>17</v>
      </c>
      <c r="B19" s="101" t="s">
        <v>72</v>
      </c>
      <c r="C19" s="101" t="s">
        <v>4</v>
      </c>
      <c r="D19" s="102" t="s">
        <v>15</v>
      </c>
      <c r="E19" s="16">
        <f>VLOOKUP(B19,[13]Sheet1!$A:$C,3,FALSE)</f>
        <v>2210000</v>
      </c>
      <c r="F19" s="77">
        <f>VLOOKUP(B19,IP_pool__IMS_Peak_day_crosstab!B:F,5,FALSE)</f>
        <v>980101</v>
      </c>
      <c r="G19" s="77">
        <f>VLOOKUP(B19,IP_pool__IMS_Peak_day_crosstab!B:F,4,FALSE)</f>
        <v>1248123</v>
      </c>
      <c r="H19" s="195">
        <f t="shared" si="4"/>
        <v>0.44348461538461537</v>
      </c>
      <c r="I19" s="118">
        <f t="shared" si="6"/>
        <v>980101</v>
      </c>
      <c r="J19" s="132">
        <f t="shared" si="7"/>
        <v>0.44348461538461537</v>
      </c>
      <c r="K19" s="103">
        <v>200000</v>
      </c>
      <c r="L19" s="103">
        <v>105</v>
      </c>
      <c r="M19" s="103">
        <f t="shared" si="2"/>
        <v>100.62727289340472</v>
      </c>
      <c r="N19" s="319">
        <f t="shared" si="3"/>
        <v>1</v>
      </c>
      <c r="O19" s="103">
        <v>105</v>
      </c>
      <c r="P19" s="320" t="str">
        <f t="shared" si="5"/>
        <v>NO</v>
      </c>
      <c r="Q19" s="321" t="str">
        <f>VLOOKUP(B19,Input_Lic_Rate_PS!K:S,9,FALSE)</f>
        <v>TCHL02</v>
      </c>
    </row>
    <row r="20" spans="1:17" s="71" customFormat="1">
      <c r="A20" s="146">
        <v>18</v>
      </c>
      <c r="B20" s="101" t="s">
        <v>279</v>
      </c>
      <c r="C20" s="101" t="s">
        <v>4</v>
      </c>
      <c r="D20" s="102" t="s">
        <v>15</v>
      </c>
      <c r="E20" s="16">
        <f>VLOOKUP(B20,[13]Sheet1!$A:$C,3,FALSE)</f>
        <v>2210000</v>
      </c>
      <c r="F20" s="77">
        <f>VLOOKUP(B20,IP_pool__IMS_Peak_day_crosstab!B:F,5,FALSE)</f>
        <v>1128123</v>
      </c>
      <c r="G20" s="77">
        <f>VLOOKUP(B20,IP_pool__IMS_Peak_day_crosstab!B:F,4,FALSE)</f>
        <v>1100101</v>
      </c>
      <c r="H20" s="195">
        <f t="shared" si="4"/>
        <v>0.51046289592760186</v>
      </c>
      <c r="I20" s="118">
        <f t="shared" si="6"/>
        <v>1128123</v>
      </c>
      <c r="J20" s="132">
        <f t="shared" si="7"/>
        <v>0.51046289592760186</v>
      </c>
      <c r="K20" s="103">
        <v>200000</v>
      </c>
      <c r="L20" s="103">
        <v>105</v>
      </c>
      <c r="M20" s="103">
        <f t="shared" si="2"/>
        <v>88.693312708208595</v>
      </c>
      <c r="N20" s="319">
        <f t="shared" si="3"/>
        <v>1</v>
      </c>
      <c r="O20" s="103">
        <v>105</v>
      </c>
      <c r="P20" s="320" t="str">
        <f t="shared" si="5"/>
        <v>NO</v>
      </c>
      <c r="Q20" s="321" t="str">
        <f>VLOOKUP(B20,Input_Lic_Rate_PS!K:S,9,FALSE)</f>
        <v>TCHL02</v>
      </c>
    </row>
    <row r="21" spans="1:17" s="71" customFormat="1">
      <c r="A21" s="146">
        <v>19</v>
      </c>
      <c r="B21" s="101" t="s">
        <v>337</v>
      </c>
      <c r="C21" s="101" t="s">
        <v>4</v>
      </c>
      <c r="D21" s="102" t="s">
        <v>15</v>
      </c>
      <c r="E21" s="16">
        <f>VLOOKUP(B21,[13]Sheet1!$A:$C,3,FALSE)</f>
        <v>2210000</v>
      </c>
      <c r="F21" s="77">
        <f>VLOOKUP(B21,IP_pool__IMS_Peak_day_crosstab!B:F,5,FALSE)</f>
        <v>1132218</v>
      </c>
      <c r="G21" s="77">
        <f>VLOOKUP(B21,IP_pool__IMS_Peak_day_crosstab!B:F,4,FALSE)</f>
        <v>1096006</v>
      </c>
      <c r="H21" s="195">
        <f t="shared" si="4"/>
        <v>0.51231583710407236</v>
      </c>
      <c r="I21" s="118">
        <f t="shared" si="6"/>
        <v>1132218</v>
      </c>
      <c r="J21" s="132"/>
      <c r="K21" s="103">
        <v>200000</v>
      </c>
      <c r="L21" s="103">
        <v>105</v>
      </c>
      <c r="M21" s="103">
        <f t="shared" si="2"/>
        <v>88.363162007918234</v>
      </c>
      <c r="N21" s="319">
        <f t="shared" si="3"/>
        <v>1</v>
      </c>
      <c r="O21" s="103">
        <v>105</v>
      </c>
      <c r="P21" s="320" t="str">
        <f t="shared" si="5"/>
        <v>NO</v>
      </c>
      <c r="Q21" s="321" t="str">
        <f>VLOOKUP(B21,Input_Lic_Rate_PS!K:S,9,FALSE)</f>
        <v>TCHL02</v>
      </c>
    </row>
    <row r="22" spans="1:17" s="64" customFormat="1">
      <c r="A22" s="114">
        <v>20</v>
      </c>
      <c r="B22" s="115" t="s">
        <v>75</v>
      </c>
      <c r="C22" s="115" t="s">
        <v>4</v>
      </c>
      <c r="D22" s="116" t="s">
        <v>25</v>
      </c>
      <c r="E22" s="16">
        <f>VLOOKUP(B22,[13]Sheet1!$A:$C,3,FALSE)</f>
        <v>975000</v>
      </c>
      <c r="F22" s="77">
        <f>VLOOKUP(B22,IP_pool__IMS_Peak_day_crosstab!B:F,5,FALSE)</f>
        <v>323177</v>
      </c>
      <c r="G22" s="77">
        <f>VLOOKUP(B22,IP_pool__IMS_Peak_day_crosstab!B:F,4,FALSE)</f>
        <v>659863</v>
      </c>
      <c r="H22" s="195">
        <f t="shared" si="4"/>
        <v>0.33146358974358975</v>
      </c>
      <c r="I22" s="163">
        <f t="shared" ref="I22:I28" si="8">(F22+(O22/SUM($O$22:$O$28)-L22/SUM($L$22:$L$28))*SUM($F$22:$F$28))*N22</f>
        <v>323177</v>
      </c>
      <c r="J22" s="164">
        <f t="shared" ref="J22:J28" si="9">I22/E22</f>
        <v>0.33146358974358975</v>
      </c>
      <c r="K22" s="37">
        <v>60000</v>
      </c>
      <c r="L22" s="37">
        <v>50</v>
      </c>
      <c r="M22" s="37">
        <f t="shared" si="2"/>
        <v>53.200056543514322</v>
      </c>
      <c r="N22" s="165">
        <f t="shared" si="3"/>
        <v>1</v>
      </c>
      <c r="O22" s="37">
        <v>50</v>
      </c>
      <c r="P22" s="37" t="str">
        <f t="shared" si="5"/>
        <v>NO</v>
      </c>
      <c r="Q22" s="304" t="str">
        <f>VLOOKUP(B22,Input_Lic_Rate_PS!K:S,9,FALSE)</f>
        <v>SSR 8020</v>
      </c>
    </row>
    <row r="23" spans="1:17" s="64" customFormat="1">
      <c r="A23" s="114">
        <v>21</v>
      </c>
      <c r="B23" s="115" t="s">
        <v>77</v>
      </c>
      <c r="C23" s="115" t="s">
        <v>4</v>
      </c>
      <c r="D23" s="116" t="s">
        <v>25</v>
      </c>
      <c r="E23" s="16">
        <f>VLOOKUP(B23,[13]Sheet1!$A:$C,3,FALSE)</f>
        <v>975000</v>
      </c>
      <c r="F23" s="77">
        <f>VLOOKUP(B23,IP_pool__IMS_Peak_day_crosstab!B:F,5,FALSE)</f>
        <v>334932</v>
      </c>
      <c r="G23" s="77">
        <f>VLOOKUP(B23,IP_pool__IMS_Peak_day_crosstab!B:F,4,FALSE)</f>
        <v>648108</v>
      </c>
      <c r="H23" s="195">
        <f t="shared" si="4"/>
        <v>0.34351999999999999</v>
      </c>
      <c r="I23" s="163">
        <f t="shared" si="8"/>
        <v>334932</v>
      </c>
      <c r="J23" s="164">
        <f t="shared" si="9"/>
        <v>0.34351999999999999</v>
      </c>
      <c r="K23" s="37">
        <v>60000</v>
      </c>
      <c r="L23" s="37">
        <v>50</v>
      </c>
      <c r="M23" s="37">
        <f t="shared" si="2"/>
        <v>52.252334569909181</v>
      </c>
      <c r="N23" s="165">
        <f t="shared" si="3"/>
        <v>1</v>
      </c>
      <c r="O23" s="37">
        <v>50</v>
      </c>
      <c r="P23" s="37" t="str">
        <f t="shared" si="5"/>
        <v>NO</v>
      </c>
      <c r="Q23" s="304" t="str">
        <f>VLOOKUP(B23,Input_Lic_Rate_PS!K:S,9,FALSE)</f>
        <v>SSR 8020</v>
      </c>
    </row>
    <row r="24" spans="1:17" s="157" customFormat="1">
      <c r="A24" s="151">
        <v>22</v>
      </c>
      <c r="B24" s="152" t="s">
        <v>78</v>
      </c>
      <c r="C24" s="152" t="s">
        <v>4</v>
      </c>
      <c r="D24" s="153" t="s">
        <v>25</v>
      </c>
      <c r="E24" s="16">
        <f>VLOOKUP(B24,[13]Sheet1!$A:$C,3,FALSE)</f>
        <v>1105000</v>
      </c>
      <c r="F24" s="77">
        <f>VLOOKUP(B24,IP_pool__IMS_Peak_day_crosstab!B:F,5,FALSE)</f>
        <v>442544</v>
      </c>
      <c r="G24" s="77">
        <f>VLOOKUP(B24,IP_pool__IMS_Peak_day_crosstab!B:F,4,FALSE)</f>
        <v>671568</v>
      </c>
      <c r="H24" s="195">
        <f t="shared" si="4"/>
        <v>0.4004923076923077</v>
      </c>
      <c r="I24" s="185">
        <f t="shared" si="8"/>
        <v>442544</v>
      </c>
      <c r="J24" s="155">
        <f t="shared" si="9"/>
        <v>0.4004923076923077</v>
      </c>
      <c r="K24" s="154">
        <v>70000</v>
      </c>
      <c r="L24" s="154">
        <v>70</v>
      </c>
      <c r="M24" s="154">
        <f t="shared" si="2"/>
        <v>54.143747373037776</v>
      </c>
      <c r="N24" s="300">
        <f t="shared" si="3"/>
        <v>1</v>
      </c>
      <c r="O24" s="154">
        <v>70</v>
      </c>
      <c r="P24" s="154" t="str">
        <f t="shared" si="5"/>
        <v>NO</v>
      </c>
      <c r="Q24" s="301" t="str">
        <f>VLOOKUP(B24,Input_Lic_Rate_PS!K:S,9,FALSE)</f>
        <v>SSR 8020</v>
      </c>
    </row>
    <row r="25" spans="1:17" s="157" customFormat="1">
      <c r="A25" s="151">
        <v>23</v>
      </c>
      <c r="B25" s="152" t="s">
        <v>80</v>
      </c>
      <c r="C25" s="152" t="s">
        <v>4</v>
      </c>
      <c r="D25" s="153" t="s">
        <v>25</v>
      </c>
      <c r="E25" s="16">
        <f>VLOOKUP(B25,[13]Sheet1!$A:$C,3,FALSE)</f>
        <v>1235000</v>
      </c>
      <c r="F25" s="77">
        <f>VLOOKUP(B25,IP_pool__IMS_Peak_day_crosstab!B:F,5,FALSE)</f>
        <v>424815</v>
      </c>
      <c r="G25" s="77">
        <f>VLOOKUP(B25,IP_pool__IMS_Peak_day_crosstab!B:F,4,FALSE)</f>
        <v>820369</v>
      </c>
      <c r="H25" s="195">
        <f t="shared" si="4"/>
        <v>0.34397975708502027</v>
      </c>
      <c r="I25" s="185">
        <f t="shared" si="8"/>
        <v>424815</v>
      </c>
      <c r="J25" s="155">
        <f t="shared" si="9"/>
        <v>0.34397975708502027</v>
      </c>
      <c r="K25" s="154">
        <v>90000</v>
      </c>
      <c r="L25" s="154">
        <v>65</v>
      </c>
      <c r="M25" s="154">
        <f t="shared" si="2"/>
        <v>66.140512783026622</v>
      </c>
      <c r="N25" s="300">
        <f t="shared" si="3"/>
        <v>1</v>
      </c>
      <c r="O25" s="154">
        <v>65</v>
      </c>
      <c r="P25" s="154" t="str">
        <f t="shared" si="5"/>
        <v>NO</v>
      </c>
      <c r="Q25" s="301" t="str">
        <f>VLOOKUP(B25,Input_Lic_Rate_PS!K:S,9,FALSE)</f>
        <v>SSR 8020</v>
      </c>
    </row>
    <row r="26" spans="1:17" s="64" customFormat="1" ht="15" customHeight="1">
      <c r="A26" s="110">
        <v>24</v>
      </c>
      <c r="B26" s="115" t="s">
        <v>81</v>
      </c>
      <c r="C26" s="111" t="s">
        <v>4</v>
      </c>
      <c r="D26" s="116" t="s">
        <v>25</v>
      </c>
      <c r="E26" s="16">
        <f>VLOOKUP(B26,[13]Sheet1!$A:$C,3,FALSE)</f>
        <v>2210000</v>
      </c>
      <c r="F26" s="77">
        <f>VLOOKUP(B26,IP_pool__IMS_Peak_day_crosstab!B:F,5,FALSE)</f>
        <v>707038</v>
      </c>
      <c r="G26" s="77">
        <f>VLOOKUP(B26,IP_pool__IMS_Peak_day_crosstab!B:F,4,FALSE)</f>
        <v>1521186</v>
      </c>
      <c r="H26" s="195">
        <f t="shared" si="4"/>
        <v>0.31992669683257918</v>
      </c>
      <c r="I26" s="77">
        <f t="shared" si="8"/>
        <v>707038</v>
      </c>
      <c r="J26" s="164">
        <f t="shared" si="9"/>
        <v>0.31992669683257918</v>
      </c>
      <c r="K26" s="37">
        <v>200000</v>
      </c>
      <c r="L26" s="166">
        <v>115</v>
      </c>
      <c r="M26" s="16">
        <f t="shared" si="2"/>
        <v>122.64239882097098</v>
      </c>
      <c r="N26" s="165">
        <f t="shared" si="3"/>
        <v>1</v>
      </c>
      <c r="O26" s="166">
        <v>115</v>
      </c>
      <c r="P26" s="37" t="str">
        <f t="shared" si="5"/>
        <v>NO</v>
      </c>
      <c r="Q26" s="239" t="str">
        <f>VLOOKUP(B26,Input_Lic_Rate_PS!K:S,9,FALSE)</f>
        <v>TCHK01</v>
      </c>
    </row>
    <row r="27" spans="1:17" s="64" customFormat="1">
      <c r="A27" s="110">
        <v>25</v>
      </c>
      <c r="B27" s="115" t="s">
        <v>83</v>
      </c>
      <c r="C27" s="111" t="s">
        <v>4</v>
      </c>
      <c r="D27" s="116" t="s">
        <v>25</v>
      </c>
      <c r="E27" s="16">
        <f>VLOOKUP(B27,[13]Sheet1!$A:$C,3,FALSE)</f>
        <v>2210000</v>
      </c>
      <c r="F27" s="77">
        <f>VLOOKUP(B27,IP_pool__IMS_Peak_day_crosstab!B:F,5,FALSE)</f>
        <v>708710</v>
      </c>
      <c r="G27" s="77">
        <f>VLOOKUP(B27,IP_pool__IMS_Peak_day_crosstab!B:F,4,FALSE)</f>
        <v>1519514</v>
      </c>
      <c r="H27" s="195">
        <f t="shared" si="4"/>
        <v>0.32068325791855201</v>
      </c>
      <c r="I27" s="77">
        <f t="shared" si="8"/>
        <v>708710</v>
      </c>
      <c r="J27" s="164">
        <f t="shared" si="9"/>
        <v>0.32068325791855201</v>
      </c>
      <c r="K27" s="37">
        <v>200000</v>
      </c>
      <c r="L27" s="166">
        <v>115</v>
      </c>
      <c r="M27" s="16">
        <f t="shared" si="2"/>
        <v>122.5075973628793</v>
      </c>
      <c r="N27" s="165">
        <f t="shared" si="3"/>
        <v>1</v>
      </c>
      <c r="O27" s="166">
        <v>115</v>
      </c>
      <c r="P27" s="37" t="str">
        <f t="shared" si="5"/>
        <v>NO</v>
      </c>
      <c r="Q27" s="239" t="str">
        <f>VLOOKUP(B27,Input_Lic_Rate_PS!K:S,9,FALSE)</f>
        <v>TCHK01</v>
      </c>
    </row>
    <row r="28" spans="1:17" s="64" customFormat="1">
      <c r="A28" s="110">
        <v>26</v>
      </c>
      <c r="B28" s="115" t="s">
        <v>276</v>
      </c>
      <c r="C28" s="111" t="s">
        <v>4</v>
      </c>
      <c r="D28" s="116" t="s">
        <v>25</v>
      </c>
      <c r="E28" s="16">
        <f>VLOOKUP(B28,[13]Sheet1!$A:$C,3,FALSE)</f>
        <v>2210000</v>
      </c>
      <c r="F28" s="77">
        <f>VLOOKUP(B28,IP_pool__IMS_Peak_day_crosstab!B:F,5,FALSE)</f>
        <v>699586</v>
      </c>
      <c r="G28" s="77">
        <f>VLOOKUP(B28,IP_pool__IMS_Peak_day_crosstab!B:F,4,FALSE)</f>
        <v>1528638</v>
      </c>
      <c r="H28" s="195">
        <f t="shared" si="4"/>
        <v>0.31655475113122172</v>
      </c>
      <c r="I28" s="77">
        <f t="shared" si="8"/>
        <v>699586</v>
      </c>
      <c r="J28" s="164">
        <f t="shared" si="9"/>
        <v>0.31655475113122172</v>
      </c>
      <c r="K28" s="37">
        <v>200000</v>
      </c>
      <c r="L28" s="166">
        <v>115</v>
      </c>
      <c r="M28" s="16">
        <f t="shared" si="2"/>
        <v>123.24320053490595</v>
      </c>
      <c r="N28" s="165">
        <f t="shared" si="3"/>
        <v>1</v>
      </c>
      <c r="O28" s="166">
        <v>115</v>
      </c>
      <c r="P28" s="37" t="str">
        <f t="shared" si="5"/>
        <v>NO</v>
      </c>
      <c r="Q28" s="239" t="str">
        <f>VLOOKUP(B28,Input_Lic_Rate_PS!K:S,9,FALSE)</f>
        <v>TCHK01</v>
      </c>
    </row>
    <row r="29" spans="1:17" s="224" customFormat="1" ht="15" customHeight="1">
      <c r="A29" s="110">
        <v>27</v>
      </c>
      <c r="B29" s="129" t="s">
        <v>359</v>
      </c>
      <c r="C29" s="129" t="s">
        <v>249</v>
      </c>
      <c r="D29" s="130" t="s">
        <v>25</v>
      </c>
      <c r="E29" s="16">
        <v>0</v>
      </c>
      <c r="F29" s="77"/>
      <c r="G29" s="77"/>
      <c r="H29" s="195"/>
      <c r="I29" s="219">
        <f>F29</f>
        <v>0</v>
      </c>
      <c r="J29" s="220"/>
      <c r="K29" s="131">
        <v>60000</v>
      </c>
      <c r="L29" s="221">
        <v>10</v>
      </c>
      <c r="M29" s="16">
        <f t="shared" si="2"/>
        <v>0</v>
      </c>
      <c r="N29" s="222">
        <f t="shared" si="3"/>
        <v>1</v>
      </c>
      <c r="O29" s="221">
        <v>10</v>
      </c>
      <c r="P29" s="131" t="str">
        <f t="shared" si="5"/>
        <v>NO</v>
      </c>
      <c r="Q29" s="239" t="str">
        <f>VLOOKUP(B29,Input_Lic_Rate_PS!K:S,9,FALSE)</f>
        <v>TCHK02</v>
      </c>
    </row>
    <row r="30" spans="1:17" s="224" customFormat="1">
      <c r="A30" s="110">
        <v>28</v>
      </c>
      <c r="B30" s="129" t="s">
        <v>360</v>
      </c>
      <c r="C30" s="129" t="s">
        <v>249</v>
      </c>
      <c r="D30" s="130" t="s">
        <v>25</v>
      </c>
      <c r="E30" s="16">
        <v>0</v>
      </c>
      <c r="F30" s="77"/>
      <c r="G30" s="77"/>
      <c r="H30" s="195"/>
      <c r="I30" s="219">
        <f>F30</f>
        <v>0</v>
      </c>
      <c r="J30" s="220"/>
      <c r="K30" s="131">
        <v>60000</v>
      </c>
      <c r="L30" s="221">
        <v>10</v>
      </c>
      <c r="M30" s="16">
        <f t="shared" si="2"/>
        <v>0</v>
      </c>
      <c r="N30" s="222">
        <f t="shared" si="3"/>
        <v>1</v>
      </c>
      <c r="O30" s="221">
        <v>10</v>
      </c>
      <c r="P30" s="131" t="str">
        <f t="shared" si="5"/>
        <v>NO</v>
      </c>
      <c r="Q30" s="239" t="str">
        <f>VLOOKUP(B30,Input_Lic_Rate_PS!K:S,9,FALSE)</f>
        <v>TCHK02</v>
      </c>
    </row>
    <row r="31" spans="1:17" s="224" customFormat="1">
      <c r="A31" s="110">
        <v>29</v>
      </c>
      <c r="B31" s="129" t="s">
        <v>361</v>
      </c>
      <c r="C31" s="129" t="s">
        <v>249</v>
      </c>
      <c r="D31" s="130" t="s">
        <v>25</v>
      </c>
      <c r="E31" s="16">
        <v>0</v>
      </c>
      <c r="F31" s="77"/>
      <c r="G31" s="77"/>
      <c r="H31" s="195"/>
      <c r="I31" s="219">
        <f>F31</f>
        <v>0</v>
      </c>
      <c r="J31" s="220"/>
      <c r="K31" s="131">
        <v>60000</v>
      </c>
      <c r="L31" s="221">
        <v>10</v>
      </c>
      <c r="M31" s="16">
        <f t="shared" si="2"/>
        <v>0</v>
      </c>
      <c r="N31" s="222">
        <f t="shared" si="3"/>
        <v>1</v>
      </c>
      <c r="O31" s="221">
        <v>10</v>
      </c>
      <c r="P31" s="131" t="str">
        <f t="shared" si="5"/>
        <v>NO</v>
      </c>
      <c r="Q31" s="239" t="str">
        <f>VLOOKUP(B31,Input_Lic_Rate_PS!K:S,9,FALSE)</f>
        <v>TCHK02</v>
      </c>
    </row>
    <row r="32" spans="1:17" s="199" customFormat="1">
      <c r="A32" s="110">
        <v>30</v>
      </c>
      <c r="B32" s="111" t="s">
        <v>84</v>
      </c>
      <c r="C32" s="111" t="s">
        <v>4</v>
      </c>
      <c r="D32" s="112" t="s">
        <v>30</v>
      </c>
      <c r="E32" s="16">
        <f>VLOOKUP(B32,[13]Sheet1!$A:$C,3,FALSE)</f>
        <v>1040000</v>
      </c>
      <c r="F32" s="77">
        <f>VLOOKUP(B32,IP_pool__IMS_Peak_day_crosstab!B:F,5,FALSE)</f>
        <v>397495</v>
      </c>
      <c r="G32" s="77">
        <f>VLOOKUP(B32,IP_pool__IMS_Peak_day_crosstab!B:F,4,FALSE)</f>
        <v>651081</v>
      </c>
      <c r="H32" s="195">
        <f t="shared" si="4"/>
        <v>0.38220673076923078</v>
      </c>
      <c r="I32" s="77">
        <f t="shared" ref="I32:I39" si="10">(F32+(O32/SUM($O$32:$O$39)-L32/SUM($L$32:$L$39))*SUM($F$32:$F$39))*N32</f>
        <v>397495</v>
      </c>
      <c r="J32" s="195">
        <f t="shared" ref="J32:J38" si="11">I32/E32</f>
        <v>0.38220673076923078</v>
      </c>
      <c r="K32" s="16">
        <v>60000</v>
      </c>
      <c r="L32" s="17">
        <v>60</v>
      </c>
      <c r="M32" s="16">
        <f t="shared" si="2"/>
        <v>52.49202639700642</v>
      </c>
      <c r="N32" s="165">
        <f t="shared" si="3"/>
        <v>1</v>
      </c>
      <c r="O32" s="17">
        <v>60</v>
      </c>
      <c r="P32" s="16" t="str">
        <f t="shared" si="5"/>
        <v>NO</v>
      </c>
      <c r="Q32" s="239" t="str">
        <f>VLOOKUP(B32,Input_Lic_Rate_PS!K:S,9,FALSE)</f>
        <v>SSR 8020</v>
      </c>
    </row>
    <row r="33" spans="1:17" s="199" customFormat="1">
      <c r="A33" s="110">
        <v>31</v>
      </c>
      <c r="B33" s="111" t="s">
        <v>86</v>
      </c>
      <c r="C33" s="111" t="s">
        <v>4</v>
      </c>
      <c r="D33" s="112" t="s">
        <v>30</v>
      </c>
      <c r="E33" s="16">
        <f>VLOOKUP(B33,[13]Sheet1!$A:$C,3,FALSE)</f>
        <v>1040000</v>
      </c>
      <c r="F33" s="77">
        <f>VLOOKUP(B33,IP_pool__IMS_Peak_day_crosstab!B:F,5,FALSE)</f>
        <v>382053</v>
      </c>
      <c r="G33" s="77">
        <f>VLOOKUP(B33,IP_pool__IMS_Peak_day_crosstab!B:F,4,FALSE)</f>
        <v>666523</v>
      </c>
      <c r="H33" s="195">
        <f t="shared" si="4"/>
        <v>0.36735865384615385</v>
      </c>
      <c r="I33" s="77">
        <f t="shared" si="10"/>
        <v>382053</v>
      </c>
      <c r="J33" s="195">
        <f t="shared" si="11"/>
        <v>0.36735865384615385</v>
      </c>
      <c r="K33" s="16">
        <v>60000</v>
      </c>
      <c r="L33" s="17">
        <v>60</v>
      </c>
      <c r="M33" s="16">
        <f t="shared" si="2"/>
        <v>53.73700493519533</v>
      </c>
      <c r="N33" s="165">
        <f t="shared" si="3"/>
        <v>1</v>
      </c>
      <c r="O33" s="17">
        <v>60</v>
      </c>
      <c r="P33" s="16" t="str">
        <f t="shared" si="5"/>
        <v>NO</v>
      </c>
      <c r="Q33" s="239" t="str">
        <f>VLOOKUP(B33,Input_Lic_Rate_PS!K:S,9,FALSE)</f>
        <v>SSR 8020</v>
      </c>
    </row>
    <row r="34" spans="1:17" s="199" customFormat="1" ht="15" customHeight="1">
      <c r="A34" s="110">
        <v>32</v>
      </c>
      <c r="B34" s="111" t="s">
        <v>89</v>
      </c>
      <c r="C34" s="111" t="s">
        <v>4</v>
      </c>
      <c r="D34" s="112" t="s">
        <v>30</v>
      </c>
      <c r="E34" s="16">
        <f>VLOOKUP(B34,[13]Sheet1!$A:$C,3,FALSE)</f>
        <v>1040000</v>
      </c>
      <c r="F34" s="77">
        <f>VLOOKUP(B34,IP_pool__IMS_Peak_day_crosstab!B:F,5,FALSE)</f>
        <v>377942</v>
      </c>
      <c r="G34" s="77">
        <f>VLOOKUP(B34,IP_pool__IMS_Peak_day_crosstab!B:F,4,FALSE)</f>
        <v>670634</v>
      </c>
      <c r="H34" s="195">
        <f t="shared" si="4"/>
        <v>0.36340576923076923</v>
      </c>
      <c r="I34" s="77">
        <f t="shared" si="10"/>
        <v>377942</v>
      </c>
      <c r="J34" s="195">
        <f t="shared" si="11"/>
        <v>0.36340576923076923</v>
      </c>
      <c r="K34" s="16">
        <v>60000</v>
      </c>
      <c r="L34" s="17">
        <v>60</v>
      </c>
      <c r="M34" s="16">
        <f t="shared" si="2"/>
        <v>54.068445601591819</v>
      </c>
      <c r="N34" s="165">
        <f t="shared" si="3"/>
        <v>1</v>
      </c>
      <c r="O34" s="17">
        <v>60</v>
      </c>
      <c r="P34" s="16" t="str">
        <f t="shared" si="5"/>
        <v>NO</v>
      </c>
      <c r="Q34" s="239" t="str">
        <f>VLOOKUP(B34,Input_Lic_Rate_PS!K:S,9,FALSE)</f>
        <v>SSR 8020</v>
      </c>
    </row>
    <row r="35" spans="1:17" s="199" customFormat="1">
      <c r="A35" s="110">
        <v>33</v>
      </c>
      <c r="B35" s="111" t="s">
        <v>90</v>
      </c>
      <c r="C35" s="111" t="s">
        <v>4</v>
      </c>
      <c r="D35" s="112" t="s">
        <v>30</v>
      </c>
      <c r="E35" s="16">
        <f>VLOOKUP(B35,[13]Sheet1!$A:$C,3,FALSE)</f>
        <v>1885000</v>
      </c>
      <c r="F35" s="77">
        <f>VLOOKUP(B35,IP_pool__IMS_Peak_day_crosstab!B:F,5,FALSE)</f>
        <v>776550</v>
      </c>
      <c r="G35" s="77">
        <f>VLOOKUP(B35,IP_pool__IMS_Peak_day_crosstab!B:F,4,FALSE)</f>
        <v>1123994</v>
      </c>
      <c r="H35" s="195">
        <f t="shared" si="4"/>
        <v>0.41196286472148541</v>
      </c>
      <c r="I35" s="77">
        <f t="shared" si="10"/>
        <v>776550</v>
      </c>
      <c r="J35" s="195">
        <f t="shared" si="11"/>
        <v>0.41196286472148541</v>
      </c>
      <c r="K35" s="16">
        <v>130000</v>
      </c>
      <c r="L35" s="16">
        <v>130</v>
      </c>
      <c r="M35" s="16">
        <f t="shared" si="2"/>
        <v>90.619635219084614</v>
      </c>
      <c r="N35" s="165">
        <f t="shared" si="3"/>
        <v>1</v>
      </c>
      <c r="O35" s="16">
        <v>130</v>
      </c>
      <c r="P35" s="16" t="str">
        <f t="shared" si="5"/>
        <v>NO</v>
      </c>
      <c r="Q35" s="239" t="str">
        <f>VLOOKUP(B35,Input_Lic_Rate_PS!K:S,9,FALSE)</f>
        <v>SSR 8020</v>
      </c>
    </row>
    <row r="36" spans="1:17" s="199" customFormat="1">
      <c r="A36" s="110">
        <v>34</v>
      </c>
      <c r="B36" s="111" t="s">
        <v>87</v>
      </c>
      <c r="C36" s="111" t="s">
        <v>4</v>
      </c>
      <c r="D36" s="112" t="s">
        <v>30</v>
      </c>
      <c r="E36" s="16">
        <f>VLOOKUP(B36,[13]Sheet1!$A:$C,3,FALSE)</f>
        <v>1040000</v>
      </c>
      <c r="F36" s="77">
        <f>VLOOKUP(B36,IP_pool__IMS_Peak_day_crosstab!B:F,5,FALSE)</f>
        <v>405002</v>
      </c>
      <c r="G36" s="77">
        <f>VLOOKUP(B36,IP_pool__IMS_Peak_day_crosstab!B:F,4,FALSE)</f>
        <v>643574</v>
      </c>
      <c r="H36" s="195">
        <f t="shared" si="4"/>
        <v>0.38942500000000002</v>
      </c>
      <c r="I36" s="77">
        <f t="shared" si="10"/>
        <v>405002</v>
      </c>
      <c r="J36" s="195">
        <f t="shared" si="11"/>
        <v>0.38942500000000002</v>
      </c>
      <c r="K36" s="16">
        <v>60000</v>
      </c>
      <c r="L36" s="17">
        <v>60</v>
      </c>
      <c r="M36" s="16">
        <f t="shared" si="2"/>
        <v>51.886790424581591</v>
      </c>
      <c r="N36" s="165">
        <f t="shared" si="3"/>
        <v>1</v>
      </c>
      <c r="O36" s="17">
        <v>60</v>
      </c>
      <c r="P36" s="16" t="str">
        <f t="shared" si="5"/>
        <v>NO</v>
      </c>
      <c r="Q36" s="239" t="str">
        <f>VLOOKUP(B36,Input_Lic_Rate_PS!K:S,9,FALSE)</f>
        <v>SSR 8020</v>
      </c>
    </row>
    <row r="37" spans="1:17" s="199" customFormat="1" ht="15" customHeight="1">
      <c r="A37" s="110">
        <v>35</v>
      </c>
      <c r="B37" s="111" t="s">
        <v>91</v>
      </c>
      <c r="C37" s="111" t="s">
        <v>4</v>
      </c>
      <c r="D37" s="112" t="s">
        <v>30</v>
      </c>
      <c r="E37" s="16">
        <f>VLOOKUP(B37,[13]Sheet1!$A:$C,3,FALSE)</f>
        <v>1885000</v>
      </c>
      <c r="F37" s="77">
        <f>VLOOKUP(B37,IP_pool__IMS_Peak_day_crosstab!B:F,5,FALSE)</f>
        <v>721344</v>
      </c>
      <c r="G37" s="77">
        <f>VLOOKUP(B37,IP_pool__IMS_Peak_day_crosstab!B:F,4,FALSE)</f>
        <v>1113664</v>
      </c>
      <c r="H37" s="195">
        <f t="shared" si="4"/>
        <v>0.38267586206896553</v>
      </c>
      <c r="I37" s="77">
        <f t="shared" si="10"/>
        <v>721344</v>
      </c>
      <c r="J37" s="195">
        <f t="shared" si="11"/>
        <v>0.38267586206896553</v>
      </c>
      <c r="K37" s="16">
        <v>120000</v>
      </c>
      <c r="L37" s="16">
        <v>120</v>
      </c>
      <c r="M37" s="16">
        <f t="shared" si="2"/>
        <v>89.786800851807627</v>
      </c>
      <c r="N37" s="165">
        <f t="shared" si="3"/>
        <v>1</v>
      </c>
      <c r="O37" s="16">
        <v>120</v>
      </c>
      <c r="P37" s="16" t="str">
        <f t="shared" si="5"/>
        <v>NO</v>
      </c>
      <c r="Q37" s="239" t="str">
        <f>VLOOKUP(B37,Input_Lic_Rate_PS!K:S,9,FALSE)</f>
        <v>SSR 8020</v>
      </c>
    </row>
    <row r="38" spans="1:17" s="199" customFormat="1">
      <c r="A38" s="110">
        <v>36</v>
      </c>
      <c r="B38" s="111" t="s">
        <v>93</v>
      </c>
      <c r="C38" s="111" t="s">
        <v>4</v>
      </c>
      <c r="D38" s="112" t="s">
        <v>30</v>
      </c>
      <c r="E38" s="16">
        <f>VLOOKUP(B38,[13]Sheet1!$A:$C,3,FALSE)</f>
        <v>1885000</v>
      </c>
      <c r="F38" s="77">
        <f>VLOOKUP(B38,IP_pool__IMS_Peak_day_crosstab!B:F,5,FALSE)</f>
        <v>785685</v>
      </c>
      <c r="G38" s="77">
        <f>VLOOKUP(B38,IP_pool__IMS_Peak_day_crosstab!B:F,4,FALSE)</f>
        <v>1114859</v>
      </c>
      <c r="H38" s="195">
        <f t="shared" si="4"/>
        <v>0.41680901856763924</v>
      </c>
      <c r="I38" s="77">
        <f t="shared" si="10"/>
        <v>785685</v>
      </c>
      <c r="J38" s="195">
        <f t="shared" si="11"/>
        <v>0.41680901856763924</v>
      </c>
      <c r="K38" s="16">
        <v>130000</v>
      </c>
      <c r="L38" s="16">
        <v>130</v>
      </c>
      <c r="M38" s="16">
        <f t="shared" si="2"/>
        <v>89.883145195360001</v>
      </c>
      <c r="N38" s="165">
        <f t="shared" si="3"/>
        <v>1</v>
      </c>
      <c r="O38" s="16">
        <v>130</v>
      </c>
      <c r="P38" s="16" t="str">
        <f t="shared" si="5"/>
        <v>NO</v>
      </c>
      <c r="Q38" s="239" t="str">
        <f>VLOOKUP(B38,Input_Lic_Rate_PS!K:S,9,FALSE)</f>
        <v>SSR 8020</v>
      </c>
    </row>
    <row r="39" spans="1:17" s="71" customFormat="1" ht="15" customHeight="1">
      <c r="A39" s="110">
        <v>37</v>
      </c>
      <c r="B39" s="101" t="s">
        <v>328</v>
      </c>
      <c r="C39" s="101" t="s">
        <v>4</v>
      </c>
      <c r="D39" s="102" t="s">
        <v>30</v>
      </c>
      <c r="E39" s="16">
        <f>VLOOKUP(B39,[13]Sheet1!$A:$C,3,FALSE)</f>
        <v>2210000</v>
      </c>
      <c r="F39" s="77">
        <f>VLOOKUP(B39,IP_pool__IMS_Peak_day_crosstab!B:F,5,FALSE)</f>
        <v>824514</v>
      </c>
      <c r="G39" s="77">
        <f>VLOOKUP(B39,IP_pool__IMS_Peak_day_crosstab!B:F,4,FALSE)</f>
        <v>1403710</v>
      </c>
      <c r="H39" s="195">
        <f t="shared" si="4"/>
        <v>0.37308325791855201</v>
      </c>
      <c r="I39" s="77">
        <f t="shared" si="10"/>
        <v>824514</v>
      </c>
      <c r="J39" s="132"/>
      <c r="K39" s="103">
        <v>130000</v>
      </c>
      <c r="L39" s="103">
        <v>140</v>
      </c>
      <c r="M39" s="16">
        <f t="shared" si="2"/>
        <v>113.17114517816043</v>
      </c>
      <c r="N39" s="165">
        <f t="shared" si="3"/>
        <v>1</v>
      </c>
      <c r="O39" s="103">
        <v>140</v>
      </c>
      <c r="P39" s="103" t="str">
        <f t="shared" si="5"/>
        <v>NO</v>
      </c>
      <c r="Q39" s="239" t="str">
        <f>VLOOKUP(B39,Input_Lic_Rate_PS!K:S,9,FALSE)</f>
        <v>TCHT01</v>
      </c>
    </row>
    <row r="40" spans="1:17" s="157" customFormat="1">
      <c r="A40" s="110">
        <v>38</v>
      </c>
      <c r="B40" s="152" t="s">
        <v>250</v>
      </c>
      <c r="C40" s="152" t="s">
        <v>251</v>
      </c>
      <c r="D40" s="153" t="s">
        <v>30</v>
      </c>
      <c r="E40" s="16">
        <v>0</v>
      </c>
      <c r="F40" s="77"/>
      <c r="G40" s="185">
        <f>VLOOKUP(B40,Throughput_hour_crosstab_cisco!C:D,2,FALSE)</f>
        <v>0</v>
      </c>
      <c r="H40" s="195"/>
      <c r="I40" s="185">
        <f>F40</f>
        <v>0</v>
      </c>
      <c r="J40" s="155" t="e">
        <f t="shared" ref="J40:J47" si="12">I40/E40</f>
        <v>#DIV/0!</v>
      </c>
      <c r="K40" s="154">
        <v>150000</v>
      </c>
      <c r="L40" s="154">
        <v>10</v>
      </c>
      <c r="M40" s="16">
        <f t="shared" si="2"/>
        <v>0</v>
      </c>
      <c r="N40" s="165">
        <f t="shared" si="3"/>
        <v>1</v>
      </c>
      <c r="O40" s="154">
        <v>10</v>
      </c>
      <c r="P40" s="154" t="str">
        <f t="shared" si="5"/>
        <v>NO</v>
      </c>
      <c r="Q40" s="239" t="str">
        <f>VLOOKUP(B40,Input_Lic_Rate_PS!K:S,9,FALSE)</f>
        <v>TCHT02</v>
      </c>
    </row>
    <row r="41" spans="1:17" s="157" customFormat="1" ht="15" customHeight="1">
      <c r="A41" s="110">
        <v>39</v>
      </c>
      <c r="B41" s="152" t="s">
        <v>252</v>
      </c>
      <c r="C41" s="152" t="s">
        <v>251</v>
      </c>
      <c r="D41" s="153" t="s">
        <v>30</v>
      </c>
      <c r="E41" s="16">
        <v>0</v>
      </c>
      <c r="F41" s="77"/>
      <c r="G41" s="185">
        <f>VLOOKUP(B41,Throughput_hour_crosstab_cisco!C:D,2,FALSE)</f>
        <v>0</v>
      </c>
      <c r="H41" s="195"/>
      <c r="I41" s="185">
        <f>F41</f>
        <v>0</v>
      </c>
      <c r="J41" s="155" t="e">
        <f t="shared" si="12"/>
        <v>#DIV/0!</v>
      </c>
      <c r="K41" s="154">
        <v>150000</v>
      </c>
      <c r="L41" s="154">
        <v>10</v>
      </c>
      <c r="M41" s="16">
        <f t="shared" si="2"/>
        <v>0</v>
      </c>
      <c r="N41" s="165"/>
      <c r="O41" s="154">
        <v>10</v>
      </c>
      <c r="P41" s="154" t="str">
        <f t="shared" si="5"/>
        <v>NO</v>
      </c>
      <c r="Q41" s="239" t="str">
        <f>VLOOKUP(B41,Input_Lic_Rate_PS!K:S,9,FALSE)</f>
        <v>TCHT03</v>
      </c>
    </row>
    <row r="42" spans="1:17" s="157" customFormat="1">
      <c r="A42" s="110">
        <v>40</v>
      </c>
      <c r="B42" s="152" t="s">
        <v>253</v>
      </c>
      <c r="C42" s="152" t="s">
        <v>251</v>
      </c>
      <c r="D42" s="153" t="s">
        <v>30</v>
      </c>
      <c r="E42" s="16">
        <v>0</v>
      </c>
      <c r="F42" s="77"/>
      <c r="G42" s="185">
        <f>VLOOKUP(B42,Throughput_hour_crosstab_cisco!C:D,2,FALSE)</f>
        <v>0</v>
      </c>
      <c r="H42" s="195"/>
      <c r="I42" s="185">
        <f>F42</f>
        <v>0</v>
      </c>
      <c r="J42" s="155" t="e">
        <f t="shared" si="12"/>
        <v>#DIV/0!</v>
      </c>
      <c r="K42" s="154">
        <v>150000</v>
      </c>
      <c r="L42" s="154">
        <v>10</v>
      </c>
      <c r="M42" s="16">
        <f t="shared" si="2"/>
        <v>0</v>
      </c>
      <c r="N42" s="165"/>
      <c r="O42" s="154">
        <v>10</v>
      </c>
      <c r="P42" s="154" t="str">
        <f t="shared" si="5"/>
        <v>NO</v>
      </c>
      <c r="Q42" s="239" t="str">
        <f>VLOOKUP(B42,Input_Lic_Rate_PS!K:S,9,FALSE)</f>
        <v>TCHT03</v>
      </c>
    </row>
    <row r="43" spans="1:17" s="157" customFormat="1">
      <c r="A43" s="110">
        <v>41</v>
      </c>
      <c r="B43" s="152" t="s">
        <v>338</v>
      </c>
      <c r="C43" s="152" t="s">
        <v>251</v>
      </c>
      <c r="D43" s="153" t="s">
        <v>30</v>
      </c>
      <c r="E43" s="16">
        <v>0</v>
      </c>
      <c r="F43" s="77"/>
      <c r="G43" s="185">
        <f>VLOOKUP(B43,Throughput_hour_crosstab_cisco!C:D,2,FALSE)</f>
        <v>0</v>
      </c>
      <c r="H43" s="195"/>
      <c r="I43" s="185">
        <f>F43</f>
        <v>0</v>
      </c>
      <c r="J43" s="155" t="e">
        <f t="shared" si="12"/>
        <v>#DIV/0!</v>
      </c>
      <c r="K43" s="154">
        <v>150000</v>
      </c>
      <c r="L43" s="154">
        <v>10</v>
      </c>
      <c r="M43" s="16">
        <f t="shared" si="2"/>
        <v>0</v>
      </c>
      <c r="N43" s="165"/>
      <c r="O43" s="154">
        <v>10</v>
      </c>
      <c r="P43" s="154" t="str">
        <f t="shared" si="5"/>
        <v>NO</v>
      </c>
      <c r="Q43" s="239">
        <f>VLOOKUP(B43,Input_Lic_Rate_PS!K:S,9,FALSE)</f>
        <v>0</v>
      </c>
    </row>
    <row r="44" spans="1:17">
      <c r="A44" s="38"/>
      <c r="B44" s="39" t="s">
        <v>94</v>
      </c>
      <c r="C44" s="39" t="s">
        <v>38</v>
      </c>
      <c r="D44" s="40"/>
      <c r="E44" s="44">
        <f>SUMIF($D3:$D38,"KV1",E3:E38)</f>
        <v>29380000</v>
      </c>
      <c r="F44" s="77"/>
      <c r="G44" s="44">
        <f>SUMIF($D3:$D$43,"KV1",G$3:G$43)</f>
        <v>16744626</v>
      </c>
      <c r="H44" s="195">
        <f t="shared" si="4"/>
        <v>0</v>
      </c>
      <c r="I44" s="44">
        <f>SUMIF($D3:$D$43,"KV1",I$3:I$43)</f>
        <v>13779121</v>
      </c>
      <c r="J44" s="66">
        <f t="shared" si="12"/>
        <v>0.46899663036078965</v>
      </c>
      <c r="K44" s="44">
        <f>SUMIF($D3:$D38,"KV1",K3:K38)</f>
        <v>2600000</v>
      </c>
      <c r="L44" s="160">
        <f>SUMIF($D3:$D39,"KV1",L3:L39)</f>
        <v>1350</v>
      </c>
      <c r="M44" s="67"/>
      <c r="N44" s="67"/>
      <c r="O44" s="143">
        <f>SUMIF($D3:$D39,"KV1",O3:O39)</f>
        <v>1350</v>
      </c>
      <c r="P44" s="67"/>
      <c r="Q44" s="237"/>
    </row>
    <row r="45" spans="1:17">
      <c r="A45" s="38"/>
      <c r="B45" s="39" t="s">
        <v>95</v>
      </c>
      <c r="C45" s="39" t="s">
        <v>38</v>
      </c>
      <c r="D45" s="40"/>
      <c r="E45" s="44">
        <f>SUMIF($D3:$D38,"KV2",E3:E38)</f>
        <v>10920000</v>
      </c>
      <c r="F45" s="77"/>
      <c r="G45" s="44">
        <f>SUMIF($D3:$D$43,"KV2",G$3:G$43)</f>
        <v>7369246</v>
      </c>
      <c r="H45" s="195">
        <f t="shared" si="4"/>
        <v>0</v>
      </c>
      <c r="I45" s="44">
        <f>SUMIF($D3:$D38,"KV2",I3:I38)</f>
        <v>3640802</v>
      </c>
      <c r="J45" s="66">
        <f t="shared" si="12"/>
        <v>0.33340677655677653</v>
      </c>
      <c r="K45" s="44">
        <f>SUMIF($D3:$D38,"KV2",K3:K38)</f>
        <v>1060000</v>
      </c>
      <c r="L45" s="160">
        <f>SUMIF($D3:$D38,"KV2",L3:L38)</f>
        <v>610</v>
      </c>
      <c r="M45" s="67"/>
      <c r="N45" s="67"/>
      <c r="O45" s="143">
        <f>SUMIF($D3:$D38,"KV2",O3:O38)</f>
        <v>610</v>
      </c>
      <c r="P45" s="67"/>
      <c r="Q45" s="237"/>
    </row>
    <row r="46" spans="1:17">
      <c r="A46" s="38"/>
      <c r="B46" s="39" t="s">
        <v>96</v>
      </c>
      <c r="C46" s="39" t="s">
        <v>38</v>
      </c>
      <c r="D46" s="40"/>
      <c r="E46" s="44">
        <f>SUMIF($D3:$D42,"KV3",E3:E42)</f>
        <v>12025000</v>
      </c>
      <c r="F46" s="77"/>
      <c r="G46" s="44">
        <f>SUMIF($D3:$D$43,"KV3",G$3:G$43)</f>
        <v>7388039</v>
      </c>
      <c r="H46" s="195">
        <f t="shared" si="4"/>
        <v>0</v>
      </c>
      <c r="I46" s="44">
        <f>SUMIF($D3:$D43,"KV3",I3:I43)</f>
        <v>4670585</v>
      </c>
      <c r="J46" s="66">
        <f t="shared" si="12"/>
        <v>0.388406237006237</v>
      </c>
      <c r="K46" s="44">
        <f>SUMIF($D3:$D39,"KV3",K3:K39)</f>
        <v>750000</v>
      </c>
      <c r="L46" s="44">
        <f>SUMIF($D3:$D39,"KV3",L3:L39)</f>
        <v>760</v>
      </c>
      <c r="M46" s="67"/>
      <c r="N46" s="67"/>
      <c r="O46" s="44">
        <f>SUMIF($D3:$D39,"KV3",O3:O39)</f>
        <v>760</v>
      </c>
      <c r="P46" s="67"/>
      <c r="Q46" s="237"/>
    </row>
    <row r="47" spans="1:17">
      <c r="A47" s="38"/>
      <c r="B47" s="45" t="s">
        <v>97</v>
      </c>
      <c r="C47" s="45" t="s">
        <v>38</v>
      </c>
      <c r="D47" s="46"/>
      <c r="E47" s="44">
        <f>SUM(E44:E46)</f>
        <v>52325000</v>
      </c>
      <c r="F47" s="77"/>
      <c r="G47" s="44">
        <f>SUM(G44:G46)</f>
        <v>31501911</v>
      </c>
      <c r="H47" s="195">
        <f t="shared" si="4"/>
        <v>0</v>
      </c>
      <c r="I47" s="44">
        <f>SUM(I44:I46)</f>
        <v>22090508</v>
      </c>
      <c r="J47" s="66">
        <f t="shared" si="12"/>
        <v>0.4221788437649307</v>
      </c>
      <c r="K47" s="44">
        <f>SUM(K44:K46)</f>
        <v>4410000</v>
      </c>
      <c r="L47" s="160">
        <f>SUM(L44:L46)</f>
        <v>2720</v>
      </c>
      <c r="M47" s="67"/>
      <c r="N47" s="67"/>
      <c r="O47" s="143">
        <f>SUM(O44:O46)</f>
        <v>2720</v>
      </c>
      <c r="P47" s="67"/>
      <c r="Q47" s="237"/>
    </row>
    <row r="48" spans="1:17">
      <c r="K48" s="63">
        <v>120000</v>
      </c>
    </row>
    <row r="49" spans="2:17" s="69" customFormat="1">
      <c r="B49" s="68" t="s">
        <v>42</v>
      </c>
      <c r="I49" s="144"/>
      <c r="J49" s="144"/>
      <c r="K49" s="70"/>
      <c r="L49" s="162"/>
      <c r="M49" s="70"/>
      <c r="N49" s="70"/>
      <c r="O49" s="144"/>
      <c r="P49" s="70"/>
      <c r="Q49" s="70"/>
    </row>
    <row r="50" spans="2:17" ht="15" customHeight="1">
      <c r="F50" s="1007" t="s">
        <v>271</v>
      </c>
      <c r="G50" s="147" t="s">
        <v>103</v>
      </c>
      <c r="H50" s="148" t="s">
        <v>270</v>
      </c>
      <c r="I50" s="148" t="s">
        <v>45</v>
      </c>
      <c r="J50" s="174" t="s">
        <v>299</v>
      </c>
      <c r="K50" s="174" t="s">
        <v>301</v>
      </c>
      <c r="L50" s="161" t="s">
        <v>3</v>
      </c>
    </row>
    <row r="51" spans="2:17">
      <c r="F51" s="1007"/>
      <c r="G51" s="147" t="s">
        <v>15</v>
      </c>
      <c r="H51" s="148" t="s">
        <v>72</v>
      </c>
      <c r="I51" s="149" t="e">
        <f>VLOOKUP(H51,B:J,67,FALSE)</f>
        <v>#REF!</v>
      </c>
      <c r="J51" s="178" t="s">
        <v>303</v>
      </c>
      <c r="K51" s="4"/>
      <c r="L51" s="179">
        <f>SUM(K51:K51)</f>
        <v>0</v>
      </c>
    </row>
    <row r="52" spans="2:17">
      <c r="F52" s="1007"/>
      <c r="G52" s="147" t="s">
        <v>25</v>
      </c>
      <c r="H52" s="148" t="s">
        <v>83</v>
      </c>
      <c r="I52" s="149" t="e">
        <f>VLOOKUP(H52,B:J,67,FALSE)</f>
        <v>#REF!</v>
      </c>
    </row>
    <row r="53" spans="2:17">
      <c r="F53" s="1007"/>
      <c r="G53" s="147" t="s">
        <v>30</v>
      </c>
      <c r="H53" s="148" t="s">
        <v>328</v>
      </c>
      <c r="I53" s="149" t="e">
        <f>VLOOKUP(H53,B:J,67,FALSE)</f>
        <v>#REF!</v>
      </c>
    </row>
    <row r="56" spans="2:17">
      <c r="F56" s="71" t="s">
        <v>298</v>
      </c>
      <c r="G56" s="169">
        <v>1930000</v>
      </c>
      <c r="H56" s="172">
        <v>0</v>
      </c>
    </row>
    <row r="58" spans="2:17">
      <c r="G58" s="171">
        <f>((1/3)*$G$56*(O3/SUM($O$3:$O$21)))</f>
        <v>19061.728395061727</v>
      </c>
    </row>
  </sheetData>
  <autoFilter ref="A2:Q53"/>
  <mergeCells count="3">
    <mergeCell ref="F50:F53"/>
    <mergeCell ref="F1:G1"/>
    <mergeCell ref="I1:J1"/>
  </mergeCells>
  <conditionalFormatting sqref="J21:J28 J32:J35 J1:J10 H1:H1048576">
    <cfRule type="cellIs" dxfId="18" priority="23" operator="greaterThan">
      <formula>0.9</formula>
    </cfRule>
  </conditionalFormatting>
  <conditionalFormatting sqref="J14 J38:J1048576 J16:J19">
    <cfRule type="cellIs" dxfId="17" priority="22" operator="greaterThan">
      <formula>0.9</formula>
    </cfRule>
  </conditionalFormatting>
  <conditionalFormatting sqref="H20">
    <cfRule type="cellIs" dxfId="16" priority="21" operator="greaterThan">
      <formula>0.9</formula>
    </cfRule>
  </conditionalFormatting>
  <conditionalFormatting sqref="J20">
    <cfRule type="cellIs" dxfId="15" priority="20" operator="greaterThan">
      <formula>0.9</formula>
    </cfRule>
  </conditionalFormatting>
  <conditionalFormatting sqref="H36">
    <cfRule type="cellIs" dxfId="14" priority="19" operator="greaterThan">
      <formula>0.9</formula>
    </cfRule>
  </conditionalFormatting>
  <conditionalFormatting sqref="J36">
    <cfRule type="cellIs" dxfId="13" priority="18" operator="greaterThan">
      <formula>0.9</formula>
    </cfRule>
  </conditionalFormatting>
  <conditionalFormatting sqref="H37">
    <cfRule type="cellIs" dxfId="12" priority="17" operator="greaterThan">
      <formula>0.9</formula>
    </cfRule>
  </conditionalFormatting>
  <conditionalFormatting sqref="J37">
    <cfRule type="cellIs" dxfId="11" priority="16" operator="greaterThan">
      <formula>0.9</formula>
    </cfRule>
  </conditionalFormatting>
  <conditionalFormatting sqref="H43">
    <cfRule type="cellIs" dxfId="10" priority="15" operator="greaterThan">
      <formula>0.9</formula>
    </cfRule>
  </conditionalFormatting>
  <conditionalFormatting sqref="J29:J31">
    <cfRule type="cellIs" dxfId="9" priority="13" operator="greaterThan">
      <formula>0.9</formula>
    </cfRule>
  </conditionalFormatting>
  <conditionalFormatting sqref="H29:H31">
    <cfRule type="cellIs" dxfId="8" priority="14" operator="greaterThan">
      <formula>0.9</formula>
    </cfRule>
  </conditionalFormatting>
  <conditionalFormatting sqref="H11:H13">
    <cfRule type="cellIs" dxfId="7" priority="12" operator="greaterThan">
      <formula>0.9</formula>
    </cfRule>
  </conditionalFormatting>
  <conditionalFormatting sqref="J11:J13">
    <cfRule type="cellIs" dxfId="6" priority="11" operator="greaterThan">
      <formula>0.9</formula>
    </cfRule>
  </conditionalFormatting>
  <conditionalFormatting sqref="H15">
    <cfRule type="cellIs" dxfId="5" priority="7" operator="greaterThan">
      <formula>0.9</formula>
    </cfRule>
  </conditionalFormatting>
  <conditionalFormatting sqref="J15">
    <cfRule type="cellIs" dxfId="4" priority="6" operator="greaterThan">
      <formula>0.9</formula>
    </cfRule>
  </conditionalFormatting>
  <hyperlinks>
    <hyperlink ref="B49" location="'Gioi Thieu Tai lieu'!A1" display="'Gioi Thieu Tai lieu'!A1"/>
  </hyperlinks>
  <pageMargins left="0.7" right="0.7" top="0.75" bottom="0.75" header="0.3" footer="0.3"/>
  <pageSetup orientation="portrait" horizontalDpi="1200" verticalDpi="12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51"/>
  <sheetViews>
    <sheetView zoomScale="115" zoomScaleNormal="115" workbookViewId="0">
      <selection activeCell="L26" sqref="L26"/>
    </sheetView>
  </sheetViews>
  <sheetFormatPr defaultRowHeight="15"/>
  <cols>
    <col min="2" max="2" width="17.5703125" bestFit="1" customWidth="1"/>
    <col min="8" max="8" width="13.42578125" bestFit="1" customWidth="1"/>
  </cols>
  <sheetData>
    <row r="1" spans="1:8">
      <c r="A1" t="s">
        <v>0</v>
      </c>
      <c r="B1" t="s">
        <v>480</v>
      </c>
      <c r="C1" t="s">
        <v>481</v>
      </c>
      <c r="D1" t="s">
        <v>98</v>
      </c>
      <c r="E1" t="s">
        <v>482</v>
      </c>
      <c r="F1" t="s">
        <v>487</v>
      </c>
      <c r="G1" t="s">
        <v>488</v>
      </c>
      <c r="H1" t="s">
        <v>1127</v>
      </c>
    </row>
    <row r="2" spans="1:8">
      <c r="A2">
        <v>1</v>
      </c>
      <c r="B2" s="331">
        <v>46203.875</v>
      </c>
      <c r="C2" t="s">
        <v>63</v>
      </c>
      <c r="D2" t="s">
        <v>63</v>
      </c>
      <c r="E2" t="s">
        <v>489</v>
      </c>
      <c r="F2">
        <v>919042</v>
      </c>
      <c r="G2">
        <v>35731.81</v>
      </c>
      <c r="H2">
        <f>0.5*F2</f>
        <v>459521</v>
      </c>
    </row>
    <row r="3" spans="1:8">
      <c r="A3">
        <v>2</v>
      </c>
      <c r="B3" s="331">
        <v>46203.875</v>
      </c>
      <c r="C3" t="s">
        <v>446</v>
      </c>
      <c r="D3" t="s">
        <v>446</v>
      </c>
      <c r="E3" t="s">
        <v>489</v>
      </c>
      <c r="F3">
        <v>2888326</v>
      </c>
      <c r="H3">
        <f t="shared" ref="H3:H66" si="0">0.5*F3</f>
        <v>1444163</v>
      </c>
    </row>
    <row r="4" spans="1:8">
      <c r="A4">
        <v>3</v>
      </c>
      <c r="B4" s="331">
        <v>46203.875</v>
      </c>
      <c r="C4" t="s">
        <v>75</v>
      </c>
      <c r="D4" t="s">
        <v>75</v>
      </c>
      <c r="E4" t="s">
        <v>489</v>
      </c>
      <c r="F4">
        <v>898041</v>
      </c>
      <c r="G4">
        <v>41801.120000000003</v>
      </c>
      <c r="H4">
        <f t="shared" si="0"/>
        <v>449020.5</v>
      </c>
    </row>
    <row r="5" spans="1:8">
      <c r="A5">
        <v>4</v>
      </c>
      <c r="B5" s="331">
        <v>46203.875</v>
      </c>
      <c r="C5" t="s">
        <v>90</v>
      </c>
      <c r="D5" t="s">
        <v>90</v>
      </c>
      <c r="E5" t="s">
        <v>489</v>
      </c>
      <c r="F5">
        <v>2316736</v>
      </c>
      <c r="G5">
        <v>95309.22</v>
      </c>
      <c r="H5">
        <f t="shared" si="0"/>
        <v>1158368</v>
      </c>
    </row>
    <row r="6" spans="1:8">
      <c r="A6">
        <v>5</v>
      </c>
      <c r="B6" s="331">
        <v>46203.875</v>
      </c>
      <c r="C6" t="s">
        <v>86</v>
      </c>
      <c r="D6" t="s">
        <v>86</v>
      </c>
      <c r="E6" t="s">
        <v>489</v>
      </c>
      <c r="F6">
        <v>997475</v>
      </c>
      <c r="G6">
        <v>43439.91</v>
      </c>
      <c r="H6">
        <f t="shared" si="0"/>
        <v>498737.5</v>
      </c>
    </row>
    <row r="7" spans="1:8">
      <c r="A7">
        <v>6</v>
      </c>
      <c r="B7" s="331">
        <v>46203.875</v>
      </c>
      <c r="C7" t="s">
        <v>1107</v>
      </c>
      <c r="D7" t="s">
        <v>1107</v>
      </c>
      <c r="E7" t="s">
        <v>489</v>
      </c>
      <c r="F7">
        <v>438366</v>
      </c>
      <c r="H7">
        <f t="shared" si="0"/>
        <v>219183</v>
      </c>
    </row>
    <row r="8" spans="1:8">
      <c r="A8">
        <v>7</v>
      </c>
      <c r="B8" s="331">
        <v>46203.875</v>
      </c>
      <c r="C8" t="s">
        <v>453</v>
      </c>
      <c r="D8" t="s">
        <v>453</v>
      </c>
      <c r="E8" t="s">
        <v>372</v>
      </c>
      <c r="F8">
        <v>2523194</v>
      </c>
      <c r="G8">
        <v>117053.61</v>
      </c>
      <c r="H8">
        <f t="shared" si="0"/>
        <v>1261597</v>
      </c>
    </row>
    <row r="9" spans="1:8">
      <c r="A9">
        <v>8</v>
      </c>
      <c r="B9" s="331">
        <v>46203.875</v>
      </c>
      <c r="C9" t="s">
        <v>882</v>
      </c>
      <c r="D9" t="s">
        <v>882</v>
      </c>
      <c r="E9" t="s">
        <v>372</v>
      </c>
      <c r="F9">
        <v>888839</v>
      </c>
      <c r="G9">
        <v>43740.57</v>
      </c>
      <c r="H9">
        <f t="shared" si="0"/>
        <v>444419.5</v>
      </c>
    </row>
    <row r="10" spans="1:8">
      <c r="A10">
        <v>9</v>
      </c>
      <c r="B10" s="331">
        <v>46203.875</v>
      </c>
      <c r="C10" t="s">
        <v>359</v>
      </c>
      <c r="D10" t="s">
        <v>359</v>
      </c>
      <c r="E10" t="s">
        <v>372</v>
      </c>
      <c r="F10">
        <v>895136</v>
      </c>
      <c r="G10">
        <v>44496.05</v>
      </c>
      <c r="H10">
        <f t="shared" si="0"/>
        <v>447568</v>
      </c>
    </row>
    <row r="11" spans="1:8">
      <c r="A11">
        <v>10</v>
      </c>
      <c r="B11" s="331">
        <v>46203.875</v>
      </c>
      <c r="C11" t="s">
        <v>884</v>
      </c>
      <c r="D11" t="s">
        <v>884</v>
      </c>
      <c r="E11" t="s">
        <v>372</v>
      </c>
      <c r="F11">
        <v>508167</v>
      </c>
      <c r="G11">
        <v>24914.81</v>
      </c>
      <c r="H11">
        <f t="shared" si="0"/>
        <v>254083.5</v>
      </c>
    </row>
    <row r="12" spans="1:8">
      <c r="A12">
        <v>11</v>
      </c>
      <c r="B12" s="331">
        <v>46203.875</v>
      </c>
      <c r="C12" t="s">
        <v>360</v>
      </c>
      <c r="D12" t="s">
        <v>360</v>
      </c>
      <c r="E12" t="s">
        <v>372</v>
      </c>
      <c r="F12">
        <v>771579</v>
      </c>
      <c r="G12">
        <v>37852.89</v>
      </c>
      <c r="H12">
        <f t="shared" si="0"/>
        <v>385789.5</v>
      </c>
    </row>
    <row r="13" spans="1:8">
      <c r="A13">
        <v>12</v>
      </c>
      <c r="B13" s="331">
        <v>46203.875</v>
      </c>
      <c r="C13" t="s">
        <v>452</v>
      </c>
      <c r="D13" t="s">
        <v>452</v>
      </c>
      <c r="E13" t="s">
        <v>372</v>
      </c>
      <c r="F13">
        <v>2504709</v>
      </c>
      <c r="G13">
        <v>116595.53</v>
      </c>
      <c r="H13">
        <f t="shared" si="0"/>
        <v>1252354.5</v>
      </c>
    </row>
    <row r="14" spans="1:8">
      <c r="A14">
        <v>13</v>
      </c>
      <c r="B14" s="331">
        <v>46203.875</v>
      </c>
      <c r="C14" t="s">
        <v>887</v>
      </c>
      <c r="D14" t="s">
        <v>887</v>
      </c>
      <c r="E14" t="s">
        <v>372</v>
      </c>
      <c r="F14">
        <v>888764</v>
      </c>
      <c r="G14">
        <v>43874.879999999997</v>
      </c>
      <c r="H14">
        <f t="shared" si="0"/>
        <v>444382</v>
      </c>
    </row>
    <row r="15" spans="1:8">
      <c r="A15">
        <v>14</v>
      </c>
      <c r="B15" s="331">
        <v>46203.875</v>
      </c>
      <c r="C15" t="s">
        <v>886</v>
      </c>
      <c r="D15" t="s">
        <v>886</v>
      </c>
      <c r="E15" t="s">
        <v>372</v>
      </c>
      <c r="F15">
        <v>879916</v>
      </c>
      <c r="G15">
        <v>44068.54</v>
      </c>
      <c r="H15">
        <f t="shared" si="0"/>
        <v>439958</v>
      </c>
    </row>
    <row r="16" spans="1:8">
      <c r="A16">
        <v>15</v>
      </c>
      <c r="B16" s="331">
        <v>46203.875</v>
      </c>
      <c r="C16" t="s">
        <v>492</v>
      </c>
      <c r="D16" t="s">
        <v>492</v>
      </c>
      <c r="E16" t="s">
        <v>372</v>
      </c>
      <c r="F16">
        <v>2289918</v>
      </c>
      <c r="G16">
        <v>98143.07</v>
      </c>
      <c r="H16">
        <f t="shared" si="0"/>
        <v>1144959</v>
      </c>
    </row>
    <row r="17" spans="1:8">
      <c r="A17">
        <v>16</v>
      </c>
      <c r="B17" s="331">
        <v>46203.875</v>
      </c>
      <c r="C17" t="s">
        <v>1108</v>
      </c>
      <c r="D17" t="s">
        <v>1108</v>
      </c>
      <c r="E17" t="s">
        <v>489</v>
      </c>
      <c r="F17">
        <v>1734012</v>
      </c>
      <c r="H17">
        <f t="shared" si="0"/>
        <v>867006</v>
      </c>
    </row>
    <row r="18" spans="1:8">
      <c r="A18">
        <v>17</v>
      </c>
      <c r="B18" s="331">
        <v>46203.875</v>
      </c>
      <c r="C18" t="s">
        <v>67</v>
      </c>
      <c r="D18" t="s">
        <v>67</v>
      </c>
      <c r="E18" t="s">
        <v>489</v>
      </c>
      <c r="F18">
        <v>2019275</v>
      </c>
      <c r="G18">
        <v>82498.41</v>
      </c>
      <c r="H18">
        <f t="shared" si="0"/>
        <v>1009637.5</v>
      </c>
    </row>
    <row r="19" spans="1:8">
      <c r="A19">
        <v>18</v>
      </c>
      <c r="B19" s="331">
        <v>46203.875</v>
      </c>
      <c r="C19" t="s">
        <v>83</v>
      </c>
      <c r="D19" t="s">
        <v>83</v>
      </c>
      <c r="E19" t="s">
        <v>489</v>
      </c>
      <c r="F19">
        <v>2081082</v>
      </c>
      <c r="G19">
        <v>94197.18</v>
      </c>
      <c r="H19">
        <f t="shared" si="0"/>
        <v>1040541</v>
      </c>
    </row>
    <row r="20" spans="1:8">
      <c r="A20">
        <v>19</v>
      </c>
      <c r="B20" s="331">
        <v>46203.875</v>
      </c>
      <c r="C20" t="s">
        <v>445</v>
      </c>
      <c r="D20" t="s">
        <v>445</v>
      </c>
      <c r="E20" t="s">
        <v>489</v>
      </c>
      <c r="F20">
        <v>2923963</v>
      </c>
      <c r="H20">
        <f t="shared" si="0"/>
        <v>1461981.5</v>
      </c>
    </row>
    <row r="21" spans="1:8">
      <c r="A21">
        <v>20</v>
      </c>
      <c r="B21" s="331">
        <v>46203.875</v>
      </c>
      <c r="C21" t="s">
        <v>80</v>
      </c>
      <c r="D21" t="s">
        <v>80</v>
      </c>
      <c r="E21" t="s">
        <v>489</v>
      </c>
      <c r="F21">
        <v>1113395</v>
      </c>
      <c r="G21">
        <v>52264.44</v>
      </c>
      <c r="H21">
        <f t="shared" si="0"/>
        <v>556697.5</v>
      </c>
    </row>
    <row r="22" spans="1:8">
      <c r="A22">
        <v>21</v>
      </c>
      <c r="B22" s="331">
        <v>46203.875</v>
      </c>
      <c r="C22" t="s">
        <v>278</v>
      </c>
      <c r="D22" t="s">
        <v>278</v>
      </c>
      <c r="E22" t="s">
        <v>489</v>
      </c>
      <c r="F22">
        <v>2974011</v>
      </c>
      <c r="G22">
        <v>120388.72</v>
      </c>
      <c r="H22">
        <f t="shared" si="0"/>
        <v>1487005.5</v>
      </c>
    </row>
    <row r="23" spans="1:8">
      <c r="A23">
        <v>22</v>
      </c>
      <c r="B23" s="331">
        <v>46203.875</v>
      </c>
      <c r="C23" t="s">
        <v>66</v>
      </c>
      <c r="D23" t="s">
        <v>66</v>
      </c>
      <c r="E23" t="s">
        <v>489</v>
      </c>
      <c r="F23">
        <v>1763152</v>
      </c>
      <c r="G23">
        <v>71457.77</v>
      </c>
      <c r="H23">
        <f t="shared" si="0"/>
        <v>881576</v>
      </c>
    </row>
    <row r="24" spans="1:8">
      <c r="A24">
        <v>23</v>
      </c>
      <c r="B24" s="331">
        <v>46203.875</v>
      </c>
      <c r="C24" t="s">
        <v>87</v>
      </c>
      <c r="D24" t="s">
        <v>87</v>
      </c>
      <c r="E24" t="s">
        <v>489</v>
      </c>
      <c r="F24">
        <v>333900</v>
      </c>
      <c r="G24">
        <v>1199.05</v>
      </c>
      <c r="H24">
        <f t="shared" si="0"/>
        <v>166950</v>
      </c>
    </row>
    <row r="25" spans="1:8">
      <c r="A25">
        <v>24</v>
      </c>
      <c r="B25" s="331">
        <v>46203.875</v>
      </c>
      <c r="C25" t="s">
        <v>276</v>
      </c>
      <c r="D25" t="s">
        <v>276</v>
      </c>
      <c r="E25" t="s">
        <v>489</v>
      </c>
      <c r="F25">
        <v>2062796</v>
      </c>
      <c r="G25">
        <v>93517.55</v>
      </c>
      <c r="H25">
        <f t="shared" si="0"/>
        <v>1031398</v>
      </c>
    </row>
    <row r="26" spans="1:8">
      <c r="A26">
        <v>25</v>
      </c>
      <c r="B26" s="331">
        <v>46203.875</v>
      </c>
      <c r="C26" t="s">
        <v>277</v>
      </c>
      <c r="D26" t="s">
        <v>277</v>
      </c>
      <c r="E26" t="s">
        <v>489</v>
      </c>
      <c r="F26">
        <v>2824352</v>
      </c>
      <c r="G26">
        <v>110213.34</v>
      </c>
      <c r="H26">
        <f t="shared" si="0"/>
        <v>1412176</v>
      </c>
    </row>
    <row r="27" spans="1:8">
      <c r="A27">
        <v>26</v>
      </c>
      <c r="B27" s="331">
        <v>46203.875</v>
      </c>
      <c r="C27" t="s">
        <v>1110</v>
      </c>
      <c r="D27" t="s">
        <v>1110</v>
      </c>
      <c r="E27" t="s">
        <v>489</v>
      </c>
      <c r="F27">
        <v>3014703</v>
      </c>
      <c r="H27">
        <f t="shared" si="0"/>
        <v>1507351.5</v>
      </c>
    </row>
    <row r="28" spans="1:8">
      <c r="A28">
        <v>27</v>
      </c>
      <c r="B28" s="331">
        <v>46203.875</v>
      </c>
      <c r="C28" t="s">
        <v>980</v>
      </c>
      <c r="D28" t="s">
        <v>980</v>
      </c>
      <c r="E28" t="s">
        <v>489</v>
      </c>
      <c r="F28">
        <v>1730152</v>
      </c>
      <c r="H28">
        <f t="shared" si="0"/>
        <v>865076</v>
      </c>
    </row>
    <row r="29" spans="1:8">
      <c r="A29">
        <v>28</v>
      </c>
      <c r="B29" s="331">
        <v>46203.875</v>
      </c>
      <c r="C29" t="s">
        <v>68</v>
      </c>
      <c r="D29" t="s">
        <v>68</v>
      </c>
      <c r="E29" t="s">
        <v>489</v>
      </c>
      <c r="F29">
        <v>1996136</v>
      </c>
      <c r="G29">
        <v>80461.34</v>
      </c>
      <c r="H29">
        <f t="shared" si="0"/>
        <v>998068</v>
      </c>
    </row>
    <row r="30" spans="1:8">
      <c r="A30">
        <v>29</v>
      </c>
      <c r="B30" s="331">
        <v>46203.875</v>
      </c>
      <c r="C30" t="s">
        <v>976</v>
      </c>
      <c r="D30" t="s">
        <v>976</v>
      </c>
      <c r="E30" t="s">
        <v>489</v>
      </c>
      <c r="F30">
        <v>1656013</v>
      </c>
      <c r="H30">
        <f t="shared" si="0"/>
        <v>828006.5</v>
      </c>
    </row>
    <row r="31" spans="1:8">
      <c r="A31">
        <v>30</v>
      </c>
      <c r="B31" s="331">
        <v>46203.875</v>
      </c>
      <c r="C31" t="s">
        <v>279</v>
      </c>
      <c r="D31" t="s">
        <v>279</v>
      </c>
      <c r="E31" t="s">
        <v>489</v>
      </c>
      <c r="F31">
        <v>2952798</v>
      </c>
      <c r="G31">
        <v>117994.18</v>
      </c>
      <c r="H31">
        <f t="shared" si="0"/>
        <v>1476399</v>
      </c>
    </row>
    <row r="32" spans="1:8">
      <c r="A32">
        <v>31</v>
      </c>
      <c r="B32" s="331">
        <v>46203.875</v>
      </c>
      <c r="C32" t="s">
        <v>89</v>
      </c>
      <c r="D32" t="s">
        <v>89</v>
      </c>
      <c r="E32" t="s">
        <v>489</v>
      </c>
      <c r="F32">
        <v>1079478</v>
      </c>
      <c r="G32">
        <v>42459.34</v>
      </c>
      <c r="H32">
        <f t="shared" si="0"/>
        <v>539739</v>
      </c>
    </row>
    <row r="33" spans="1:8">
      <c r="A33">
        <v>32</v>
      </c>
      <c r="B33" s="331">
        <v>46203.875</v>
      </c>
      <c r="C33" t="s">
        <v>426</v>
      </c>
      <c r="D33" t="s">
        <v>426</v>
      </c>
      <c r="E33" t="s">
        <v>489</v>
      </c>
      <c r="F33">
        <v>447072</v>
      </c>
      <c r="H33">
        <f t="shared" si="0"/>
        <v>223536</v>
      </c>
    </row>
    <row r="34" spans="1:8">
      <c r="A34">
        <v>33</v>
      </c>
      <c r="B34" s="331">
        <v>46203.875</v>
      </c>
      <c r="C34" t="s">
        <v>64</v>
      </c>
      <c r="D34" t="s">
        <v>64</v>
      </c>
      <c r="E34" t="s">
        <v>489</v>
      </c>
      <c r="F34">
        <v>2009901</v>
      </c>
      <c r="G34">
        <v>81494.97</v>
      </c>
      <c r="H34">
        <f t="shared" si="0"/>
        <v>1004950.5</v>
      </c>
    </row>
    <row r="35" spans="1:8">
      <c r="A35">
        <v>34</v>
      </c>
      <c r="B35" s="331">
        <v>46203.875</v>
      </c>
      <c r="C35" t="s">
        <v>91</v>
      </c>
      <c r="D35" t="s">
        <v>91</v>
      </c>
      <c r="E35" t="s">
        <v>489</v>
      </c>
      <c r="F35">
        <v>2206871</v>
      </c>
      <c r="G35">
        <v>88292.66</v>
      </c>
      <c r="H35">
        <f t="shared" si="0"/>
        <v>1103435.5</v>
      </c>
    </row>
    <row r="36" spans="1:8">
      <c r="A36">
        <v>35</v>
      </c>
      <c r="B36" s="331">
        <v>46203.875</v>
      </c>
      <c r="C36" t="s">
        <v>328</v>
      </c>
      <c r="D36" t="s">
        <v>328</v>
      </c>
      <c r="E36" t="s">
        <v>489</v>
      </c>
      <c r="F36">
        <v>3415377</v>
      </c>
      <c r="G36">
        <v>133373.26999999999</v>
      </c>
      <c r="H36">
        <f t="shared" si="0"/>
        <v>1707688.5</v>
      </c>
    </row>
    <row r="37" spans="1:8">
      <c r="A37">
        <v>36</v>
      </c>
      <c r="B37" s="331">
        <v>46203.875</v>
      </c>
      <c r="C37" t="s">
        <v>1109</v>
      </c>
      <c r="D37" t="s">
        <v>1109</v>
      </c>
      <c r="E37" t="s">
        <v>489</v>
      </c>
      <c r="F37">
        <v>2868845</v>
      </c>
      <c r="H37">
        <f t="shared" si="0"/>
        <v>1434422.5</v>
      </c>
    </row>
    <row r="38" spans="1:8">
      <c r="A38">
        <v>37</v>
      </c>
      <c r="B38" s="331">
        <v>46203.875</v>
      </c>
      <c r="C38" t="s">
        <v>71</v>
      </c>
      <c r="D38" t="s">
        <v>71</v>
      </c>
      <c r="E38" t="s">
        <v>489</v>
      </c>
      <c r="F38">
        <v>2946644</v>
      </c>
      <c r="G38">
        <v>118281.94</v>
      </c>
      <c r="H38">
        <f t="shared" si="0"/>
        <v>1473322</v>
      </c>
    </row>
    <row r="39" spans="1:8">
      <c r="A39">
        <v>38</v>
      </c>
      <c r="B39" s="331">
        <v>46203.875</v>
      </c>
      <c r="C39" t="s">
        <v>408</v>
      </c>
      <c r="D39" t="s">
        <v>408</v>
      </c>
      <c r="E39" t="s">
        <v>489</v>
      </c>
      <c r="F39">
        <v>1957856</v>
      </c>
      <c r="H39">
        <f t="shared" si="0"/>
        <v>978928</v>
      </c>
    </row>
    <row r="40" spans="1:8">
      <c r="A40">
        <v>39</v>
      </c>
      <c r="B40" s="331">
        <v>46203.875</v>
      </c>
      <c r="C40" t="s">
        <v>78</v>
      </c>
      <c r="D40" t="s">
        <v>78</v>
      </c>
      <c r="E40" t="s">
        <v>489</v>
      </c>
      <c r="F40">
        <v>1185486</v>
      </c>
      <c r="G40">
        <v>54339.74</v>
      </c>
      <c r="H40">
        <f t="shared" si="0"/>
        <v>592743</v>
      </c>
    </row>
    <row r="41" spans="1:8">
      <c r="A41">
        <v>40</v>
      </c>
      <c r="B41" s="331">
        <v>46203.875</v>
      </c>
      <c r="C41" t="s">
        <v>65</v>
      </c>
      <c r="D41" t="s">
        <v>65</v>
      </c>
      <c r="E41" t="s">
        <v>489</v>
      </c>
      <c r="F41">
        <v>2011040</v>
      </c>
      <c r="G41">
        <v>80740.83</v>
      </c>
      <c r="H41">
        <f t="shared" si="0"/>
        <v>1005520</v>
      </c>
    </row>
    <row r="42" spans="1:8">
      <c r="A42">
        <v>41</v>
      </c>
      <c r="B42" s="331">
        <v>46203.875</v>
      </c>
      <c r="C42" t="s">
        <v>74</v>
      </c>
      <c r="D42" t="s">
        <v>74</v>
      </c>
      <c r="E42" t="s">
        <v>489</v>
      </c>
      <c r="F42">
        <v>1308070</v>
      </c>
      <c r="G42">
        <v>53615.92</v>
      </c>
      <c r="H42">
        <f t="shared" si="0"/>
        <v>654035</v>
      </c>
    </row>
    <row r="43" spans="1:8">
      <c r="A43">
        <v>42</v>
      </c>
      <c r="B43" s="331">
        <v>46203.875</v>
      </c>
      <c r="C43" t="s">
        <v>60</v>
      </c>
      <c r="D43" t="s">
        <v>60</v>
      </c>
      <c r="E43" t="s">
        <v>489</v>
      </c>
      <c r="F43">
        <v>830618</v>
      </c>
      <c r="G43">
        <v>35866.589999999997</v>
      </c>
      <c r="H43">
        <f t="shared" si="0"/>
        <v>415309</v>
      </c>
    </row>
    <row r="44" spans="1:8">
      <c r="A44">
        <v>43</v>
      </c>
      <c r="B44" s="331">
        <v>46203.875</v>
      </c>
      <c r="C44" t="s">
        <v>69</v>
      </c>
      <c r="D44" t="s">
        <v>69</v>
      </c>
      <c r="E44" t="s">
        <v>489</v>
      </c>
      <c r="F44">
        <v>2958612</v>
      </c>
      <c r="G44">
        <v>118058.61</v>
      </c>
      <c r="H44">
        <f t="shared" si="0"/>
        <v>1479306</v>
      </c>
    </row>
    <row r="45" spans="1:8">
      <c r="A45">
        <v>44</v>
      </c>
      <c r="B45" s="331">
        <v>46203.875</v>
      </c>
      <c r="C45" t="s">
        <v>889</v>
      </c>
      <c r="D45" t="s">
        <v>889</v>
      </c>
      <c r="E45" t="s">
        <v>372</v>
      </c>
      <c r="F45">
        <v>1004841</v>
      </c>
      <c r="G45">
        <v>45737.33</v>
      </c>
      <c r="H45">
        <f t="shared" si="0"/>
        <v>502420.5</v>
      </c>
    </row>
    <row r="46" spans="1:8">
      <c r="A46">
        <v>45</v>
      </c>
      <c r="B46" s="331">
        <v>46203.875</v>
      </c>
      <c r="C46" t="s">
        <v>883</v>
      </c>
      <c r="D46" t="s">
        <v>883</v>
      </c>
      <c r="E46" t="s">
        <v>372</v>
      </c>
      <c r="F46">
        <v>503101</v>
      </c>
      <c r="G46">
        <v>24215.93</v>
      </c>
      <c r="H46">
        <f t="shared" si="0"/>
        <v>251550.5</v>
      </c>
    </row>
    <row r="47" spans="1:8">
      <c r="A47">
        <v>46</v>
      </c>
      <c r="B47" s="331">
        <v>46203.875</v>
      </c>
      <c r="C47" t="s">
        <v>496</v>
      </c>
      <c r="D47" t="s">
        <v>496</v>
      </c>
      <c r="E47" t="s">
        <v>372</v>
      </c>
      <c r="F47">
        <v>1719128</v>
      </c>
      <c r="G47">
        <v>73989.91</v>
      </c>
      <c r="H47">
        <f t="shared" si="0"/>
        <v>859564</v>
      </c>
    </row>
    <row r="48" spans="1:8">
      <c r="A48">
        <v>47</v>
      </c>
      <c r="B48" s="331">
        <v>46203.875</v>
      </c>
      <c r="C48" t="s">
        <v>891</v>
      </c>
      <c r="D48" t="s">
        <v>891</v>
      </c>
      <c r="E48" t="s">
        <v>372</v>
      </c>
      <c r="F48">
        <v>1009477</v>
      </c>
      <c r="G48">
        <v>46647.16</v>
      </c>
      <c r="H48">
        <f t="shared" si="0"/>
        <v>504738.5</v>
      </c>
    </row>
    <row r="49" spans="1:8">
      <c r="A49">
        <v>48</v>
      </c>
      <c r="B49" s="331">
        <v>46203.875</v>
      </c>
      <c r="C49" t="s">
        <v>451</v>
      </c>
      <c r="D49" t="s">
        <v>451</v>
      </c>
      <c r="E49" t="s">
        <v>372</v>
      </c>
      <c r="F49">
        <v>2497961</v>
      </c>
      <c r="G49">
        <v>115301.17</v>
      </c>
      <c r="H49">
        <f t="shared" si="0"/>
        <v>1248980.5</v>
      </c>
    </row>
    <row r="50" spans="1:8">
      <c r="A50">
        <v>49</v>
      </c>
      <c r="B50" s="331">
        <v>46203.875</v>
      </c>
      <c r="C50" t="s">
        <v>361</v>
      </c>
      <c r="D50" t="s">
        <v>361</v>
      </c>
      <c r="E50" t="s">
        <v>372</v>
      </c>
      <c r="F50">
        <v>773195</v>
      </c>
      <c r="G50">
        <v>38171.69</v>
      </c>
      <c r="H50">
        <f t="shared" si="0"/>
        <v>386597.5</v>
      </c>
    </row>
    <row r="51" spans="1:8">
      <c r="A51">
        <v>50</v>
      </c>
      <c r="B51" s="331">
        <v>46203.875</v>
      </c>
      <c r="C51" t="s">
        <v>498</v>
      </c>
      <c r="D51" t="s">
        <v>498</v>
      </c>
      <c r="E51" t="s">
        <v>372</v>
      </c>
      <c r="F51">
        <v>2292961</v>
      </c>
      <c r="G51">
        <v>98606.04</v>
      </c>
      <c r="H51">
        <f t="shared" si="0"/>
        <v>1146480.5</v>
      </c>
    </row>
    <row r="52" spans="1:8">
      <c r="A52">
        <v>51</v>
      </c>
      <c r="B52" s="331">
        <v>46203.875</v>
      </c>
      <c r="C52" t="s">
        <v>497</v>
      </c>
      <c r="D52" t="s">
        <v>497</v>
      </c>
      <c r="E52" t="s">
        <v>372</v>
      </c>
      <c r="F52">
        <v>1716536</v>
      </c>
      <c r="G52">
        <v>73947.31</v>
      </c>
      <c r="H52">
        <f t="shared" si="0"/>
        <v>858268</v>
      </c>
    </row>
    <row r="53" spans="1:8">
      <c r="A53">
        <v>52</v>
      </c>
      <c r="B53" s="331">
        <v>46203.875</v>
      </c>
      <c r="C53" t="s">
        <v>892</v>
      </c>
      <c r="D53" t="s">
        <v>892</v>
      </c>
      <c r="E53" t="s">
        <v>372</v>
      </c>
      <c r="F53">
        <v>1007218</v>
      </c>
      <c r="G53">
        <v>45208.24</v>
      </c>
      <c r="H53">
        <f t="shared" si="0"/>
        <v>503609</v>
      </c>
    </row>
    <row r="54" spans="1:8">
      <c r="A54">
        <v>53</v>
      </c>
      <c r="B54" s="331">
        <v>46203.875</v>
      </c>
      <c r="C54" t="s">
        <v>80</v>
      </c>
      <c r="D54" t="s">
        <v>80</v>
      </c>
      <c r="E54" t="s">
        <v>489</v>
      </c>
      <c r="F54">
        <v>1113677</v>
      </c>
      <c r="G54">
        <v>52766.18</v>
      </c>
      <c r="H54">
        <f t="shared" si="0"/>
        <v>556838.5</v>
      </c>
    </row>
    <row r="55" spans="1:8">
      <c r="A55">
        <v>54</v>
      </c>
      <c r="B55" s="331">
        <v>46203.875</v>
      </c>
      <c r="C55" t="s">
        <v>83</v>
      </c>
      <c r="D55" t="s">
        <v>83</v>
      </c>
      <c r="E55" t="s">
        <v>489</v>
      </c>
      <c r="F55">
        <v>2081830</v>
      </c>
      <c r="G55">
        <v>95605.66</v>
      </c>
      <c r="H55">
        <f t="shared" si="0"/>
        <v>1040915</v>
      </c>
    </row>
    <row r="56" spans="1:8">
      <c r="A56">
        <v>55</v>
      </c>
      <c r="B56" s="331">
        <v>46203.875</v>
      </c>
      <c r="C56" t="s">
        <v>64</v>
      </c>
      <c r="D56" t="s">
        <v>64</v>
      </c>
      <c r="E56" t="s">
        <v>489</v>
      </c>
      <c r="F56">
        <v>2009940</v>
      </c>
      <c r="G56">
        <v>80867.08</v>
      </c>
      <c r="H56">
        <f t="shared" si="0"/>
        <v>1004970</v>
      </c>
    </row>
    <row r="57" spans="1:8">
      <c r="A57">
        <v>56</v>
      </c>
      <c r="B57" s="331">
        <v>46203.875</v>
      </c>
      <c r="C57" t="s">
        <v>980</v>
      </c>
      <c r="D57" t="s">
        <v>980</v>
      </c>
      <c r="E57" t="s">
        <v>489</v>
      </c>
      <c r="F57">
        <v>1730497</v>
      </c>
      <c r="H57">
        <f t="shared" si="0"/>
        <v>865248.5</v>
      </c>
    </row>
    <row r="58" spans="1:8">
      <c r="A58">
        <v>57</v>
      </c>
      <c r="B58" s="331">
        <v>46203.875</v>
      </c>
      <c r="C58" t="s">
        <v>71</v>
      </c>
      <c r="D58" t="s">
        <v>71</v>
      </c>
      <c r="E58" t="s">
        <v>489</v>
      </c>
      <c r="F58">
        <v>2946879</v>
      </c>
      <c r="G58">
        <v>115435.13</v>
      </c>
      <c r="H58">
        <f t="shared" si="0"/>
        <v>1473439.5</v>
      </c>
    </row>
    <row r="59" spans="1:8">
      <c r="A59">
        <v>58</v>
      </c>
      <c r="B59" s="331">
        <v>46203.875</v>
      </c>
      <c r="C59" t="s">
        <v>89</v>
      </c>
      <c r="D59" t="s">
        <v>89</v>
      </c>
      <c r="E59" t="s">
        <v>489</v>
      </c>
      <c r="F59">
        <v>1079828</v>
      </c>
      <c r="G59">
        <v>43178.91</v>
      </c>
      <c r="H59">
        <f t="shared" si="0"/>
        <v>539914</v>
      </c>
    </row>
    <row r="60" spans="1:8">
      <c r="A60">
        <v>59</v>
      </c>
      <c r="B60" s="331">
        <v>46203.875</v>
      </c>
      <c r="C60" t="s">
        <v>426</v>
      </c>
      <c r="D60" t="s">
        <v>426</v>
      </c>
      <c r="E60" t="s">
        <v>489</v>
      </c>
      <c r="F60">
        <v>447337</v>
      </c>
      <c r="H60">
        <f t="shared" si="0"/>
        <v>223668.5</v>
      </c>
    </row>
    <row r="61" spans="1:8">
      <c r="A61">
        <v>60</v>
      </c>
      <c r="B61" s="331">
        <v>46203.875</v>
      </c>
      <c r="C61" t="s">
        <v>65</v>
      </c>
      <c r="D61" t="s">
        <v>65</v>
      </c>
      <c r="E61" t="s">
        <v>489</v>
      </c>
      <c r="F61">
        <v>2010869</v>
      </c>
      <c r="G61">
        <v>80282.710000000006</v>
      </c>
      <c r="H61">
        <f t="shared" si="0"/>
        <v>1005434.5</v>
      </c>
    </row>
    <row r="62" spans="1:8">
      <c r="A62">
        <v>61</v>
      </c>
      <c r="B62" s="331">
        <v>46203.875</v>
      </c>
      <c r="C62" t="s">
        <v>75</v>
      </c>
      <c r="D62" t="s">
        <v>75</v>
      </c>
      <c r="E62" t="s">
        <v>489</v>
      </c>
      <c r="F62">
        <v>898355</v>
      </c>
      <c r="G62">
        <v>42247.75</v>
      </c>
      <c r="H62">
        <f t="shared" si="0"/>
        <v>449177.5</v>
      </c>
    </row>
    <row r="63" spans="1:8">
      <c r="A63">
        <v>62</v>
      </c>
      <c r="B63" s="331">
        <v>46203.875</v>
      </c>
      <c r="C63" t="s">
        <v>445</v>
      </c>
      <c r="D63" t="s">
        <v>445</v>
      </c>
      <c r="E63" t="s">
        <v>489</v>
      </c>
      <c r="F63">
        <v>2925060</v>
      </c>
      <c r="H63">
        <f t="shared" si="0"/>
        <v>1462530</v>
      </c>
    </row>
    <row r="64" spans="1:8">
      <c r="A64">
        <v>63</v>
      </c>
      <c r="B64" s="331">
        <v>46203.875</v>
      </c>
      <c r="C64" t="s">
        <v>86</v>
      </c>
      <c r="D64" t="s">
        <v>86</v>
      </c>
      <c r="E64" t="s">
        <v>489</v>
      </c>
      <c r="F64">
        <v>997939</v>
      </c>
      <c r="G64">
        <v>43088.82</v>
      </c>
      <c r="H64">
        <f t="shared" si="0"/>
        <v>498969.5</v>
      </c>
    </row>
    <row r="65" spans="1:8">
      <c r="A65">
        <v>64</v>
      </c>
      <c r="B65" s="331">
        <v>46203.875</v>
      </c>
      <c r="C65" t="s">
        <v>68</v>
      </c>
      <c r="D65" t="s">
        <v>68</v>
      </c>
      <c r="E65" t="s">
        <v>489</v>
      </c>
      <c r="F65">
        <v>1996323</v>
      </c>
      <c r="G65">
        <v>80913.16</v>
      </c>
      <c r="H65">
        <f t="shared" si="0"/>
        <v>998161.5</v>
      </c>
    </row>
    <row r="66" spans="1:8">
      <c r="A66">
        <v>65</v>
      </c>
      <c r="B66" s="331">
        <v>46203.875</v>
      </c>
      <c r="C66" t="s">
        <v>87</v>
      </c>
      <c r="D66" t="s">
        <v>87</v>
      </c>
      <c r="E66" t="s">
        <v>489</v>
      </c>
      <c r="F66">
        <v>333896</v>
      </c>
      <c r="G66">
        <v>1188.45</v>
      </c>
      <c r="H66">
        <f t="shared" si="0"/>
        <v>166948</v>
      </c>
    </row>
    <row r="67" spans="1:8">
      <c r="A67">
        <v>66</v>
      </c>
      <c r="B67" s="331">
        <v>46203.875</v>
      </c>
      <c r="C67" t="s">
        <v>410</v>
      </c>
      <c r="D67" t="s">
        <v>410</v>
      </c>
      <c r="E67" t="s">
        <v>489</v>
      </c>
      <c r="F67">
        <v>1926401</v>
      </c>
      <c r="H67">
        <f t="shared" ref="H67:H130" si="1">0.5*F67</f>
        <v>963200.5</v>
      </c>
    </row>
    <row r="68" spans="1:8">
      <c r="A68">
        <v>67</v>
      </c>
      <c r="B68" s="331">
        <v>46203.875</v>
      </c>
      <c r="C68" t="s">
        <v>74</v>
      </c>
      <c r="D68" t="s">
        <v>74</v>
      </c>
      <c r="E68" t="s">
        <v>489</v>
      </c>
      <c r="F68">
        <v>1308110</v>
      </c>
      <c r="G68">
        <v>54025.43</v>
      </c>
      <c r="H68">
        <f t="shared" si="1"/>
        <v>654055</v>
      </c>
    </row>
    <row r="69" spans="1:8">
      <c r="A69">
        <v>68</v>
      </c>
      <c r="B69" s="331">
        <v>46203.875</v>
      </c>
      <c r="C69" t="s">
        <v>67</v>
      </c>
      <c r="D69" t="s">
        <v>67</v>
      </c>
      <c r="E69" t="s">
        <v>489</v>
      </c>
      <c r="F69">
        <v>2019522</v>
      </c>
      <c r="G69">
        <v>81917.45</v>
      </c>
      <c r="H69">
        <f t="shared" si="1"/>
        <v>1009761</v>
      </c>
    </row>
    <row r="70" spans="1:8">
      <c r="A70">
        <v>69</v>
      </c>
      <c r="B70" s="331">
        <v>46203.875</v>
      </c>
      <c r="C70" t="s">
        <v>78</v>
      </c>
      <c r="D70" t="s">
        <v>78</v>
      </c>
      <c r="E70" t="s">
        <v>489</v>
      </c>
      <c r="F70">
        <v>1186037</v>
      </c>
      <c r="G70">
        <v>54598.43</v>
      </c>
      <c r="H70">
        <f t="shared" si="1"/>
        <v>593018.5</v>
      </c>
    </row>
    <row r="71" spans="1:8">
      <c r="A71">
        <v>70</v>
      </c>
      <c r="B71" s="331">
        <v>46203.875</v>
      </c>
      <c r="C71" t="s">
        <v>408</v>
      </c>
      <c r="D71" t="s">
        <v>408</v>
      </c>
      <c r="E71" t="s">
        <v>489</v>
      </c>
      <c r="F71">
        <v>1958554</v>
      </c>
      <c r="H71">
        <f t="shared" si="1"/>
        <v>979277</v>
      </c>
    </row>
    <row r="72" spans="1:8">
      <c r="A72">
        <v>71</v>
      </c>
      <c r="B72" s="331">
        <v>46203.875</v>
      </c>
      <c r="C72" t="s">
        <v>1108</v>
      </c>
      <c r="D72" t="s">
        <v>1108</v>
      </c>
      <c r="E72" t="s">
        <v>489</v>
      </c>
      <c r="F72">
        <v>1734771</v>
      </c>
      <c r="H72">
        <f t="shared" si="1"/>
        <v>867385.5</v>
      </c>
    </row>
    <row r="73" spans="1:8">
      <c r="A73">
        <v>72</v>
      </c>
      <c r="B73" s="331">
        <v>46203.875</v>
      </c>
      <c r="C73" t="s">
        <v>91</v>
      </c>
      <c r="D73" t="s">
        <v>91</v>
      </c>
      <c r="E73" t="s">
        <v>489</v>
      </c>
      <c r="F73">
        <v>2207419</v>
      </c>
      <c r="G73">
        <v>89647.48</v>
      </c>
      <c r="H73">
        <f t="shared" si="1"/>
        <v>1103709.5</v>
      </c>
    </row>
    <row r="74" spans="1:8">
      <c r="A74">
        <v>73</v>
      </c>
      <c r="B74" s="331">
        <v>46203.875</v>
      </c>
      <c r="C74" t="s">
        <v>77</v>
      </c>
      <c r="D74" t="s">
        <v>77</v>
      </c>
      <c r="E74" t="s">
        <v>489</v>
      </c>
      <c r="F74">
        <v>890806</v>
      </c>
      <c r="G74">
        <v>41180.57</v>
      </c>
      <c r="H74">
        <f t="shared" si="1"/>
        <v>445403</v>
      </c>
    </row>
    <row r="75" spans="1:8">
      <c r="A75">
        <v>74</v>
      </c>
      <c r="B75" s="331">
        <v>46203.875</v>
      </c>
      <c r="C75" t="s">
        <v>277</v>
      </c>
      <c r="D75" t="s">
        <v>277</v>
      </c>
      <c r="E75" t="s">
        <v>489</v>
      </c>
      <c r="F75">
        <v>2824385</v>
      </c>
      <c r="G75">
        <v>108759.64</v>
      </c>
      <c r="H75">
        <f t="shared" si="1"/>
        <v>1412192.5</v>
      </c>
    </row>
    <row r="76" spans="1:8">
      <c r="A76">
        <v>75</v>
      </c>
      <c r="B76" s="331">
        <v>46203.875</v>
      </c>
      <c r="C76" t="s">
        <v>337</v>
      </c>
      <c r="D76" t="s">
        <v>337</v>
      </c>
      <c r="E76" t="s">
        <v>489</v>
      </c>
      <c r="F76">
        <v>1309171</v>
      </c>
      <c r="G76">
        <v>52732.3</v>
      </c>
      <c r="H76">
        <f t="shared" si="1"/>
        <v>654585.5</v>
      </c>
    </row>
    <row r="77" spans="1:8">
      <c r="A77">
        <v>76</v>
      </c>
      <c r="B77" s="331">
        <v>46203.875</v>
      </c>
      <c r="C77" t="s">
        <v>976</v>
      </c>
      <c r="D77" t="s">
        <v>976</v>
      </c>
      <c r="E77" t="s">
        <v>489</v>
      </c>
      <c r="F77">
        <v>1656339</v>
      </c>
      <c r="H77">
        <f t="shared" si="1"/>
        <v>828169.5</v>
      </c>
    </row>
    <row r="78" spans="1:8">
      <c r="A78">
        <v>77</v>
      </c>
      <c r="B78" s="331">
        <v>46203.875</v>
      </c>
      <c r="C78" t="s">
        <v>81</v>
      </c>
      <c r="D78" t="s">
        <v>81</v>
      </c>
      <c r="E78" t="s">
        <v>489</v>
      </c>
      <c r="F78">
        <v>2079113</v>
      </c>
      <c r="G78">
        <v>95184.26</v>
      </c>
      <c r="H78">
        <f t="shared" si="1"/>
        <v>1039556.5</v>
      </c>
    </row>
    <row r="79" spans="1:8">
      <c r="A79">
        <v>78</v>
      </c>
      <c r="B79" s="331">
        <v>46203.875</v>
      </c>
      <c r="C79" t="s">
        <v>60</v>
      </c>
      <c r="D79" t="s">
        <v>60</v>
      </c>
      <c r="E79" t="s">
        <v>489</v>
      </c>
      <c r="F79">
        <v>830602</v>
      </c>
      <c r="G79">
        <v>35866.07</v>
      </c>
      <c r="H79">
        <f t="shared" si="1"/>
        <v>415301</v>
      </c>
    </row>
    <row r="80" spans="1:8">
      <c r="A80">
        <v>79</v>
      </c>
      <c r="B80" s="331">
        <v>46203.875</v>
      </c>
      <c r="C80" t="s">
        <v>63</v>
      </c>
      <c r="D80" t="s">
        <v>63</v>
      </c>
      <c r="E80" t="s">
        <v>489</v>
      </c>
      <c r="F80">
        <v>919227</v>
      </c>
      <c r="G80">
        <v>35753.71</v>
      </c>
      <c r="H80">
        <f t="shared" si="1"/>
        <v>459613.5</v>
      </c>
    </row>
    <row r="81" spans="1:8">
      <c r="A81">
        <v>80</v>
      </c>
      <c r="B81" s="331">
        <v>46203.875</v>
      </c>
      <c r="C81" t="s">
        <v>1109</v>
      </c>
      <c r="D81" t="s">
        <v>1109</v>
      </c>
      <c r="E81" t="s">
        <v>489</v>
      </c>
      <c r="F81">
        <v>2869541</v>
      </c>
      <c r="H81">
        <f t="shared" si="1"/>
        <v>1434770.5</v>
      </c>
    </row>
    <row r="82" spans="1:8">
      <c r="A82">
        <v>81</v>
      </c>
      <c r="B82" s="331">
        <v>46203.875</v>
      </c>
      <c r="C82" t="s">
        <v>1110</v>
      </c>
      <c r="D82" t="s">
        <v>1110</v>
      </c>
      <c r="E82" t="s">
        <v>489</v>
      </c>
      <c r="F82">
        <v>3015631</v>
      </c>
      <c r="H82">
        <f t="shared" si="1"/>
        <v>1507815.5</v>
      </c>
    </row>
    <row r="83" spans="1:8">
      <c r="A83">
        <v>82</v>
      </c>
      <c r="B83" s="331">
        <v>46203.875</v>
      </c>
      <c r="C83" t="s">
        <v>411</v>
      </c>
      <c r="D83" t="s">
        <v>411</v>
      </c>
      <c r="E83" t="s">
        <v>489</v>
      </c>
      <c r="F83">
        <v>2823390</v>
      </c>
      <c r="H83">
        <f t="shared" si="1"/>
        <v>1411695</v>
      </c>
    </row>
    <row r="84" spans="1:8">
      <c r="A84">
        <v>83</v>
      </c>
      <c r="B84" s="331">
        <v>46203.875</v>
      </c>
      <c r="C84" t="s">
        <v>66</v>
      </c>
      <c r="D84" t="s">
        <v>66</v>
      </c>
      <c r="E84" t="s">
        <v>489</v>
      </c>
      <c r="F84">
        <v>1763294</v>
      </c>
      <c r="G84">
        <v>70600.05</v>
      </c>
      <c r="H84">
        <f t="shared" si="1"/>
        <v>881647</v>
      </c>
    </row>
    <row r="85" spans="1:8">
      <c r="A85">
        <v>84</v>
      </c>
      <c r="B85" s="331">
        <v>46203.875</v>
      </c>
      <c r="C85" t="s">
        <v>72</v>
      </c>
      <c r="D85" t="s">
        <v>72</v>
      </c>
      <c r="E85" t="s">
        <v>489</v>
      </c>
      <c r="F85">
        <v>2972116</v>
      </c>
      <c r="G85">
        <v>117764.98</v>
      </c>
      <c r="H85">
        <f t="shared" si="1"/>
        <v>1486058</v>
      </c>
    </row>
    <row r="86" spans="1:8">
      <c r="A86">
        <v>85</v>
      </c>
      <c r="B86" s="331">
        <v>46203.875</v>
      </c>
      <c r="C86" t="s">
        <v>279</v>
      </c>
      <c r="D86" t="s">
        <v>279</v>
      </c>
      <c r="E86" t="s">
        <v>489</v>
      </c>
      <c r="F86">
        <v>2953126</v>
      </c>
      <c r="G86">
        <v>115494.99</v>
      </c>
      <c r="H86">
        <f t="shared" si="1"/>
        <v>1476563</v>
      </c>
    </row>
    <row r="87" spans="1:8">
      <c r="A87">
        <v>86</v>
      </c>
      <c r="B87" s="331">
        <v>46203.875</v>
      </c>
      <c r="C87" t="s">
        <v>446</v>
      </c>
      <c r="D87" t="s">
        <v>446</v>
      </c>
      <c r="E87" t="s">
        <v>489</v>
      </c>
      <c r="F87">
        <v>2889760</v>
      </c>
      <c r="H87">
        <f t="shared" si="1"/>
        <v>1444880</v>
      </c>
    </row>
    <row r="88" spans="1:8">
      <c r="A88">
        <v>87</v>
      </c>
      <c r="B88" s="331">
        <v>46203.875</v>
      </c>
      <c r="C88" t="s">
        <v>1107</v>
      </c>
      <c r="D88" t="s">
        <v>1107</v>
      </c>
      <c r="E88" t="s">
        <v>489</v>
      </c>
      <c r="F88">
        <v>438577</v>
      </c>
      <c r="H88">
        <f t="shared" si="1"/>
        <v>219288.5</v>
      </c>
    </row>
    <row r="89" spans="1:8">
      <c r="A89">
        <v>88</v>
      </c>
      <c r="B89" s="331">
        <v>46203.875</v>
      </c>
      <c r="C89" t="s">
        <v>979</v>
      </c>
      <c r="D89" t="s">
        <v>979</v>
      </c>
      <c r="E89" t="s">
        <v>489</v>
      </c>
      <c r="F89">
        <v>1280863</v>
      </c>
      <c r="H89">
        <f t="shared" si="1"/>
        <v>640431.5</v>
      </c>
    </row>
    <row r="90" spans="1:8">
      <c r="A90">
        <v>89</v>
      </c>
      <c r="B90" s="331">
        <v>46203.875</v>
      </c>
      <c r="C90" t="s">
        <v>93</v>
      </c>
      <c r="D90" t="s">
        <v>93</v>
      </c>
      <c r="E90" t="s">
        <v>489</v>
      </c>
      <c r="F90">
        <v>2324008</v>
      </c>
      <c r="G90">
        <v>93090.27</v>
      </c>
      <c r="H90">
        <f t="shared" si="1"/>
        <v>1162004</v>
      </c>
    </row>
    <row r="91" spans="1:8">
      <c r="A91">
        <v>90</v>
      </c>
      <c r="B91" s="331">
        <v>46203.875</v>
      </c>
      <c r="C91" t="s">
        <v>69</v>
      </c>
      <c r="D91" t="s">
        <v>69</v>
      </c>
      <c r="E91" t="s">
        <v>489</v>
      </c>
      <c r="F91">
        <v>2958514</v>
      </c>
      <c r="G91">
        <v>117138.28</v>
      </c>
      <c r="H91">
        <f t="shared" si="1"/>
        <v>1479257</v>
      </c>
    </row>
    <row r="92" spans="1:8">
      <c r="A92">
        <v>91</v>
      </c>
      <c r="B92" s="331">
        <v>46203.875</v>
      </c>
      <c r="C92" t="s">
        <v>90</v>
      </c>
      <c r="D92" t="s">
        <v>90</v>
      </c>
      <c r="E92" t="s">
        <v>489</v>
      </c>
      <c r="F92">
        <v>2317679</v>
      </c>
      <c r="G92">
        <v>95710.42</v>
      </c>
      <c r="H92">
        <f t="shared" si="1"/>
        <v>1158839.5</v>
      </c>
    </row>
    <row r="93" spans="1:8">
      <c r="A93">
        <v>92</v>
      </c>
      <c r="B93" s="331">
        <v>46203.875</v>
      </c>
      <c r="C93" t="s">
        <v>84</v>
      </c>
      <c r="D93" t="s">
        <v>84</v>
      </c>
      <c r="E93" t="s">
        <v>489</v>
      </c>
      <c r="F93">
        <v>995643</v>
      </c>
      <c r="G93">
        <v>43258.27</v>
      </c>
      <c r="H93">
        <f t="shared" si="1"/>
        <v>497821.5</v>
      </c>
    </row>
    <row r="94" spans="1:8">
      <c r="A94">
        <v>93</v>
      </c>
      <c r="B94" s="331">
        <v>46203.875</v>
      </c>
      <c r="C94" t="s">
        <v>276</v>
      </c>
      <c r="D94" t="s">
        <v>276</v>
      </c>
      <c r="E94" t="s">
        <v>489</v>
      </c>
      <c r="F94">
        <v>2063646</v>
      </c>
      <c r="G94">
        <v>93288.14</v>
      </c>
      <c r="H94">
        <f t="shared" si="1"/>
        <v>1031823</v>
      </c>
    </row>
    <row r="95" spans="1:8">
      <c r="A95">
        <v>94</v>
      </c>
      <c r="B95" s="331">
        <v>46203.875</v>
      </c>
      <c r="C95" t="s">
        <v>278</v>
      </c>
      <c r="D95" t="s">
        <v>278</v>
      </c>
      <c r="E95" t="s">
        <v>489</v>
      </c>
      <c r="F95">
        <v>2974615</v>
      </c>
      <c r="G95">
        <v>118644.11</v>
      </c>
      <c r="H95">
        <f t="shared" si="1"/>
        <v>1487307.5</v>
      </c>
    </row>
    <row r="96" spans="1:8">
      <c r="A96">
        <v>95</v>
      </c>
      <c r="B96" s="331">
        <v>46203.875</v>
      </c>
      <c r="C96" t="s">
        <v>58</v>
      </c>
      <c r="D96" t="s">
        <v>58</v>
      </c>
      <c r="E96" t="s">
        <v>489</v>
      </c>
      <c r="F96">
        <v>826207</v>
      </c>
      <c r="G96">
        <v>35174.75</v>
      </c>
      <c r="H96">
        <f t="shared" si="1"/>
        <v>413103.5</v>
      </c>
    </row>
    <row r="97" spans="1:8">
      <c r="A97">
        <v>96</v>
      </c>
      <c r="B97" s="331">
        <v>46203.875</v>
      </c>
      <c r="C97" t="s">
        <v>328</v>
      </c>
      <c r="D97" t="s">
        <v>328</v>
      </c>
      <c r="E97" t="s">
        <v>489</v>
      </c>
      <c r="F97">
        <v>3416420</v>
      </c>
      <c r="G97">
        <v>134175.09</v>
      </c>
      <c r="H97">
        <f t="shared" si="1"/>
        <v>1708210</v>
      </c>
    </row>
    <row r="98" spans="1:8">
      <c r="A98">
        <v>97</v>
      </c>
      <c r="B98" s="331">
        <v>46203.875</v>
      </c>
      <c r="C98" t="s">
        <v>61</v>
      </c>
      <c r="D98" t="s">
        <v>61</v>
      </c>
      <c r="E98" t="s">
        <v>489</v>
      </c>
      <c r="F98">
        <v>415446</v>
      </c>
      <c r="G98">
        <v>1240.67</v>
      </c>
      <c r="H98">
        <f t="shared" si="1"/>
        <v>207723</v>
      </c>
    </row>
    <row r="99" spans="1:8">
      <c r="A99">
        <v>98</v>
      </c>
      <c r="B99" s="331">
        <v>46203.875</v>
      </c>
      <c r="C99" t="s">
        <v>491</v>
      </c>
      <c r="D99" t="s">
        <v>491</v>
      </c>
      <c r="E99" t="s">
        <v>372</v>
      </c>
      <c r="F99">
        <v>2501604</v>
      </c>
      <c r="G99">
        <v>116278.18</v>
      </c>
      <c r="H99">
        <f t="shared" si="1"/>
        <v>1250802</v>
      </c>
    </row>
    <row r="100" spans="1:8">
      <c r="A100">
        <v>99</v>
      </c>
      <c r="B100" s="331">
        <v>46203.875</v>
      </c>
      <c r="C100" t="s">
        <v>58</v>
      </c>
      <c r="D100" t="s">
        <v>58</v>
      </c>
      <c r="E100" t="s">
        <v>489</v>
      </c>
      <c r="F100">
        <v>826261</v>
      </c>
      <c r="G100">
        <v>35285.440000000002</v>
      </c>
      <c r="H100">
        <f t="shared" si="1"/>
        <v>413130.5</v>
      </c>
    </row>
    <row r="101" spans="1:8">
      <c r="A101">
        <v>100</v>
      </c>
      <c r="B101" s="331">
        <v>46203.875</v>
      </c>
      <c r="C101" t="s">
        <v>84</v>
      </c>
      <c r="D101" t="s">
        <v>84</v>
      </c>
      <c r="E101" t="s">
        <v>489</v>
      </c>
      <c r="F101">
        <v>995456</v>
      </c>
      <c r="G101">
        <v>42873.14</v>
      </c>
      <c r="H101">
        <f t="shared" si="1"/>
        <v>497728</v>
      </c>
    </row>
    <row r="102" spans="1:8">
      <c r="A102">
        <v>101</v>
      </c>
      <c r="B102" s="331">
        <v>46203.875</v>
      </c>
      <c r="C102" t="s">
        <v>77</v>
      </c>
      <c r="D102" t="s">
        <v>77</v>
      </c>
      <c r="E102" t="s">
        <v>489</v>
      </c>
      <c r="F102">
        <v>890520</v>
      </c>
      <c r="G102">
        <v>41404.19</v>
      </c>
      <c r="H102">
        <f t="shared" si="1"/>
        <v>445260</v>
      </c>
    </row>
    <row r="103" spans="1:8">
      <c r="A103">
        <v>102</v>
      </c>
      <c r="B103" s="331">
        <v>46203.875</v>
      </c>
      <c r="C103" t="s">
        <v>72</v>
      </c>
      <c r="D103" t="s">
        <v>72</v>
      </c>
      <c r="E103" t="s">
        <v>489</v>
      </c>
      <c r="F103">
        <v>2972329</v>
      </c>
      <c r="G103">
        <v>118809.07</v>
      </c>
      <c r="H103">
        <f t="shared" si="1"/>
        <v>1486164.5</v>
      </c>
    </row>
    <row r="104" spans="1:8">
      <c r="A104">
        <v>103</v>
      </c>
      <c r="B104" s="331">
        <v>46203.875</v>
      </c>
      <c r="C104" t="s">
        <v>81</v>
      </c>
      <c r="D104" t="s">
        <v>81</v>
      </c>
      <c r="E104" t="s">
        <v>489</v>
      </c>
      <c r="F104">
        <v>2078705</v>
      </c>
      <c r="G104">
        <v>94843.49</v>
      </c>
      <c r="H104">
        <f t="shared" si="1"/>
        <v>1039352.5</v>
      </c>
    </row>
    <row r="105" spans="1:8">
      <c r="A105">
        <v>104</v>
      </c>
      <c r="B105" s="331">
        <v>46203.875</v>
      </c>
      <c r="C105" t="s">
        <v>411</v>
      </c>
      <c r="D105" t="s">
        <v>411</v>
      </c>
      <c r="E105" t="s">
        <v>489</v>
      </c>
      <c r="F105">
        <v>2822461</v>
      </c>
      <c r="H105">
        <f t="shared" si="1"/>
        <v>1411230.5</v>
      </c>
    </row>
    <row r="106" spans="1:8">
      <c r="A106">
        <v>105</v>
      </c>
      <c r="B106" s="331">
        <v>46203.875</v>
      </c>
      <c r="C106" t="s">
        <v>337</v>
      </c>
      <c r="D106" t="s">
        <v>337</v>
      </c>
      <c r="E106" t="s">
        <v>489</v>
      </c>
      <c r="F106">
        <v>1309029</v>
      </c>
      <c r="G106">
        <v>53205.67</v>
      </c>
      <c r="H106">
        <f t="shared" si="1"/>
        <v>654514.5</v>
      </c>
    </row>
    <row r="107" spans="1:8">
      <c r="A107">
        <v>106</v>
      </c>
      <c r="B107" s="331">
        <v>46203.875</v>
      </c>
      <c r="C107" t="s">
        <v>61</v>
      </c>
      <c r="D107" t="s">
        <v>61</v>
      </c>
      <c r="E107" t="s">
        <v>489</v>
      </c>
      <c r="F107">
        <v>415542</v>
      </c>
      <c r="G107">
        <v>1225.48</v>
      </c>
      <c r="H107">
        <f t="shared" si="1"/>
        <v>207771</v>
      </c>
    </row>
    <row r="108" spans="1:8">
      <c r="A108">
        <v>107</v>
      </c>
      <c r="B108" s="331">
        <v>46203.875</v>
      </c>
      <c r="C108" t="s">
        <v>93</v>
      </c>
      <c r="D108" t="s">
        <v>93</v>
      </c>
      <c r="E108" t="s">
        <v>489</v>
      </c>
      <c r="F108">
        <v>2322843</v>
      </c>
      <c r="G108">
        <v>91963.88</v>
      </c>
      <c r="H108">
        <f t="shared" si="1"/>
        <v>1161421.5</v>
      </c>
    </row>
    <row r="109" spans="1:8">
      <c r="A109">
        <v>108</v>
      </c>
      <c r="B109" s="331">
        <v>46203.875</v>
      </c>
      <c r="C109" t="s">
        <v>410</v>
      </c>
      <c r="D109" t="s">
        <v>410</v>
      </c>
      <c r="E109" t="s">
        <v>489</v>
      </c>
      <c r="F109">
        <v>1925628</v>
      </c>
      <c r="H109">
        <f t="shared" si="1"/>
        <v>962814</v>
      </c>
    </row>
    <row r="110" spans="1:8">
      <c r="A110">
        <v>109</v>
      </c>
      <c r="B110" s="331">
        <v>46203.875</v>
      </c>
      <c r="C110" t="s">
        <v>979</v>
      </c>
      <c r="D110" t="s">
        <v>979</v>
      </c>
      <c r="E110" t="s">
        <v>489</v>
      </c>
      <c r="F110">
        <v>1280734</v>
      </c>
      <c r="H110">
        <f t="shared" si="1"/>
        <v>640367</v>
      </c>
    </row>
    <row r="111" spans="1:8">
      <c r="A111">
        <v>110</v>
      </c>
      <c r="B111" s="331">
        <v>46203.871527777781</v>
      </c>
      <c r="C111" t="s">
        <v>60</v>
      </c>
      <c r="D111" t="s">
        <v>60</v>
      </c>
      <c r="E111" t="s">
        <v>489</v>
      </c>
      <c r="F111">
        <v>830656</v>
      </c>
      <c r="G111">
        <v>35705.4</v>
      </c>
      <c r="H111">
        <f t="shared" si="1"/>
        <v>415328</v>
      </c>
    </row>
    <row r="112" spans="1:8">
      <c r="A112">
        <v>111</v>
      </c>
      <c r="B112" s="331">
        <v>46203.871527777781</v>
      </c>
      <c r="C112" t="s">
        <v>496</v>
      </c>
      <c r="D112" t="s">
        <v>496</v>
      </c>
      <c r="E112" t="s">
        <v>372</v>
      </c>
      <c r="F112">
        <v>1719202</v>
      </c>
      <c r="G112">
        <v>73177.990000000005</v>
      </c>
      <c r="H112">
        <f t="shared" si="1"/>
        <v>859601</v>
      </c>
    </row>
    <row r="113" spans="1:8">
      <c r="A113">
        <v>112</v>
      </c>
      <c r="B113" s="331">
        <v>46203.871527777781</v>
      </c>
      <c r="C113" t="s">
        <v>451</v>
      </c>
      <c r="D113" t="s">
        <v>451</v>
      </c>
      <c r="E113" t="s">
        <v>372</v>
      </c>
      <c r="F113">
        <v>2499729</v>
      </c>
      <c r="G113">
        <v>116478.46</v>
      </c>
      <c r="H113">
        <f t="shared" si="1"/>
        <v>1249864.5</v>
      </c>
    </row>
    <row r="114" spans="1:8">
      <c r="A114">
        <v>113</v>
      </c>
      <c r="B114" s="331">
        <v>46203.871527777781</v>
      </c>
      <c r="C114" t="s">
        <v>891</v>
      </c>
      <c r="D114" t="s">
        <v>891</v>
      </c>
      <c r="E114" t="s">
        <v>372</v>
      </c>
      <c r="F114">
        <v>1009805</v>
      </c>
      <c r="G114">
        <v>46570.34</v>
      </c>
      <c r="H114">
        <f t="shared" si="1"/>
        <v>504902.5</v>
      </c>
    </row>
    <row r="115" spans="1:8">
      <c r="A115">
        <v>114</v>
      </c>
      <c r="B115" s="331">
        <v>46203.871527777781</v>
      </c>
      <c r="C115" t="s">
        <v>892</v>
      </c>
      <c r="D115" t="s">
        <v>892</v>
      </c>
      <c r="E115" t="s">
        <v>372</v>
      </c>
      <c r="F115">
        <v>1007866</v>
      </c>
      <c r="G115">
        <v>45914.81</v>
      </c>
      <c r="H115">
        <f t="shared" si="1"/>
        <v>503933</v>
      </c>
    </row>
    <row r="116" spans="1:8">
      <c r="A116">
        <v>115</v>
      </c>
      <c r="B116" s="331">
        <v>46203.871527777781</v>
      </c>
      <c r="C116" t="s">
        <v>359</v>
      </c>
      <c r="D116" t="s">
        <v>359</v>
      </c>
      <c r="E116" t="s">
        <v>372</v>
      </c>
      <c r="F116">
        <v>895905</v>
      </c>
      <c r="G116">
        <v>44458.61</v>
      </c>
      <c r="H116">
        <f t="shared" si="1"/>
        <v>447952.5</v>
      </c>
    </row>
    <row r="117" spans="1:8">
      <c r="A117">
        <v>116</v>
      </c>
      <c r="B117" s="331">
        <v>46203.871527777781</v>
      </c>
      <c r="C117" t="s">
        <v>889</v>
      </c>
      <c r="D117" t="s">
        <v>889</v>
      </c>
      <c r="E117" t="s">
        <v>372</v>
      </c>
      <c r="F117">
        <v>1005239</v>
      </c>
      <c r="G117">
        <v>45774.78</v>
      </c>
      <c r="H117">
        <f t="shared" si="1"/>
        <v>502619.5</v>
      </c>
    </row>
    <row r="118" spans="1:8">
      <c r="A118">
        <v>117</v>
      </c>
      <c r="B118" s="331">
        <v>46203.871527777781</v>
      </c>
      <c r="C118" t="s">
        <v>492</v>
      </c>
      <c r="D118" t="s">
        <v>492</v>
      </c>
      <c r="E118" t="s">
        <v>372</v>
      </c>
      <c r="F118">
        <v>2289652</v>
      </c>
      <c r="G118">
        <v>97025.3</v>
      </c>
      <c r="H118">
        <f t="shared" si="1"/>
        <v>1144826</v>
      </c>
    </row>
    <row r="119" spans="1:8">
      <c r="A119">
        <v>118</v>
      </c>
      <c r="B119" s="331">
        <v>46203.871527777781</v>
      </c>
      <c r="C119" t="s">
        <v>886</v>
      </c>
      <c r="D119" t="s">
        <v>886</v>
      </c>
      <c r="E119" t="s">
        <v>372</v>
      </c>
      <c r="F119">
        <v>880919</v>
      </c>
      <c r="G119">
        <v>44079.16</v>
      </c>
      <c r="H119">
        <f t="shared" si="1"/>
        <v>440459.5</v>
      </c>
    </row>
    <row r="120" spans="1:8">
      <c r="A120">
        <v>119</v>
      </c>
      <c r="B120" s="331">
        <v>46203.871527777781</v>
      </c>
      <c r="C120" t="s">
        <v>361</v>
      </c>
      <c r="D120" t="s">
        <v>361</v>
      </c>
      <c r="E120" t="s">
        <v>372</v>
      </c>
      <c r="F120">
        <v>773988</v>
      </c>
      <c r="G120">
        <v>38261.4</v>
      </c>
      <c r="H120">
        <f t="shared" si="1"/>
        <v>386994</v>
      </c>
    </row>
    <row r="121" spans="1:8">
      <c r="A121">
        <v>120</v>
      </c>
      <c r="B121" s="331">
        <v>46203.871527777781</v>
      </c>
      <c r="C121" t="s">
        <v>498</v>
      </c>
      <c r="D121" t="s">
        <v>498</v>
      </c>
      <c r="E121" t="s">
        <v>372</v>
      </c>
      <c r="F121">
        <v>2292222</v>
      </c>
      <c r="G121">
        <v>97353.66</v>
      </c>
      <c r="H121">
        <f t="shared" si="1"/>
        <v>1146111</v>
      </c>
    </row>
    <row r="122" spans="1:8">
      <c r="A122">
        <v>121</v>
      </c>
      <c r="B122" s="331">
        <v>46203.871527777781</v>
      </c>
      <c r="C122" t="s">
        <v>491</v>
      </c>
      <c r="D122" t="s">
        <v>491</v>
      </c>
      <c r="E122" t="s">
        <v>372</v>
      </c>
      <c r="F122">
        <v>2503068</v>
      </c>
      <c r="G122">
        <v>117250.5</v>
      </c>
      <c r="H122">
        <f t="shared" si="1"/>
        <v>1251534</v>
      </c>
    </row>
    <row r="123" spans="1:8">
      <c r="A123">
        <v>122</v>
      </c>
      <c r="B123" s="331">
        <v>46203.871527777781</v>
      </c>
      <c r="C123" t="s">
        <v>1108</v>
      </c>
      <c r="D123" t="s">
        <v>1108</v>
      </c>
      <c r="E123" t="s">
        <v>489</v>
      </c>
      <c r="F123">
        <v>1735144</v>
      </c>
      <c r="H123">
        <f t="shared" si="1"/>
        <v>867572</v>
      </c>
    </row>
    <row r="124" spans="1:8">
      <c r="A124">
        <v>123</v>
      </c>
      <c r="B124" s="331">
        <v>46203.871527777781</v>
      </c>
      <c r="C124" t="s">
        <v>67</v>
      </c>
      <c r="D124" t="s">
        <v>67</v>
      </c>
      <c r="E124" t="s">
        <v>489</v>
      </c>
      <c r="F124">
        <v>2019562</v>
      </c>
      <c r="G124">
        <v>81298.92</v>
      </c>
      <c r="H124">
        <f t="shared" si="1"/>
        <v>1009781</v>
      </c>
    </row>
    <row r="125" spans="1:8">
      <c r="A125">
        <v>124</v>
      </c>
      <c r="B125" s="331">
        <v>46203.871527777781</v>
      </c>
      <c r="C125" t="s">
        <v>445</v>
      </c>
      <c r="D125" t="s">
        <v>445</v>
      </c>
      <c r="E125" t="s">
        <v>489</v>
      </c>
      <c r="F125">
        <v>2925423</v>
      </c>
      <c r="H125">
        <f t="shared" si="1"/>
        <v>1462711.5</v>
      </c>
    </row>
    <row r="126" spans="1:8">
      <c r="A126">
        <v>125</v>
      </c>
      <c r="B126" s="331">
        <v>46203.871527777781</v>
      </c>
      <c r="C126" t="s">
        <v>93</v>
      </c>
      <c r="D126" t="s">
        <v>93</v>
      </c>
      <c r="E126" t="s">
        <v>489</v>
      </c>
      <c r="F126">
        <v>2324467</v>
      </c>
      <c r="G126">
        <v>93198.27</v>
      </c>
      <c r="H126">
        <f t="shared" si="1"/>
        <v>1162233.5</v>
      </c>
    </row>
    <row r="127" spans="1:8">
      <c r="A127">
        <v>126</v>
      </c>
      <c r="B127" s="331">
        <v>46203.871527777781</v>
      </c>
      <c r="C127" t="s">
        <v>64</v>
      </c>
      <c r="D127" t="s">
        <v>64</v>
      </c>
      <c r="E127" t="s">
        <v>489</v>
      </c>
      <c r="F127">
        <v>2009910</v>
      </c>
      <c r="G127">
        <v>81366.759999999995</v>
      </c>
      <c r="H127">
        <f t="shared" si="1"/>
        <v>1004955</v>
      </c>
    </row>
    <row r="128" spans="1:8">
      <c r="A128">
        <v>127</v>
      </c>
      <c r="B128" s="331">
        <v>46203.871527777781</v>
      </c>
      <c r="C128" t="s">
        <v>1110</v>
      </c>
      <c r="D128" t="s">
        <v>1110</v>
      </c>
      <c r="E128" t="s">
        <v>489</v>
      </c>
      <c r="F128">
        <v>3016272</v>
      </c>
      <c r="H128">
        <f t="shared" si="1"/>
        <v>1508136</v>
      </c>
    </row>
    <row r="129" spans="1:8">
      <c r="A129">
        <v>128</v>
      </c>
      <c r="B129" s="331">
        <v>46203.871527777781</v>
      </c>
      <c r="C129" t="s">
        <v>278</v>
      </c>
      <c r="D129" t="s">
        <v>278</v>
      </c>
      <c r="E129" t="s">
        <v>489</v>
      </c>
      <c r="F129">
        <v>2974503</v>
      </c>
      <c r="G129">
        <v>118024.36</v>
      </c>
      <c r="H129">
        <f t="shared" si="1"/>
        <v>1487251.5</v>
      </c>
    </row>
    <row r="130" spans="1:8">
      <c r="A130">
        <v>129</v>
      </c>
      <c r="B130" s="331">
        <v>46203.871527777781</v>
      </c>
      <c r="C130" t="s">
        <v>89</v>
      </c>
      <c r="D130" t="s">
        <v>89</v>
      </c>
      <c r="E130" t="s">
        <v>489</v>
      </c>
      <c r="F130">
        <v>1079859</v>
      </c>
      <c r="G130">
        <v>43717.57</v>
      </c>
      <c r="H130">
        <f t="shared" si="1"/>
        <v>539929.5</v>
      </c>
    </row>
    <row r="131" spans="1:8">
      <c r="A131">
        <v>130</v>
      </c>
      <c r="B131" s="331">
        <v>46203.871527777781</v>
      </c>
      <c r="C131" t="s">
        <v>72</v>
      </c>
      <c r="D131" t="s">
        <v>72</v>
      </c>
      <c r="E131" t="s">
        <v>489</v>
      </c>
      <c r="F131">
        <v>2972562</v>
      </c>
      <c r="G131">
        <v>117831.48</v>
      </c>
      <c r="H131">
        <f t="shared" ref="H131:H194" si="2">0.5*F131</f>
        <v>1486281</v>
      </c>
    </row>
    <row r="132" spans="1:8">
      <c r="A132">
        <v>131</v>
      </c>
      <c r="B132" s="331">
        <v>46203.871527777781</v>
      </c>
      <c r="C132" t="s">
        <v>66</v>
      </c>
      <c r="D132" t="s">
        <v>66</v>
      </c>
      <c r="E132" t="s">
        <v>489</v>
      </c>
      <c r="F132">
        <v>1763269</v>
      </c>
      <c r="G132">
        <v>70272.08</v>
      </c>
      <c r="H132">
        <f t="shared" si="2"/>
        <v>881634.5</v>
      </c>
    </row>
    <row r="133" spans="1:8">
      <c r="A133">
        <v>132</v>
      </c>
      <c r="B133" s="331">
        <v>46203.871527777781</v>
      </c>
      <c r="C133" t="s">
        <v>87</v>
      </c>
      <c r="D133" t="s">
        <v>87</v>
      </c>
      <c r="E133" t="s">
        <v>489</v>
      </c>
      <c r="F133">
        <v>333831</v>
      </c>
      <c r="G133">
        <v>1226.21</v>
      </c>
      <c r="H133">
        <f t="shared" si="2"/>
        <v>166915.5</v>
      </c>
    </row>
    <row r="134" spans="1:8">
      <c r="A134">
        <v>133</v>
      </c>
      <c r="B134" s="331">
        <v>46203.871527777781</v>
      </c>
      <c r="C134" t="s">
        <v>279</v>
      </c>
      <c r="D134" t="s">
        <v>279</v>
      </c>
      <c r="E134" t="s">
        <v>489</v>
      </c>
      <c r="F134">
        <v>2953455</v>
      </c>
      <c r="G134">
        <v>117232.22</v>
      </c>
      <c r="H134">
        <f t="shared" si="2"/>
        <v>1476727.5</v>
      </c>
    </row>
    <row r="135" spans="1:8">
      <c r="A135">
        <v>134</v>
      </c>
      <c r="B135" s="331">
        <v>46203.871527777781</v>
      </c>
      <c r="C135" t="s">
        <v>69</v>
      </c>
      <c r="D135" t="s">
        <v>69</v>
      </c>
      <c r="E135" t="s">
        <v>489</v>
      </c>
      <c r="F135">
        <v>2958828</v>
      </c>
      <c r="G135">
        <v>117605.65</v>
      </c>
      <c r="H135">
        <f t="shared" si="2"/>
        <v>1479414</v>
      </c>
    </row>
    <row r="136" spans="1:8">
      <c r="A136">
        <v>135</v>
      </c>
      <c r="B136" s="331">
        <v>46203.871527777781</v>
      </c>
      <c r="C136" t="s">
        <v>83</v>
      </c>
      <c r="D136" t="s">
        <v>83</v>
      </c>
      <c r="E136" t="s">
        <v>489</v>
      </c>
      <c r="F136">
        <v>2082103</v>
      </c>
      <c r="G136">
        <v>94849.85</v>
      </c>
      <c r="H136">
        <f t="shared" si="2"/>
        <v>1041051.5</v>
      </c>
    </row>
    <row r="137" spans="1:8">
      <c r="A137">
        <v>136</v>
      </c>
      <c r="B137" s="331">
        <v>46203.871527777781</v>
      </c>
      <c r="C137" t="s">
        <v>80</v>
      </c>
      <c r="D137" t="s">
        <v>80</v>
      </c>
      <c r="E137" t="s">
        <v>489</v>
      </c>
      <c r="F137">
        <v>1113823</v>
      </c>
      <c r="G137">
        <v>52433.13</v>
      </c>
      <c r="H137">
        <f t="shared" si="2"/>
        <v>556911.5</v>
      </c>
    </row>
    <row r="138" spans="1:8">
      <c r="A138">
        <v>137</v>
      </c>
      <c r="B138" s="331">
        <v>46203.871527777781</v>
      </c>
      <c r="C138" t="s">
        <v>1107</v>
      </c>
      <c r="D138" t="s">
        <v>1107</v>
      </c>
      <c r="E138" t="s">
        <v>489</v>
      </c>
      <c r="F138">
        <v>438831</v>
      </c>
      <c r="H138">
        <f t="shared" si="2"/>
        <v>219415.5</v>
      </c>
    </row>
    <row r="139" spans="1:8">
      <c r="A139">
        <v>138</v>
      </c>
      <c r="B139" s="331">
        <v>46203.871527777781</v>
      </c>
      <c r="C139" t="s">
        <v>61</v>
      </c>
      <c r="D139" t="s">
        <v>61</v>
      </c>
      <c r="E139" t="s">
        <v>489</v>
      </c>
      <c r="F139">
        <v>415403</v>
      </c>
      <c r="G139">
        <v>1288.6600000000001</v>
      </c>
      <c r="H139">
        <f t="shared" si="2"/>
        <v>207701.5</v>
      </c>
    </row>
    <row r="140" spans="1:8">
      <c r="A140">
        <v>139</v>
      </c>
      <c r="B140" s="331">
        <v>46203.871527777781</v>
      </c>
      <c r="C140" t="s">
        <v>976</v>
      </c>
      <c r="D140" t="s">
        <v>976</v>
      </c>
      <c r="E140" t="s">
        <v>489</v>
      </c>
      <c r="F140">
        <v>1656594</v>
      </c>
      <c r="H140">
        <f t="shared" si="2"/>
        <v>828297</v>
      </c>
    </row>
    <row r="141" spans="1:8">
      <c r="A141">
        <v>140</v>
      </c>
      <c r="B141" s="331">
        <v>46203.871527777781</v>
      </c>
      <c r="C141" t="s">
        <v>1109</v>
      </c>
      <c r="D141" t="s">
        <v>1109</v>
      </c>
      <c r="E141" t="s">
        <v>489</v>
      </c>
      <c r="F141">
        <v>2870235</v>
      </c>
      <c r="H141">
        <f t="shared" si="2"/>
        <v>1435117.5</v>
      </c>
    </row>
    <row r="142" spans="1:8">
      <c r="A142">
        <v>141</v>
      </c>
      <c r="B142" s="331">
        <v>46203.871527777781</v>
      </c>
      <c r="C142" t="s">
        <v>980</v>
      </c>
      <c r="D142" t="s">
        <v>980</v>
      </c>
      <c r="E142" t="s">
        <v>489</v>
      </c>
      <c r="F142">
        <v>1730507</v>
      </c>
      <c r="H142">
        <f t="shared" si="2"/>
        <v>865253.5</v>
      </c>
    </row>
    <row r="143" spans="1:8">
      <c r="A143">
        <v>142</v>
      </c>
      <c r="B143" s="331">
        <v>46203.871527777781</v>
      </c>
      <c r="C143" t="s">
        <v>328</v>
      </c>
      <c r="D143" t="s">
        <v>328</v>
      </c>
      <c r="E143" t="s">
        <v>489</v>
      </c>
      <c r="F143">
        <v>3416606</v>
      </c>
      <c r="G143">
        <v>135281.69</v>
      </c>
      <c r="H143">
        <f t="shared" si="2"/>
        <v>1708303</v>
      </c>
    </row>
    <row r="144" spans="1:8">
      <c r="A144">
        <v>143</v>
      </c>
      <c r="B144" s="331">
        <v>46203.871527777781</v>
      </c>
      <c r="C144" t="s">
        <v>90</v>
      </c>
      <c r="D144" t="s">
        <v>90</v>
      </c>
      <c r="E144" t="s">
        <v>489</v>
      </c>
      <c r="F144">
        <v>2317925</v>
      </c>
      <c r="G144">
        <v>96305.79</v>
      </c>
      <c r="H144">
        <f t="shared" si="2"/>
        <v>1158962.5</v>
      </c>
    </row>
    <row r="145" spans="1:8">
      <c r="A145">
        <v>144</v>
      </c>
      <c r="B145" s="331">
        <v>46203.871527777781</v>
      </c>
      <c r="C145" t="s">
        <v>84</v>
      </c>
      <c r="D145" t="s">
        <v>84</v>
      </c>
      <c r="E145" t="s">
        <v>489</v>
      </c>
      <c r="F145">
        <v>995747</v>
      </c>
      <c r="G145">
        <v>43250.78</v>
      </c>
      <c r="H145">
        <f t="shared" si="2"/>
        <v>497873.5</v>
      </c>
    </row>
    <row r="146" spans="1:8">
      <c r="A146">
        <v>145</v>
      </c>
      <c r="B146" s="331">
        <v>46203.871527777781</v>
      </c>
      <c r="C146" t="s">
        <v>63</v>
      </c>
      <c r="D146" t="s">
        <v>63</v>
      </c>
      <c r="E146" t="s">
        <v>489</v>
      </c>
      <c r="F146">
        <v>919284</v>
      </c>
      <c r="G146">
        <v>35521.18</v>
      </c>
      <c r="H146">
        <f t="shared" si="2"/>
        <v>459642</v>
      </c>
    </row>
    <row r="147" spans="1:8">
      <c r="A147">
        <v>146</v>
      </c>
      <c r="B147" s="331">
        <v>46203.871527777781</v>
      </c>
      <c r="C147" t="s">
        <v>446</v>
      </c>
      <c r="D147" t="s">
        <v>446</v>
      </c>
      <c r="E147" t="s">
        <v>489</v>
      </c>
      <c r="F147">
        <v>2890793</v>
      </c>
      <c r="H147">
        <f t="shared" si="2"/>
        <v>1445396.5</v>
      </c>
    </row>
    <row r="148" spans="1:8">
      <c r="A148">
        <v>147</v>
      </c>
      <c r="B148" s="331">
        <v>46203.871527777781</v>
      </c>
      <c r="C148" t="s">
        <v>78</v>
      </c>
      <c r="D148" t="s">
        <v>78</v>
      </c>
      <c r="E148" t="s">
        <v>489</v>
      </c>
      <c r="F148">
        <v>1186241</v>
      </c>
      <c r="G148">
        <v>55519.65</v>
      </c>
      <c r="H148">
        <f t="shared" si="2"/>
        <v>593120.5</v>
      </c>
    </row>
    <row r="149" spans="1:8">
      <c r="A149">
        <v>148</v>
      </c>
      <c r="B149" s="331">
        <v>46203.871527777781</v>
      </c>
      <c r="C149" t="s">
        <v>410</v>
      </c>
      <c r="D149" t="s">
        <v>410</v>
      </c>
      <c r="E149" t="s">
        <v>489</v>
      </c>
      <c r="F149">
        <v>1926632</v>
      </c>
      <c r="H149">
        <f t="shared" si="2"/>
        <v>963316</v>
      </c>
    </row>
    <row r="150" spans="1:8">
      <c r="A150">
        <v>149</v>
      </c>
      <c r="B150" s="331">
        <v>46203.871527777781</v>
      </c>
      <c r="C150" t="s">
        <v>979</v>
      </c>
      <c r="D150" t="s">
        <v>979</v>
      </c>
      <c r="E150" t="s">
        <v>489</v>
      </c>
      <c r="F150">
        <v>1281105</v>
      </c>
      <c r="H150">
        <f t="shared" si="2"/>
        <v>640552.5</v>
      </c>
    </row>
    <row r="151" spans="1:8">
      <c r="A151">
        <v>150</v>
      </c>
      <c r="B151" s="331">
        <v>46203.871527777781</v>
      </c>
      <c r="C151" t="s">
        <v>68</v>
      </c>
      <c r="D151" t="s">
        <v>68</v>
      </c>
      <c r="E151" t="s">
        <v>489</v>
      </c>
      <c r="F151">
        <v>1996176</v>
      </c>
      <c r="G151">
        <v>80535.31</v>
      </c>
      <c r="H151">
        <f t="shared" si="2"/>
        <v>998088</v>
      </c>
    </row>
    <row r="152" spans="1:8">
      <c r="A152">
        <v>151</v>
      </c>
      <c r="B152" s="331">
        <v>46203.871527777781</v>
      </c>
      <c r="C152" t="s">
        <v>81</v>
      </c>
      <c r="D152" t="s">
        <v>81</v>
      </c>
      <c r="E152" t="s">
        <v>489</v>
      </c>
      <c r="F152">
        <v>2079309</v>
      </c>
      <c r="G152">
        <v>96557.34</v>
      </c>
      <c r="H152">
        <f t="shared" si="2"/>
        <v>1039654.5</v>
      </c>
    </row>
    <row r="153" spans="1:8">
      <c r="A153">
        <v>152</v>
      </c>
      <c r="B153" s="331">
        <v>46203.871527777781</v>
      </c>
      <c r="C153" t="s">
        <v>58</v>
      </c>
      <c r="D153" t="s">
        <v>58</v>
      </c>
      <c r="E153" t="s">
        <v>489</v>
      </c>
      <c r="F153">
        <v>826244</v>
      </c>
      <c r="G153">
        <v>35127.870000000003</v>
      </c>
      <c r="H153">
        <f t="shared" si="2"/>
        <v>413122</v>
      </c>
    </row>
    <row r="154" spans="1:8">
      <c r="A154">
        <v>153</v>
      </c>
      <c r="B154" s="331">
        <v>46203.871527777781</v>
      </c>
      <c r="C154" t="s">
        <v>74</v>
      </c>
      <c r="D154" t="s">
        <v>74</v>
      </c>
      <c r="E154" t="s">
        <v>489</v>
      </c>
      <c r="F154">
        <v>1308188</v>
      </c>
      <c r="G154">
        <v>53698.559999999998</v>
      </c>
      <c r="H154">
        <f t="shared" si="2"/>
        <v>654094</v>
      </c>
    </row>
    <row r="155" spans="1:8">
      <c r="A155">
        <v>154</v>
      </c>
      <c r="B155" s="331">
        <v>46203.871527777781</v>
      </c>
      <c r="C155" t="s">
        <v>65</v>
      </c>
      <c r="D155" t="s">
        <v>65</v>
      </c>
      <c r="E155" t="s">
        <v>489</v>
      </c>
      <c r="F155">
        <v>2010811</v>
      </c>
      <c r="G155">
        <v>80949.009999999995</v>
      </c>
      <c r="H155">
        <f t="shared" si="2"/>
        <v>1005405.5</v>
      </c>
    </row>
    <row r="156" spans="1:8">
      <c r="A156">
        <v>155</v>
      </c>
      <c r="B156" s="331">
        <v>46203.871527777781</v>
      </c>
      <c r="C156" t="s">
        <v>328</v>
      </c>
      <c r="D156" t="s">
        <v>328</v>
      </c>
      <c r="E156" t="s">
        <v>489</v>
      </c>
      <c r="F156">
        <v>3417189</v>
      </c>
      <c r="G156">
        <v>134004.46</v>
      </c>
      <c r="H156">
        <f t="shared" si="2"/>
        <v>1708594.5</v>
      </c>
    </row>
    <row r="157" spans="1:8">
      <c r="A157">
        <v>156</v>
      </c>
      <c r="B157" s="331">
        <v>46203.871527777781</v>
      </c>
      <c r="C157" t="s">
        <v>408</v>
      </c>
      <c r="D157" t="s">
        <v>408</v>
      </c>
      <c r="E157" t="s">
        <v>489</v>
      </c>
      <c r="F157">
        <v>1959362</v>
      </c>
      <c r="H157">
        <f t="shared" si="2"/>
        <v>979681</v>
      </c>
    </row>
    <row r="158" spans="1:8">
      <c r="A158">
        <v>157</v>
      </c>
      <c r="B158" s="331">
        <v>46203.871527777781</v>
      </c>
      <c r="C158" t="s">
        <v>61</v>
      </c>
      <c r="D158" t="s">
        <v>61</v>
      </c>
      <c r="E158" t="s">
        <v>489</v>
      </c>
      <c r="F158">
        <v>415581</v>
      </c>
      <c r="G158">
        <v>1324.98</v>
      </c>
      <c r="H158">
        <f t="shared" si="2"/>
        <v>207790.5</v>
      </c>
    </row>
    <row r="159" spans="1:8">
      <c r="A159">
        <v>158</v>
      </c>
      <c r="B159" s="331">
        <v>46203.871527777781</v>
      </c>
      <c r="C159" t="s">
        <v>979</v>
      </c>
      <c r="D159" t="s">
        <v>979</v>
      </c>
      <c r="E159" t="s">
        <v>489</v>
      </c>
      <c r="F159">
        <v>1281363</v>
      </c>
      <c r="H159">
        <f t="shared" si="2"/>
        <v>640681.5</v>
      </c>
    </row>
    <row r="160" spans="1:8">
      <c r="A160">
        <v>159</v>
      </c>
      <c r="B160" s="331">
        <v>46203.871527777781</v>
      </c>
      <c r="C160" t="s">
        <v>279</v>
      </c>
      <c r="D160" t="s">
        <v>279</v>
      </c>
      <c r="E160" t="s">
        <v>489</v>
      </c>
      <c r="F160">
        <v>2953485</v>
      </c>
      <c r="G160">
        <v>114872.37</v>
      </c>
      <c r="H160">
        <f t="shared" si="2"/>
        <v>1476742.5</v>
      </c>
    </row>
    <row r="161" spans="1:8">
      <c r="A161">
        <v>160</v>
      </c>
      <c r="B161" s="331">
        <v>46203.871527777781</v>
      </c>
      <c r="C161" t="s">
        <v>93</v>
      </c>
      <c r="D161" t="s">
        <v>93</v>
      </c>
      <c r="E161" t="s">
        <v>489</v>
      </c>
      <c r="F161">
        <v>2324764</v>
      </c>
      <c r="G161">
        <v>92648.88</v>
      </c>
      <c r="H161">
        <f t="shared" si="2"/>
        <v>1162382</v>
      </c>
    </row>
    <row r="162" spans="1:8">
      <c r="A162">
        <v>161</v>
      </c>
      <c r="B162" s="331">
        <v>46203.871527777781</v>
      </c>
      <c r="C162" t="s">
        <v>74</v>
      </c>
      <c r="D162" t="s">
        <v>74</v>
      </c>
      <c r="E162" t="s">
        <v>489</v>
      </c>
      <c r="F162">
        <v>1308168</v>
      </c>
      <c r="G162">
        <v>53309.05</v>
      </c>
      <c r="H162">
        <f t="shared" si="2"/>
        <v>654084</v>
      </c>
    </row>
    <row r="163" spans="1:8">
      <c r="A163">
        <v>162</v>
      </c>
      <c r="B163" s="331">
        <v>46203.871527777781</v>
      </c>
      <c r="C163" t="s">
        <v>89</v>
      </c>
      <c r="D163" t="s">
        <v>89</v>
      </c>
      <c r="E163" t="s">
        <v>489</v>
      </c>
      <c r="F163">
        <v>1079894</v>
      </c>
      <c r="G163">
        <v>43090.22</v>
      </c>
      <c r="H163">
        <f t="shared" si="2"/>
        <v>539947</v>
      </c>
    </row>
    <row r="164" spans="1:8">
      <c r="A164">
        <v>163</v>
      </c>
      <c r="B164" s="331">
        <v>46203.871527777781</v>
      </c>
      <c r="C164" t="s">
        <v>278</v>
      </c>
      <c r="D164" t="s">
        <v>278</v>
      </c>
      <c r="E164" t="s">
        <v>489</v>
      </c>
      <c r="F164">
        <v>2974620</v>
      </c>
      <c r="G164">
        <v>117732.21</v>
      </c>
      <c r="H164">
        <f t="shared" si="2"/>
        <v>1487310</v>
      </c>
    </row>
    <row r="165" spans="1:8">
      <c r="A165">
        <v>164</v>
      </c>
      <c r="B165" s="331">
        <v>46203.871527777781</v>
      </c>
      <c r="C165" t="s">
        <v>65</v>
      </c>
      <c r="D165" t="s">
        <v>65</v>
      </c>
      <c r="E165" t="s">
        <v>489</v>
      </c>
      <c r="F165">
        <v>2010887</v>
      </c>
      <c r="G165">
        <v>80252.820000000007</v>
      </c>
      <c r="H165">
        <f t="shared" si="2"/>
        <v>1005443.5</v>
      </c>
    </row>
    <row r="166" spans="1:8">
      <c r="A166">
        <v>165</v>
      </c>
      <c r="B166" s="331">
        <v>46203.871527777781</v>
      </c>
      <c r="C166" t="s">
        <v>72</v>
      </c>
      <c r="D166" t="s">
        <v>72</v>
      </c>
      <c r="E166" t="s">
        <v>489</v>
      </c>
      <c r="F166">
        <v>2972609</v>
      </c>
      <c r="G166">
        <v>117124.89</v>
      </c>
      <c r="H166">
        <f t="shared" si="2"/>
        <v>1486304.5</v>
      </c>
    </row>
    <row r="167" spans="1:8">
      <c r="A167">
        <v>166</v>
      </c>
      <c r="B167" s="331">
        <v>46203.871527777781</v>
      </c>
      <c r="C167" t="s">
        <v>81</v>
      </c>
      <c r="D167" t="s">
        <v>81</v>
      </c>
      <c r="E167" t="s">
        <v>489</v>
      </c>
      <c r="F167">
        <v>2079609</v>
      </c>
      <c r="G167">
        <v>95774.12</v>
      </c>
      <c r="H167">
        <f t="shared" si="2"/>
        <v>1039804.5</v>
      </c>
    </row>
    <row r="168" spans="1:8">
      <c r="A168">
        <v>167</v>
      </c>
      <c r="B168" s="331">
        <v>46203.871527777781</v>
      </c>
      <c r="C168" t="s">
        <v>86</v>
      </c>
      <c r="D168" t="s">
        <v>86</v>
      </c>
      <c r="E168" t="s">
        <v>489</v>
      </c>
      <c r="F168">
        <v>998323</v>
      </c>
      <c r="G168">
        <v>43226.49</v>
      </c>
      <c r="H168">
        <f t="shared" si="2"/>
        <v>499161.5</v>
      </c>
    </row>
    <row r="169" spans="1:8">
      <c r="A169">
        <v>168</v>
      </c>
      <c r="B169" s="331">
        <v>46203.871527777781</v>
      </c>
      <c r="C169" t="s">
        <v>77</v>
      </c>
      <c r="D169" t="s">
        <v>77</v>
      </c>
      <c r="E169" t="s">
        <v>489</v>
      </c>
      <c r="F169">
        <v>891299</v>
      </c>
      <c r="G169">
        <v>41783.360000000001</v>
      </c>
      <c r="H169">
        <f t="shared" si="2"/>
        <v>445649.5</v>
      </c>
    </row>
    <row r="170" spans="1:8">
      <c r="A170">
        <v>169</v>
      </c>
      <c r="B170" s="331">
        <v>46203.871527777781</v>
      </c>
      <c r="C170" t="s">
        <v>91</v>
      </c>
      <c r="D170" t="s">
        <v>91</v>
      </c>
      <c r="E170" t="s">
        <v>489</v>
      </c>
      <c r="F170">
        <v>2207766</v>
      </c>
      <c r="G170">
        <v>90128.79</v>
      </c>
      <c r="H170">
        <f t="shared" si="2"/>
        <v>1103883</v>
      </c>
    </row>
    <row r="171" spans="1:8">
      <c r="A171">
        <v>170</v>
      </c>
      <c r="B171" s="331">
        <v>46203.871527777781</v>
      </c>
      <c r="C171" t="s">
        <v>1107</v>
      </c>
      <c r="D171" t="s">
        <v>1107</v>
      </c>
      <c r="E171" t="s">
        <v>489</v>
      </c>
      <c r="F171">
        <v>438830</v>
      </c>
      <c r="H171">
        <f t="shared" si="2"/>
        <v>219415</v>
      </c>
    </row>
    <row r="172" spans="1:8">
      <c r="A172">
        <v>171</v>
      </c>
      <c r="B172" s="331">
        <v>46203.871527777781</v>
      </c>
      <c r="C172" t="s">
        <v>1110</v>
      </c>
      <c r="D172" t="s">
        <v>1110</v>
      </c>
      <c r="E172" t="s">
        <v>489</v>
      </c>
      <c r="F172">
        <v>3016960</v>
      </c>
      <c r="H172">
        <f t="shared" si="2"/>
        <v>1508480</v>
      </c>
    </row>
    <row r="173" spans="1:8">
      <c r="A173">
        <v>172</v>
      </c>
      <c r="B173" s="331">
        <v>46203.871527777781</v>
      </c>
      <c r="C173" t="s">
        <v>337</v>
      </c>
      <c r="D173" t="s">
        <v>337</v>
      </c>
      <c r="E173" t="s">
        <v>489</v>
      </c>
      <c r="F173">
        <v>1309425</v>
      </c>
      <c r="G173">
        <v>52531.02</v>
      </c>
      <c r="H173">
        <f t="shared" si="2"/>
        <v>654712.5</v>
      </c>
    </row>
    <row r="174" spans="1:8">
      <c r="A174">
        <v>173</v>
      </c>
      <c r="B174" s="331">
        <v>46203.871527777781</v>
      </c>
      <c r="C174" t="s">
        <v>60</v>
      </c>
      <c r="D174" t="s">
        <v>60</v>
      </c>
      <c r="E174" t="s">
        <v>489</v>
      </c>
      <c r="F174">
        <v>830631</v>
      </c>
      <c r="G174">
        <v>35579.83</v>
      </c>
      <c r="H174">
        <f t="shared" si="2"/>
        <v>415315.5</v>
      </c>
    </row>
    <row r="175" spans="1:8">
      <c r="A175">
        <v>174</v>
      </c>
      <c r="B175" s="331">
        <v>46203.871527777781</v>
      </c>
      <c r="C175" t="s">
        <v>452</v>
      </c>
      <c r="D175" t="s">
        <v>452</v>
      </c>
      <c r="E175" t="s">
        <v>372</v>
      </c>
      <c r="F175">
        <v>2505835</v>
      </c>
      <c r="G175">
        <v>117601.17</v>
      </c>
      <c r="H175">
        <f t="shared" si="2"/>
        <v>1252917.5</v>
      </c>
    </row>
    <row r="176" spans="1:8">
      <c r="A176">
        <v>175</v>
      </c>
      <c r="B176" s="331">
        <v>46203.871527777781</v>
      </c>
      <c r="C176" t="s">
        <v>453</v>
      </c>
      <c r="D176" t="s">
        <v>453</v>
      </c>
      <c r="E176" t="s">
        <v>372</v>
      </c>
      <c r="F176">
        <v>2524183</v>
      </c>
      <c r="G176">
        <v>117249.07</v>
      </c>
      <c r="H176">
        <f t="shared" si="2"/>
        <v>1262091.5</v>
      </c>
    </row>
    <row r="177" spans="1:8">
      <c r="A177">
        <v>176</v>
      </c>
      <c r="B177" s="331">
        <v>46203.871527777781</v>
      </c>
      <c r="C177" t="s">
        <v>887</v>
      </c>
      <c r="D177" t="s">
        <v>887</v>
      </c>
      <c r="E177" t="s">
        <v>372</v>
      </c>
      <c r="F177">
        <v>889677</v>
      </c>
      <c r="G177">
        <v>44164.75</v>
      </c>
      <c r="H177">
        <f t="shared" si="2"/>
        <v>444838.5</v>
      </c>
    </row>
    <row r="178" spans="1:8">
      <c r="A178">
        <v>177</v>
      </c>
      <c r="B178" s="331">
        <v>46203.871527777781</v>
      </c>
      <c r="C178" t="s">
        <v>883</v>
      </c>
      <c r="D178" t="s">
        <v>883</v>
      </c>
      <c r="E178" t="s">
        <v>372</v>
      </c>
      <c r="F178">
        <v>503634</v>
      </c>
      <c r="G178">
        <v>24609.74</v>
      </c>
      <c r="H178">
        <f t="shared" si="2"/>
        <v>251817</v>
      </c>
    </row>
    <row r="179" spans="1:8">
      <c r="A179">
        <v>178</v>
      </c>
      <c r="B179" s="331">
        <v>46203.871527777781</v>
      </c>
      <c r="C179" t="s">
        <v>497</v>
      </c>
      <c r="D179" t="s">
        <v>497</v>
      </c>
      <c r="E179" t="s">
        <v>372</v>
      </c>
      <c r="F179">
        <v>1715866</v>
      </c>
      <c r="G179">
        <v>73653.73</v>
      </c>
      <c r="H179">
        <f t="shared" si="2"/>
        <v>857933</v>
      </c>
    </row>
    <row r="180" spans="1:8">
      <c r="A180">
        <v>179</v>
      </c>
      <c r="B180" s="331">
        <v>46203.871527777781</v>
      </c>
      <c r="C180" t="s">
        <v>410</v>
      </c>
      <c r="D180" t="s">
        <v>410</v>
      </c>
      <c r="E180" t="s">
        <v>489</v>
      </c>
      <c r="F180">
        <v>1926933</v>
      </c>
      <c r="H180">
        <f t="shared" si="2"/>
        <v>963466.5</v>
      </c>
    </row>
    <row r="181" spans="1:8">
      <c r="A181">
        <v>180</v>
      </c>
      <c r="B181" s="331">
        <v>46203.871527777781</v>
      </c>
      <c r="C181" t="s">
        <v>80</v>
      </c>
      <c r="D181" t="s">
        <v>80</v>
      </c>
      <c r="E181" t="s">
        <v>489</v>
      </c>
      <c r="F181">
        <v>1114252</v>
      </c>
      <c r="G181">
        <v>53562.94</v>
      </c>
      <c r="H181">
        <f t="shared" si="2"/>
        <v>557126</v>
      </c>
    </row>
    <row r="182" spans="1:8">
      <c r="A182">
        <v>181</v>
      </c>
      <c r="B182" s="331">
        <v>46203.871527777781</v>
      </c>
      <c r="C182" t="s">
        <v>445</v>
      </c>
      <c r="D182" t="s">
        <v>445</v>
      </c>
      <c r="E182" t="s">
        <v>489</v>
      </c>
      <c r="F182">
        <v>2926002</v>
      </c>
      <c r="H182">
        <f t="shared" si="2"/>
        <v>1463001</v>
      </c>
    </row>
    <row r="183" spans="1:8">
      <c r="A183">
        <v>182</v>
      </c>
      <c r="B183" s="331">
        <v>46203.871527777781</v>
      </c>
      <c r="C183" t="s">
        <v>1108</v>
      </c>
      <c r="D183" t="s">
        <v>1108</v>
      </c>
      <c r="E183" t="s">
        <v>489</v>
      </c>
      <c r="F183">
        <v>1735498</v>
      </c>
      <c r="H183">
        <f t="shared" si="2"/>
        <v>867749</v>
      </c>
    </row>
    <row r="184" spans="1:8">
      <c r="A184">
        <v>183</v>
      </c>
      <c r="B184" s="331">
        <v>46203.871527777781</v>
      </c>
      <c r="C184" t="s">
        <v>64</v>
      </c>
      <c r="D184" t="s">
        <v>64</v>
      </c>
      <c r="E184" t="s">
        <v>489</v>
      </c>
      <c r="F184">
        <v>2010086</v>
      </c>
      <c r="G184">
        <v>81598.98</v>
      </c>
      <c r="H184">
        <f t="shared" si="2"/>
        <v>1005043</v>
      </c>
    </row>
    <row r="185" spans="1:8">
      <c r="A185">
        <v>184</v>
      </c>
      <c r="B185" s="331">
        <v>46203.871527777781</v>
      </c>
      <c r="C185" t="s">
        <v>63</v>
      </c>
      <c r="D185" t="s">
        <v>63</v>
      </c>
      <c r="E185" t="s">
        <v>489</v>
      </c>
      <c r="F185">
        <v>919358</v>
      </c>
      <c r="G185">
        <v>35686.300000000003</v>
      </c>
      <c r="H185">
        <f t="shared" si="2"/>
        <v>459679</v>
      </c>
    </row>
    <row r="186" spans="1:8">
      <c r="A186">
        <v>185</v>
      </c>
      <c r="B186" s="331">
        <v>46203.871527777781</v>
      </c>
      <c r="C186" t="s">
        <v>58</v>
      </c>
      <c r="D186" t="s">
        <v>58</v>
      </c>
      <c r="E186" t="s">
        <v>489</v>
      </c>
      <c r="F186">
        <v>826388</v>
      </c>
      <c r="G186">
        <v>35682.720000000001</v>
      </c>
      <c r="H186">
        <f t="shared" si="2"/>
        <v>413194</v>
      </c>
    </row>
    <row r="187" spans="1:8">
      <c r="A187">
        <v>186</v>
      </c>
      <c r="B187" s="331">
        <v>46203.871527777781</v>
      </c>
      <c r="C187" t="s">
        <v>426</v>
      </c>
      <c r="D187" t="s">
        <v>426</v>
      </c>
      <c r="E187" t="s">
        <v>489</v>
      </c>
      <c r="F187">
        <v>447425</v>
      </c>
      <c r="H187">
        <f t="shared" si="2"/>
        <v>223712.5</v>
      </c>
    </row>
    <row r="188" spans="1:8">
      <c r="A188">
        <v>187</v>
      </c>
      <c r="B188" s="331">
        <v>46203.871527777781</v>
      </c>
      <c r="C188" t="s">
        <v>83</v>
      </c>
      <c r="D188" t="s">
        <v>83</v>
      </c>
      <c r="E188" t="s">
        <v>489</v>
      </c>
      <c r="F188">
        <v>2082153</v>
      </c>
      <c r="G188">
        <v>95830.75</v>
      </c>
      <c r="H188">
        <f t="shared" si="2"/>
        <v>1041076.5</v>
      </c>
    </row>
    <row r="189" spans="1:8">
      <c r="A189">
        <v>188</v>
      </c>
      <c r="B189" s="331">
        <v>46203.871527777781</v>
      </c>
      <c r="C189" t="s">
        <v>67</v>
      </c>
      <c r="D189" t="s">
        <v>67</v>
      </c>
      <c r="E189" t="s">
        <v>489</v>
      </c>
      <c r="F189">
        <v>2019905</v>
      </c>
      <c r="G189">
        <v>80547.17</v>
      </c>
      <c r="H189">
        <f t="shared" si="2"/>
        <v>1009952.5</v>
      </c>
    </row>
    <row r="190" spans="1:8">
      <c r="A190">
        <v>189</v>
      </c>
      <c r="B190" s="331">
        <v>46203.871527777781</v>
      </c>
      <c r="C190" t="s">
        <v>87</v>
      </c>
      <c r="D190" t="s">
        <v>87</v>
      </c>
      <c r="E190" t="s">
        <v>489</v>
      </c>
      <c r="F190">
        <v>333893</v>
      </c>
      <c r="G190">
        <v>1195.9100000000001</v>
      </c>
      <c r="H190">
        <f t="shared" si="2"/>
        <v>166946.5</v>
      </c>
    </row>
    <row r="191" spans="1:8">
      <c r="A191">
        <v>190</v>
      </c>
      <c r="B191" s="331">
        <v>46203.871527777781</v>
      </c>
      <c r="C191" t="s">
        <v>976</v>
      </c>
      <c r="D191" t="s">
        <v>976</v>
      </c>
      <c r="E191" t="s">
        <v>489</v>
      </c>
      <c r="F191">
        <v>1657160</v>
      </c>
      <c r="H191">
        <f t="shared" si="2"/>
        <v>828580</v>
      </c>
    </row>
    <row r="192" spans="1:8">
      <c r="A192">
        <v>191</v>
      </c>
      <c r="B192" s="331">
        <v>46203.871527777781</v>
      </c>
      <c r="C192" t="s">
        <v>66</v>
      </c>
      <c r="D192" t="s">
        <v>66</v>
      </c>
      <c r="E192" t="s">
        <v>489</v>
      </c>
      <c r="F192">
        <v>1763456</v>
      </c>
      <c r="G192">
        <v>70214.28</v>
      </c>
      <c r="H192">
        <f t="shared" si="2"/>
        <v>881728</v>
      </c>
    </row>
    <row r="193" spans="1:8">
      <c r="A193">
        <v>192</v>
      </c>
      <c r="B193" s="331">
        <v>46203.871527777781</v>
      </c>
      <c r="C193" t="s">
        <v>980</v>
      </c>
      <c r="D193" t="s">
        <v>980</v>
      </c>
      <c r="E193" t="s">
        <v>489</v>
      </c>
      <c r="F193">
        <v>1730936</v>
      </c>
      <c r="H193">
        <f t="shared" si="2"/>
        <v>865468</v>
      </c>
    </row>
    <row r="194" spans="1:8">
      <c r="A194">
        <v>193</v>
      </c>
      <c r="B194" s="331">
        <v>46203.871527777781</v>
      </c>
      <c r="C194" t="s">
        <v>1109</v>
      </c>
      <c r="D194" t="s">
        <v>1109</v>
      </c>
      <c r="E194" t="s">
        <v>489</v>
      </c>
      <c r="F194">
        <v>2871272</v>
      </c>
      <c r="H194">
        <f t="shared" si="2"/>
        <v>1435636</v>
      </c>
    </row>
    <row r="195" spans="1:8">
      <c r="A195">
        <v>194</v>
      </c>
      <c r="B195" s="331">
        <v>46203.871527777781</v>
      </c>
      <c r="C195" t="s">
        <v>71</v>
      </c>
      <c r="D195" t="s">
        <v>71</v>
      </c>
      <c r="E195" t="s">
        <v>489</v>
      </c>
      <c r="F195">
        <v>2947585</v>
      </c>
      <c r="G195">
        <v>116085.97</v>
      </c>
      <c r="H195">
        <f t="shared" ref="H195:H258" si="3">0.5*F195</f>
        <v>1473792.5</v>
      </c>
    </row>
    <row r="196" spans="1:8">
      <c r="A196">
        <v>195</v>
      </c>
      <c r="B196" s="331">
        <v>46203.871527777781</v>
      </c>
      <c r="C196" t="s">
        <v>84</v>
      </c>
      <c r="D196" t="s">
        <v>84</v>
      </c>
      <c r="E196" t="s">
        <v>489</v>
      </c>
      <c r="F196">
        <v>995951</v>
      </c>
      <c r="G196">
        <v>42872.36</v>
      </c>
      <c r="H196">
        <f t="shared" si="3"/>
        <v>497975.5</v>
      </c>
    </row>
    <row r="197" spans="1:8">
      <c r="A197">
        <v>196</v>
      </c>
      <c r="B197" s="331">
        <v>46203.871527777781</v>
      </c>
      <c r="C197" t="s">
        <v>276</v>
      </c>
      <c r="D197" t="s">
        <v>276</v>
      </c>
      <c r="E197" t="s">
        <v>489</v>
      </c>
      <c r="F197">
        <v>2064132</v>
      </c>
      <c r="G197">
        <v>93711.43</v>
      </c>
      <c r="H197">
        <f t="shared" si="3"/>
        <v>1032066</v>
      </c>
    </row>
    <row r="198" spans="1:8">
      <c r="A198">
        <v>197</v>
      </c>
      <c r="B198" s="331">
        <v>46203.871527777781</v>
      </c>
      <c r="C198" t="s">
        <v>277</v>
      </c>
      <c r="D198" t="s">
        <v>277</v>
      </c>
      <c r="E198" t="s">
        <v>489</v>
      </c>
      <c r="F198">
        <v>2825077</v>
      </c>
      <c r="G198">
        <v>108211.23</v>
      </c>
      <c r="H198">
        <f t="shared" si="3"/>
        <v>1412538.5</v>
      </c>
    </row>
    <row r="199" spans="1:8">
      <c r="A199">
        <v>198</v>
      </c>
      <c r="B199" s="331">
        <v>46203.871527777781</v>
      </c>
      <c r="C199" t="s">
        <v>68</v>
      </c>
      <c r="D199" t="s">
        <v>68</v>
      </c>
      <c r="E199" t="s">
        <v>489</v>
      </c>
      <c r="F199">
        <v>1996255</v>
      </c>
      <c r="G199">
        <v>79681.45</v>
      </c>
      <c r="H199">
        <f t="shared" si="3"/>
        <v>998127.5</v>
      </c>
    </row>
    <row r="200" spans="1:8">
      <c r="A200">
        <v>199</v>
      </c>
      <c r="B200" s="331">
        <v>46203.871527777781</v>
      </c>
      <c r="C200" t="s">
        <v>411</v>
      </c>
      <c r="D200" t="s">
        <v>411</v>
      </c>
      <c r="E200" t="s">
        <v>489</v>
      </c>
      <c r="F200">
        <v>2824293</v>
      </c>
      <c r="H200">
        <f t="shared" si="3"/>
        <v>1412146.5</v>
      </c>
    </row>
    <row r="201" spans="1:8">
      <c r="A201">
        <v>200</v>
      </c>
      <c r="B201" s="331">
        <v>46203.871527777781</v>
      </c>
      <c r="C201" t="s">
        <v>78</v>
      </c>
      <c r="D201" t="s">
        <v>78</v>
      </c>
      <c r="E201" t="s">
        <v>489</v>
      </c>
      <c r="F201">
        <v>1186537</v>
      </c>
      <c r="G201">
        <v>55398.86</v>
      </c>
      <c r="H201">
        <f t="shared" si="3"/>
        <v>593268.5</v>
      </c>
    </row>
    <row r="202" spans="1:8">
      <c r="A202">
        <v>201</v>
      </c>
      <c r="B202" s="331">
        <v>46203.871527777781</v>
      </c>
      <c r="C202" t="s">
        <v>884</v>
      </c>
      <c r="D202" t="s">
        <v>884</v>
      </c>
      <c r="E202" t="s">
        <v>372</v>
      </c>
      <c r="F202">
        <v>508604</v>
      </c>
      <c r="G202">
        <v>24917.85</v>
      </c>
      <c r="H202">
        <f t="shared" si="3"/>
        <v>254302</v>
      </c>
    </row>
    <row r="203" spans="1:8">
      <c r="A203">
        <v>202</v>
      </c>
      <c r="B203" s="331">
        <v>46203.871527777781</v>
      </c>
      <c r="C203" t="s">
        <v>882</v>
      </c>
      <c r="D203" t="s">
        <v>882</v>
      </c>
      <c r="E203" t="s">
        <v>372</v>
      </c>
      <c r="F203">
        <v>889449</v>
      </c>
      <c r="G203">
        <v>44288.73</v>
      </c>
      <c r="H203">
        <f t="shared" si="3"/>
        <v>444724.5</v>
      </c>
    </row>
    <row r="204" spans="1:8">
      <c r="A204">
        <v>203</v>
      </c>
      <c r="B204" s="331">
        <v>46203.871527777781</v>
      </c>
      <c r="C204" t="s">
        <v>360</v>
      </c>
      <c r="D204" t="s">
        <v>360</v>
      </c>
      <c r="E204" t="s">
        <v>372</v>
      </c>
      <c r="F204">
        <v>772569</v>
      </c>
      <c r="G204">
        <v>37981.15</v>
      </c>
      <c r="H204">
        <f t="shared" si="3"/>
        <v>386284.5</v>
      </c>
    </row>
    <row r="205" spans="1:8">
      <c r="A205">
        <v>204</v>
      </c>
      <c r="B205" s="331">
        <v>46203.871527777781</v>
      </c>
      <c r="C205" t="s">
        <v>446</v>
      </c>
      <c r="D205" t="s">
        <v>446</v>
      </c>
      <c r="E205" t="s">
        <v>489</v>
      </c>
      <c r="F205">
        <v>2890988</v>
      </c>
      <c r="H205">
        <f t="shared" si="3"/>
        <v>1445494</v>
      </c>
    </row>
    <row r="206" spans="1:8">
      <c r="A206">
        <v>205</v>
      </c>
      <c r="B206" s="331">
        <v>46203.871527777781</v>
      </c>
      <c r="C206" t="s">
        <v>75</v>
      </c>
      <c r="D206" t="s">
        <v>75</v>
      </c>
      <c r="E206" t="s">
        <v>489</v>
      </c>
      <c r="F206">
        <v>898527</v>
      </c>
      <c r="G206">
        <v>42582.12</v>
      </c>
      <c r="H206">
        <f t="shared" si="3"/>
        <v>449263.5</v>
      </c>
    </row>
    <row r="207" spans="1:8">
      <c r="A207">
        <v>206</v>
      </c>
      <c r="B207" s="331">
        <v>46203.871527777781</v>
      </c>
      <c r="C207" t="s">
        <v>90</v>
      </c>
      <c r="D207" t="s">
        <v>90</v>
      </c>
      <c r="E207" t="s">
        <v>489</v>
      </c>
      <c r="F207">
        <v>2317984</v>
      </c>
      <c r="G207">
        <v>94264.33</v>
      </c>
      <c r="H207">
        <f t="shared" si="3"/>
        <v>1158992</v>
      </c>
    </row>
    <row r="208" spans="1:8">
      <c r="A208">
        <v>207</v>
      </c>
      <c r="B208" s="331">
        <v>46203.871527777781</v>
      </c>
      <c r="C208" t="s">
        <v>69</v>
      </c>
      <c r="D208" t="s">
        <v>69</v>
      </c>
      <c r="E208" t="s">
        <v>489</v>
      </c>
      <c r="F208">
        <v>2959037</v>
      </c>
      <c r="G208">
        <v>116416.58</v>
      </c>
      <c r="H208">
        <f t="shared" si="3"/>
        <v>1479518.5</v>
      </c>
    </row>
    <row r="209" spans="1:8">
      <c r="A209">
        <v>208</v>
      </c>
      <c r="B209" s="331">
        <v>46203.871527777781</v>
      </c>
      <c r="C209" t="s">
        <v>426</v>
      </c>
      <c r="D209" t="s">
        <v>426</v>
      </c>
      <c r="E209" t="s">
        <v>489</v>
      </c>
      <c r="F209">
        <v>447404</v>
      </c>
      <c r="H209">
        <f t="shared" si="3"/>
        <v>223702</v>
      </c>
    </row>
    <row r="210" spans="1:8">
      <c r="A210">
        <v>209</v>
      </c>
      <c r="B210" s="331">
        <v>46203.871527777781</v>
      </c>
      <c r="C210" t="s">
        <v>75</v>
      </c>
      <c r="D210" t="s">
        <v>75</v>
      </c>
      <c r="E210" t="s">
        <v>489</v>
      </c>
      <c r="F210">
        <v>898618</v>
      </c>
      <c r="G210">
        <v>42513.67</v>
      </c>
      <c r="H210">
        <f t="shared" si="3"/>
        <v>449309</v>
      </c>
    </row>
    <row r="211" spans="1:8">
      <c r="A211">
        <v>210</v>
      </c>
      <c r="B211" s="331">
        <v>46203.871527777781</v>
      </c>
      <c r="C211" t="s">
        <v>77</v>
      </c>
      <c r="D211" t="s">
        <v>77</v>
      </c>
      <c r="E211" t="s">
        <v>489</v>
      </c>
      <c r="F211">
        <v>890969</v>
      </c>
      <c r="G211">
        <v>41888.800000000003</v>
      </c>
      <c r="H211">
        <f t="shared" si="3"/>
        <v>445484.5</v>
      </c>
    </row>
    <row r="212" spans="1:8">
      <c r="A212">
        <v>211</v>
      </c>
      <c r="B212" s="331">
        <v>46203.871527777781</v>
      </c>
      <c r="C212" t="s">
        <v>86</v>
      </c>
      <c r="D212" t="s">
        <v>86</v>
      </c>
      <c r="E212" t="s">
        <v>489</v>
      </c>
      <c r="F212">
        <v>998164</v>
      </c>
      <c r="G212">
        <v>43134.76</v>
      </c>
      <c r="H212">
        <f t="shared" si="3"/>
        <v>499082</v>
      </c>
    </row>
    <row r="213" spans="1:8">
      <c r="A213">
        <v>212</v>
      </c>
      <c r="B213" s="331">
        <v>46203.871527777781</v>
      </c>
      <c r="C213" t="s">
        <v>71</v>
      </c>
      <c r="D213" t="s">
        <v>71</v>
      </c>
      <c r="E213" t="s">
        <v>489</v>
      </c>
      <c r="F213">
        <v>2946977</v>
      </c>
      <c r="G213">
        <v>116657.67</v>
      </c>
      <c r="H213">
        <f t="shared" si="3"/>
        <v>1473488.5</v>
      </c>
    </row>
    <row r="214" spans="1:8">
      <c r="A214">
        <v>213</v>
      </c>
      <c r="B214" s="331">
        <v>46203.871527777781</v>
      </c>
      <c r="C214" t="s">
        <v>91</v>
      </c>
      <c r="D214" t="s">
        <v>91</v>
      </c>
      <c r="E214" t="s">
        <v>489</v>
      </c>
      <c r="F214">
        <v>2207656</v>
      </c>
      <c r="G214">
        <v>89563.48</v>
      </c>
      <c r="H214">
        <f t="shared" si="3"/>
        <v>1103828</v>
      </c>
    </row>
    <row r="215" spans="1:8">
      <c r="A215">
        <v>214</v>
      </c>
      <c r="B215" s="331">
        <v>46203.871527777781</v>
      </c>
      <c r="C215" t="s">
        <v>276</v>
      </c>
      <c r="D215" t="s">
        <v>276</v>
      </c>
      <c r="E215" t="s">
        <v>489</v>
      </c>
      <c r="F215">
        <v>2064091</v>
      </c>
      <c r="G215">
        <v>93337.5</v>
      </c>
      <c r="H215">
        <f t="shared" si="3"/>
        <v>1032045.5</v>
      </c>
    </row>
    <row r="216" spans="1:8">
      <c r="A216">
        <v>215</v>
      </c>
      <c r="B216" s="331">
        <v>46203.871527777781</v>
      </c>
      <c r="C216" t="s">
        <v>337</v>
      </c>
      <c r="D216" t="s">
        <v>337</v>
      </c>
      <c r="E216" t="s">
        <v>489</v>
      </c>
      <c r="F216">
        <v>1309126</v>
      </c>
      <c r="G216">
        <v>52972.92</v>
      </c>
      <c r="H216">
        <f t="shared" si="3"/>
        <v>654563</v>
      </c>
    </row>
    <row r="217" spans="1:8">
      <c r="A217">
        <v>216</v>
      </c>
      <c r="B217" s="331">
        <v>46203.871527777781</v>
      </c>
      <c r="C217" t="s">
        <v>408</v>
      </c>
      <c r="D217" t="s">
        <v>408</v>
      </c>
      <c r="E217" t="s">
        <v>489</v>
      </c>
      <c r="F217">
        <v>1958980</v>
      </c>
      <c r="H217">
        <f t="shared" si="3"/>
        <v>979490</v>
      </c>
    </row>
    <row r="218" spans="1:8">
      <c r="A218">
        <v>217</v>
      </c>
      <c r="B218" s="331">
        <v>46203.871527777781</v>
      </c>
      <c r="C218" t="s">
        <v>277</v>
      </c>
      <c r="D218" t="s">
        <v>277</v>
      </c>
      <c r="E218" t="s">
        <v>489</v>
      </c>
      <c r="F218">
        <v>2824942</v>
      </c>
      <c r="G218">
        <v>109713.43</v>
      </c>
      <c r="H218">
        <f t="shared" si="3"/>
        <v>1412471</v>
      </c>
    </row>
    <row r="219" spans="1:8">
      <c r="A219">
        <v>218</v>
      </c>
      <c r="B219" s="331">
        <v>46203.871527777781</v>
      </c>
      <c r="C219" t="s">
        <v>411</v>
      </c>
      <c r="D219" t="s">
        <v>411</v>
      </c>
      <c r="E219" t="s">
        <v>489</v>
      </c>
      <c r="F219">
        <v>2823946</v>
      </c>
      <c r="H219">
        <f t="shared" si="3"/>
        <v>1411973</v>
      </c>
    </row>
    <row r="220" spans="1:8">
      <c r="A220">
        <v>219</v>
      </c>
      <c r="B220" s="331">
        <v>46203.868055555555</v>
      </c>
      <c r="C220" t="s">
        <v>883</v>
      </c>
      <c r="D220" t="s">
        <v>883</v>
      </c>
      <c r="E220" t="s">
        <v>372</v>
      </c>
      <c r="F220">
        <v>503967</v>
      </c>
      <c r="G220">
        <v>24513.33</v>
      </c>
      <c r="H220">
        <f t="shared" si="3"/>
        <v>251983.5</v>
      </c>
    </row>
    <row r="221" spans="1:8">
      <c r="A221">
        <v>220</v>
      </c>
      <c r="B221" s="331">
        <v>46203.868055555555</v>
      </c>
      <c r="C221" t="s">
        <v>892</v>
      </c>
      <c r="D221" t="s">
        <v>892</v>
      </c>
      <c r="E221" t="s">
        <v>372</v>
      </c>
      <c r="F221">
        <v>1008477</v>
      </c>
      <c r="G221">
        <v>44971.65</v>
      </c>
      <c r="H221">
        <f t="shared" si="3"/>
        <v>504238.5</v>
      </c>
    </row>
    <row r="222" spans="1:8">
      <c r="A222">
        <v>221</v>
      </c>
      <c r="B222" s="331">
        <v>46203.868055555555</v>
      </c>
      <c r="C222" t="s">
        <v>83</v>
      </c>
      <c r="D222" t="s">
        <v>83</v>
      </c>
      <c r="E222" t="s">
        <v>489</v>
      </c>
      <c r="F222">
        <v>2082433</v>
      </c>
      <c r="G222">
        <v>95107.199999999997</v>
      </c>
      <c r="H222">
        <f t="shared" si="3"/>
        <v>1041216.5</v>
      </c>
    </row>
    <row r="223" spans="1:8">
      <c r="A223">
        <v>222</v>
      </c>
      <c r="B223" s="331">
        <v>46203.868055555555</v>
      </c>
      <c r="C223" t="s">
        <v>63</v>
      </c>
      <c r="D223" t="s">
        <v>63</v>
      </c>
      <c r="E223" t="s">
        <v>489</v>
      </c>
      <c r="F223">
        <v>919542</v>
      </c>
      <c r="G223">
        <v>35806.04</v>
      </c>
      <c r="H223">
        <f t="shared" si="3"/>
        <v>459771</v>
      </c>
    </row>
    <row r="224" spans="1:8">
      <c r="A224">
        <v>223</v>
      </c>
      <c r="B224" s="331">
        <v>46203.868055555555</v>
      </c>
      <c r="C224" t="s">
        <v>279</v>
      </c>
      <c r="D224" t="s">
        <v>279</v>
      </c>
      <c r="E224" t="s">
        <v>489</v>
      </c>
      <c r="F224">
        <v>2953934</v>
      </c>
      <c r="G224">
        <v>115007.44</v>
      </c>
      <c r="H224">
        <f t="shared" si="3"/>
        <v>1476967</v>
      </c>
    </row>
    <row r="225" spans="1:8">
      <c r="A225">
        <v>224</v>
      </c>
      <c r="B225" s="331">
        <v>46203.868055555555</v>
      </c>
      <c r="C225" t="s">
        <v>976</v>
      </c>
      <c r="D225" t="s">
        <v>976</v>
      </c>
      <c r="E225" t="s">
        <v>489</v>
      </c>
      <c r="F225">
        <v>1657625</v>
      </c>
      <c r="H225">
        <f t="shared" si="3"/>
        <v>828812.5</v>
      </c>
    </row>
    <row r="226" spans="1:8">
      <c r="A226">
        <v>225</v>
      </c>
      <c r="B226" s="331">
        <v>46203.868055555555</v>
      </c>
      <c r="C226" t="s">
        <v>90</v>
      </c>
      <c r="D226" t="s">
        <v>90</v>
      </c>
      <c r="E226" t="s">
        <v>489</v>
      </c>
      <c r="F226">
        <v>2318391</v>
      </c>
      <c r="G226">
        <v>95086.17</v>
      </c>
      <c r="H226">
        <f t="shared" si="3"/>
        <v>1159195.5</v>
      </c>
    </row>
    <row r="227" spans="1:8">
      <c r="A227">
        <v>226</v>
      </c>
      <c r="B227" s="331">
        <v>46203.868055555555</v>
      </c>
      <c r="C227" t="s">
        <v>445</v>
      </c>
      <c r="D227" t="s">
        <v>445</v>
      </c>
      <c r="E227" t="s">
        <v>489</v>
      </c>
      <c r="F227">
        <v>2926683</v>
      </c>
      <c r="H227">
        <f t="shared" si="3"/>
        <v>1463341.5</v>
      </c>
    </row>
    <row r="228" spans="1:8">
      <c r="A228">
        <v>227</v>
      </c>
      <c r="B228" s="331">
        <v>46203.868055555555</v>
      </c>
      <c r="C228" t="s">
        <v>64</v>
      </c>
      <c r="D228" t="s">
        <v>64</v>
      </c>
      <c r="E228" t="s">
        <v>489</v>
      </c>
      <c r="F228">
        <v>2010409</v>
      </c>
      <c r="G228">
        <v>80353.460000000006</v>
      </c>
      <c r="H228">
        <f t="shared" si="3"/>
        <v>1005204.5</v>
      </c>
    </row>
    <row r="229" spans="1:8">
      <c r="A229">
        <v>228</v>
      </c>
      <c r="B229" s="331">
        <v>46203.868055555555</v>
      </c>
      <c r="C229" t="s">
        <v>276</v>
      </c>
      <c r="D229" t="s">
        <v>276</v>
      </c>
      <c r="E229" t="s">
        <v>489</v>
      </c>
      <c r="F229">
        <v>2064198</v>
      </c>
      <c r="G229">
        <v>95125.08</v>
      </c>
      <c r="H229">
        <f t="shared" si="3"/>
        <v>1032099</v>
      </c>
    </row>
    <row r="230" spans="1:8">
      <c r="A230">
        <v>229</v>
      </c>
      <c r="B230" s="331">
        <v>46203.868055555555</v>
      </c>
      <c r="C230" t="s">
        <v>87</v>
      </c>
      <c r="D230" t="s">
        <v>87</v>
      </c>
      <c r="E230" t="s">
        <v>489</v>
      </c>
      <c r="F230">
        <v>334000</v>
      </c>
      <c r="G230">
        <v>1215.24</v>
      </c>
      <c r="H230">
        <f t="shared" si="3"/>
        <v>167000</v>
      </c>
    </row>
    <row r="231" spans="1:8">
      <c r="A231">
        <v>230</v>
      </c>
      <c r="B231" s="331">
        <v>46203.868055555555</v>
      </c>
      <c r="C231" t="s">
        <v>66</v>
      </c>
      <c r="D231" t="s">
        <v>66</v>
      </c>
      <c r="E231" t="s">
        <v>489</v>
      </c>
      <c r="F231">
        <v>1763639</v>
      </c>
      <c r="G231">
        <v>69840.39</v>
      </c>
      <c r="H231">
        <f t="shared" si="3"/>
        <v>881819.5</v>
      </c>
    </row>
    <row r="232" spans="1:8">
      <c r="A232">
        <v>231</v>
      </c>
      <c r="B232" s="331">
        <v>46203.868055555555</v>
      </c>
      <c r="C232" t="s">
        <v>1109</v>
      </c>
      <c r="D232" t="s">
        <v>1109</v>
      </c>
      <c r="E232" t="s">
        <v>489</v>
      </c>
      <c r="F232">
        <v>2871526</v>
      </c>
      <c r="H232">
        <f t="shared" si="3"/>
        <v>1435763</v>
      </c>
    </row>
    <row r="233" spans="1:8">
      <c r="A233">
        <v>232</v>
      </c>
      <c r="B233" s="331">
        <v>46203.868055555555</v>
      </c>
      <c r="C233" t="s">
        <v>980</v>
      </c>
      <c r="D233" t="s">
        <v>980</v>
      </c>
      <c r="E233" t="s">
        <v>489</v>
      </c>
      <c r="F233">
        <v>1731351</v>
      </c>
      <c r="H233">
        <f t="shared" si="3"/>
        <v>865675.5</v>
      </c>
    </row>
    <row r="234" spans="1:8">
      <c r="A234">
        <v>233</v>
      </c>
      <c r="B234" s="331">
        <v>46203.868055555555</v>
      </c>
      <c r="C234" t="s">
        <v>78</v>
      </c>
      <c r="D234" t="s">
        <v>78</v>
      </c>
      <c r="E234" t="s">
        <v>489</v>
      </c>
      <c r="F234">
        <v>1186582</v>
      </c>
      <c r="G234">
        <v>55416.39</v>
      </c>
      <c r="H234">
        <f t="shared" si="3"/>
        <v>593291</v>
      </c>
    </row>
    <row r="235" spans="1:8">
      <c r="A235">
        <v>234</v>
      </c>
      <c r="B235" s="331">
        <v>46203.868055555555</v>
      </c>
      <c r="C235" t="s">
        <v>69</v>
      </c>
      <c r="D235" t="s">
        <v>69</v>
      </c>
      <c r="E235" t="s">
        <v>489</v>
      </c>
      <c r="F235">
        <v>2959195</v>
      </c>
      <c r="G235">
        <v>116059.28</v>
      </c>
      <c r="H235">
        <f t="shared" si="3"/>
        <v>1479597.5</v>
      </c>
    </row>
    <row r="236" spans="1:8">
      <c r="A236">
        <v>235</v>
      </c>
      <c r="B236" s="331">
        <v>46203.868055555555</v>
      </c>
      <c r="C236" t="s">
        <v>81</v>
      </c>
      <c r="D236" t="s">
        <v>81</v>
      </c>
      <c r="E236" t="s">
        <v>489</v>
      </c>
      <c r="F236">
        <v>2079823</v>
      </c>
      <c r="G236">
        <v>97004.38</v>
      </c>
      <c r="H236">
        <f t="shared" si="3"/>
        <v>1039911.5</v>
      </c>
    </row>
    <row r="237" spans="1:8">
      <c r="A237">
        <v>236</v>
      </c>
      <c r="B237" s="331">
        <v>46203.868055555555</v>
      </c>
      <c r="C237" t="s">
        <v>1107</v>
      </c>
      <c r="D237" t="s">
        <v>1107</v>
      </c>
      <c r="E237" t="s">
        <v>489</v>
      </c>
      <c r="F237">
        <v>439003</v>
      </c>
      <c r="H237">
        <f t="shared" si="3"/>
        <v>219501.5</v>
      </c>
    </row>
    <row r="238" spans="1:8">
      <c r="A238">
        <v>237</v>
      </c>
      <c r="B238" s="331">
        <v>46203.868055555555</v>
      </c>
      <c r="C238" t="s">
        <v>75</v>
      </c>
      <c r="D238" t="s">
        <v>75</v>
      </c>
      <c r="E238" t="s">
        <v>489</v>
      </c>
      <c r="F238">
        <v>898623</v>
      </c>
      <c r="G238">
        <v>42755.29</v>
      </c>
      <c r="H238">
        <f t="shared" si="3"/>
        <v>449311.5</v>
      </c>
    </row>
    <row r="239" spans="1:8">
      <c r="A239">
        <v>238</v>
      </c>
      <c r="B239" s="331">
        <v>46203.868055555555</v>
      </c>
      <c r="C239" t="s">
        <v>68</v>
      </c>
      <c r="D239" t="s">
        <v>68</v>
      </c>
      <c r="E239" t="s">
        <v>489</v>
      </c>
      <c r="F239">
        <v>1996570</v>
      </c>
      <c r="G239">
        <v>80681.37</v>
      </c>
      <c r="H239">
        <f t="shared" si="3"/>
        <v>998285</v>
      </c>
    </row>
    <row r="240" spans="1:8">
      <c r="A240">
        <v>239</v>
      </c>
      <c r="B240" s="331">
        <v>46203.868055555555</v>
      </c>
      <c r="C240" t="s">
        <v>86</v>
      </c>
      <c r="D240" t="s">
        <v>86</v>
      </c>
      <c r="E240" t="s">
        <v>489</v>
      </c>
      <c r="F240">
        <v>998289</v>
      </c>
      <c r="G240">
        <v>43862.79</v>
      </c>
      <c r="H240">
        <f t="shared" si="3"/>
        <v>499144.5</v>
      </c>
    </row>
    <row r="241" spans="1:8">
      <c r="A241">
        <v>240</v>
      </c>
      <c r="B241" s="331">
        <v>46203.868055555555</v>
      </c>
      <c r="C241" t="s">
        <v>91</v>
      </c>
      <c r="D241" t="s">
        <v>91</v>
      </c>
      <c r="E241" t="s">
        <v>489</v>
      </c>
      <c r="F241">
        <v>2208082</v>
      </c>
      <c r="G241">
        <v>88514.04</v>
      </c>
      <c r="H241">
        <f t="shared" si="3"/>
        <v>1104041</v>
      </c>
    </row>
    <row r="242" spans="1:8">
      <c r="A242">
        <v>241</v>
      </c>
      <c r="B242" s="331">
        <v>46203.868055555555</v>
      </c>
      <c r="C242" t="s">
        <v>408</v>
      </c>
      <c r="D242" t="s">
        <v>408</v>
      </c>
      <c r="E242" t="s">
        <v>489</v>
      </c>
      <c r="F242">
        <v>1959724</v>
      </c>
      <c r="H242">
        <f t="shared" si="3"/>
        <v>979862</v>
      </c>
    </row>
    <row r="243" spans="1:8">
      <c r="A243">
        <v>242</v>
      </c>
      <c r="B243" s="331">
        <v>46203.868055555555</v>
      </c>
      <c r="C243" t="s">
        <v>278</v>
      </c>
      <c r="D243" t="s">
        <v>278</v>
      </c>
      <c r="E243" t="s">
        <v>489</v>
      </c>
      <c r="F243">
        <v>2974788</v>
      </c>
      <c r="G243">
        <v>116857.16</v>
      </c>
      <c r="H243">
        <f t="shared" si="3"/>
        <v>1487394</v>
      </c>
    </row>
    <row r="244" spans="1:8">
      <c r="A244">
        <v>243</v>
      </c>
      <c r="B244" s="331">
        <v>46203.868055555555</v>
      </c>
      <c r="C244" t="s">
        <v>58</v>
      </c>
      <c r="D244" t="s">
        <v>58</v>
      </c>
      <c r="E244" t="s">
        <v>489</v>
      </c>
      <c r="F244">
        <v>826276</v>
      </c>
      <c r="G244">
        <v>34995.35</v>
      </c>
      <c r="H244">
        <f t="shared" si="3"/>
        <v>413138</v>
      </c>
    </row>
    <row r="245" spans="1:8">
      <c r="A245">
        <v>244</v>
      </c>
      <c r="B245" s="331">
        <v>46203.868055555555</v>
      </c>
      <c r="C245" t="s">
        <v>337</v>
      </c>
      <c r="D245" t="s">
        <v>337</v>
      </c>
      <c r="E245" t="s">
        <v>489</v>
      </c>
      <c r="F245">
        <v>1309531</v>
      </c>
      <c r="G245">
        <v>52090.06</v>
      </c>
      <c r="H245">
        <f t="shared" si="3"/>
        <v>654765.5</v>
      </c>
    </row>
    <row r="246" spans="1:8">
      <c r="A246">
        <v>245</v>
      </c>
      <c r="B246" s="331">
        <v>46203.868055555555</v>
      </c>
      <c r="C246" t="s">
        <v>93</v>
      </c>
      <c r="D246" t="s">
        <v>93</v>
      </c>
      <c r="E246" t="s">
        <v>489</v>
      </c>
      <c r="F246">
        <v>2325280</v>
      </c>
      <c r="G246">
        <v>93160.76</v>
      </c>
      <c r="H246">
        <f t="shared" si="3"/>
        <v>1162640</v>
      </c>
    </row>
    <row r="247" spans="1:8">
      <c r="A247">
        <v>246</v>
      </c>
      <c r="B247" s="331">
        <v>46203.868055555555</v>
      </c>
      <c r="C247" t="s">
        <v>74</v>
      </c>
      <c r="D247" t="s">
        <v>74</v>
      </c>
      <c r="E247" t="s">
        <v>489</v>
      </c>
      <c r="F247">
        <v>1308214</v>
      </c>
      <c r="G247">
        <v>53039.59</v>
      </c>
      <c r="H247">
        <f t="shared" si="3"/>
        <v>654107</v>
      </c>
    </row>
    <row r="248" spans="1:8">
      <c r="A248">
        <v>247</v>
      </c>
      <c r="B248" s="331">
        <v>46203.868055555555</v>
      </c>
      <c r="C248" t="s">
        <v>1110</v>
      </c>
      <c r="D248" t="s">
        <v>1110</v>
      </c>
      <c r="E248" t="s">
        <v>489</v>
      </c>
      <c r="F248">
        <v>3017432</v>
      </c>
      <c r="H248">
        <f t="shared" si="3"/>
        <v>1508716</v>
      </c>
    </row>
    <row r="249" spans="1:8">
      <c r="A249">
        <v>248</v>
      </c>
      <c r="B249" s="331">
        <v>46203.868055555555</v>
      </c>
      <c r="C249" t="s">
        <v>328</v>
      </c>
      <c r="D249" t="s">
        <v>328</v>
      </c>
      <c r="E249" t="s">
        <v>489</v>
      </c>
      <c r="F249">
        <v>3417358</v>
      </c>
      <c r="G249">
        <v>133964.88</v>
      </c>
      <c r="H249">
        <f t="shared" si="3"/>
        <v>1708679</v>
      </c>
    </row>
    <row r="250" spans="1:8">
      <c r="A250">
        <v>249</v>
      </c>
      <c r="B250" s="331">
        <v>46203.868055555555</v>
      </c>
      <c r="C250" t="s">
        <v>72</v>
      </c>
      <c r="D250" t="s">
        <v>72</v>
      </c>
      <c r="E250" t="s">
        <v>489</v>
      </c>
      <c r="F250">
        <v>2972509</v>
      </c>
      <c r="G250">
        <v>117425.41</v>
      </c>
      <c r="H250">
        <f t="shared" si="3"/>
        <v>1486254.5</v>
      </c>
    </row>
    <row r="251" spans="1:8">
      <c r="A251">
        <v>250</v>
      </c>
      <c r="B251" s="331">
        <v>46203.868055555555</v>
      </c>
      <c r="C251" t="s">
        <v>979</v>
      </c>
      <c r="D251" t="s">
        <v>979</v>
      </c>
      <c r="E251" t="s">
        <v>489</v>
      </c>
      <c r="F251">
        <v>1281641</v>
      </c>
      <c r="H251">
        <f t="shared" si="3"/>
        <v>640820.5</v>
      </c>
    </row>
    <row r="252" spans="1:8">
      <c r="A252">
        <v>251</v>
      </c>
      <c r="B252" s="331">
        <v>46203.868055555555</v>
      </c>
      <c r="C252" t="s">
        <v>60</v>
      </c>
      <c r="D252" t="s">
        <v>60</v>
      </c>
      <c r="E252" t="s">
        <v>489</v>
      </c>
      <c r="F252">
        <v>830772</v>
      </c>
      <c r="G252">
        <v>35464.370000000003</v>
      </c>
      <c r="H252">
        <f t="shared" si="3"/>
        <v>415386</v>
      </c>
    </row>
    <row r="253" spans="1:8">
      <c r="A253">
        <v>252</v>
      </c>
      <c r="B253" s="331">
        <v>46203.868055555555</v>
      </c>
      <c r="C253" t="s">
        <v>65</v>
      </c>
      <c r="D253" t="s">
        <v>65</v>
      </c>
      <c r="E253" t="s">
        <v>489</v>
      </c>
      <c r="F253">
        <v>2010844</v>
      </c>
      <c r="G253">
        <v>79510.5</v>
      </c>
      <c r="H253">
        <f t="shared" si="3"/>
        <v>1005422</v>
      </c>
    </row>
    <row r="254" spans="1:8">
      <c r="A254">
        <v>253</v>
      </c>
      <c r="B254" s="331">
        <v>46203.868055555555</v>
      </c>
      <c r="C254" t="s">
        <v>411</v>
      </c>
      <c r="D254" t="s">
        <v>411</v>
      </c>
      <c r="E254" t="s">
        <v>489</v>
      </c>
      <c r="F254">
        <v>2824783</v>
      </c>
      <c r="H254">
        <f t="shared" si="3"/>
        <v>1412391.5</v>
      </c>
    </row>
    <row r="255" spans="1:8">
      <c r="A255">
        <v>254</v>
      </c>
      <c r="B255" s="331">
        <v>46203.868055555555</v>
      </c>
      <c r="C255" t="s">
        <v>61</v>
      </c>
      <c r="D255" t="s">
        <v>61</v>
      </c>
      <c r="E255" t="s">
        <v>489</v>
      </c>
      <c r="F255">
        <v>415573</v>
      </c>
      <c r="G255">
        <v>1336.12</v>
      </c>
      <c r="H255">
        <f t="shared" si="3"/>
        <v>207786.5</v>
      </c>
    </row>
    <row r="256" spans="1:8">
      <c r="A256">
        <v>255</v>
      </c>
      <c r="B256" s="331">
        <v>46203.868055555555</v>
      </c>
      <c r="C256" t="s">
        <v>77</v>
      </c>
      <c r="D256" t="s">
        <v>77</v>
      </c>
      <c r="E256" t="s">
        <v>489</v>
      </c>
      <c r="F256">
        <v>891376</v>
      </c>
      <c r="G256">
        <v>41429.089999999997</v>
      </c>
      <c r="H256">
        <f t="shared" si="3"/>
        <v>445688</v>
      </c>
    </row>
    <row r="257" spans="1:8">
      <c r="A257">
        <v>256</v>
      </c>
      <c r="B257" s="331">
        <v>46203.868055555555</v>
      </c>
      <c r="C257" t="s">
        <v>446</v>
      </c>
      <c r="D257" t="s">
        <v>446</v>
      </c>
      <c r="E257" t="s">
        <v>489</v>
      </c>
      <c r="F257">
        <v>2892350</v>
      </c>
      <c r="H257">
        <f t="shared" si="3"/>
        <v>1446175</v>
      </c>
    </row>
    <row r="258" spans="1:8">
      <c r="A258">
        <v>257</v>
      </c>
      <c r="B258" s="331">
        <v>46203.868055555555</v>
      </c>
      <c r="C258" t="s">
        <v>78</v>
      </c>
      <c r="D258" t="s">
        <v>78</v>
      </c>
      <c r="E258" t="s">
        <v>489</v>
      </c>
      <c r="F258">
        <v>1186969</v>
      </c>
      <c r="G258">
        <v>55933.65</v>
      </c>
      <c r="H258">
        <f t="shared" si="3"/>
        <v>593484.5</v>
      </c>
    </row>
    <row r="259" spans="1:8">
      <c r="A259">
        <v>258</v>
      </c>
      <c r="B259" s="331">
        <v>46203.868055555555</v>
      </c>
      <c r="C259" t="s">
        <v>279</v>
      </c>
      <c r="D259" t="s">
        <v>279</v>
      </c>
      <c r="E259" t="s">
        <v>489</v>
      </c>
      <c r="F259">
        <v>2954087</v>
      </c>
      <c r="G259">
        <v>113675.28</v>
      </c>
      <c r="H259">
        <f t="shared" ref="H259:H322" si="4">0.5*F259</f>
        <v>1477043.5</v>
      </c>
    </row>
    <row r="260" spans="1:8">
      <c r="A260">
        <v>259</v>
      </c>
      <c r="B260" s="331">
        <v>46203.868055555555</v>
      </c>
      <c r="C260" t="s">
        <v>65</v>
      </c>
      <c r="D260" t="s">
        <v>65</v>
      </c>
      <c r="E260" t="s">
        <v>489</v>
      </c>
      <c r="F260">
        <v>2010801</v>
      </c>
      <c r="G260">
        <v>79399.89</v>
      </c>
      <c r="H260">
        <f t="shared" si="4"/>
        <v>1005400.5</v>
      </c>
    </row>
    <row r="261" spans="1:8">
      <c r="A261">
        <v>260</v>
      </c>
      <c r="B261" s="331">
        <v>46203.868055555555</v>
      </c>
      <c r="C261" t="s">
        <v>60</v>
      </c>
      <c r="D261" t="s">
        <v>60</v>
      </c>
      <c r="E261" t="s">
        <v>489</v>
      </c>
      <c r="F261">
        <v>830937</v>
      </c>
      <c r="G261">
        <v>35871.160000000003</v>
      </c>
      <c r="H261">
        <f t="shared" si="4"/>
        <v>415468.5</v>
      </c>
    </row>
    <row r="262" spans="1:8">
      <c r="A262">
        <v>261</v>
      </c>
      <c r="B262" s="331">
        <v>46203.868055555555</v>
      </c>
      <c r="C262" t="s">
        <v>90</v>
      </c>
      <c r="D262" t="s">
        <v>90</v>
      </c>
      <c r="E262" t="s">
        <v>489</v>
      </c>
      <c r="F262">
        <v>2318757</v>
      </c>
      <c r="G262">
        <v>95630.93</v>
      </c>
      <c r="H262">
        <f t="shared" si="4"/>
        <v>1159378.5</v>
      </c>
    </row>
    <row r="263" spans="1:8">
      <c r="A263">
        <v>262</v>
      </c>
      <c r="B263" s="331">
        <v>46203.868055555555</v>
      </c>
      <c r="C263" t="s">
        <v>69</v>
      </c>
      <c r="D263" t="s">
        <v>69</v>
      </c>
      <c r="E263" t="s">
        <v>489</v>
      </c>
      <c r="F263">
        <v>2959396</v>
      </c>
      <c r="G263">
        <v>114883.43</v>
      </c>
      <c r="H263">
        <f t="shared" si="4"/>
        <v>1479698</v>
      </c>
    </row>
    <row r="264" spans="1:8">
      <c r="A264">
        <v>263</v>
      </c>
      <c r="B264" s="331">
        <v>46203.868055555555</v>
      </c>
      <c r="C264" t="s">
        <v>74</v>
      </c>
      <c r="D264" t="s">
        <v>74</v>
      </c>
      <c r="E264" t="s">
        <v>489</v>
      </c>
      <c r="F264">
        <v>1308475</v>
      </c>
      <c r="G264">
        <v>52617.03</v>
      </c>
      <c r="H264">
        <f t="shared" si="4"/>
        <v>654237.5</v>
      </c>
    </row>
    <row r="265" spans="1:8">
      <c r="A265">
        <v>264</v>
      </c>
      <c r="B265" s="331">
        <v>46203.868055555555</v>
      </c>
      <c r="C265" t="s">
        <v>411</v>
      </c>
      <c r="D265" t="s">
        <v>411</v>
      </c>
      <c r="E265" t="s">
        <v>489</v>
      </c>
      <c r="F265">
        <v>2825400</v>
      </c>
      <c r="H265">
        <f t="shared" si="4"/>
        <v>1412700</v>
      </c>
    </row>
    <row r="266" spans="1:8">
      <c r="A266">
        <v>265</v>
      </c>
      <c r="B266" s="331">
        <v>46203.868055555555</v>
      </c>
      <c r="C266" t="s">
        <v>84</v>
      </c>
      <c r="D266" t="s">
        <v>84</v>
      </c>
      <c r="E266" t="s">
        <v>489</v>
      </c>
      <c r="F266">
        <v>995978</v>
      </c>
      <c r="G266">
        <v>43357.41</v>
      </c>
      <c r="H266">
        <f t="shared" si="4"/>
        <v>497989</v>
      </c>
    </row>
    <row r="267" spans="1:8">
      <c r="A267">
        <v>266</v>
      </c>
      <c r="B267" s="331">
        <v>46203.868055555555</v>
      </c>
      <c r="C267" t="s">
        <v>77</v>
      </c>
      <c r="D267" t="s">
        <v>77</v>
      </c>
      <c r="E267" t="s">
        <v>489</v>
      </c>
      <c r="F267">
        <v>891421</v>
      </c>
      <c r="G267">
        <v>41736.75</v>
      </c>
      <c r="H267">
        <f t="shared" si="4"/>
        <v>445710.5</v>
      </c>
    </row>
    <row r="268" spans="1:8">
      <c r="A268">
        <v>267</v>
      </c>
      <c r="B268" s="331">
        <v>46203.868055555555</v>
      </c>
      <c r="C268" t="s">
        <v>66</v>
      </c>
      <c r="D268" t="s">
        <v>66</v>
      </c>
      <c r="E268" t="s">
        <v>489</v>
      </c>
      <c r="F268">
        <v>1763353</v>
      </c>
      <c r="G268">
        <v>69225.960000000006</v>
      </c>
      <c r="H268">
        <f t="shared" si="4"/>
        <v>881676.5</v>
      </c>
    </row>
    <row r="269" spans="1:8">
      <c r="A269">
        <v>268</v>
      </c>
      <c r="B269" s="331">
        <v>46203.868055555555</v>
      </c>
      <c r="C269" t="s">
        <v>61</v>
      </c>
      <c r="D269" t="s">
        <v>61</v>
      </c>
      <c r="E269" t="s">
        <v>489</v>
      </c>
      <c r="F269">
        <v>415685</v>
      </c>
      <c r="G269">
        <v>1367.06</v>
      </c>
      <c r="H269">
        <f t="shared" si="4"/>
        <v>207842.5</v>
      </c>
    </row>
    <row r="270" spans="1:8">
      <c r="A270">
        <v>269</v>
      </c>
      <c r="B270" s="331">
        <v>46203.868055555555</v>
      </c>
      <c r="C270" t="s">
        <v>1107</v>
      </c>
      <c r="D270" t="s">
        <v>1107</v>
      </c>
      <c r="E270" t="s">
        <v>489</v>
      </c>
      <c r="F270">
        <v>439299</v>
      </c>
      <c r="H270">
        <f t="shared" si="4"/>
        <v>219649.5</v>
      </c>
    </row>
    <row r="271" spans="1:8">
      <c r="A271">
        <v>270</v>
      </c>
      <c r="B271" s="331">
        <v>46203.868055555555</v>
      </c>
      <c r="C271" t="s">
        <v>81</v>
      </c>
      <c r="D271" t="s">
        <v>81</v>
      </c>
      <c r="E271" t="s">
        <v>489</v>
      </c>
      <c r="F271">
        <v>2080591</v>
      </c>
      <c r="G271">
        <v>96380.38</v>
      </c>
      <c r="H271">
        <f t="shared" si="4"/>
        <v>1040295.5</v>
      </c>
    </row>
    <row r="272" spans="1:8">
      <c r="A272">
        <v>271</v>
      </c>
      <c r="B272" s="331">
        <v>46203.868055555555</v>
      </c>
      <c r="C272" t="s">
        <v>68</v>
      </c>
      <c r="D272" t="s">
        <v>68</v>
      </c>
      <c r="E272" t="s">
        <v>489</v>
      </c>
      <c r="F272">
        <v>1996755</v>
      </c>
      <c r="G272">
        <v>79497.42</v>
      </c>
      <c r="H272">
        <f t="shared" si="4"/>
        <v>998377.5</v>
      </c>
    </row>
    <row r="273" spans="1:8">
      <c r="A273">
        <v>272</v>
      </c>
      <c r="B273" s="331">
        <v>46203.868055555555</v>
      </c>
      <c r="C273" t="s">
        <v>58</v>
      </c>
      <c r="D273" t="s">
        <v>58</v>
      </c>
      <c r="E273" t="s">
        <v>489</v>
      </c>
      <c r="F273">
        <v>826449</v>
      </c>
      <c r="G273">
        <v>35103.870000000003</v>
      </c>
      <c r="H273">
        <f t="shared" si="4"/>
        <v>413224.5</v>
      </c>
    </row>
    <row r="274" spans="1:8">
      <c r="A274">
        <v>273</v>
      </c>
      <c r="B274" s="331">
        <v>46203.868055555555</v>
      </c>
      <c r="C274" t="s">
        <v>276</v>
      </c>
      <c r="D274" t="s">
        <v>276</v>
      </c>
      <c r="E274" t="s">
        <v>489</v>
      </c>
      <c r="F274">
        <v>2064924</v>
      </c>
      <c r="G274">
        <v>93852.18</v>
      </c>
      <c r="H274">
        <f t="shared" si="4"/>
        <v>1032462</v>
      </c>
    </row>
    <row r="275" spans="1:8">
      <c r="A275">
        <v>274</v>
      </c>
      <c r="B275" s="331">
        <v>46203.868055555555</v>
      </c>
      <c r="C275" t="s">
        <v>979</v>
      </c>
      <c r="D275" t="s">
        <v>979</v>
      </c>
      <c r="E275" t="s">
        <v>489</v>
      </c>
      <c r="F275">
        <v>1282323</v>
      </c>
      <c r="H275">
        <f t="shared" si="4"/>
        <v>641161.5</v>
      </c>
    </row>
    <row r="276" spans="1:8">
      <c r="A276">
        <v>275</v>
      </c>
      <c r="B276" s="331">
        <v>46203.868055555555</v>
      </c>
      <c r="C276" t="s">
        <v>72</v>
      </c>
      <c r="D276" t="s">
        <v>72</v>
      </c>
      <c r="E276" t="s">
        <v>489</v>
      </c>
      <c r="F276">
        <v>2973274</v>
      </c>
      <c r="G276">
        <v>117392.42</v>
      </c>
      <c r="H276">
        <f t="shared" si="4"/>
        <v>1486637</v>
      </c>
    </row>
    <row r="277" spans="1:8">
      <c r="A277">
        <v>276</v>
      </c>
      <c r="B277" s="331">
        <v>46203.868055555555</v>
      </c>
      <c r="C277" t="s">
        <v>337</v>
      </c>
      <c r="D277" t="s">
        <v>337</v>
      </c>
      <c r="E277" t="s">
        <v>489</v>
      </c>
      <c r="F277">
        <v>1309767</v>
      </c>
      <c r="G277">
        <v>51483.32</v>
      </c>
      <c r="H277">
        <f t="shared" si="4"/>
        <v>654883.5</v>
      </c>
    </row>
    <row r="278" spans="1:8">
      <c r="A278">
        <v>277</v>
      </c>
      <c r="B278" s="331">
        <v>46203.868055555555</v>
      </c>
      <c r="C278" t="s">
        <v>889</v>
      </c>
      <c r="D278" t="s">
        <v>889</v>
      </c>
      <c r="E278" t="s">
        <v>372</v>
      </c>
      <c r="F278">
        <v>1006336</v>
      </c>
      <c r="G278">
        <v>45500.61</v>
      </c>
      <c r="H278">
        <f t="shared" si="4"/>
        <v>503168</v>
      </c>
    </row>
    <row r="279" spans="1:8">
      <c r="A279">
        <v>278</v>
      </c>
      <c r="B279" s="331">
        <v>46203.868055555555</v>
      </c>
      <c r="C279" t="s">
        <v>492</v>
      </c>
      <c r="D279" t="s">
        <v>492</v>
      </c>
      <c r="E279" t="s">
        <v>372</v>
      </c>
      <c r="F279">
        <v>2290084</v>
      </c>
      <c r="G279">
        <v>96020.72</v>
      </c>
      <c r="H279">
        <f t="shared" si="4"/>
        <v>1145042</v>
      </c>
    </row>
    <row r="280" spans="1:8">
      <c r="A280">
        <v>279</v>
      </c>
      <c r="B280" s="331">
        <v>46203.868055555555</v>
      </c>
      <c r="C280" t="s">
        <v>359</v>
      </c>
      <c r="D280" t="s">
        <v>359</v>
      </c>
      <c r="E280" t="s">
        <v>372</v>
      </c>
      <c r="F280">
        <v>896572</v>
      </c>
      <c r="G280">
        <v>44438.71</v>
      </c>
      <c r="H280">
        <f t="shared" si="4"/>
        <v>448286</v>
      </c>
    </row>
    <row r="281" spans="1:8">
      <c r="A281">
        <v>280</v>
      </c>
      <c r="B281" s="331">
        <v>46203.868055555555</v>
      </c>
      <c r="C281" t="s">
        <v>498</v>
      </c>
      <c r="D281" t="s">
        <v>498</v>
      </c>
      <c r="E281" t="s">
        <v>372</v>
      </c>
      <c r="F281">
        <v>2292592</v>
      </c>
      <c r="G281">
        <v>96708.02</v>
      </c>
      <c r="H281">
        <f t="shared" si="4"/>
        <v>1146296</v>
      </c>
    </row>
    <row r="282" spans="1:8">
      <c r="A282">
        <v>281</v>
      </c>
      <c r="B282" s="331">
        <v>46203.868055555555</v>
      </c>
      <c r="C282" t="s">
        <v>496</v>
      </c>
      <c r="D282" t="s">
        <v>496</v>
      </c>
      <c r="E282" t="s">
        <v>372</v>
      </c>
      <c r="F282">
        <v>1719075</v>
      </c>
      <c r="G282">
        <v>72224.39</v>
      </c>
      <c r="H282">
        <f t="shared" si="4"/>
        <v>859537.5</v>
      </c>
    </row>
    <row r="283" spans="1:8">
      <c r="A283">
        <v>282</v>
      </c>
      <c r="B283" s="331">
        <v>46203.868055555555</v>
      </c>
      <c r="C283" t="s">
        <v>361</v>
      </c>
      <c r="D283" t="s">
        <v>361</v>
      </c>
      <c r="E283" t="s">
        <v>372</v>
      </c>
      <c r="F283">
        <v>774493</v>
      </c>
      <c r="G283">
        <v>37925.1</v>
      </c>
      <c r="H283">
        <f t="shared" si="4"/>
        <v>387246.5</v>
      </c>
    </row>
    <row r="284" spans="1:8">
      <c r="A284">
        <v>283</v>
      </c>
      <c r="B284" s="331">
        <v>46203.868055555555</v>
      </c>
      <c r="C284" t="s">
        <v>884</v>
      </c>
      <c r="D284" t="s">
        <v>884</v>
      </c>
      <c r="E284" t="s">
        <v>372</v>
      </c>
      <c r="F284">
        <v>508883</v>
      </c>
      <c r="G284">
        <v>24977.919999999998</v>
      </c>
      <c r="H284">
        <f t="shared" si="4"/>
        <v>254441.5</v>
      </c>
    </row>
    <row r="285" spans="1:8">
      <c r="A285">
        <v>284</v>
      </c>
      <c r="B285" s="331">
        <v>46203.868055555555</v>
      </c>
      <c r="C285" t="s">
        <v>891</v>
      </c>
      <c r="D285" t="s">
        <v>891</v>
      </c>
      <c r="E285" t="s">
        <v>372</v>
      </c>
      <c r="F285">
        <v>1010424</v>
      </c>
      <c r="G285">
        <v>45457.09</v>
      </c>
      <c r="H285">
        <f t="shared" si="4"/>
        <v>505212</v>
      </c>
    </row>
    <row r="286" spans="1:8">
      <c r="A286">
        <v>285</v>
      </c>
      <c r="B286" s="331">
        <v>46203.868055555555</v>
      </c>
      <c r="C286" t="s">
        <v>886</v>
      </c>
      <c r="D286" t="s">
        <v>886</v>
      </c>
      <c r="E286" t="s">
        <v>372</v>
      </c>
      <c r="F286">
        <v>881479</v>
      </c>
      <c r="G286">
        <v>44249.96</v>
      </c>
      <c r="H286">
        <f t="shared" si="4"/>
        <v>440739.5</v>
      </c>
    </row>
    <row r="287" spans="1:8">
      <c r="A287">
        <v>286</v>
      </c>
      <c r="B287" s="331">
        <v>46203.868055555555</v>
      </c>
      <c r="C287" t="s">
        <v>882</v>
      </c>
      <c r="D287" t="s">
        <v>882</v>
      </c>
      <c r="E287" t="s">
        <v>372</v>
      </c>
      <c r="F287">
        <v>890084</v>
      </c>
      <c r="G287">
        <v>44087.519999999997</v>
      </c>
      <c r="H287">
        <f t="shared" si="4"/>
        <v>445042</v>
      </c>
    </row>
    <row r="288" spans="1:8">
      <c r="A288">
        <v>287</v>
      </c>
      <c r="B288" s="331">
        <v>46203.868055555555</v>
      </c>
      <c r="C288" t="s">
        <v>453</v>
      </c>
      <c r="D288" t="s">
        <v>453</v>
      </c>
      <c r="E288" t="s">
        <v>372</v>
      </c>
      <c r="F288">
        <v>2525295</v>
      </c>
      <c r="G288">
        <v>116204.15</v>
      </c>
      <c r="H288">
        <f t="shared" si="4"/>
        <v>1262647.5</v>
      </c>
    </row>
    <row r="289" spans="1:8">
      <c r="A289">
        <v>288</v>
      </c>
      <c r="B289" s="331">
        <v>46203.868055555555</v>
      </c>
      <c r="C289" t="s">
        <v>451</v>
      </c>
      <c r="D289" t="s">
        <v>451</v>
      </c>
      <c r="E289" t="s">
        <v>372</v>
      </c>
      <c r="F289">
        <v>2500893</v>
      </c>
      <c r="G289">
        <v>115629.49</v>
      </c>
      <c r="H289">
        <f t="shared" si="4"/>
        <v>1250446.5</v>
      </c>
    </row>
    <row r="290" spans="1:8">
      <c r="A290">
        <v>289</v>
      </c>
      <c r="B290" s="331">
        <v>46203.868055555555</v>
      </c>
      <c r="C290" t="s">
        <v>887</v>
      </c>
      <c r="D290" t="s">
        <v>887</v>
      </c>
      <c r="E290" t="s">
        <v>372</v>
      </c>
      <c r="F290">
        <v>890292</v>
      </c>
      <c r="G290">
        <v>43820.15</v>
      </c>
      <c r="H290">
        <f t="shared" si="4"/>
        <v>445146</v>
      </c>
    </row>
    <row r="291" spans="1:8">
      <c r="A291">
        <v>290</v>
      </c>
      <c r="B291" s="331">
        <v>46203.868055555555</v>
      </c>
      <c r="C291" t="s">
        <v>491</v>
      </c>
      <c r="D291" t="s">
        <v>491</v>
      </c>
      <c r="E291" t="s">
        <v>372</v>
      </c>
      <c r="F291">
        <v>2503866</v>
      </c>
      <c r="G291">
        <v>115573.61</v>
      </c>
      <c r="H291">
        <f t="shared" si="4"/>
        <v>1251933</v>
      </c>
    </row>
    <row r="292" spans="1:8">
      <c r="A292">
        <v>291</v>
      </c>
      <c r="B292" s="331">
        <v>46203.868055555555</v>
      </c>
      <c r="C292" t="s">
        <v>84</v>
      </c>
      <c r="D292" t="s">
        <v>84</v>
      </c>
      <c r="E292" t="s">
        <v>489</v>
      </c>
      <c r="F292">
        <v>995997</v>
      </c>
      <c r="G292">
        <v>42899.75</v>
      </c>
      <c r="H292">
        <f t="shared" si="4"/>
        <v>497998.5</v>
      </c>
    </row>
    <row r="293" spans="1:8">
      <c r="A293">
        <v>292</v>
      </c>
      <c r="B293" s="331">
        <v>46203.868055555555</v>
      </c>
      <c r="C293" t="s">
        <v>1108</v>
      </c>
      <c r="D293" t="s">
        <v>1108</v>
      </c>
      <c r="E293" t="s">
        <v>489</v>
      </c>
      <c r="F293">
        <v>1735829</v>
      </c>
      <c r="H293">
        <f t="shared" si="4"/>
        <v>867914.5</v>
      </c>
    </row>
    <row r="294" spans="1:8">
      <c r="A294">
        <v>293</v>
      </c>
      <c r="B294" s="331">
        <v>46203.868055555555</v>
      </c>
      <c r="C294" t="s">
        <v>71</v>
      </c>
      <c r="D294" t="s">
        <v>71</v>
      </c>
      <c r="E294" t="s">
        <v>489</v>
      </c>
      <c r="F294">
        <v>2947804</v>
      </c>
      <c r="G294">
        <v>116187.08</v>
      </c>
      <c r="H294">
        <f t="shared" si="4"/>
        <v>1473902</v>
      </c>
    </row>
    <row r="295" spans="1:8">
      <c r="A295">
        <v>294</v>
      </c>
      <c r="B295" s="331">
        <v>46203.868055555555</v>
      </c>
      <c r="C295" t="s">
        <v>67</v>
      </c>
      <c r="D295" t="s">
        <v>67</v>
      </c>
      <c r="E295" t="s">
        <v>489</v>
      </c>
      <c r="F295">
        <v>2019962</v>
      </c>
      <c r="G295">
        <v>80404.73</v>
      </c>
      <c r="H295">
        <f t="shared" si="4"/>
        <v>1009981</v>
      </c>
    </row>
    <row r="296" spans="1:8">
      <c r="A296">
        <v>295</v>
      </c>
      <c r="B296" s="331">
        <v>46203.868055555555</v>
      </c>
      <c r="C296" t="s">
        <v>410</v>
      </c>
      <c r="D296" t="s">
        <v>410</v>
      </c>
      <c r="E296" t="s">
        <v>489</v>
      </c>
      <c r="F296">
        <v>1927545</v>
      </c>
      <c r="H296">
        <f t="shared" si="4"/>
        <v>963772.5</v>
      </c>
    </row>
    <row r="297" spans="1:8">
      <c r="A297">
        <v>296</v>
      </c>
      <c r="B297" s="331">
        <v>46203.868055555555</v>
      </c>
      <c r="C297" t="s">
        <v>277</v>
      </c>
      <c r="D297" t="s">
        <v>277</v>
      </c>
      <c r="E297" t="s">
        <v>489</v>
      </c>
      <c r="F297">
        <v>2825369</v>
      </c>
      <c r="G297">
        <v>109046.58</v>
      </c>
      <c r="H297">
        <f t="shared" si="4"/>
        <v>1412684.5</v>
      </c>
    </row>
    <row r="298" spans="1:8">
      <c r="A298">
        <v>297</v>
      </c>
      <c r="B298" s="331">
        <v>46203.868055555555</v>
      </c>
      <c r="C298" t="s">
        <v>80</v>
      </c>
      <c r="D298" t="s">
        <v>80</v>
      </c>
      <c r="E298" t="s">
        <v>489</v>
      </c>
      <c r="F298">
        <v>1114268</v>
      </c>
      <c r="G298">
        <v>53404.06</v>
      </c>
      <c r="H298">
        <f t="shared" si="4"/>
        <v>557134</v>
      </c>
    </row>
    <row r="299" spans="1:8">
      <c r="A299">
        <v>298</v>
      </c>
      <c r="B299" s="331">
        <v>46203.868055555555</v>
      </c>
      <c r="C299" t="s">
        <v>426</v>
      </c>
      <c r="D299" t="s">
        <v>426</v>
      </c>
      <c r="E299" t="s">
        <v>489</v>
      </c>
      <c r="F299">
        <v>447622</v>
      </c>
      <c r="H299">
        <f t="shared" si="4"/>
        <v>223811</v>
      </c>
    </row>
    <row r="300" spans="1:8">
      <c r="A300">
        <v>299</v>
      </c>
      <c r="B300" s="331">
        <v>46203.868055555555</v>
      </c>
      <c r="C300" t="s">
        <v>446</v>
      </c>
      <c r="D300" t="s">
        <v>446</v>
      </c>
      <c r="E300" t="s">
        <v>489</v>
      </c>
      <c r="F300">
        <v>2891432</v>
      </c>
      <c r="H300">
        <f t="shared" si="4"/>
        <v>1445716</v>
      </c>
    </row>
    <row r="301" spans="1:8">
      <c r="A301">
        <v>300</v>
      </c>
      <c r="B301" s="331">
        <v>46203.868055555555</v>
      </c>
      <c r="C301" t="s">
        <v>89</v>
      </c>
      <c r="D301" t="s">
        <v>89</v>
      </c>
      <c r="E301" t="s">
        <v>489</v>
      </c>
      <c r="F301">
        <v>1080046</v>
      </c>
      <c r="G301">
        <v>43315</v>
      </c>
      <c r="H301">
        <f t="shared" si="4"/>
        <v>540023</v>
      </c>
    </row>
    <row r="302" spans="1:8">
      <c r="A302">
        <v>301</v>
      </c>
      <c r="B302" s="331">
        <v>46203.868055555555</v>
      </c>
      <c r="C302" t="s">
        <v>452</v>
      </c>
      <c r="D302" t="s">
        <v>452</v>
      </c>
      <c r="E302" t="s">
        <v>372</v>
      </c>
      <c r="F302">
        <v>2507441</v>
      </c>
      <c r="G302">
        <v>116994.2</v>
      </c>
      <c r="H302">
        <f t="shared" si="4"/>
        <v>1253720.5</v>
      </c>
    </row>
    <row r="303" spans="1:8">
      <c r="A303">
        <v>302</v>
      </c>
      <c r="B303" s="331">
        <v>46203.868055555555</v>
      </c>
      <c r="C303" t="s">
        <v>360</v>
      </c>
      <c r="D303" t="s">
        <v>360</v>
      </c>
      <c r="E303" t="s">
        <v>372</v>
      </c>
      <c r="F303">
        <v>773354</v>
      </c>
      <c r="G303">
        <v>37946.910000000003</v>
      </c>
      <c r="H303">
        <f t="shared" si="4"/>
        <v>386677</v>
      </c>
    </row>
    <row r="304" spans="1:8">
      <c r="A304">
        <v>303</v>
      </c>
      <c r="B304" s="331">
        <v>46203.868055555555</v>
      </c>
      <c r="C304" t="s">
        <v>497</v>
      </c>
      <c r="D304" t="s">
        <v>497</v>
      </c>
      <c r="E304" t="s">
        <v>372</v>
      </c>
      <c r="F304">
        <v>1716030</v>
      </c>
      <c r="G304">
        <v>73187.350000000006</v>
      </c>
      <c r="H304">
        <f t="shared" si="4"/>
        <v>858015</v>
      </c>
    </row>
    <row r="305" spans="1:8">
      <c r="A305">
        <v>304</v>
      </c>
      <c r="B305" s="331">
        <v>46203.868055555555</v>
      </c>
      <c r="C305" t="s">
        <v>67</v>
      </c>
      <c r="D305" t="s">
        <v>67</v>
      </c>
      <c r="E305" t="s">
        <v>489</v>
      </c>
      <c r="F305">
        <v>2019944</v>
      </c>
      <c r="G305">
        <v>80412.03</v>
      </c>
      <c r="H305">
        <f t="shared" si="4"/>
        <v>1009972</v>
      </c>
    </row>
    <row r="306" spans="1:8">
      <c r="A306">
        <v>305</v>
      </c>
      <c r="B306" s="331">
        <v>46203.868055555555</v>
      </c>
      <c r="C306" t="s">
        <v>445</v>
      </c>
      <c r="D306" t="s">
        <v>445</v>
      </c>
      <c r="E306" t="s">
        <v>489</v>
      </c>
      <c r="F306">
        <v>2927923</v>
      </c>
      <c r="H306">
        <f t="shared" si="4"/>
        <v>1463961.5</v>
      </c>
    </row>
    <row r="307" spans="1:8">
      <c r="A307">
        <v>306</v>
      </c>
      <c r="B307" s="331">
        <v>46203.868055555555</v>
      </c>
      <c r="C307" t="s">
        <v>83</v>
      </c>
      <c r="D307" t="s">
        <v>83</v>
      </c>
      <c r="E307" t="s">
        <v>489</v>
      </c>
      <c r="F307">
        <v>2082639</v>
      </c>
      <c r="G307">
        <v>96541.69</v>
      </c>
      <c r="H307">
        <f t="shared" si="4"/>
        <v>1041319.5</v>
      </c>
    </row>
    <row r="308" spans="1:8">
      <c r="A308">
        <v>307</v>
      </c>
      <c r="B308" s="331">
        <v>46203.868055555555</v>
      </c>
      <c r="C308" t="s">
        <v>80</v>
      </c>
      <c r="D308" t="s">
        <v>80</v>
      </c>
      <c r="E308" t="s">
        <v>489</v>
      </c>
      <c r="F308">
        <v>1114608</v>
      </c>
      <c r="G308">
        <v>53280.72</v>
      </c>
      <c r="H308">
        <f t="shared" si="4"/>
        <v>557304</v>
      </c>
    </row>
    <row r="309" spans="1:8">
      <c r="A309">
        <v>308</v>
      </c>
      <c r="B309" s="331">
        <v>46203.868055555555</v>
      </c>
      <c r="C309" t="s">
        <v>328</v>
      </c>
      <c r="D309" t="s">
        <v>328</v>
      </c>
      <c r="E309" t="s">
        <v>489</v>
      </c>
      <c r="F309">
        <v>3417932</v>
      </c>
      <c r="G309">
        <v>133550.79999999999</v>
      </c>
      <c r="H309">
        <f t="shared" si="4"/>
        <v>1708966</v>
      </c>
    </row>
    <row r="310" spans="1:8">
      <c r="A310">
        <v>309</v>
      </c>
      <c r="B310" s="331">
        <v>46203.868055555555</v>
      </c>
      <c r="C310" t="s">
        <v>1108</v>
      </c>
      <c r="D310" t="s">
        <v>1108</v>
      </c>
      <c r="E310" t="s">
        <v>489</v>
      </c>
      <c r="F310">
        <v>1736015</v>
      </c>
      <c r="H310">
        <f t="shared" si="4"/>
        <v>868007.5</v>
      </c>
    </row>
    <row r="311" spans="1:8">
      <c r="A311">
        <v>310</v>
      </c>
      <c r="B311" s="331">
        <v>46203.868055555555</v>
      </c>
      <c r="C311" t="s">
        <v>87</v>
      </c>
      <c r="D311" t="s">
        <v>87</v>
      </c>
      <c r="E311" t="s">
        <v>489</v>
      </c>
      <c r="F311">
        <v>333752</v>
      </c>
      <c r="G311">
        <v>1167.4000000000001</v>
      </c>
      <c r="H311">
        <f t="shared" si="4"/>
        <v>166876</v>
      </c>
    </row>
    <row r="312" spans="1:8">
      <c r="A312">
        <v>311</v>
      </c>
      <c r="B312" s="331">
        <v>46203.868055555555</v>
      </c>
      <c r="C312" t="s">
        <v>1110</v>
      </c>
      <c r="D312" t="s">
        <v>1110</v>
      </c>
      <c r="E312" t="s">
        <v>489</v>
      </c>
      <c r="F312">
        <v>3018684</v>
      </c>
      <c r="H312">
        <f t="shared" si="4"/>
        <v>1509342</v>
      </c>
    </row>
    <row r="313" spans="1:8">
      <c r="A313">
        <v>312</v>
      </c>
      <c r="B313" s="331">
        <v>46203.868055555555</v>
      </c>
      <c r="C313" t="s">
        <v>980</v>
      </c>
      <c r="D313" t="s">
        <v>980</v>
      </c>
      <c r="E313" t="s">
        <v>489</v>
      </c>
      <c r="F313">
        <v>1731963</v>
      </c>
      <c r="H313">
        <f t="shared" si="4"/>
        <v>865981.5</v>
      </c>
    </row>
    <row r="314" spans="1:8">
      <c r="A314">
        <v>313</v>
      </c>
      <c r="B314" s="331">
        <v>46203.868055555555</v>
      </c>
      <c r="C314" t="s">
        <v>278</v>
      </c>
      <c r="D314" t="s">
        <v>278</v>
      </c>
      <c r="E314" t="s">
        <v>489</v>
      </c>
      <c r="F314">
        <v>2974543</v>
      </c>
      <c r="G314">
        <v>117410.63</v>
      </c>
      <c r="H314">
        <f t="shared" si="4"/>
        <v>1487271.5</v>
      </c>
    </row>
    <row r="315" spans="1:8">
      <c r="A315">
        <v>314</v>
      </c>
      <c r="B315" s="331">
        <v>46203.868055555555</v>
      </c>
      <c r="C315" t="s">
        <v>64</v>
      </c>
      <c r="D315" t="s">
        <v>64</v>
      </c>
      <c r="E315" t="s">
        <v>489</v>
      </c>
      <c r="F315">
        <v>2010753</v>
      </c>
      <c r="G315">
        <v>79929.710000000006</v>
      </c>
      <c r="H315">
        <f t="shared" si="4"/>
        <v>1005376.5</v>
      </c>
    </row>
    <row r="316" spans="1:8">
      <c r="A316">
        <v>315</v>
      </c>
      <c r="B316" s="331">
        <v>46203.868055555555</v>
      </c>
      <c r="C316" t="s">
        <v>93</v>
      </c>
      <c r="D316" t="s">
        <v>93</v>
      </c>
      <c r="E316" t="s">
        <v>489</v>
      </c>
      <c r="F316">
        <v>2325575</v>
      </c>
      <c r="G316">
        <v>92063.92</v>
      </c>
      <c r="H316">
        <f t="shared" si="4"/>
        <v>1162787.5</v>
      </c>
    </row>
    <row r="317" spans="1:8">
      <c r="A317">
        <v>316</v>
      </c>
      <c r="B317" s="331">
        <v>46203.868055555555</v>
      </c>
      <c r="C317" t="s">
        <v>89</v>
      </c>
      <c r="D317" t="s">
        <v>89</v>
      </c>
      <c r="E317" t="s">
        <v>489</v>
      </c>
      <c r="F317">
        <v>1080390</v>
      </c>
      <c r="G317">
        <v>43088.85</v>
      </c>
      <c r="H317">
        <f t="shared" si="4"/>
        <v>540195</v>
      </c>
    </row>
    <row r="318" spans="1:8">
      <c r="A318">
        <v>317</v>
      </c>
      <c r="B318" s="331">
        <v>46203.868055555555</v>
      </c>
      <c r="C318" t="s">
        <v>75</v>
      </c>
      <c r="D318" t="s">
        <v>75</v>
      </c>
      <c r="E318" t="s">
        <v>489</v>
      </c>
      <c r="F318">
        <v>899062</v>
      </c>
      <c r="G318">
        <v>42797.38</v>
      </c>
      <c r="H318">
        <f t="shared" si="4"/>
        <v>449531</v>
      </c>
    </row>
    <row r="319" spans="1:8">
      <c r="A319">
        <v>318</v>
      </c>
      <c r="B319" s="331">
        <v>46203.868055555555</v>
      </c>
      <c r="C319" t="s">
        <v>426</v>
      </c>
      <c r="D319" t="s">
        <v>426</v>
      </c>
      <c r="E319" t="s">
        <v>489</v>
      </c>
      <c r="F319">
        <v>447849</v>
      </c>
      <c r="H319">
        <f t="shared" si="4"/>
        <v>223924.5</v>
      </c>
    </row>
    <row r="320" spans="1:8">
      <c r="A320">
        <v>319</v>
      </c>
      <c r="B320" s="331">
        <v>46203.868055555555</v>
      </c>
      <c r="C320" t="s">
        <v>976</v>
      </c>
      <c r="D320" t="s">
        <v>976</v>
      </c>
      <c r="E320" t="s">
        <v>489</v>
      </c>
      <c r="F320">
        <v>1658159</v>
      </c>
      <c r="H320">
        <f t="shared" si="4"/>
        <v>829079.5</v>
      </c>
    </row>
    <row r="321" spans="1:8">
      <c r="A321">
        <v>320</v>
      </c>
      <c r="B321" s="331">
        <v>46203.868055555555</v>
      </c>
      <c r="C321" t="s">
        <v>1109</v>
      </c>
      <c r="D321" t="s">
        <v>1109</v>
      </c>
      <c r="E321" t="s">
        <v>489</v>
      </c>
      <c r="F321">
        <v>2872236</v>
      </c>
      <c r="H321">
        <f t="shared" si="4"/>
        <v>1436118</v>
      </c>
    </row>
    <row r="322" spans="1:8">
      <c r="A322">
        <v>321</v>
      </c>
      <c r="B322" s="331">
        <v>46203.868055555555</v>
      </c>
      <c r="C322" t="s">
        <v>277</v>
      </c>
      <c r="D322" t="s">
        <v>277</v>
      </c>
      <c r="E322" t="s">
        <v>489</v>
      </c>
      <c r="F322">
        <v>2825922</v>
      </c>
      <c r="G322">
        <v>108534.9</v>
      </c>
      <c r="H322">
        <f t="shared" si="4"/>
        <v>1412961</v>
      </c>
    </row>
    <row r="323" spans="1:8">
      <c r="A323">
        <v>322</v>
      </c>
      <c r="B323" s="331">
        <v>46203.868055555555</v>
      </c>
      <c r="C323" t="s">
        <v>91</v>
      </c>
      <c r="D323" t="s">
        <v>91</v>
      </c>
      <c r="E323" t="s">
        <v>489</v>
      </c>
      <c r="F323">
        <v>2208914</v>
      </c>
      <c r="G323">
        <v>89038.64</v>
      </c>
      <c r="H323">
        <f t="shared" ref="H323:H386" si="5">0.5*F323</f>
        <v>1104457</v>
      </c>
    </row>
    <row r="324" spans="1:8">
      <c r="A324">
        <v>323</v>
      </c>
      <c r="B324" s="331">
        <v>46203.868055555555</v>
      </c>
      <c r="C324" t="s">
        <v>86</v>
      </c>
      <c r="D324" t="s">
        <v>86</v>
      </c>
      <c r="E324" t="s">
        <v>489</v>
      </c>
      <c r="F324">
        <v>998484</v>
      </c>
      <c r="G324">
        <v>43075.42</v>
      </c>
      <c r="H324">
        <f t="shared" si="5"/>
        <v>499242</v>
      </c>
    </row>
    <row r="325" spans="1:8">
      <c r="A325">
        <v>324</v>
      </c>
      <c r="B325" s="331">
        <v>46203.868055555555</v>
      </c>
      <c r="C325" t="s">
        <v>408</v>
      </c>
      <c r="D325" t="s">
        <v>408</v>
      </c>
      <c r="E325" t="s">
        <v>489</v>
      </c>
      <c r="F325">
        <v>1960642</v>
      </c>
      <c r="H325">
        <f t="shared" si="5"/>
        <v>980321</v>
      </c>
    </row>
    <row r="326" spans="1:8">
      <c r="A326">
        <v>325</v>
      </c>
      <c r="B326" s="331">
        <v>46203.868055555555</v>
      </c>
      <c r="C326" t="s">
        <v>71</v>
      </c>
      <c r="D326" t="s">
        <v>71</v>
      </c>
      <c r="E326" t="s">
        <v>489</v>
      </c>
      <c r="F326">
        <v>2948088</v>
      </c>
      <c r="G326">
        <v>114811.1</v>
      </c>
      <c r="H326">
        <f t="shared" si="5"/>
        <v>1474044</v>
      </c>
    </row>
    <row r="327" spans="1:8">
      <c r="A327">
        <v>326</v>
      </c>
      <c r="B327" s="331">
        <v>46203.868055555555</v>
      </c>
      <c r="C327" t="s">
        <v>63</v>
      </c>
      <c r="D327" t="s">
        <v>63</v>
      </c>
      <c r="E327" t="s">
        <v>489</v>
      </c>
      <c r="F327">
        <v>919575</v>
      </c>
      <c r="G327">
        <v>35319.71</v>
      </c>
      <c r="H327">
        <f t="shared" si="5"/>
        <v>459787.5</v>
      </c>
    </row>
    <row r="328" spans="1:8">
      <c r="A328">
        <v>327</v>
      </c>
      <c r="B328" s="331">
        <v>46203.868055555555</v>
      </c>
      <c r="C328" t="s">
        <v>410</v>
      </c>
      <c r="D328" t="s">
        <v>410</v>
      </c>
      <c r="E328" t="s">
        <v>489</v>
      </c>
      <c r="F328">
        <v>1928015</v>
      </c>
      <c r="H328">
        <f t="shared" si="5"/>
        <v>964007.5</v>
      </c>
    </row>
    <row r="329" spans="1:8">
      <c r="A329">
        <v>328</v>
      </c>
      <c r="B329" s="331">
        <v>46203.864583333336</v>
      </c>
      <c r="C329" t="s">
        <v>359</v>
      </c>
      <c r="D329" t="s">
        <v>359</v>
      </c>
      <c r="E329" t="s">
        <v>372</v>
      </c>
      <c r="F329">
        <v>897121</v>
      </c>
      <c r="G329">
        <v>44834.9</v>
      </c>
      <c r="H329">
        <f t="shared" si="5"/>
        <v>448560.5</v>
      </c>
    </row>
    <row r="330" spans="1:8">
      <c r="A330">
        <v>329</v>
      </c>
      <c r="B330" s="331">
        <v>46203.864583333336</v>
      </c>
      <c r="C330" t="s">
        <v>452</v>
      </c>
      <c r="D330" t="s">
        <v>452</v>
      </c>
      <c r="E330" t="s">
        <v>372</v>
      </c>
      <c r="F330">
        <v>2508589</v>
      </c>
      <c r="G330">
        <v>118234.95</v>
      </c>
      <c r="H330">
        <f t="shared" si="5"/>
        <v>1254294.5</v>
      </c>
    </row>
    <row r="331" spans="1:8">
      <c r="A331">
        <v>330</v>
      </c>
      <c r="B331" s="331">
        <v>46203.864583333336</v>
      </c>
      <c r="C331" t="s">
        <v>492</v>
      </c>
      <c r="D331" t="s">
        <v>492</v>
      </c>
      <c r="E331" t="s">
        <v>372</v>
      </c>
      <c r="F331">
        <v>2289953</v>
      </c>
      <c r="G331">
        <v>96158.39</v>
      </c>
      <c r="H331">
        <f t="shared" si="5"/>
        <v>1144976.5</v>
      </c>
    </row>
    <row r="332" spans="1:8">
      <c r="A332">
        <v>331</v>
      </c>
      <c r="B332" s="331">
        <v>46203.864583333336</v>
      </c>
      <c r="C332" t="s">
        <v>882</v>
      </c>
      <c r="D332" t="s">
        <v>882</v>
      </c>
      <c r="E332" t="s">
        <v>372</v>
      </c>
      <c r="F332">
        <v>890700</v>
      </c>
      <c r="G332">
        <v>44823.6</v>
      </c>
      <c r="H332">
        <f t="shared" si="5"/>
        <v>445350</v>
      </c>
    </row>
    <row r="333" spans="1:8">
      <c r="A333">
        <v>332</v>
      </c>
      <c r="B333" s="331">
        <v>46203.864583333336</v>
      </c>
      <c r="C333" t="s">
        <v>453</v>
      </c>
      <c r="D333" t="s">
        <v>453</v>
      </c>
      <c r="E333" t="s">
        <v>372</v>
      </c>
      <c r="F333">
        <v>2526868</v>
      </c>
      <c r="G333">
        <v>117582.93</v>
      </c>
      <c r="H333">
        <f t="shared" si="5"/>
        <v>1263434</v>
      </c>
    </row>
    <row r="334" spans="1:8">
      <c r="A334">
        <v>333</v>
      </c>
      <c r="B334" s="331">
        <v>46203.864583333336</v>
      </c>
      <c r="C334" t="s">
        <v>451</v>
      </c>
      <c r="D334" t="s">
        <v>451</v>
      </c>
      <c r="E334" t="s">
        <v>372</v>
      </c>
      <c r="F334">
        <v>2502606</v>
      </c>
      <c r="G334">
        <v>116662.24</v>
      </c>
      <c r="H334">
        <f t="shared" si="5"/>
        <v>1251303</v>
      </c>
    </row>
    <row r="335" spans="1:8">
      <c r="A335">
        <v>334</v>
      </c>
      <c r="B335" s="331">
        <v>46203.864583333336</v>
      </c>
      <c r="C335" t="s">
        <v>887</v>
      </c>
      <c r="D335" t="s">
        <v>887</v>
      </c>
      <c r="E335" t="s">
        <v>372</v>
      </c>
      <c r="F335">
        <v>890824</v>
      </c>
      <c r="G335">
        <v>43720.97</v>
      </c>
      <c r="H335">
        <f t="shared" si="5"/>
        <v>445412</v>
      </c>
    </row>
    <row r="336" spans="1:8">
      <c r="A336">
        <v>335</v>
      </c>
      <c r="B336" s="331">
        <v>46203.864583333336</v>
      </c>
      <c r="C336" t="s">
        <v>889</v>
      </c>
      <c r="D336" t="s">
        <v>889</v>
      </c>
      <c r="E336" t="s">
        <v>372</v>
      </c>
      <c r="F336">
        <v>1006706</v>
      </c>
      <c r="G336">
        <v>45793.67</v>
      </c>
      <c r="H336">
        <f t="shared" si="5"/>
        <v>503353</v>
      </c>
    </row>
    <row r="337" spans="1:8">
      <c r="A337">
        <v>336</v>
      </c>
      <c r="B337" s="331">
        <v>46203.864583333336</v>
      </c>
      <c r="C337" t="s">
        <v>497</v>
      </c>
      <c r="D337" t="s">
        <v>497</v>
      </c>
      <c r="E337" t="s">
        <v>372</v>
      </c>
      <c r="F337">
        <v>1716160</v>
      </c>
      <c r="G337">
        <v>72374.91</v>
      </c>
      <c r="H337">
        <f t="shared" si="5"/>
        <v>858080</v>
      </c>
    </row>
    <row r="338" spans="1:8">
      <c r="A338">
        <v>337</v>
      </c>
      <c r="B338" s="331">
        <v>46203.864583333336</v>
      </c>
      <c r="C338" t="s">
        <v>360</v>
      </c>
      <c r="D338" t="s">
        <v>360</v>
      </c>
      <c r="E338" t="s">
        <v>372</v>
      </c>
      <c r="F338">
        <v>773636</v>
      </c>
      <c r="G338">
        <v>38302.449999999997</v>
      </c>
      <c r="H338">
        <f t="shared" si="5"/>
        <v>386818</v>
      </c>
    </row>
    <row r="339" spans="1:8">
      <c r="A339">
        <v>338</v>
      </c>
      <c r="B339" s="331">
        <v>46203.864583333336</v>
      </c>
      <c r="C339" t="s">
        <v>67</v>
      </c>
      <c r="D339" t="s">
        <v>67</v>
      </c>
      <c r="E339" t="s">
        <v>489</v>
      </c>
      <c r="F339">
        <v>2019801</v>
      </c>
      <c r="G339">
        <v>79497.2</v>
      </c>
      <c r="H339">
        <f t="shared" si="5"/>
        <v>1009900.5</v>
      </c>
    </row>
    <row r="340" spans="1:8">
      <c r="A340">
        <v>339</v>
      </c>
      <c r="B340" s="331">
        <v>46203.864583333336</v>
      </c>
      <c r="C340" t="s">
        <v>63</v>
      </c>
      <c r="D340" t="s">
        <v>63</v>
      </c>
      <c r="E340" t="s">
        <v>489</v>
      </c>
      <c r="F340">
        <v>919685</v>
      </c>
      <c r="G340">
        <v>35318.129999999997</v>
      </c>
      <c r="H340">
        <f t="shared" si="5"/>
        <v>459842.5</v>
      </c>
    </row>
    <row r="341" spans="1:8">
      <c r="A341">
        <v>340</v>
      </c>
      <c r="B341" s="331">
        <v>46203.864583333336</v>
      </c>
      <c r="C341" t="s">
        <v>87</v>
      </c>
      <c r="D341" t="s">
        <v>87</v>
      </c>
      <c r="E341" t="s">
        <v>489</v>
      </c>
      <c r="F341">
        <v>333919</v>
      </c>
      <c r="G341">
        <v>1217.96</v>
      </c>
      <c r="H341">
        <f t="shared" si="5"/>
        <v>166959.5</v>
      </c>
    </row>
    <row r="342" spans="1:8">
      <c r="A342">
        <v>341</v>
      </c>
      <c r="B342" s="331">
        <v>46203.864583333336</v>
      </c>
      <c r="C342" t="s">
        <v>89</v>
      </c>
      <c r="D342" t="s">
        <v>89</v>
      </c>
      <c r="E342" t="s">
        <v>489</v>
      </c>
      <c r="F342">
        <v>1080611</v>
      </c>
      <c r="G342">
        <v>43330.58</v>
      </c>
      <c r="H342">
        <f t="shared" si="5"/>
        <v>540305.5</v>
      </c>
    </row>
    <row r="343" spans="1:8">
      <c r="A343">
        <v>342</v>
      </c>
      <c r="B343" s="331">
        <v>46203.864583333336</v>
      </c>
      <c r="C343" t="s">
        <v>64</v>
      </c>
      <c r="D343" t="s">
        <v>64</v>
      </c>
      <c r="E343" t="s">
        <v>489</v>
      </c>
      <c r="F343">
        <v>2011023</v>
      </c>
      <c r="G343">
        <v>79854.559999999998</v>
      </c>
      <c r="H343">
        <f t="shared" si="5"/>
        <v>1005511.5</v>
      </c>
    </row>
    <row r="344" spans="1:8">
      <c r="A344">
        <v>343</v>
      </c>
      <c r="B344" s="331">
        <v>46203.864583333336</v>
      </c>
      <c r="C344" t="s">
        <v>90</v>
      </c>
      <c r="D344" t="s">
        <v>90</v>
      </c>
      <c r="E344" t="s">
        <v>489</v>
      </c>
      <c r="F344">
        <v>2319116</v>
      </c>
      <c r="G344">
        <v>95282.16</v>
      </c>
      <c r="H344">
        <f t="shared" si="5"/>
        <v>1159558</v>
      </c>
    </row>
    <row r="345" spans="1:8">
      <c r="A345">
        <v>344</v>
      </c>
      <c r="B345" s="331">
        <v>46203.864583333336</v>
      </c>
      <c r="C345" t="s">
        <v>80</v>
      </c>
      <c r="D345" t="s">
        <v>80</v>
      </c>
      <c r="E345" t="s">
        <v>489</v>
      </c>
      <c r="F345">
        <v>1114878</v>
      </c>
      <c r="G345">
        <v>53711.28</v>
      </c>
      <c r="H345">
        <f t="shared" si="5"/>
        <v>557439</v>
      </c>
    </row>
    <row r="346" spans="1:8">
      <c r="A346">
        <v>345</v>
      </c>
      <c r="B346" s="331">
        <v>46203.864583333336</v>
      </c>
      <c r="C346" t="s">
        <v>279</v>
      </c>
      <c r="D346" t="s">
        <v>279</v>
      </c>
      <c r="E346" t="s">
        <v>489</v>
      </c>
      <c r="F346">
        <v>2954533</v>
      </c>
      <c r="G346">
        <v>114314.28</v>
      </c>
      <c r="H346">
        <f t="shared" si="5"/>
        <v>1477266.5</v>
      </c>
    </row>
    <row r="347" spans="1:8">
      <c r="A347">
        <v>346</v>
      </c>
      <c r="B347" s="331">
        <v>46203.864583333336</v>
      </c>
      <c r="C347" t="s">
        <v>84</v>
      </c>
      <c r="D347" t="s">
        <v>84</v>
      </c>
      <c r="E347" t="s">
        <v>489</v>
      </c>
      <c r="F347">
        <v>995957</v>
      </c>
      <c r="G347">
        <v>43263.61</v>
      </c>
      <c r="H347">
        <f t="shared" si="5"/>
        <v>497978.5</v>
      </c>
    </row>
    <row r="348" spans="1:8">
      <c r="A348">
        <v>347</v>
      </c>
      <c r="B348" s="331">
        <v>46203.864583333336</v>
      </c>
      <c r="C348" t="s">
        <v>1108</v>
      </c>
      <c r="D348" t="s">
        <v>1108</v>
      </c>
      <c r="E348" t="s">
        <v>489</v>
      </c>
      <c r="F348">
        <v>1736551</v>
      </c>
      <c r="H348">
        <f t="shared" si="5"/>
        <v>868275.5</v>
      </c>
    </row>
    <row r="349" spans="1:8">
      <c r="A349">
        <v>348</v>
      </c>
      <c r="B349" s="331">
        <v>46203.864583333336</v>
      </c>
      <c r="C349" t="s">
        <v>66</v>
      </c>
      <c r="D349" t="s">
        <v>66</v>
      </c>
      <c r="E349" t="s">
        <v>489</v>
      </c>
      <c r="F349">
        <v>1763250</v>
      </c>
      <c r="G349">
        <v>69042.45</v>
      </c>
      <c r="H349">
        <f t="shared" si="5"/>
        <v>881625</v>
      </c>
    </row>
    <row r="350" spans="1:8">
      <c r="A350">
        <v>349</v>
      </c>
      <c r="B350" s="331">
        <v>46203.864583333336</v>
      </c>
      <c r="C350" t="s">
        <v>86</v>
      </c>
      <c r="D350" t="s">
        <v>86</v>
      </c>
      <c r="E350" t="s">
        <v>489</v>
      </c>
      <c r="F350">
        <v>998510</v>
      </c>
      <c r="G350">
        <v>43043.35</v>
      </c>
      <c r="H350">
        <f t="shared" si="5"/>
        <v>499255</v>
      </c>
    </row>
    <row r="351" spans="1:8">
      <c r="A351">
        <v>350</v>
      </c>
      <c r="B351" s="331">
        <v>46203.864583333336</v>
      </c>
      <c r="C351" t="s">
        <v>75</v>
      </c>
      <c r="D351" t="s">
        <v>75</v>
      </c>
      <c r="E351" t="s">
        <v>489</v>
      </c>
      <c r="F351">
        <v>899223</v>
      </c>
      <c r="G351">
        <v>42676.78</v>
      </c>
      <c r="H351">
        <f t="shared" si="5"/>
        <v>449611.5</v>
      </c>
    </row>
    <row r="352" spans="1:8">
      <c r="A352">
        <v>351</v>
      </c>
      <c r="B352" s="331">
        <v>46203.864583333336</v>
      </c>
      <c r="C352" t="s">
        <v>980</v>
      </c>
      <c r="D352" t="s">
        <v>980</v>
      </c>
      <c r="E352" t="s">
        <v>489</v>
      </c>
      <c r="F352">
        <v>1732423</v>
      </c>
      <c r="H352">
        <f t="shared" si="5"/>
        <v>866211.5</v>
      </c>
    </row>
    <row r="353" spans="1:8">
      <c r="A353">
        <v>352</v>
      </c>
      <c r="B353" s="331">
        <v>46203.864583333336</v>
      </c>
      <c r="C353" t="s">
        <v>976</v>
      </c>
      <c r="D353" t="s">
        <v>976</v>
      </c>
      <c r="E353" t="s">
        <v>489</v>
      </c>
      <c r="F353">
        <v>1658638</v>
      </c>
      <c r="H353">
        <f t="shared" si="5"/>
        <v>829319</v>
      </c>
    </row>
    <row r="354" spans="1:8">
      <c r="A354">
        <v>353</v>
      </c>
      <c r="B354" s="331">
        <v>46203.864583333336</v>
      </c>
      <c r="C354" t="s">
        <v>277</v>
      </c>
      <c r="D354" t="s">
        <v>277</v>
      </c>
      <c r="E354" t="s">
        <v>489</v>
      </c>
      <c r="F354">
        <v>2825669</v>
      </c>
      <c r="G354">
        <v>107603.61</v>
      </c>
      <c r="H354">
        <f t="shared" si="5"/>
        <v>1412834.5</v>
      </c>
    </row>
    <row r="355" spans="1:8">
      <c r="A355">
        <v>354</v>
      </c>
      <c r="B355" s="331">
        <v>46203.864583333336</v>
      </c>
      <c r="C355" t="s">
        <v>74</v>
      </c>
      <c r="D355" t="s">
        <v>74</v>
      </c>
      <c r="E355" t="s">
        <v>489</v>
      </c>
      <c r="F355">
        <v>1308459</v>
      </c>
      <c r="G355">
        <v>53056.61</v>
      </c>
      <c r="H355">
        <f t="shared" si="5"/>
        <v>654229.5</v>
      </c>
    </row>
    <row r="356" spans="1:8">
      <c r="A356">
        <v>355</v>
      </c>
      <c r="B356" s="331">
        <v>46203.864583333336</v>
      </c>
      <c r="C356" t="s">
        <v>65</v>
      </c>
      <c r="D356" t="s">
        <v>65</v>
      </c>
      <c r="E356" t="s">
        <v>489</v>
      </c>
      <c r="F356">
        <v>2011117</v>
      </c>
      <c r="G356">
        <v>79437.179999999993</v>
      </c>
      <c r="H356">
        <f t="shared" si="5"/>
        <v>1005558.5</v>
      </c>
    </row>
    <row r="357" spans="1:8">
      <c r="A357">
        <v>356</v>
      </c>
      <c r="B357" s="331">
        <v>46203.864583333336</v>
      </c>
      <c r="C357" t="s">
        <v>446</v>
      </c>
      <c r="D357" t="s">
        <v>446</v>
      </c>
      <c r="E357" t="s">
        <v>489</v>
      </c>
      <c r="F357">
        <v>2892860</v>
      </c>
      <c r="H357">
        <f t="shared" si="5"/>
        <v>1446430</v>
      </c>
    </row>
    <row r="358" spans="1:8">
      <c r="A358">
        <v>357</v>
      </c>
      <c r="B358" s="331">
        <v>46203.864583333336</v>
      </c>
      <c r="C358" t="s">
        <v>979</v>
      </c>
      <c r="D358" t="s">
        <v>979</v>
      </c>
      <c r="E358" t="s">
        <v>489</v>
      </c>
      <c r="F358">
        <v>1282574</v>
      </c>
      <c r="H358">
        <f t="shared" si="5"/>
        <v>641287</v>
      </c>
    </row>
    <row r="359" spans="1:8">
      <c r="A359">
        <v>358</v>
      </c>
      <c r="B359" s="331">
        <v>46203.864583333336</v>
      </c>
      <c r="C359" t="s">
        <v>278</v>
      </c>
      <c r="D359" t="s">
        <v>278</v>
      </c>
      <c r="E359" t="s">
        <v>489</v>
      </c>
      <c r="F359">
        <v>2974825</v>
      </c>
      <c r="G359">
        <v>116040.69</v>
      </c>
      <c r="H359">
        <f t="shared" si="5"/>
        <v>1487412.5</v>
      </c>
    </row>
    <row r="360" spans="1:8">
      <c r="A360">
        <v>359</v>
      </c>
      <c r="B360" s="331">
        <v>46203.864583333336</v>
      </c>
      <c r="C360" t="s">
        <v>445</v>
      </c>
      <c r="D360" t="s">
        <v>445</v>
      </c>
      <c r="E360" t="s">
        <v>489</v>
      </c>
      <c r="F360">
        <v>2928794</v>
      </c>
      <c r="H360">
        <f t="shared" si="5"/>
        <v>1464397</v>
      </c>
    </row>
    <row r="361" spans="1:8">
      <c r="A361">
        <v>360</v>
      </c>
      <c r="B361" s="331">
        <v>46203.864583333336</v>
      </c>
      <c r="C361" t="s">
        <v>1109</v>
      </c>
      <c r="D361" t="s">
        <v>1109</v>
      </c>
      <c r="E361" t="s">
        <v>489</v>
      </c>
      <c r="F361">
        <v>2872582</v>
      </c>
      <c r="H361">
        <f t="shared" si="5"/>
        <v>1436291</v>
      </c>
    </row>
    <row r="362" spans="1:8">
      <c r="A362">
        <v>361</v>
      </c>
      <c r="B362" s="331">
        <v>46203.864583333336</v>
      </c>
      <c r="C362" t="s">
        <v>410</v>
      </c>
      <c r="D362" t="s">
        <v>410</v>
      </c>
      <c r="E362" t="s">
        <v>489</v>
      </c>
      <c r="F362">
        <v>1928447</v>
      </c>
      <c r="H362">
        <f t="shared" si="5"/>
        <v>964223.5</v>
      </c>
    </row>
    <row r="363" spans="1:8">
      <c r="A363">
        <v>362</v>
      </c>
      <c r="B363" s="331">
        <v>46203.864583333336</v>
      </c>
      <c r="C363" t="s">
        <v>71</v>
      </c>
      <c r="D363" t="s">
        <v>71</v>
      </c>
      <c r="E363" t="s">
        <v>489</v>
      </c>
      <c r="F363">
        <v>2948361</v>
      </c>
      <c r="G363">
        <v>115161.8</v>
      </c>
      <c r="H363">
        <f t="shared" si="5"/>
        <v>1474180.5</v>
      </c>
    </row>
    <row r="364" spans="1:8">
      <c r="A364">
        <v>363</v>
      </c>
      <c r="B364" s="331">
        <v>46203.864583333336</v>
      </c>
      <c r="C364" t="s">
        <v>83</v>
      </c>
      <c r="D364" t="s">
        <v>83</v>
      </c>
      <c r="E364" t="s">
        <v>489</v>
      </c>
      <c r="F364">
        <v>2083010</v>
      </c>
      <c r="G364">
        <v>96089.36</v>
      </c>
      <c r="H364">
        <f t="shared" si="5"/>
        <v>1041505</v>
      </c>
    </row>
    <row r="365" spans="1:8">
      <c r="A365">
        <v>364</v>
      </c>
      <c r="B365" s="331">
        <v>46203.864583333336</v>
      </c>
      <c r="C365" t="s">
        <v>58</v>
      </c>
      <c r="D365" t="s">
        <v>58</v>
      </c>
      <c r="E365" t="s">
        <v>489</v>
      </c>
      <c r="F365">
        <v>826532</v>
      </c>
      <c r="G365">
        <v>34702.480000000003</v>
      </c>
      <c r="H365">
        <f t="shared" si="5"/>
        <v>413266</v>
      </c>
    </row>
    <row r="366" spans="1:8">
      <c r="A366">
        <v>365</v>
      </c>
      <c r="B366" s="331">
        <v>46203.864583333336</v>
      </c>
      <c r="C366" t="s">
        <v>328</v>
      </c>
      <c r="D366" t="s">
        <v>328</v>
      </c>
      <c r="E366" t="s">
        <v>489</v>
      </c>
      <c r="F366">
        <v>3418045</v>
      </c>
      <c r="G366">
        <v>133013.17000000001</v>
      </c>
      <c r="H366">
        <f t="shared" si="5"/>
        <v>1709022.5</v>
      </c>
    </row>
    <row r="367" spans="1:8">
      <c r="A367">
        <v>366</v>
      </c>
      <c r="B367" s="331">
        <v>46203.864583333336</v>
      </c>
      <c r="C367" t="s">
        <v>91</v>
      </c>
      <c r="D367" t="s">
        <v>91</v>
      </c>
      <c r="E367" t="s">
        <v>489</v>
      </c>
      <c r="F367">
        <v>2209236</v>
      </c>
      <c r="G367">
        <v>89049.52</v>
      </c>
      <c r="H367">
        <f t="shared" si="5"/>
        <v>1104618</v>
      </c>
    </row>
    <row r="368" spans="1:8">
      <c r="A368">
        <v>367</v>
      </c>
      <c r="B368" s="331">
        <v>46203.864583333336</v>
      </c>
      <c r="C368" t="s">
        <v>61</v>
      </c>
      <c r="D368" t="s">
        <v>61</v>
      </c>
      <c r="E368" t="s">
        <v>489</v>
      </c>
      <c r="F368">
        <v>415719</v>
      </c>
      <c r="G368">
        <v>1303.23</v>
      </c>
      <c r="H368">
        <f t="shared" si="5"/>
        <v>207859.5</v>
      </c>
    </row>
    <row r="369" spans="1:8">
      <c r="A369">
        <v>368</v>
      </c>
      <c r="B369" s="331">
        <v>46203.864583333336</v>
      </c>
      <c r="C369" t="s">
        <v>426</v>
      </c>
      <c r="D369" t="s">
        <v>426</v>
      </c>
      <c r="E369" t="s">
        <v>489</v>
      </c>
      <c r="F369">
        <v>448071</v>
      </c>
      <c r="H369">
        <f t="shared" si="5"/>
        <v>224035.5</v>
      </c>
    </row>
    <row r="370" spans="1:8">
      <c r="A370">
        <v>369</v>
      </c>
      <c r="B370" s="331">
        <v>46203.864583333336</v>
      </c>
      <c r="C370" t="s">
        <v>93</v>
      </c>
      <c r="D370" t="s">
        <v>93</v>
      </c>
      <c r="E370" t="s">
        <v>489</v>
      </c>
      <c r="F370">
        <v>2325777</v>
      </c>
      <c r="G370">
        <v>92926.23</v>
      </c>
      <c r="H370">
        <f t="shared" si="5"/>
        <v>1162888.5</v>
      </c>
    </row>
    <row r="371" spans="1:8">
      <c r="A371">
        <v>370</v>
      </c>
      <c r="B371" s="331">
        <v>46203.864583333336</v>
      </c>
      <c r="C371" t="s">
        <v>81</v>
      </c>
      <c r="D371" t="s">
        <v>81</v>
      </c>
      <c r="E371" t="s">
        <v>489</v>
      </c>
      <c r="F371">
        <v>2080781</v>
      </c>
      <c r="G371">
        <v>97603.27</v>
      </c>
      <c r="H371">
        <f t="shared" si="5"/>
        <v>1040390.5</v>
      </c>
    </row>
    <row r="372" spans="1:8">
      <c r="A372">
        <v>371</v>
      </c>
      <c r="B372" s="331">
        <v>46203.864583333336</v>
      </c>
      <c r="C372" t="s">
        <v>1107</v>
      </c>
      <c r="D372" t="s">
        <v>1107</v>
      </c>
      <c r="E372" t="s">
        <v>489</v>
      </c>
      <c r="F372">
        <v>439373</v>
      </c>
      <c r="H372">
        <f t="shared" si="5"/>
        <v>219686.5</v>
      </c>
    </row>
    <row r="373" spans="1:8">
      <c r="A373">
        <v>372</v>
      </c>
      <c r="B373" s="331">
        <v>46203.864583333336</v>
      </c>
      <c r="C373" t="s">
        <v>411</v>
      </c>
      <c r="D373" t="s">
        <v>411</v>
      </c>
      <c r="E373" t="s">
        <v>489</v>
      </c>
      <c r="F373">
        <v>2825823</v>
      </c>
      <c r="H373">
        <f t="shared" si="5"/>
        <v>1412911.5</v>
      </c>
    </row>
    <row r="374" spans="1:8">
      <c r="A374">
        <v>373</v>
      </c>
      <c r="B374" s="331">
        <v>46203.864583333336</v>
      </c>
      <c r="C374" t="s">
        <v>1110</v>
      </c>
      <c r="D374" t="s">
        <v>1110</v>
      </c>
      <c r="E374" t="s">
        <v>489</v>
      </c>
      <c r="F374">
        <v>3018794</v>
      </c>
      <c r="H374">
        <f t="shared" si="5"/>
        <v>1509397</v>
      </c>
    </row>
    <row r="375" spans="1:8">
      <c r="A375">
        <v>374</v>
      </c>
      <c r="B375" s="331">
        <v>46203.864583333336</v>
      </c>
      <c r="C375" t="s">
        <v>276</v>
      </c>
      <c r="D375" t="s">
        <v>276</v>
      </c>
      <c r="E375" t="s">
        <v>489</v>
      </c>
      <c r="F375">
        <v>2065208</v>
      </c>
      <c r="G375">
        <v>94211.86</v>
      </c>
      <c r="H375">
        <f t="shared" si="5"/>
        <v>1032604</v>
      </c>
    </row>
    <row r="376" spans="1:8">
      <c r="A376">
        <v>375</v>
      </c>
      <c r="B376" s="331">
        <v>46203.864583333336</v>
      </c>
      <c r="C376" t="s">
        <v>77</v>
      </c>
      <c r="D376" t="s">
        <v>77</v>
      </c>
      <c r="E376" t="s">
        <v>489</v>
      </c>
      <c r="F376">
        <v>891454</v>
      </c>
      <c r="G376">
        <v>41800.92</v>
      </c>
      <c r="H376">
        <f t="shared" si="5"/>
        <v>445727</v>
      </c>
    </row>
    <row r="377" spans="1:8">
      <c r="A377">
        <v>376</v>
      </c>
      <c r="B377" s="331">
        <v>46203.864583333336</v>
      </c>
      <c r="C377" t="s">
        <v>408</v>
      </c>
      <c r="D377" t="s">
        <v>408</v>
      </c>
      <c r="E377" t="s">
        <v>489</v>
      </c>
      <c r="F377">
        <v>1961050</v>
      </c>
      <c r="H377">
        <f t="shared" si="5"/>
        <v>980525</v>
      </c>
    </row>
    <row r="378" spans="1:8">
      <c r="A378">
        <v>377</v>
      </c>
      <c r="B378" s="331">
        <v>46203.864583333336</v>
      </c>
      <c r="C378" t="s">
        <v>60</v>
      </c>
      <c r="D378" t="s">
        <v>60</v>
      </c>
      <c r="E378" t="s">
        <v>489</v>
      </c>
      <c r="F378">
        <v>830903</v>
      </c>
      <c r="G378">
        <v>34925.46</v>
      </c>
      <c r="H378">
        <f t="shared" si="5"/>
        <v>415451.5</v>
      </c>
    </row>
    <row r="379" spans="1:8">
      <c r="A379">
        <v>378</v>
      </c>
      <c r="B379" s="331">
        <v>46203.864583333336</v>
      </c>
      <c r="C379" t="s">
        <v>69</v>
      </c>
      <c r="D379" t="s">
        <v>69</v>
      </c>
      <c r="E379" t="s">
        <v>489</v>
      </c>
      <c r="F379">
        <v>2959214</v>
      </c>
      <c r="G379">
        <v>114802.22</v>
      </c>
      <c r="H379">
        <f t="shared" si="5"/>
        <v>1479607</v>
      </c>
    </row>
    <row r="380" spans="1:8">
      <c r="A380">
        <v>379</v>
      </c>
      <c r="B380" s="331">
        <v>46203.864583333336</v>
      </c>
      <c r="C380" t="s">
        <v>72</v>
      </c>
      <c r="D380" t="s">
        <v>72</v>
      </c>
      <c r="E380" t="s">
        <v>489</v>
      </c>
      <c r="F380">
        <v>2972982</v>
      </c>
      <c r="G380">
        <v>116614.65</v>
      </c>
      <c r="H380">
        <f t="shared" si="5"/>
        <v>1486491</v>
      </c>
    </row>
    <row r="381" spans="1:8">
      <c r="A381">
        <v>380</v>
      </c>
      <c r="B381" s="331">
        <v>46203.864583333336</v>
      </c>
      <c r="C381" t="s">
        <v>337</v>
      </c>
      <c r="D381" t="s">
        <v>337</v>
      </c>
      <c r="E381" t="s">
        <v>489</v>
      </c>
      <c r="F381">
        <v>1309933</v>
      </c>
      <c r="G381">
        <v>51712.57</v>
      </c>
      <c r="H381">
        <f t="shared" si="5"/>
        <v>654966.5</v>
      </c>
    </row>
    <row r="382" spans="1:8">
      <c r="A382">
        <v>381</v>
      </c>
      <c r="B382" s="331">
        <v>46203.864583333336</v>
      </c>
      <c r="C382" t="s">
        <v>68</v>
      </c>
      <c r="D382" t="s">
        <v>68</v>
      </c>
      <c r="E382" t="s">
        <v>489</v>
      </c>
      <c r="F382">
        <v>1996934</v>
      </c>
      <c r="G382">
        <v>79929.039999999994</v>
      </c>
      <c r="H382">
        <f t="shared" si="5"/>
        <v>998467</v>
      </c>
    </row>
    <row r="383" spans="1:8">
      <c r="A383">
        <v>382</v>
      </c>
      <c r="B383" s="331">
        <v>46203.864583333336</v>
      </c>
      <c r="C383" t="s">
        <v>78</v>
      </c>
      <c r="D383" t="s">
        <v>78</v>
      </c>
      <c r="E383" t="s">
        <v>489</v>
      </c>
      <c r="F383">
        <v>1187088</v>
      </c>
      <c r="G383">
        <v>55730.43</v>
      </c>
      <c r="H383">
        <f t="shared" si="5"/>
        <v>593544</v>
      </c>
    </row>
    <row r="384" spans="1:8">
      <c r="A384">
        <v>383</v>
      </c>
      <c r="B384" s="331">
        <v>46203.864583333336</v>
      </c>
      <c r="C384" t="s">
        <v>886</v>
      </c>
      <c r="D384" t="s">
        <v>886</v>
      </c>
      <c r="E384" t="s">
        <v>372</v>
      </c>
      <c r="F384">
        <v>882158</v>
      </c>
      <c r="G384">
        <v>44909.57</v>
      </c>
      <c r="H384">
        <f t="shared" si="5"/>
        <v>441079</v>
      </c>
    </row>
    <row r="385" spans="1:8">
      <c r="A385">
        <v>384</v>
      </c>
      <c r="B385" s="331">
        <v>46203.864583333336</v>
      </c>
      <c r="C385" t="s">
        <v>491</v>
      </c>
      <c r="D385" t="s">
        <v>491</v>
      </c>
      <c r="E385" t="s">
        <v>372</v>
      </c>
      <c r="F385">
        <v>2504917</v>
      </c>
      <c r="G385">
        <v>116647.8</v>
      </c>
      <c r="H385">
        <f t="shared" si="5"/>
        <v>1252458.5</v>
      </c>
    </row>
    <row r="386" spans="1:8">
      <c r="A386">
        <v>385</v>
      </c>
      <c r="B386" s="331">
        <v>46203.864583333336</v>
      </c>
      <c r="C386" t="s">
        <v>361</v>
      </c>
      <c r="D386" t="s">
        <v>361</v>
      </c>
      <c r="E386" t="s">
        <v>372</v>
      </c>
      <c r="F386">
        <v>774702</v>
      </c>
      <c r="G386">
        <v>38543.33</v>
      </c>
      <c r="H386">
        <f t="shared" si="5"/>
        <v>387351</v>
      </c>
    </row>
    <row r="387" spans="1:8">
      <c r="A387">
        <v>386</v>
      </c>
      <c r="B387" s="331">
        <v>46203.864583333336</v>
      </c>
      <c r="C387" t="s">
        <v>891</v>
      </c>
      <c r="D387" t="s">
        <v>891</v>
      </c>
      <c r="E387" t="s">
        <v>372</v>
      </c>
      <c r="F387">
        <v>1010976</v>
      </c>
      <c r="G387">
        <v>46190.09</v>
      </c>
      <c r="H387">
        <f t="shared" ref="H387:H450" si="6">0.5*F387</f>
        <v>505488</v>
      </c>
    </row>
    <row r="388" spans="1:8">
      <c r="A388">
        <v>387</v>
      </c>
      <c r="B388" s="331">
        <v>46203.864583333336</v>
      </c>
      <c r="C388" t="s">
        <v>884</v>
      </c>
      <c r="D388" t="s">
        <v>884</v>
      </c>
      <c r="E388" t="s">
        <v>372</v>
      </c>
      <c r="F388">
        <v>509074</v>
      </c>
      <c r="G388">
        <v>25269.7</v>
      </c>
      <c r="H388">
        <f t="shared" si="6"/>
        <v>254537</v>
      </c>
    </row>
    <row r="389" spans="1:8">
      <c r="A389">
        <v>388</v>
      </c>
      <c r="B389" s="331">
        <v>46203.864583333336</v>
      </c>
      <c r="C389" t="s">
        <v>496</v>
      </c>
      <c r="D389" t="s">
        <v>496</v>
      </c>
      <c r="E389" t="s">
        <v>372</v>
      </c>
      <c r="F389">
        <v>1719281</v>
      </c>
      <c r="G389">
        <v>71971.509999999995</v>
      </c>
      <c r="H389">
        <f t="shared" si="6"/>
        <v>859640.5</v>
      </c>
    </row>
    <row r="390" spans="1:8">
      <c r="A390">
        <v>389</v>
      </c>
      <c r="B390" s="331">
        <v>46203.864583333336</v>
      </c>
      <c r="C390" t="s">
        <v>883</v>
      </c>
      <c r="D390" t="s">
        <v>883</v>
      </c>
      <c r="E390" t="s">
        <v>372</v>
      </c>
      <c r="F390">
        <v>504251</v>
      </c>
      <c r="G390">
        <v>24863.91</v>
      </c>
      <c r="H390">
        <f t="shared" si="6"/>
        <v>252125.5</v>
      </c>
    </row>
    <row r="391" spans="1:8">
      <c r="A391">
        <v>390</v>
      </c>
      <c r="B391" s="331">
        <v>46203.864583333336</v>
      </c>
      <c r="C391" t="s">
        <v>67</v>
      </c>
      <c r="D391" t="s">
        <v>67</v>
      </c>
      <c r="E391" t="s">
        <v>489</v>
      </c>
      <c r="F391">
        <v>2019822</v>
      </c>
      <c r="G391">
        <v>79793.09</v>
      </c>
      <c r="H391">
        <f t="shared" si="6"/>
        <v>1009911</v>
      </c>
    </row>
    <row r="392" spans="1:8">
      <c r="A392">
        <v>391</v>
      </c>
      <c r="B392" s="331">
        <v>46203.864583333336</v>
      </c>
      <c r="C392" t="s">
        <v>87</v>
      </c>
      <c r="D392" t="s">
        <v>87</v>
      </c>
      <c r="E392" t="s">
        <v>489</v>
      </c>
      <c r="F392">
        <v>334024</v>
      </c>
      <c r="G392">
        <v>1269.9100000000001</v>
      </c>
      <c r="H392">
        <f t="shared" si="6"/>
        <v>167012</v>
      </c>
    </row>
    <row r="393" spans="1:8">
      <c r="A393">
        <v>392</v>
      </c>
      <c r="B393" s="331">
        <v>46203.864583333336</v>
      </c>
      <c r="C393" t="s">
        <v>83</v>
      </c>
      <c r="D393" t="s">
        <v>83</v>
      </c>
      <c r="E393" t="s">
        <v>489</v>
      </c>
      <c r="F393">
        <v>2083096</v>
      </c>
      <c r="G393">
        <v>96958.36</v>
      </c>
      <c r="H393">
        <f t="shared" si="6"/>
        <v>1041548</v>
      </c>
    </row>
    <row r="394" spans="1:8">
      <c r="A394">
        <v>393</v>
      </c>
      <c r="B394" s="331">
        <v>46203.864583333336</v>
      </c>
      <c r="C394" t="s">
        <v>75</v>
      </c>
      <c r="D394" t="s">
        <v>75</v>
      </c>
      <c r="E394" t="s">
        <v>489</v>
      </c>
      <c r="F394">
        <v>899390</v>
      </c>
      <c r="G394">
        <v>42817.52</v>
      </c>
      <c r="H394">
        <f t="shared" si="6"/>
        <v>449695</v>
      </c>
    </row>
    <row r="395" spans="1:8">
      <c r="A395">
        <v>394</v>
      </c>
      <c r="B395" s="331">
        <v>46203.864583333336</v>
      </c>
      <c r="C395" t="s">
        <v>80</v>
      </c>
      <c r="D395" t="s">
        <v>80</v>
      </c>
      <c r="E395" t="s">
        <v>489</v>
      </c>
      <c r="F395">
        <v>1114916</v>
      </c>
      <c r="G395">
        <v>53246.62</v>
      </c>
      <c r="H395">
        <f t="shared" si="6"/>
        <v>557458</v>
      </c>
    </row>
    <row r="396" spans="1:8">
      <c r="A396">
        <v>395</v>
      </c>
      <c r="B396" s="331">
        <v>46203.864583333336</v>
      </c>
      <c r="C396" t="s">
        <v>892</v>
      </c>
      <c r="D396" t="s">
        <v>892</v>
      </c>
      <c r="E396" t="s">
        <v>372</v>
      </c>
      <c r="F396">
        <v>1008619</v>
      </c>
      <c r="G396">
        <v>45604.98</v>
      </c>
      <c r="H396">
        <f t="shared" si="6"/>
        <v>504309.5</v>
      </c>
    </row>
    <row r="397" spans="1:8">
      <c r="A397">
        <v>396</v>
      </c>
      <c r="B397" s="331">
        <v>46203.864583333336</v>
      </c>
      <c r="C397" t="s">
        <v>445</v>
      </c>
      <c r="D397" t="s">
        <v>445</v>
      </c>
      <c r="E397" t="s">
        <v>489</v>
      </c>
      <c r="F397">
        <v>2929662</v>
      </c>
      <c r="H397">
        <f t="shared" si="6"/>
        <v>1464831</v>
      </c>
    </row>
    <row r="398" spans="1:8">
      <c r="A398">
        <v>397</v>
      </c>
      <c r="B398" s="331">
        <v>46203.864583333336</v>
      </c>
      <c r="C398" t="s">
        <v>979</v>
      </c>
      <c r="D398" t="s">
        <v>979</v>
      </c>
      <c r="E398" t="s">
        <v>489</v>
      </c>
      <c r="F398">
        <v>1282973</v>
      </c>
      <c r="H398">
        <f t="shared" si="6"/>
        <v>641486.5</v>
      </c>
    </row>
    <row r="399" spans="1:8">
      <c r="A399">
        <v>398</v>
      </c>
      <c r="B399" s="331">
        <v>46203.864583333336</v>
      </c>
      <c r="C399" t="s">
        <v>1109</v>
      </c>
      <c r="D399" t="s">
        <v>1109</v>
      </c>
      <c r="E399" t="s">
        <v>489</v>
      </c>
      <c r="F399">
        <v>2873246</v>
      </c>
      <c r="H399">
        <f t="shared" si="6"/>
        <v>1436623</v>
      </c>
    </row>
    <row r="400" spans="1:8">
      <c r="A400">
        <v>399</v>
      </c>
      <c r="B400" s="331">
        <v>46203.864583333336</v>
      </c>
      <c r="C400" t="s">
        <v>69</v>
      </c>
      <c r="D400" t="s">
        <v>69</v>
      </c>
      <c r="E400" t="s">
        <v>489</v>
      </c>
      <c r="F400">
        <v>2959585</v>
      </c>
      <c r="G400">
        <v>114793.56</v>
      </c>
      <c r="H400">
        <f t="shared" si="6"/>
        <v>1479792.5</v>
      </c>
    </row>
    <row r="401" spans="1:8">
      <c r="A401">
        <v>400</v>
      </c>
      <c r="B401" s="331">
        <v>46203.864583333336</v>
      </c>
      <c r="C401" t="s">
        <v>1107</v>
      </c>
      <c r="D401" t="s">
        <v>1107</v>
      </c>
      <c r="E401" t="s">
        <v>489</v>
      </c>
      <c r="F401">
        <v>439424</v>
      </c>
      <c r="H401">
        <f t="shared" si="6"/>
        <v>219712</v>
      </c>
    </row>
    <row r="402" spans="1:8">
      <c r="A402">
        <v>401</v>
      </c>
      <c r="B402" s="331">
        <v>46203.864583333336</v>
      </c>
      <c r="C402" t="s">
        <v>328</v>
      </c>
      <c r="D402" t="s">
        <v>328</v>
      </c>
      <c r="E402" t="s">
        <v>489</v>
      </c>
      <c r="F402">
        <v>3418373</v>
      </c>
      <c r="G402">
        <v>133511.6</v>
      </c>
      <c r="H402">
        <f t="shared" si="6"/>
        <v>1709186.5</v>
      </c>
    </row>
    <row r="403" spans="1:8">
      <c r="A403">
        <v>402</v>
      </c>
      <c r="B403" s="331">
        <v>46203.864583333336</v>
      </c>
      <c r="C403" t="s">
        <v>976</v>
      </c>
      <c r="D403" t="s">
        <v>976</v>
      </c>
      <c r="E403" t="s">
        <v>489</v>
      </c>
      <c r="F403">
        <v>1659161</v>
      </c>
      <c r="H403">
        <f t="shared" si="6"/>
        <v>829580.5</v>
      </c>
    </row>
    <row r="404" spans="1:8">
      <c r="A404">
        <v>403</v>
      </c>
      <c r="B404" s="331">
        <v>46203.864583333336</v>
      </c>
      <c r="C404" t="s">
        <v>72</v>
      </c>
      <c r="D404" t="s">
        <v>72</v>
      </c>
      <c r="E404" t="s">
        <v>489</v>
      </c>
      <c r="F404">
        <v>2973067</v>
      </c>
      <c r="G404">
        <v>115905.22</v>
      </c>
      <c r="H404">
        <f t="shared" si="6"/>
        <v>1486533.5</v>
      </c>
    </row>
    <row r="405" spans="1:8">
      <c r="A405">
        <v>404</v>
      </c>
      <c r="B405" s="331">
        <v>46203.864583333336</v>
      </c>
      <c r="C405" t="s">
        <v>61</v>
      </c>
      <c r="D405" t="s">
        <v>61</v>
      </c>
      <c r="E405" t="s">
        <v>489</v>
      </c>
      <c r="F405">
        <v>415639</v>
      </c>
      <c r="G405">
        <v>1262.73</v>
      </c>
      <c r="H405">
        <f t="shared" si="6"/>
        <v>207819.5</v>
      </c>
    </row>
    <row r="406" spans="1:8">
      <c r="A406">
        <v>405</v>
      </c>
      <c r="B406" s="331">
        <v>46203.864583333336</v>
      </c>
      <c r="C406" t="s">
        <v>86</v>
      </c>
      <c r="D406" t="s">
        <v>86</v>
      </c>
      <c r="E406" t="s">
        <v>489</v>
      </c>
      <c r="F406">
        <v>998630</v>
      </c>
      <c r="G406">
        <v>43669.81</v>
      </c>
      <c r="H406">
        <f t="shared" si="6"/>
        <v>499315</v>
      </c>
    </row>
    <row r="407" spans="1:8">
      <c r="A407">
        <v>406</v>
      </c>
      <c r="B407" s="331">
        <v>46203.864583333336</v>
      </c>
      <c r="C407" t="s">
        <v>278</v>
      </c>
      <c r="D407" t="s">
        <v>278</v>
      </c>
      <c r="E407" t="s">
        <v>489</v>
      </c>
      <c r="F407">
        <v>2974446</v>
      </c>
      <c r="G407">
        <v>116272.62</v>
      </c>
      <c r="H407">
        <f t="shared" si="6"/>
        <v>1487223</v>
      </c>
    </row>
    <row r="408" spans="1:8">
      <c r="A408">
        <v>407</v>
      </c>
      <c r="B408" s="331">
        <v>46203.864583333336</v>
      </c>
      <c r="C408" t="s">
        <v>1110</v>
      </c>
      <c r="D408" t="s">
        <v>1110</v>
      </c>
      <c r="E408" t="s">
        <v>489</v>
      </c>
      <c r="F408">
        <v>3019441</v>
      </c>
      <c r="H408">
        <f t="shared" si="6"/>
        <v>1509720.5</v>
      </c>
    </row>
    <row r="409" spans="1:8">
      <c r="A409">
        <v>408</v>
      </c>
      <c r="B409" s="331">
        <v>46203.864583333336</v>
      </c>
      <c r="C409" t="s">
        <v>277</v>
      </c>
      <c r="D409" t="s">
        <v>277</v>
      </c>
      <c r="E409" t="s">
        <v>489</v>
      </c>
      <c r="F409">
        <v>2825614</v>
      </c>
      <c r="G409">
        <v>107091.83</v>
      </c>
      <c r="H409">
        <f t="shared" si="6"/>
        <v>1412807</v>
      </c>
    </row>
    <row r="410" spans="1:8">
      <c r="A410">
        <v>409</v>
      </c>
      <c r="B410" s="331">
        <v>46203.864583333336</v>
      </c>
      <c r="C410" t="s">
        <v>64</v>
      </c>
      <c r="D410" t="s">
        <v>64</v>
      </c>
      <c r="E410" t="s">
        <v>489</v>
      </c>
      <c r="F410">
        <v>2010816</v>
      </c>
      <c r="G410">
        <v>79936.429999999993</v>
      </c>
      <c r="H410">
        <f t="shared" si="6"/>
        <v>1005408</v>
      </c>
    </row>
    <row r="411" spans="1:8">
      <c r="A411">
        <v>410</v>
      </c>
      <c r="B411" s="331">
        <v>46203.864583333336</v>
      </c>
      <c r="C411" t="s">
        <v>89</v>
      </c>
      <c r="D411" t="s">
        <v>89</v>
      </c>
      <c r="E411" t="s">
        <v>489</v>
      </c>
      <c r="F411">
        <v>1080639</v>
      </c>
      <c r="G411">
        <v>43092.69</v>
      </c>
      <c r="H411">
        <f t="shared" si="6"/>
        <v>540319.5</v>
      </c>
    </row>
    <row r="412" spans="1:8">
      <c r="A412">
        <v>411</v>
      </c>
      <c r="B412" s="331">
        <v>46203.864583333336</v>
      </c>
      <c r="C412" t="s">
        <v>1108</v>
      </c>
      <c r="D412" t="s">
        <v>1108</v>
      </c>
      <c r="E412" t="s">
        <v>489</v>
      </c>
      <c r="F412">
        <v>1736745</v>
      </c>
      <c r="H412">
        <f t="shared" si="6"/>
        <v>868372.5</v>
      </c>
    </row>
    <row r="413" spans="1:8">
      <c r="A413">
        <v>412</v>
      </c>
      <c r="B413" s="331">
        <v>46203.864583333336</v>
      </c>
      <c r="C413" t="s">
        <v>980</v>
      </c>
      <c r="D413" t="s">
        <v>980</v>
      </c>
      <c r="E413" t="s">
        <v>489</v>
      </c>
      <c r="F413">
        <v>1732509</v>
      </c>
      <c r="H413">
        <f t="shared" si="6"/>
        <v>866254.5</v>
      </c>
    </row>
    <row r="414" spans="1:8">
      <c r="A414">
        <v>413</v>
      </c>
      <c r="B414" s="331">
        <v>46203.864583333336</v>
      </c>
      <c r="C414" t="s">
        <v>93</v>
      </c>
      <c r="D414" t="s">
        <v>93</v>
      </c>
      <c r="E414" t="s">
        <v>489</v>
      </c>
      <c r="F414">
        <v>2326175</v>
      </c>
      <c r="G414">
        <v>93668.43</v>
      </c>
      <c r="H414">
        <f t="shared" si="6"/>
        <v>1163087.5</v>
      </c>
    </row>
    <row r="415" spans="1:8">
      <c r="A415">
        <v>414</v>
      </c>
      <c r="B415" s="331">
        <v>46203.864583333336</v>
      </c>
      <c r="C415" t="s">
        <v>411</v>
      </c>
      <c r="D415" t="s">
        <v>411</v>
      </c>
      <c r="E415" t="s">
        <v>489</v>
      </c>
      <c r="F415">
        <v>2826372</v>
      </c>
      <c r="H415">
        <f t="shared" si="6"/>
        <v>1413186</v>
      </c>
    </row>
    <row r="416" spans="1:8">
      <c r="A416">
        <v>415</v>
      </c>
      <c r="B416" s="331">
        <v>46203.864583333336</v>
      </c>
      <c r="C416" t="s">
        <v>63</v>
      </c>
      <c r="D416" t="s">
        <v>63</v>
      </c>
      <c r="E416" t="s">
        <v>489</v>
      </c>
      <c r="F416">
        <v>919629</v>
      </c>
      <c r="G416">
        <v>34776.35</v>
      </c>
      <c r="H416">
        <f t="shared" si="6"/>
        <v>459814.5</v>
      </c>
    </row>
    <row r="417" spans="1:8">
      <c r="A417">
        <v>416</v>
      </c>
      <c r="B417" s="331">
        <v>46203.864583333336</v>
      </c>
      <c r="C417" t="s">
        <v>58</v>
      </c>
      <c r="D417" t="s">
        <v>58</v>
      </c>
      <c r="E417" t="s">
        <v>489</v>
      </c>
      <c r="F417">
        <v>826431</v>
      </c>
      <c r="G417">
        <v>34475.93</v>
      </c>
      <c r="H417">
        <f t="shared" si="6"/>
        <v>413215.5</v>
      </c>
    </row>
    <row r="418" spans="1:8">
      <c r="A418">
        <v>417</v>
      </c>
      <c r="B418" s="331">
        <v>46203.864583333336</v>
      </c>
      <c r="C418" t="s">
        <v>60</v>
      </c>
      <c r="D418" t="s">
        <v>60</v>
      </c>
      <c r="E418" t="s">
        <v>489</v>
      </c>
      <c r="F418">
        <v>831073</v>
      </c>
      <c r="G418">
        <v>34960.800000000003</v>
      </c>
      <c r="H418">
        <f t="shared" si="6"/>
        <v>415536.5</v>
      </c>
    </row>
    <row r="419" spans="1:8">
      <c r="A419">
        <v>418</v>
      </c>
      <c r="B419" s="331">
        <v>46203.864583333336</v>
      </c>
      <c r="C419" t="s">
        <v>426</v>
      </c>
      <c r="D419" t="s">
        <v>426</v>
      </c>
      <c r="E419" t="s">
        <v>489</v>
      </c>
      <c r="F419">
        <v>448062</v>
      </c>
      <c r="H419">
        <f t="shared" si="6"/>
        <v>224031</v>
      </c>
    </row>
    <row r="420" spans="1:8">
      <c r="A420">
        <v>419</v>
      </c>
      <c r="B420" s="331">
        <v>46203.864583333336</v>
      </c>
      <c r="C420" t="s">
        <v>71</v>
      </c>
      <c r="D420" t="s">
        <v>71</v>
      </c>
      <c r="E420" t="s">
        <v>489</v>
      </c>
      <c r="F420">
        <v>2948718</v>
      </c>
      <c r="G420">
        <v>113848.89</v>
      </c>
      <c r="H420">
        <f t="shared" si="6"/>
        <v>1474359</v>
      </c>
    </row>
    <row r="421" spans="1:8">
      <c r="A421">
        <v>420</v>
      </c>
      <c r="B421" s="331">
        <v>46203.864583333336</v>
      </c>
      <c r="C421" t="s">
        <v>337</v>
      </c>
      <c r="D421" t="s">
        <v>337</v>
      </c>
      <c r="E421" t="s">
        <v>489</v>
      </c>
      <c r="F421">
        <v>1310292</v>
      </c>
      <c r="G421">
        <v>51637.34</v>
      </c>
      <c r="H421">
        <f t="shared" si="6"/>
        <v>655146</v>
      </c>
    </row>
    <row r="422" spans="1:8">
      <c r="A422">
        <v>421</v>
      </c>
      <c r="B422" s="331">
        <v>46203.864583333336</v>
      </c>
      <c r="C422" t="s">
        <v>446</v>
      </c>
      <c r="D422" t="s">
        <v>446</v>
      </c>
      <c r="E422" t="s">
        <v>489</v>
      </c>
      <c r="F422">
        <v>2893332</v>
      </c>
      <c r="H422">
        <f t="shared" si="6"/>
        <v>1446666</v>
      </c>
    </row>
    <row r="423" spans="1:8">
      <c r="A423">
        <v>422</v>
      </c>
      <c r="B423" s="331">
        <v>46203.864583333336</v>
      </c>
      <c r="C423" t="s">
        <v>279</v>
      </c>
      <c r="D423" t="s">
        <v>279</v>
      </c>
      <c r="E423" t="s">
        <v>489</v>
      </c>
      <c r="F423">
        <v>2954953</v>
      </c>
      <c r="G423">
        <v>112579.53</v>
      </c>
      <c r="H423">
        <f t="shared" si="6"/>
        <v>1477476.5</v>
      </c>
    </row>
    <row r="424" spans="1:8">
      <c r="A424">
        <v>423</v>
      </c>
      <c r="B424" s="331">
        <v>46203.864583333336</v>
      </c>
      <c r="C424" t="s">
        <v>408</v>
      </c>
      <c r="D424" t="s">
        <v>408</v>
      </c>
      <c r="E424" t="s">
        <v>489</v>
      </c>
      <c r="F424">
        <v>1961530</v>
      </c>
      <c r="H424">
        <f t="shared" si="6"/>
        <v>980765</v>
      </c>
    </row>
    <row r="425" spans="1:8">
      <c r="A425">
        <v>424</v>
      </c>
      <c r="B425" s="331">
        <v>46203.864583333336</v>
      </c>
      <c r="C425" t="s">
        <v>77</v>
      </c>
      <c r="D425" t="s">
        <v>77</v>
      </c>
      <c r="E425" t="s">
        <v>489</v>
      </c>
      <c r="F425">
        <v>891460</v>
      </c>
      <c r="G425">
        <v>41784.19</v>
      </c>
      <c r="H425">
        <f t="shared" si="6"/>
        <v>445730</v>
      </c>
    </row>
    <row r="426" spans="1:8">
      <c r="A426">
        <v>425</v>
      </c>
      <c r="B426" s="331">
        <v>46203.864583333336</v>
      </c>
      <c r="C426" t="s">
        <v>91</v>
      </c>
      <c r="D426" t="s">
        <v>91</v>
      </c>
      <c r="E426" t="s">
        <v>489</v>
      </c>
      <c r="F426">
        <v>2209308</v>
      </c>
      <c r="G426">
        <v>89038.82</v>
      </c>
      <c r="H426">
        <f t="shared" si="6"/>
        <v>1104654</v>
      </c>
    </row>
    <row r="427" spans="1:8">
      <c r="A427">
        <v>426</v>
      </c>
      <c r="B427" s="331">
        <v>46203.864583333336</v>
      </c>
      <c r="C427" t="s">
        <v>81</v>
      </c>
      <c r="D427" t="s">
        <v>81</v>
      </c>
      <c r="E427" t="s">
        <v>489</v>
      </c>
      <c r="F427">
        <v>2080990</v>
      </c>
      <c r="G427">
        <v>97011</v>
      </c>
      <c r="H427">
        <f t="shared" si="6"/>
        <v>1040495</v>
      </c>
    </row>
    <row r="428" spans="1:8">
      <c r="A428">
        <v>427</v>
      </c>
      <c r="B428" s="331">
        <v>46203.864583333336</v>
      </c>
      <c r="C428" t="s">
        <v>74</v>
      </c>
      <c r="D428" t="s">
        <v>74</v>
      </c>
      <c r="E428" t="s">
        <v>489</v>
      </c>
      <c r="F428">
        <v>1308626</v>
      </c>
      <c r="G428">
        <v>52576.49</v>
      </c>
      <c r="H428">
        <f t="shared" si="6"/>
        <v>654313</v>
      </c>
    </row>
    <row r="429" spans="1:8">
      <c r="A429">
        <v>428</v>
      </c>
      <c r="B429" s="331">
        <v>46203.864583333336</v>
      </c>
      <c r="C429" t="s">
        <v>78</v>
      </c>
      <c r="D429" t="s">
        <v>78</v>
      </c>
      <c r="E429" t="s">
        <v>489</v>
      </c>
      <c r="F429">
        <v>1187132</v>
      </c>
      <c r="G429">
        <v>55982.18</v>
      </c>
      <c r="H429">
        <f t="shared" si="6"/>
        <v>593566</v>
      </c>
    </row>
    <row r="430" spans="1:8">
      <c r="A430">
        <v>429</v>
      </c>
      <c r="B430" s="331">
        <v>46203.864583333336</v>
      </c>
      <c r="C430" t="s">
        <v>410</v>
      </c>
      <c r="D430" t="s">
        <v>410</v>
      </c>
      <c r="E430" t="s">
        <v>489</v>
      </c>
      <c r="F430">
        <v>1928626</v>
      </c>
      <c r="H430">
        <f t="shared" si="6"/>
        <v>964313</v>
      </c>
    </row>
    <row r="431" spans="1:8">
      <c r="A431">
        <v>430</v>
      </c>
      <c r="B431" s="331">
        <v>46203.864583333336</v>
      </c>
      <c r="C431" t="s">
        <v>66</v>
      </c>
      <c r="D431" t="s">
        <v>66</v>
      </c>
      <c r="E431" t="s">
        <v>489</v>
      </c>
      <c r="F431">
        <v>1763429</v>
      </c>
      <c r="G431">
        <v>69455.360000000001</v>
      </c>
      <c r="H431">
        <f t="shared" si="6"/>
        <v>881714.5</v>
      </c>
    </row>
    <row r="432" spans="1:8">
      <c r="A432">
        <v>431</v>
      </c>
      <c r="B432" s="331">
        <v>46203.864583333336</v>
      </c>
      <c r="C432" t="s">
        <v>84</v>
      </c>
      <c r="D432" t="s">
        <v>84</v>
      </c>
      <c r="E432" t="s">
        <v>489</v>
      </c>
      <c r="F432">
        <v>996037</v>
      </c>
      <c r="G432">
        <v>42503.72</v>
      </c>
      <c r="H432">
        <f t="shared" si="6"/>
        <v>498018.5</v>
      </c>
    </row>
    <row r="433" spans="1:8">
      <c r="A433">
        <v>432</v>
      </c>
      <c r="B433" s="331">
        <v>46203.864583333336</v>
      </c>
      <c r="C433" t="s">
        <v>68</v>
      </c>
      <c r="D433" t="s">
        <v>68</v>
      </c>
      <c r="E433" t="s">
        <v>489</v>
      </c>
      <c r="F433">
        <v>1996755</v>
      </c>
      <c r="G433">
        <v>79203.94</v>
      </c>
      <c r="H433">
        <f t="shared" si="6"/>
        <v>998377.5</v>
      </c>
    </row>
    <row r="434" spans="1:8">
      <c r="A434">
        <v>433</v>
      </c>
      <c r="B434" s="331">
        <v>46203.864583333336</v>
      </c>
      <c r="C434" t="s">
        <v>276</v>
      </c>
      <c r="D434" t="s">
        <v>276</v>
      </c>
      <c r="E434" t="s">
        <v>489</v>
      </c>
      <c r="F434">
        <v>2065627</v>
      </c>
      <c r="G434">
        <v>94310.1</v>
      </c>
      <c r="H434">
        <f t="shared" si="6"/>
        <v>1032813.5</v>
      </c>
    </row>
    <row r="435" spans="1:8">
      <c r="A435">
        <v>434</v>
      </c>
      <c r="B435" s="331">
        <v>46203.864583333336</v>
      </c>
      <c r="C435" t="s">
        <v>65</v>
      </c>
      <c r="D435" t="s">
        <v>65</v>
      </c>
      <c r="E435" t="s">
        <v>489</v>
      </c>
      <c r="F435">
        <v>2011232</v>
      </c>
      <c r="G435">
        <v>79306.58</v>
      </c>
      <c r="H435">
        <f t="shared" si="6"/>
        <v>1005616</v>
      </c>
    </row>
    <row r="436" spans="1:8">
      <c r="A436">
        <v>435</v>
      </c>
      <c r="B436" s="331">
        <v>46203.864583333336</v>
      </c>
      <c r="C436" t="s">
        <v>90</v>
      </c>
      <c r="D436" t="s">
        <v>90</v>
      </c>
      <c r="E436" t="s">
        <v>489</v>
      </c>
      <c r="F436">
        <v>2319592</v>
      </c>
      <c r="G436">
        <v>95292.06</v>
      </c>
      <c r="H436">
        <f t="shared" si="6"/>
        <v>1159796</v>
      </c>
    </row>
    <row r="437" spans="1:8">
      <c r="A437">
        <v>436</v>
      </c>
      <c r="B437" s="331">
        <v>46203.864583333336</v>
      </c>
      <c r="C437" t="s">
        <v>498</v>
      </c>
      <c r="D437" t="s">
        <v>498</v>
      </c>
      <c r="E437" t="s">
        <v>372</v>
      </c>
      <c r="F437">
        <v>2292919</v>
      </c>
      <c r="G437">
        <v>96340.800000000003</v>
      </c>
      <c r="H437">
        <f t="shared" si="6"/>
        <v>1146459.5</v>
      </c>
    </row>
    <row r="438" spans="1:8">
      <c r="A438">
        <v>437</v>
      </c>
      <c r="B438" s="331">
        <v>46203.861111111109</v>
      </c>
      <c r="C438" t="s">
        <v>67</v>
      </c>
      <c r="D438" t="s">
        <v>67</v>
      </c>
      <c r="E438" t="s">
        <v>489</v>
      </c>
      <c r="F438">
        <v>2020056</v>
      </c>
      <c r="G438">
        <v>79891.539999999994</v>
      </c>
      <c r="H438">
        <f t="shared" si="6"/>
        <v>1010028</v>
      </c>
    </row>
    <row r="439" spans="1:8">
      <c r="A439">
        <v>438</v>
      </c>
      <c r="B439" s="331">
        <v>46203.861111111109</v>
      </c>
      <c r="C439" t="s">
        <v>979</v>
      </c>
      <c r="D439" t="s">
        <v>979</v>
      </c>
      <c r="E439" t="s">
        <v>489</v>
      </c>
      <c r="F439">
        <v>1283145</v>
      </c>
      <c r="H439">
        <f t="shared" si="6"/>
        <v>641572.5</v>
      </c>
    </row>
    <row r="440" spans="1:8">
      <c r="A440">
        <v>439</v>
      </c>
      <c r="B440" s="331">
        <v>46203.861111111109</v>
      </c>
      <c r="C440" t="s">
        <v>279</v>
      </c>
      <c r="D440" t="s">
        <v>279</v>
      </c>
      <c r="E440" t="s">
        <v>489</v>
      </c>
      <c r="F440">
        <v>2955198</v>
      </c>
      <c r="G440">
        <v>113121.3</v>
      </c>
      <c r="H440">
        <f t="shared" si="6"/>
        <v>1477599</v>
      </c>
    </row>
    <row r="441" spans="1:8">
      <c r="A441">
        <v>440</v>
      </c>
      <c r="B441" s="331">
        <v>46203.861111111109</v>
      </c>
      <c r="C441" t="s">
        <v>66</v>
      </c>
      <c r="D441" t="s">
        <v>66</v>
      </c>
      <c r="E441" t="s">
        <v>489</v>
      </c>
      <c r="F441">
        <v>1763272</v>
      </c>
      <c r="G441">
        <v>69568.2</v>
      </c>
      <c r="H441">
        <f t="shared" si="6"/>
        <v>881636</v>
      </c>
    </row>
    <row r="442" spans="1:8">
      <c r="A442">
        <v>441</v>
      </c>
      <c r="B442" s="331">
        <v>46203.861111111109</v>
      </c>
      <c r="C442" t="s">
        <v>61</v>
      </c>
      <c r="D442" t="s">
        <v>61</v>
      </c>
      <c r="E442" t="s">
        <v>489</v>
      </c>
      <c r="F442">
        <v>415704</v>
      </c>
      <c r="G442">
        <v>1359.21</v>
      </c>
      <c r="H442">
        <f t="shared" si="6"/>
        <v>207852</v>
      </c>
    </row>
    <row r="443" spans="1:8">
      <c r="A443">
        <v>442</v>
      </c>
      <c r="B443" s="331">
        <v>46203.861111111109</v>
      </c>
      <c r="C443" t="s">
        <v>328</v>
      </c>
      <c r="D443" t="s">
        <v>328</v>
      </c>
      <c r="E443" t="s">
        <v>489</v>
      </c>
      <c r="F443">
        <v>3418722</v>
      </c>
      <c r="G443">
        <v>134171.70000000001</v>
      </c>
      <c r="H443">
        <f t="shared" si="6"/>
        <v>1709361</v>
      </c>
    </row>
    <row r="444" spans="1:8">
      <c r="A444">
        <v>443</v>
      </c>
      <c r="B444" s="331">
        <v>46203.861111111109</v>
      </c>
      <c r="C444" t="s">
        <v>1110</v>
      </c>
      <c r="D444" t="s">
        <v>1110</v>
      </c>
      <c r="E444" t="s">
        <v>489</v>
      </c>
      <c r="F444">
        <v>3019735</v>
      </c>
      <c r="H444">
        <f t="shared" si="6"/>
        <v>1509867.5</v>
      </c>
    </row>
    <row r="445" spans="1:8">
      <c r="A445">
        <v>444</v>
      </c>
      <c r="B445" s="331">
        <v>46203.861111111109</v>
      </c>
      <c r="C445" t="s">
        <v>64</v>
      </c>
      <c r="D445" t="s">
        <v>64</v>
      </c>
      <c r="E445" t="s">
        <v>489</v>
      </c>
      <c r="F445">
        <v>2010891</v>
      </c>
      <c r="G445">
        <v>79655.820000000007</v>
      </c>
      <c r="H445">
        <f t="shared" si="6"/>
        <v>1005445.5</v>
      </c>
    </row>
    <row r="446" spans="1:8">
      <c r="A446">
        <v>445</v>
      </c>
      <c r="B446" s="331">
        <v>46203.861111111109</v>
      </c>
      <c r="C446" t="s">
        <v>411</v>
      </c>
      <c r="D446" t="s">
        <v>411</v>
      </c>
      <c r="E446" t="s">
        <v>489</v>
      </c>
      <c r="F446">
        <v>2826719</v>
      </c>
      <c r="H446">
        <f t="shared" si="6"/>
        <v>1413359.5</v>
      </c>
    </row>
    <row r="447" spans="1:8">
      <c r="A447">
        <v>446</v>
      </c>
      <c r="B447" s="331">
        <v>46203.861111111109</v>
      </c>
      <c r="C447" t="s">
        <v>89</v>
      </c>
      <c r="D447" t="s">
        <v>89</v>
      </c>
      <c r="E447" t="s">
        <v>489</v>
      </c>
      <c r="F447">
        <v>1080858</v>
      </c>
      <c r="G447">
        <v>43516.5</v>
      </c>
      <c r="H447">
        <f t="shared" si="6"/>
        <v>540429</v>
      </c>
    </row>
    <row r="448" spans="1:8">
      <c r="A448">
        <v>447</v>
      </c>
      <c r="B448" s="331">
        <v>46203.861111111109</v>
      </c>
      <c r="C448" t="s">
        <v>93</v>
      </c>
      <c r="D448" t="s">
        <v>93</v>
      </c>
      <c r="E448" t="s">
        <v>489</v>
      </c>
      <c r="F448">
        <v>2326278</v>
      </c>
      <c r="G448">
        <v>92600.56</v>
      </c>
      <c r="H448">
        <f t="shared" si="6"/>
        <v>1163139</v>
      </c>
    </row>
    <row r="449" spans="1:8">
      <c r="A449">
        <v>448</v>
      </c>
      <c r="B449" s="331">
        <v>46203.861111111109</v>
      </c>
      <c r="C449" t="s">
        <v>445</v>
      </c>
      <c r="D449" t="s">
        <v>445</v>
      </c>
      <c r="E449" t="s">
        <v>489</v>
      </c>
      <c r="F449">
        <v>2930080</v>
      </c>
      <c r="H449">
        <f t="shared" si="6"/>
        <v>1465040</v>
      </c>
    </row>
    <row r="450" spans="1:8">
      <c r="A450">
        <v>449</v>
      </c>
      <c r="B450" s="331">
        <v>46203.861111111109</v>
      </c>
      <c r="C450" t="s">
        <v>426</v>
      </c>
      <c r="D450" t="s">
        <v>426</v>
      </c>
      <c r="E450" t="s">
        <v>489</v>
      </c>
      <c r="F450">
        <v>448239</v>
      </c>
      <c r="H450">
        <f t="shared" si="6"/>
        <v>224119.5</v>
      </c>
    </row>
    <row r="451" spans="1:8">
      <c r="A451">
        <v>450</v>
      </c>
      <c r="B451" s="331">
        <v>46203.861111111109</v>
      </c>
      <c r="C451" t="s">
        <v>72</v>
      </c>
      <c r="D451" t="s">
        <v>72</v>
      </c>
      <c r="E451" t="s">
        <v>489</v>
      </c>
      <c r="F451">
        <v>2972740</v>
      </c>
      <c r="G451">
        <v>115088.53</v>
      </c>
      <c r="H451">
        <f t="shared" ref="H451:H514" si="7">0.5*F451</f>
        <v>1486370</v>
      </c>
    </row>
    <row r="452" spans="1:8">
      <c r="A452">
        <v>451</v>
      </c>
      <c r="B452" s="331">
        <v>46203.861111111109</v>
      </c>
      <c r="C452" t="s">
        <v>278</v>
      </c>
      <c r="D452" t="s">
        <v>278</v>
      </c>
      <c r="E452" t="s">
        <v>489</v>
      </c>
      <c r="F452">
        <v>2974663</v>
      </c>
      <c r="G452">
        <v>115879.66</v>
      </c>
      <c r="H452">
        <f t="shared" si="7"/>
        <v>1487331.5</v>
      </c>
    </row>
    <row r="453" spans="1:8">
      <c r="A453">
        <v>452</v>
      </c>
      <c r="B453" s="331">
        <v>46203.861111111109</v>
      </c>
      <c r="C453" t="s">
        <v>80</v>
      </c>
      <c r="D453" t="s">
        <v>80</v>
      </c>
      <c r="E453" t="s">
        <v>489</v>
      </c>
      <c r="F453">
        <v>1114994</v>
      </c>
      <c r="G453">
        <v>53461.15</v>
      </c>
      <c r="H453">
        <f t="shared" si="7"/>
        <v>557497</v>
      </c>
    </row>
    <row r="454" spans="1:8">
      <c r="A454">
        <v>453</v>
      </c>
      <c r="B454" s="331">
        <v>46203.861111111109</v>
      </c>
      <c r="C454" t="s">
        <v>83</v>
      </c>
      <c r="D454" t="s">
        <v>83</v>
      </c>
      <c r="E454" t="s">
        <v>489</v>
      </c>
      <c r="F454">
        <v>2083287</v>
      </c>
      <c r="G454">
        <v>96499.5</v>
      </c>
      <c r="H454">
        <f t="shared" si="7"/>
        <v>1041643.5</v>
      </c>
    </row>
    <row r="455" spans="1:8">
      <c r="A455">
        <v>454</v>
      </c>
      <c r="B455" s="331">
        <v>46203.861111111109</v>
      </c>
      <c r="C455" t="s">
        <v>1108</v>
      </c>
      <c r="D455" t="s">
        <v>1108</v>
      </c>
      <c r="E455" t="s">
        <v>489</v>
      </c>
      <c r="F455">
        <v>1737139</v>
      </c>
      <c r="H455">
        <f t="shared" si="7"/>
        <v>868569.5</v>
      </c>
    </row>
    <row r="456" spans="1:8">
      <c r="A456">
        <v>455</v>
      </c>
      <c r="B456" s="331">
        <v>46203.861111111109</v>
      </c>
      <c r="C456" t="s">
        <v>1109</v>
      </c>
      <c r="D456" t="s">
        <v>1109</v>
      </c>
      <c r="E456" t="s">
        <v>489</v>
      </c>
      <c r="F456">
        <v>2873556</v>
      </c>
      <c r="H456">
        <f t="shared" si="7"/>
        <v>1436778</v>
      </c>
    </row>
    <row r="457" spans="1:8">
      <c r="A457">
        <v>456</v>
      </c>
      <c r="B457" s="331">
        <v>46203.861111111109</v>
      </c>
      <c r="C457" t="s">
        <v>84</v>
      </c>
      <c r="D457" t="s">
        <v>84</v>
      </c>
      <c r="E457" t="s">
        <v>489</v>
      </c>
      <c r="F457">
        <v>996112</v>
      </c>
      <c r="G457">
        <v>43189.98</v>
      </c>
      <c r="H457">
        <f t="shared" si="7"/>
        <v>498056</v>
      </c>
    </row>
    <row r="458" spans="1:8">
      <c r="A458">
        <v>457</v>
      </c>
      <c r="B458" s="331">
        <v>46203.861111111109</v>
      </c>
      <c r="C458" t="s">
        <v>976</v>
      </c>
      <c r="D458" t="s">
        <v>976</v>
      </c>
      <c r="E458" t="s">
        <v>489</v>
      </c>
      <c r="F458">
        <v>1659712</v>
      </c>
      <c r="H458">
        <f t="shared" si="7"/>
        <v>829856</v>
      </c>
    </row>
    <row r="459" spans="1:8">
      <c r="A459">
        <v>458</v>
      </c>
      <c r="B459" s="331">
        <v>46203.861111111109</v>
      </c>
      <c r="C459" t="s">
        <v>1107</v>
      </c>
      <c r="D459" t="s">
        <v>1107</v>
      </c>
      <c r="E459" t="s">
        <v>489</v>
      </c>
      <c r="F459">
        <v>439376</v>
      </c>
      <c r="H459">
        <f t="shared" si="7"/>
        <v>219688</v>
      </c>
    </row>
    <row r="460" spans="1:8">
      <c r="A460">
        <v>459</v>
      </c>
      <c r="B460" s="331">
        <v>46203.861111111109</v>
      </c>
      <c r="C460" t="s">
        <v>446</v>
      </c>
      <c r="D460" t="s">
        <v>446</v>
      </c>
      <c r="E460" t="s">
        <v>489</v>
      </c>
      <c r="F460">
        <v>2893881</v>
      </c>
      <c r="H460">
        <f t="shared" si="7"/>
        <v>1446940.5</v>
      </c>
    </row>
    <row r="461" spans="1:8">
      <c r="A461">
        <v>460</v>
      </c>
      <c r="B461" s="331">
        <v>46203.861111111109</v>
      </c>
      <c r="C461" t="s">
        <v>75</v>
      </c>
      <c r="D461" t="s">
        <v>75</v>
      </c>
      <c r="E461" t="s">
        <v>489</v>
      </c>
      <c r="F461">
        <v>899470</v>
      </c>
      <c r="G461">
        <v>42992.31</v>
      </c>
      <c r="H461">
        <f t="shared" si="7"/>
        <v>449735</v>
      </c>
    </row>
    <row r="462" spans="1:8">
      <c r="A462">
        <v>461</v>
      </c>
      <c r="B462" s="331">
        <v>46203.861111111109</v>
      </c>
      <c r="C462" t="s">
        <v>63</v>
      </c>
      <c r="D462" t="s">
        <v>63</v>
      </c>
      <c r="E462" t="s">
        <v>489</v>
      </c>
      <c r="F462">
        <v>919738</v>
      </c>
      <c r="G462">
        <v>35022.49</v>
      </c>
      <c r="H462">
        <f t="shared" si="7"/>
        <v>459869</v>
      </c>
    </row>
    <row r="463" spans="1:8">
      <c r="A463">
        <v>462</v>
      </c>
      <c r="B463" s="331">
        <v>46203.861111111109</v>
      </c>
      <c r="C463" t="s">
        <v>78</v>
      </c>
      <c r="D463" t="s">
        <v>78</v>
      </c>
      <c r="E463" t="s">
        <v>489</v>
      </c>
      <c r="F463">
        <v>1187486</v>
      </c>
      <c r="G463">
        <v>56301.52</v>
      </c>
      <c r="H463">
        <f t="shared" si="7"/>
        <v>593743</v>
      </c>
    </row>
    <row r="464" spans="1:8">
      <c r="A464">
        <v>463</v>
      </c>
      <c r="B464" s="331">
        <v>46203.861111111109</v>
      </c>
      <c r="C464" t="s">
        <v>410</v>
      </c>
      <c r="D464" t="s">
        <v>410</v>
      </c>
      <c r="E464" t="s">
        <v>489</v>
      </c>
      <c r="F464">
        <v>1928939</v>
      </c>
      <c r="H464">
        <f t="shared" si="7"/>
        <v>964469.5</v>
      </c>
    </row>
    <row r="465" spans="1:8">
      <c r="A465">
        <v>464</v>
      </c>
      <c r="B465" s="331">
        <v>46203.861111111109</v>
      </c>
      <c r="C465" t="s">
        <v>74</v>
      </c>
      <c r="D465" t="s">
        <v>74</v>
      </c>
      <c r="E465" t="s">
        <v>489</v>
      </c>
      <c r="F465">
        <v>1308810</v>
      </c>
      <c r="G465">
        <v>53193.54</v>
      </c>
      <c r="H465">
        <f t="shared" si="7"/>
        <v>654405</v>
      </c>
    </row>
    <row r="466" spans="1:8">
      <c r="A466">
        <v>465</v>
      </c>
      <c r="B466" s="331">
        <v>46203.861111111109</v>
      </c>
      <c r="C466" t="s">
        <v>91</v>
      </c>
      <c r="D466" t="s">
        <v>91</v>
      </c>
      <c r="E466" t="s">
        <v>489</v>
      </c>
      <c r="F466">
        <v>2209614</v>
      </c>
      <c r="G466">
        <v>89774.11</v>
      </c>
      <c r="H466">
        <f t="shared" si="7"/>
        <v>1104807</v>
      </c>
    </row>
    <row r="467" spans="1:8">
      <c r="A467">
        <v>466</v>
      </c>
      <c r="B467" s="331">
        <v>46203.861111111109</v>
      </c>
      <c r="C467" t="s">
        <v>408</v>
      </c>
      <c r="D467" t="s">
        <v>408</v>
      </c>
      <c r="E467" t="s">
        <v>489</v>
      </c>
      <c r="F467">
        <v>1961469</v>
      </c>
      <c r="H467">
        <f t="shared" si="7"/>
        <v>980734.5</v>
      </c>
    </row>
    <row r="468" spans="1:8">
      <c r="A468">
        <v>467</v>
      </c>
      <c r="B468" s="331">
        <v>46203.861111111109</v>
      </c>
      <c r="C468" t="s">
        <v>980</v>
      </c>
      <c r="D468" t="s">
        <v>980</v>
      </c>
      <c r="E468" t="s">
        <v>489</v>
      </c>
      <c r="F468">
        <v>1732955</v>
      </c>
      <c r="H468">
        <f t="shared" si="7"/>
        <v>866477.5</v>
      </c>
    </row>
    <row r="469" spans="1:8">
      <c r="A469">
        <v>468</v>
      </c>
      <c r="B469" s="331">
        <v>46203.861111111109</v>
      </c>
      <c r="C469" t="s">
        <v>60</v>
      </c>
      <c r="D469" t="s">
        <v>60</v>
      </c>
      <c r="E469" t="s">
        <v>489</v>
      </c>
      <c r="F469">
        <v>831055</v>
      </c>
      <c r="G469">
        <v>34699.040000000001</v>
      </c>
      <c r="H469">
        <f t="shared" si="7"/>
        <v>415527.5</v>
      </c>
    </row>
    <row r="470" spans="1:8">
      <c r="A470">
        <v>469</v>
      </c>
      <c r="B470" s="331">
        <v>46203.861111111109</v>
      </c>
      <c r="C470" t="s">
        <v>337</v>
      </c>
      <c r="D470" t="s">
        <v>337</v>
      </c>
      <c r="E470" t="s">
        <v>489</v>
      </c>
      <c r="F470">
        <v>1310177</v>
      </c>
      <c r="G470">
        <v>51855.3</v>
      </c>
      <c r="H470">
        <f t="shared" si="7"/>
        <v>655088.5</v>
      </c>
    </row>
    <row r="471" spans="1:8">
      <c r="A471">
        <v>470</v>
      </c>
      <c r="B471" s="331">
        <v>46203.861111111109</v>
      </c>
      <c r="C471" t="s">
        <v>68</v>
      </c>
      <c r="D471" t="s">
        <v>68</v>
      </c>
      <c r="E471" t="s">
        <v>489</v>
      </c>
      <c r="F471">
        <v>1997013</v>
      </c>
      <c r="G471">
        <v>78895.33</v>
      </c>
      <c r="H471">
        <f t="shared" si="7"/>
        <v>998506.5</v>
      </c>
    </row>
    <row r="472" spans="1:8">
      <c r="A472">
        <v>471</v>
      </c>
      <c r="B472" s="331">
        <v>46203.861111111109</v>
      </c>
      <c r="C472" t="s">
        <v>58</v>
      </c>
      <c r="D472" t="s">
        <v>58</v>
      </c>
      <c r="E472" t="s">
        <v>489</v>
      </c>
      <c r="F472">
        <v>826290</v>
      </c>
      <c r="G472">
        <v>34706.17</v>
      </c>
      <c r="H472">
        <f t="shared" si="7"/>
        <v>413145</v>
      </c>
    </row>
    <row r="473" spans="1:8">
      <c r="A473">
        <v>472</v>
      </c>
      <c r="B473" s="331">
        <v>46203.861111111109</v>
      </c>
      <c r="C473" t="s">
        <v>276</v>
      </c>
      <c r="D473" t="s">
        <v>276</v>
      </c>
      <c r="E473" t="s">
        <v>489</v>
      </c>
      <c r="F473">
        <v>2065992</v>
      </c>
      <c r="G473">
        <v>95231.43</v>
      </c>
      <c r="H473">
        <f t="shared" si="7"/>
        <v>1032996</v>
      </c>
    </row>
    <row r="474" spans="1:8">
      <c r="A474">
        <v>473</v>
      </c>
      <c r="B474" s="331">
        <v>46203.861111111109</v>
      </c>
      <c r="C474" t="s">
        <v>77</v>
      </c>
      <c r="D474" t="s">
        <v>77</v>
      </c>
      <c r="E474" t="s">
        <v>489</v>
      </c>
      <c r="F474">
        <v>891733</v>
      </c>
      <c r="G474">
        <v>41766.980000000003</v>
      </c>
      <c r="H474">
        <f t="shared" si="7"/>
        <v>445866.5</v>
      </c>
    </row>
    <row r="475" spans="1:8">
      <c r="A475">
        <v>474</v>
      </c>
      <c r="B475" s="331">
        <v>46203.861111111109</v>
      </c>
      <c r="C475" t="s">
        <v>86</v>
      </c>
      <c r="D475" t="s">
        <v>86</v>
      </c>
      <c r="E475" t="s">
        <v>489</v>
      </c>
      <c r="F475">
        <v>998764</v>
      </c>
      <c r="G475">
        <v>43586.09</v>
      </c>
      <c r="H475">
        <f t="shared" si="7"/>
        <v>499382</v>
      </c>
    </row>
    <row r="476" spans="1:8">
      <c r="A476">
        <v>475</v>
      </c>
      <c r="B476" s="331">
        <v>46203.861111111109</v>
      </c>
      <c r="C476" t="s">
        <v>81</v>
      </c>
      <c r="D476" t="s">
        <v>81</v>
      </c>
      <c r="E476" t="s">
        <v>489</v>
      </c>
      <c r="F476">
        <v>2081212</v>
      </c>
      <c r="G476">
        <v>98311.15</v>
      </c>
      <c r="H476">
        <f t="shared" si="7"/>
        <v>1040606</v>
      </c>
    </row>
    <row r="477" spans="1:8">
      <c r="A477">
        <v>476</v>
      </c>
      <c r="B477" s="331">
        <v>46203.861111111109</v>
      </c>
      <c r="C477" t="s">
        <v>71</v>
      </c>
      <c r="D477" t="s">
        <v>71</v>
      </c>
      <c r="E477" t="s">
        <v>489</v>
      </c>
      <c r="F477">
        <v>2948763</v>
      </c>
      <c r="G477">
        <v>113233.8</v>
      </c>
      <c r="H477">
        <f t="shared" si="7"/>
        <v>1474381.5</v>
      </c>
    </row>
    <row r="478" spans="1:8">
      <c r="A478">
        <v>477</v>
      </c>
      <c r="B478" s="331">
        <v>46203.861111111109</v>
      </c>
      <c r="C478" t="s">
        <v>65</v>
      </c>
      <c r="D478" t="s">
        <v>65</v>
      </c>
      <c r="E478" t="s">
        <v>489</v>
      </c>
      <c r="F478">
        <v>2011398</v>
      </c>
      <c r="G478">
        <v>78736.289999999994</v>
      </c>
      <c r="H478">
        <f t="shared" si="7"/>
        <v>1005699</v>
      </c>
    </row>
    <row r="479" spans="1:8">
      <c r="A479">
        <v>478</v>
      </c>
      <c r="B479" s="331">
        <v>46203.861111111109</v>
      </c>
      <c r="C479" t="s">
        <v>277</v>
      </c>
      <c r="D479" t="s">
        <v>277</v>
      </c>
      <c r="E479" t="s">
        <v>489</v>
      </c>
      <c r="F479">
        <v>2825428</v>
      </c>
      <c r="G479">
        <v>106652.91</v>
      </c>
      <c r="H479">
        <f t="shared" si="7"/>
        <v>1412714</v>
      </c>
    </row>
    <row r="480" spans="1:8">
      <c r="A480">
        <v>479</v>
      </c>
      <c r="B480" s="331">
        <v>46203.861111111109</v>
      </c>
      <c r="C480" t="s">
        <v>90</v>
      </c>
      <c r="D480" t="s">
        <v>90</v>
      </c>
      <c r="E480" t="s">
        <v>489</v>
      </c>
      <c r="F480">
        <v>2319787</v>
      </c>
      <c r="G480">
        <v>95489.77</v>
      </c>
      <c r="H480">
        <f t="shared" si="7"/>
        <v>1159893.5</v>
      </c>
    </row>
    <row r="481" spans="1:8">
      <c r="A481">
        <v>480</v>
      </c>
      <c r="B481" s="331">
        <v>46203.861111111109</v>
      </c>
      <c r="C481" t="s">
        <v>496</v>
      </c>
      <c r="D481" t="s">
        <v>496</v>
      </c>
      <c r="E481" t="s">
        <v>372</v>
      </c>
      <c r="F481">
        <v>1718749</v>
      </c>
      <c r="G481">
        <v>71730.25</v>
      </c>
      <c r="H481">
        <f t="shared" si="7"/>
        <v>859374.5</v>
      </c>
    </row>
    <row r="482" spans="1:8">
      <c r="A482">
        <v>481</v>
      </c>
      <c r="B482" s="331">
        <v>46203.861111111109</v>
      </c>
      <c r="C482" t="s">
        <v>891</v>
      </c>
      <c r="D482" t="s">
        <v>891</v>
      </c>
      <c r="E482" t="s">
        <v>372</v>
      </c>
      <c r="F482">
        <v>1011180</v>
      </c>
      <c r="G482">
        <v>46236.75</v>
      </c>
      <c r="H482">
        <f t="shared" si="7"/>
        <v>505590</v>
      </c>
    </row>
    <row r="483" spans="1:8">
      <c r="A483">
        <v>482</v>
      </c>
      <c r="B483" s="331">
        <v>46203.861111111109</v>
      </c>
      <c r="C483" t="s">
        <v>883</v>
      </c>
      <c r="D483" t="s">
        <v>883</v>
      </c>
      <c r="E483" t="s">
        <v>372</v>
      </c>
      <c r="F483">
        <v>504394</v>
      </c>
      <c r="G483">
        <v>24877.68</v>
      </c>
      <c r="H483">
        <f t="shared" si="7"/>
        <v>252197</v>
      </c>
    </row>
    <row r="484" spans="1:8">
      <c r="A484">
        <v>483</v>
      </c>
      <c r="B484" s="331">
        <v>46203.861111111109</v>
      </c>
      <c r="C484" t="s">
        <v>361</v>
      </c>
      <c r="D484" t="s">
        <v>361</v>
      </c>
      <c r="E484" t="s">
        <v>372</v>
      </c>
      <c r="F484">
        <v>775173</v>
      </c>
      <c r="G484">
        <v>38791.379999999997</v>
      </c>
      <c r="H484">
        <f t="shared" si="7"/>
        <v>387586.5</v>
      </c>
    </row>
    <row r="485" spans="1:8">
      <c r="A485">
        <v>484</v>
      </c>
      <c r="B485" s="331">
        <v>46203.861111111109</v>
      </c>
      <c r="C485" t="s">
        <v>359</v>
      </c>
      <c r="D485" t="s">
        <v>359</v>
      </c>
      <c r="E485" t="s">
        <v>372</v>
      </c>
      <c r="F485">
        <v>897456</v>
      </c>
      <c r="G485">
        <v>45423.09</v>
      </c>
      <c r="H485">
        <f t="shared" si="7"/>
        <v>448728</v>
      </c>
    </row>
    <row r="486" spans="1:8">
      <c r="A486">
        <v>485</v>
      </c>
      <c r="B486" s="331">
        <v>46203.861111111109</v>
      </c>
      <c r="C486" t="s">
        <v>884</v>
      </c>
      <c r="D486" t="s">
        <v>884</v>
      </c>
      <c r="E486" t="s">
        <v>372</v>
      </c>
      <c r="F486">
        <v>509635</v>
      </c>
      <c r="G486">
        <v>25409.53</v>
      </c>
      <c r="H486">
        <f t="shared" si="7"/>
        <v>254817.5</v>
      </c>
    </row>
    <row r="487" spans="1:8">
      <c r="A487">
        <v>486</v>
      </c>
      <c r="B487" s="331">
        <v>46203.861111111109</v>
      </c>
      <c r="C487" t="s">
        <v>360</v>
      </c>
      <c r="D487" t="s">
        <v>360</v>
      </c>
      <c r="E487" t="s">
        <v>372</v>
      </c>
      <c r="F487">
        <v>774179</v>
      </c>
      <c r="G487">
        <v>38622.75</v>
      </c>
      <c r="H487">
        <f t="shared" si="7"/>
        <v>387089.5</v>
      </c>
    </row>
    <row r="488" spans="1:8">
      <c r="A488">
        <v>487</v>
      </c>
      <c r="B488" s="331">
        <v>46203.861111111109</v>
      </c>
      <c r="C488" t="s">
        <v>491</v>
      </c>
      <c r="D488" t="s">
        <v>491</v>
      </c>
      <c r="E488" t="s">
        <v>372</v>
      </c>
      <c r="F488">
        <v>2506166</v>
      </c>
      <c r="G488">
        <v>117399.55</v>
      </c>
      <c r="H488">
        <f t="shared" si="7"/>
        <v>1253083</v>
      </c>
    </row>
    <row r="489" spans="1:8">
      <c r="A489">
        <v>488</v>
      </c>
      <c r="B489" s="331">
        <v>46203.861111111109</v>
      </c>
      <c r="C489" t="s">
        <v>497</v>
      </c>
      <c r="D489" t="s">
        <v>497</v>
      </c>
      <c r="E489" t="s">
        <v>372</v>
      </c>
      <c r="F489">
        <v>1716039</v>
      </c>
      <c r="G489">
        <v>71321.88</v>
      </c>
      <c r="H489">
        <f t="shared" si="7"/>
        <v>858019.5</v>
      </c>
    </row>
    <row r="490" spans="1:8">
      <c r="A490">
        <v>489</v>
      </c>
      <c r="B490" s="331">
        <v>46203.861111111109</v>
      </c>
      <c r="C490" t="s">
        <v>886</v>
      </c>
      <c r="D490" t="s">
        <v>886</v>
      </c>
      <c r="E490" t="s">
        <v>372</v>
      </c>
      <c r="F490">
        <v>882815</v>
      </c>
      <c r="G490">
        <v>45118.19</v>
      </c>
      <c r="H490">
        <f t="shared" si="7"/>
        <v>441407.5</v>
      </c>
    </row>
    <row r="491" spans="1:8">
      <c r="A491">
        <v>490</v>
      </c>
      <c r="B491" s="331">
        <v>46203.861111111109</v>
      </c>
      <c r="C491" t="s">
        <v>498</v>
      </c>
      <c r="D491" t="s">
        <v>498</v>
      </c>
      <c r="E491" t="s">
        <v>372</v>
      </c>
      <c r="F491">
        <v>2292420</v>
      </c>
      <c r="G491">
        <v>95659.03</v>
      </c>
      <c r="H491">
        <f t="shared" si="7"/>
        <v>1146210</v>
      </c>
    </row>
    <row r="492" spans="1:8">
      <c r="A492">
        <v>491</v>
      </c>
      <c r="B492" s="331">
        <v>46203.861111111109</v>
      </c>
      <c r="C492" t="s">
        <v>492</v>
      </c>
      <c r="D492" t="s">
        <v>492</v>
      </c>
      <c r="E492" t="s">
        <v>372</v>
      </c>
      <c r="F492">
        <v>2289460</v>
      </c>
      <c r="G492">
        <v>95082.75</v>
      </c>
      <c r="H492">
        <f t="shared" si="7"/>
        <v>1144730</v>
      </c>
    </row>
    <row r="493" spans="1:8">
      <c r="A493">
        <v>492</v>
      </c>
      <c r="B493" s="331">
        <v>46203.861111111109</v>
      </c>
      <c r="C493" t="s">
        <v>889</v>
      </c>
      <c r="D493" t="s">
        <v>889</v>
      </c>
      <c r="E493" t="s">
        <v>372</v>
      </c>
      <c r="F493">
        <v>1007043</v>
      </c>
      <c r="G493">
        <v>45725.71</v>
      </c>
      <c r="H493">
        <f t="shared" si="7"/>
        <v>503521.5</v>
      </c>
    </row>
    <row r="494" spans="1:8">
      <c r="A494">
        <v>493</v>
      </c>
      <c r="B494" s="331">
        <v>46203.861111111109</v>
      </c>
      <c r="C494" t="s">
        <v>451</v>
      </c>
      <c r="D494" t="s">
        <v>451</v>
      </c>
      <c r="E494" t="s">
        <v>372</v>
      </c>
      <c r="F494">
        <v>2503914</v>
      </c>
      <c r="G494">
        <v>116987.12</v>
      </c>
      <c r="H494">
        <f t="shared" si="7"/>
        <v>1251957</v>
      </c>
    </row>
    <row r="495" spans="1:8">
      <c r="A495">
        <v>494</v>
      </c>
      <c r="B495" s="331">
        <v>46203.861111111109</v>
      </c>
      <c r="C495" t="s">
        <v>882</v>
      </c>
      <c r="D495" t="s">
        <v>882</v>
      </c>
      <c r="E495" t="s">
        <v>372</v>
      </c>
      <c r="F495">
        <v>891213</v>
      </c>
      <c r="G495">
        <v>45087.16</v>
      </c>
      <c r="H495">
        <f t="shared" si="7"/>
        <v>445606.5</v>
      </c>
    </row>
    <row r="496" spans="1:8">
      <c r="A496">
        <v>495</v>
      </c>
      <c r="B496" s="331">
        <v>46203.861111111109</v>
      </c>
      <c r="C496" t="s">
        <v>453</v>
      </c>
      <c r="D496" t="s">
        <v>453</v>
      </c>
      <c r="E496" t="s">
        <v>372</v>
      </c>
      <c r="F496">
        <v>2528521</v>
      </c>
      <c r="G496">
        <v>117344.65</v>
      </c>
      <c r="H496">
        <f t="shared" si="7"/>
        <v>1264260.5</v>
      </c>
    </row>
    <row r="497" spans="1:8">
      <c r="A497">
        <v>496</v>
      </c>
      <c r="B497" s="331">
        <v>46203.861111111109</v>
      </c>
      <c r="C497" t="s">
        <v>892</v>
      </c>
      <c r="D497" t="s">
        <v>892</v>
      </c>
      <c r="E497" t="s">
        <v>372</v>
      </c>
      <c r="F497">
        <v>1009195</v>
      </c>
      <c r="G497">
        <v>46065.08</v>
      </c>
      <c r="H497">
        <f t="shared" si="7"/>
        <v>504597.5</v>
      </c>
    </row>
    <row r="498" spans="1:8">
      <c r="A498">
        <v>497</v>
      </c>
      <c r="B498" s="331">
        <v>46203.861111111109</v>
      </c>
      <c r="C498" t="s">
        <v>452</v>
      </c>
      <c r="D498" t="s">
        <v>452</v>
      </c>
      <c r="E498" t="s">
        <v>372</v>
      </c>
      <c r="F498">
        <v>2509537</v>
      </c>
      <c r="G498">
        <v>118012.03</v>
      </c>
      <c r="H498">
        <f t="shared" si="7"/>
        <v>1254768.5</v>
      </c>
    </row>
    <row r="499" spans="1:8">
      <c r="A499">
        <v>498</v>
      </c>
      <c r="B499" s="331">
        <v>46203.861111111109</v>
      </c>
      <c r="C499" t="s">
        <v>887</v>
      </c>
      <c r="D499" t="s">
        <v>887</v>
      </c>
      <c r="E499" t="s">
        <v>372</v>
      </c>
      <c r="F499">
        <v>891504</v>
      </c>
      <c r="G499">
        <v>44055.72</v>
      </c>
      <c r="H499">
        <f t="shared" si="7"/>
        <v>445752</v>
      </c>
    </row>
    <row r="500" spans="1:8">
      <c r="A500">
        <v>499</v>
      </c>
      <c r="B500" s="331">
        <v>46203.861111111109</v>
      </c>
      <c r="C500" t="s">
        <v>84</v>
      </c>
      <c r="D500" t="s">
        <v>84</v>
      </c>
      <c r="E500" t="s">
        <v>489</v>
      </c>
      <c r="F500">
        <v>996433</v>
      </c>
      <c r="G500">
        <v>43242.55</v>
      </c>
      <c r="H500">
        <f t="shared" si="7"/>
        <v>498216.5</v>
      </c>
    </row>
    <row r="501" spans="1:8">
      <c r="A501">
        <v>500</v>
      </c>
      <c r="B501" s="331">
        <v>46203.861111111109</v>
      </c>
      <c r="C501" t="s">
        <v>93</v>
      </c>
      <c r="D501" t="s">
        <v>93</v>
      </c>
      <c r="E501" t="s">
        <v>489</v>
      </c>
      <c r="F501">
        <v>2326901</v>
      </c>
      <c r="G501">
        <v>92649.47</v>
      </c>
      <c r="H501">
        <f t="shared" si="7"/>
        <v>1163450.5</v>
      </c>
    </row>
    <row r="502" spans="1:8">
      <c r="A502">
        <v>501</v>
      </c>
      <c r="B502" s="331">
        <v>46203.861111111109</v>
      </c>
      <c r="C502" t="s">
        <v>87</v>
      </c>
      <c r="D502" t="s">
        <v>87</v>
      </c>
      <c r="E502" t="s">
        <v>489</v>
      </c>
      <c r="F502">
        <v>334094</v>
      </c>
      <c r="G502">
        <v>1320.12</v>
      </c>
      <c r="H502">
        <f t="shared" si="7"/>
        <v>167047</v>
      </c>
    </row>
    <row r="503" spans="1:8">
      <c r="A503">
        <v>502</v>
      </c>
      <c r="B503" s="331">
        <v>46203.861111111109</v>
      </c>
      <c r="C503" t="s">
        <v>278</v>
      </c>
      <c r="D503" t="s">
        <v>278</v>
      </c>
      <c r="E503" t="s">
        <v>489</v>
      </c>
      <c r="F503">
        <v>2974810</v>
      </c>
      <c r="G503">
        <v>114724.76</v>
      </c>
      <c r="H503">
        <f t="shared" si="7"/>
        <v>1487405</v>
      </c>
    </row>
    <row r="504" spans="1:8">
      <c r="A504">
        <v>503</v>
      </c>
      <c r="B504" s="331">
        <v>46203.861111111109</v>
      </c>
      <c r="C504" t="s">
        <v>279</v>
      </c>
      <c r="D504" t="s">
        <v>279</v>
      </c>
      <c r="E504" t="s">
        <v>489</v>
      </c>
      <c r="F504">
        <v>2955597</v>
      </c>
      <c r="G504">
        <v>111948.71</v>
      </c>
      <c r="H504">
        <f t="shared" si="7"/>
        <v>1477798.5</v>
      </c>
    </row>
    <row r="505" spans="1:8">
      <c r="A505">
        <v>504</v>
      </c>
      <c r="B505" s="331">
        <v>46203.861111111109</v>
      </c>
      <c r="C505" t="s">
        <v>80</v>
      </c>
      <c r="D505" t="s">
        <v>80</v>
      </c>
      <c r="E505" t="s">
        <v>489</v>
      </c>
      <c r="F505">
        <v>1115314</v>
      </c>
      <c r="G505">
        <v>53936.05</v>
      </c>
      <c r="H505">
        <f t="shared" si="7"/>
        <v>557657</v>
      </c>
    </row>
    <row r="506" spans="1:8">
      <c r="A506">
        <v>505</v>
      </c>
      <c r="B506" s="331">
        <v>46203.861111111109</v>
      </c>
      <c r="C506" t="s">
        <v>91</v>
      </c>
      <c r="D506" t="s">
        <v>91</v>
      </c>
      <c r="E506" t="s">
        <v>489</v>
      </c>
      <c r="F506">
        <v>2210070</v>
      </c>
      <c r="G506">
        <v>89142.15</v>
      </c>
      <c r="H506">
        <f t="shared" si="7"/>
        <v>1105035</v>
      </c>
    </row>
    <row r="507" spans="1:8">
      <c r="A507">
        <v>506</v>
      </c>
      <c r="B507" s="331">
        <v>46203.861111111109</v>
      </c>
      <c r="C507" t="s">
        <v>277</v>
      </c>
      <c r="D507" t="s">
        <v>277</v>
      </c>
      <c r="E507" t="s">
        <v>489</v>
      </c>
      <c r="F507">
        <v>2826087</v>
      </c>
      <c r="G507">
        <v>105522.68</v>
      </c>
      <c r="H507">
        <f t="shared" si="7"/>
        <v>1413043.5</v>
      </c>
    </row>
    <row r="508" spans="1:8">
      <c r="A508">
        <v>507</v>
      </c>
      <c r="B508" s="331">
        <v>46203.861111111109</v>
      </c>
      <c r="C508" t="s">
        <v>445</v>
      </c>
      <c r="D508" t="s">
        <v>445</v>
      </c>
      <c r="E508" t="s">
        <v>489</v>
      </c>
      <c r="F508">
        <v>2930927</v>
      </c>
      <c r="H508">
        <f t="shared" si="7"/>
        <v>1465463.5</v>
      </c>
    </row>
    <row r="509" spans="1:8">
      <c r="A509">
        <v>508</v>
      </c>
      <c r="B509" s="331">
        <v>46203.861111111109</v>
      </c>
      <c r="C509" t="s">
        <v>1109</v>
      </c>
      <c r="D509" t="s">
        <v>1109</v>
      </c>
      <c r="E509" t="s">
        <v>489</v>
      </c>
      <c r="F509">
        <v>2874793</v>
      </c>
      <c r="H509">
        <f t="shared" si="7"/>
        <v>1437396.5</v>
      </c>
    </row>
    <row r="510" spans="1:8">
      <c r="A510">
        <v>509</v>
      </c>
      <c r="B510" s="331">
        <v>46203.861111111109</v>
      </c>
      <c r="C510" t="s">
        <v>89</v>
      </c>
      <c r="D510" t="s">
        <v>89</v>
      </c>
      <c r="E510" t="s">
        <v>489</v>
      </c>
      <c r="F510">
        <v>1081068</v>
      </c>
      <c r="G510">
        <v>43851.839999999997</v>
      </c>
      <c r="H510">
        <f t="shared" si="7"/>
        <v>540534</v>
      </c>
    </row>
    <row r="511" spans="1:8">
      <c r="A511">
        <v>510</v>
      </c>
      <c r="B511" s="331">
        <v>46203.861111111109</v>
      </c>
      <c r="C511" t="s">
        <v>328</v>
      </c>
      <c r="D511" t="s">
        <v>328</v>
      </c>
      <c r="E511" t="s">
        <v>489</v>
      </c>
      <c r="F511">
        <v>3419139</v>
      </c>
      <c r="G511">
        <v>135111.39000000001</v>
      </c>
      <c r="H511">
        <f t="shared" si="7"/>
        <v>1709569.5</v>
      </c>
    </row>
    <row r="512" spans="1:8">
      <c r="A512">
        <v>511</v>
      </c>
      <c r="B512" s="331">
        <v>46203.861111111109</v>
      </c>
      <c r="C512" t="s">
        <v>1107</v>
      </c>
      <c r="D512" t="s">
        <v>1107</v>
      </c>
      <c r="E512" t="s">
        <v>489</v>
      </c>
      <c r="F512">
        <v>439753</v>
      </c>
      <c r="H512">
        <f t="shared" si="7"/>
        <v>219876.5</v>
      </c>
    </row>
    <row r="513" spans="1:8">
      <c r="A513">
        <v>512</v>
      </c>
      <c r="B513" s="331">
        <v>46203.861111111109</v>
      </c>
      <c r="C513" t="s">
        <v>64</v>
      </c>
      <c r="D513" t="s">
        <v>64</v>
      </c>
      <c r="E513" t="s">
        <v>489</v>
      </c>
      <c r="F513">
        <v>2011154</v>
      </c>
      <c r="G513">
        <v>78718.63</v>
      </c>
      <c r="H513">
        <f t="shared" si="7"/>
        <v>1005577</v>
      </c>
    </row>
    <row r="514" spans="1:8">
      <c r="A514">
        <v>513</v>
      </c>
      <c r="B514" s="331">
        <v>46203.861111111109</v>
      </c>
      <c r="C514" t="s">
        <v>83</v>
      </c>
      <c r="D514" t="s">
        <v>83</v>
      </c>
      <c r="E514" t="s">
        <v>489</v>
      </c>
      <c r="F514">
        <v>2083830</v>
      </c>
      <c r="G514">
        <v>97391.9</v>
      </c>
      <c r="H514">
        <f t="shared" si="7"/>
        <v>1041915</v>
      </c>
    </row>
    <row r="515" spans="1:8">
      <c r="A515">
        <v>514</v>
      </c>
      <c r="B515" s="331">
        <v>46203.861111111109</v>
      </c>
      <c r="C515" t="s">
        <v>67</v>
      </c>
      <c r="D515" t="s">
        <v>67</v>
      </c>
      <c r="E515" t="s">
        <v>489</v>
      </c>
      <c r="F515">
        <v>2020023</v>
      </c>
      <c r="G515">
        <v>79615.23</v>
      </c>
      <c r="H515">
        <f t="shared" ref="H515:H578" si="8">0.5*F515</f>
        <v>1010011.5</v>
      </c>
    </row>
    <row r="516" spans="1:8">
      <c r="A516">
        <v>515</v>
      </c>
      <c r="B516" s="331">
        <v>46203.861111111109</v>
      </c>
      <c r="C516" t="s">
        <v>1110</v>
      </c>
      <c r="D516" t="s">
        <v>1110</v>
      </c>
      <c r="E516" t="s">
        <v>489</v>
      </c>
      <c r="F516">
        <v>3020569</v>
      </c>
      <c r="H516">
        <f t="shared" si="8"/>
        <v>1510284.5</v>
      </c>
    </row>
    <row r="517" spans="1:8">
      <c r="A517">
        <v>516</v>
      </c>
      <c r="B517" s="331">
        <v>46203.861111111109</v>
      </c>
      <c r="C517" t="s">
        <v>71</v>
      </c>
      <c r="D517" t="s">
        <v>71</v>
      </c>
      <c r="E517" t="s">
        <v>489</v>
      </c>
      <c r="F517">
        <v>2948894</v>
      </c>
      <c r="G517">
        <v>113063.16</v>
      </c>
      <c r="H517">
        <f t="shared" si="8"/>
        <v>1474447</v>
      </c>
    </row>
    <row r="518" spans="1:8">
      <c r="A518">
        <v>517</v>
      </c>
      <c r="B518" s="331">
        <v>46203.861111111109</v>
      </c>
      <c r="C518" t="s">
        <v>1108</v>
      </c>
      <c r="D518" t="s">
        <v>1108</v>
      </c>
      <c r="E518" t="s">
        <v>489</v>
      </c>
      <c r="F518">
        <v>1737597</v>
      </c>
      <c r="H518">
        <f t="shared" si="8"/>
        <v>868798.5</v>
      </c>
    </row>
    <row r="519" spans="1:8">
      <c r="A519">
        <v>518</v>
      </c>
      <c r="B519" s="331">
        <v>46203.861111111109</v>
      </c>
      <c r="C519" t="s">
        <v>86</v>
      </c>
      <c r="D519" t="s">
        <v>86</v>
      </c>
      <c r="E519" t="s">
        <v>489</v>
      </c>
      <c r="F519">
        <v>998957</v>
      </c>
      <c r="G519">
        <v>43659.03</v>
      </c>
      <c r="H519">
        <f t="shared" si="8"/>
        <v>499478.5</v>
      </c>
    </row>
    <row r="520" spans="1:8">
      <c r="A520">
        <v>519</v>
      </c>
      <c r="B520" s="331">
        <v>46203.861111111109</v>
      </c>
      <c r="C520" t="s">
        <v>75</v>
      </c>
      <c r="D520" t="s">
        <v>75</v>
      </c>
      <c r="E520" t="s">
        <v>489</v>
      </c>
      <c r="F520">
        <v>899515</v>
      </c>
      <c r="G520">
        <v>42847.25</v>
      </c>
      <c r="H520">
        <f t="shared" si="8"/>
        <v>449757.5</v>
      </c>
    </row>
    <row r="521" spans="1:8">
      <c r="A521">
        <v>520</v>
      </c>
      <c r="B521" s="331">
        <v>46203.861111111109</v>
      </c>
      <c r="C521" t="s">
        <v>408</v>
      </c>
      <c r="D521" t="s">
        <v>408</v>
      </c>
      <c r="E521" t="s">
        <v>489</v>
      </c>
      <c r="F521">
        <v>1962307</v>
      </c>
      <c r="H521">
        <f t="shared" si="8"/>
        <v>981153.5</v>
      </c>
    </row>
    <row r="522" spans="1:8">
      <c r="A522">
        <v>521</v>
      </c>
      <c r="B522" s="331">
        <v>46203.861111111109</v>
      </c>
      <c r="C522" t="s">
        <v>77</v>
      </c>
      <c r="D522" t="s">
        <v>77</v>
      </c>
      <c r="E522" t="s">
        <v>489</v>
      </c>
      <c r="F522">
        <v>891996</v>
      </c>
      <c r="G522">
        <v>42113.49</v>
      </c>
      <c r="H522">
        <f t="shared" si="8"/>
        <v>445998</v>
      </c>
    </row>
    <row r="523" spans="1:8">
      <c r="A523">
        <v>522</v>
      </c>
      <c r="B523" s="331">
        <v>46203.861111111109</v>
      </c>
      <c r="C523" t="s">
        <v>976</v>
      </c>
      <c r="D523" t="s">
        <v>976</v>
      </c>
      <c r="E523" t="s">
        <v>489</v>
      </c>
      <c r="F523">
        <v>1660229</v>
      </c>
      <c r="H523">
        <f t="shared" si="8"/>
        <v>830114.5</v>
      </c>
    </row>
    <row r="524" spans="1:8">
      <c r="A524">
        <v>523</v>
      </c>
      <c r="B524" s="331">
        <v>46203.861111111109</v>
      </c>
      <c r="C524" t="s">
        <v>426</v>
      </c>
      <c r="D524" t="s">
        <v>426</v>
      </c>
      <c r="E524" t="s">
        <v>489</v>
      </c>
      <c r="F524">
        <v>448488</v>
      </c>
      <c r="H524">
        <f t="shared" si="8"/>
        <v>224244</v>
      </c>
    </row>
    <row r="525" spans="1:8">
      <c r="A525">
        <v>524</v>
      </c>
      <c r="B525" s="331">
        <v>46203.861111111109</v>
      </c>
      <c r="C525" t="s">
        <v>68</v>
      </c>
      <c r="D525" t="s">
        <v>68</v>
      </c>
      <c r="E525" t="s">
        <v>489</v>
      </c>
      <c r="F525">
        <v>1996645</v>
      </c>
      <c r="G525">
        <v>78527.789999999994</v>
      </c>
      <c r="H525">
        <f t="shared" si="8"/>
        <v>998322.5</v>
      </c>
    </row>
    <row r="526" spans="1:8">
      <c r="A526">
        <v>525</v>
      </c>
      <c r="B526" s="331">
        <v>46203.861111111109</v>
      </c>
      <c r="C526" t="s">
        <v>65</v>
      </c>
      <c r="D526" t="s">
        <v>65</v>
      </c>
      <c r="E526" t="s">
        <v>489</v>
      </c>
      <c r="F526">
        <v>2011519</v>
      </c>
      <c r="G526">
        <v>79032.399999999994</v>
      </c>
      <c r="H526">
        <f t="shared" si="8"/>
        <v>1005759.5</v>
      </c>
    </row>
    <row r="527" spans="1:8">
      <c r="A527">
        <v>526</v>
      </c>
      <c r="B527" s="331">
        <v>46203.861111111109</v>
      </c>
      <c r="C527" t="s">
        <v>69</v>
      </c>
      <c r="D527" t="s">
        <v>69</v>
      </c>
      <c r="E527" t="s">
        <v>489</v>
      </c>
      <c r="F527">
        <v>2959472</v>
      </c>
      <c r="G527">
        <v>113848.93</v>
      </c>
      <c r="H527">
        <f t="shared" si="8"/>
        <v>1479736</v>
      </c>
    </row>
    <row r="528" spans="1:8">
      <c r="A528">
        <v>527</v>
      </c>
      <c r="B528" s="331">
        <v>46203.861111111109</v>
      </c>
      <c r="C528" t="s">
        <v>66</v>
      </c>
      <c r="D528" t="s">
        <v>66</v>
      </c>
      <c r="E528" t="s">
        <v>489</v>
      </c>
      <c r="F528">
        <v>1763668</v>
      </c>
      <c r="G528">
        <v>68984.759999999995</v>
      </c>
      <c r="H528">
        <f t="shared" si="8"/>
        <v>881834</v>
      </c>
    </row>
    <row r="529" spans="1:8">
      <c r="A529">
        <v>528</v>
      </c>
      <c r="B529" s="331">
        <v>46203.861111111109</v>
      </c>
      <c r="C529" t="s">
        <v>980</v>
      </c>
      <c r="D529" t="s">
        <v>980</v>
      </c>
      <c r="E529" t="s">
        <v>489</v>
      </c>
      <c r="F529">
        <v>1733767</v>
      </c>
      <c r="H529">
        <f t="shared" si="8"/>
        <v>866883.5</v>
      </c>
    </row>
    <row r="530" spans="1:8">
      <c r="A530">
        <v>529</v>
      </c>
      <c r="B530" s="331">
        <v>46203.861111111109</v>
      </c>
      <c r="C530" t="s">
        <v>276</v>
      </c>
      <c r="D530" t="s">
        <v>276</v>
      </c>
      <c r="E530" t="s">
        <v>489</v>
      </c>
      <c r="F530">
        <v>2065949</v>
      </c>
      <c r="G530">
        <v>95491.99</v>
      </c>
      <c r="H530">
        <f t="shared" si="8"/>
        <v>1032974.5</v>
      </c>
    </row>
    <row r="531" spans="1:8">
      <c r="A531">
        <v>530</v>
      </c>
      <c r="B531" s="331">
        <v>46203.861111111109</v>
      </c>
      <c r="C531" t="s">
        <v>78</v>
      </c>
      <c r="D531" t="s">
        <v>78</v>
      </c>
      <c r="E531" t="s">
        <v>489</v>
      </c>
      <c r="F531">
        <v>1187752</v>
      </c>
      <c r="G531">
        <v>56030.63</v>
      </c>
      <c r="H531">
        <f t="shared" si="8"/>
        <v>593876</v>
      </c>
    </row>
    <row r="532" spans="1:8">
      <c r="A532">
        <v>531</v>
      </c>
      <c r="B532" s="331">
        <v>46203.861111111109</v>
      </c>
      <c r="C532" t="s">
        <v>63</v>
      </c>
      <c r="D532" t="s">
        <v>63</v>
      </c>
      <c r="E532" t="s">
        <v>489</v>
      </c>
      <c r="F532">
        <v>919732</v>
      </c>
      <c r="G532">
        <v>35128.93</v>
      </c>
      <c r="H532">
        <f t="shared" si="8"/>
        <v>459866</v>
      </c>
    </row>
    <row r="533" spans="1:8">
      <c r="A533">
        <v>532</v>
      </c>
      <c r="B533" s="331">
        <v>46203.861111111109</v>
      </c>
      <c r="C533" t="s">
        <v>74</v>
      </c>
      <c r="D533" t="s">
        <v>74</v>
      </c>
      <c r="E533" t="s">
        <v>489</v>
      </c>
      <c r="F533">
        <v>1308655</v>
      </c>
      <c r="G533">
        <v>52604.480000000003</v>
      </c>
      <c r="H533">
        <f t="shared" si="8"/>
        <v>654327.5</v>
      </c>
    </row>
    <row r="534" spans="1:8">
      <c r="A534">
        <v>533</v>
      </c>
      <c r="B534" s="331">
        <v>46203.861111111109</v>
      </c>
      <c r="C534" t="s">
        <v>446</v>
      </c>
      <c r="D534" t="s">
        <v>446</v>
      </c>
      <c r="E534" t="s">
        <v>489</v>
      </c>
      <c r="F534">
        <v>2894832</v>
      </c>
      <c r="H534">
        <f t="shared" si="8"/>
        <v>1447416</v>
      </c>
    </row>
    <row r="535" spans="1:8">
      <c r="A535">
        <v>534</v>
      </c>
      <c r="B535" s="331">
        <v>46203.861111111109</v>
      </c>
      <c r="C535" t="s">
        <v>410</v>
      </c>
      <c r="D535" t="s">
        <v>410</v>
      </c>
      <c r="E535" t="s">
        <v>489</v>
      </c>
      <c r="F535">
        <v>1929849</v>
      </c>
      <c r="H535">
        <f t="shared" si="8"/>
        <v>964924.5</v>
      </c>
    </row>
    <row r="536" spans="1:8">
      <c r="A536">
        <v>535</v>
      </c>
      <c r="B536" s="331">
        <v>46203.861111111109</v>
      </c>
      <c r="C536" t="s">
        <v>411</v>
      </c>
      <c r="D536" t="s">
        <v>411</v>
      </c>
      <c r="E536" t="s">
        <v>489</v>
      </c>
      <c r="F536">
        <v>2827954</v>
      </c>
      <c r="H536">
        <f t="shared" si="8"/>
        <v>1413977</v>
      </c>
    </row>
    <row r="537" spans="1:8">
      <c r="A537">
        <v>536</v>
      </c>
      <c r="B537" s="331">
        <v>46203.861111111109</v>
      </c>
      <c r="C537" t="s">
        <v>58</v>
      </c>
      <c r="D537" t="s">
        <v>58</v>
      </c>
      <c r="E537" t="s">
        <v>489</v>
      </c>
      <c r="F537">
        <v>826487</v>
      </c>
      <c r="G537">
        <v>34208.67</v>
      </c>
      <c r="H537">
        <f t="shared" si="8"/>
        <v>413243.5</v>
      </c>
    </row>
    <row r="538" spans="1:8">
      <c r="A538">
        <v>537</v>
      </c>
      <c r="B538" s="331">
        <v>46203.861111111109</v>
      </c>
      <c r="C538" t="s">
        <v>60</v>
      </c>
      <c r="D538" t="s">
        <v>60</v>
      </c>
      <c r="E538" t="s">
        <v>489</v>
      </c>
      <c r="F538">
        <v>830844</v>
      </c>
      <c r="G538">
        <v>34801.839999999997</v>
      </c>
      <c r="H538">
        <f t="shared" si="8"/>
        <v>415422</v>
      </c>
    </row>
    <row r="539" spans="1:8">
      <c r="A539">
        <v>538</v>
      </c>
      <c r="B539" s="331">
        <v>46203.861111111109</v>
      </c>
      <c r="C539" t="s">
        <v>72</v>
      </c>
      <c r="D539" t="s">
        <v>72</v>
      </c>
      <c r="E539" t="s">
        <v>489</v>
      </c>
      <c r="F539">
        <v>2972967</v>
      </c>
      <c r="G539">
        <v>113623.52</v>
      </c>
      <c r="H539">
        <f t="shared" si="8"/>
        <v>1486483.5</v>
      </c>
    </row>
    <row r="540" spans="1:8">
      <c r="A540">
        <v>539</v>
      </c>
      <c r="B540" s="331">
        <v>46203.861111111109</v>
      </c>
      <c r="C540" t="s">
        <v>81</v>
      </c>
      <c r="D540" t="s">
        <v>81</v>
      </c>
      <c r="E540" t="s">
        <v>489</v>
      </c>
      <c r="F540">
        <v>2081763</v>
      </c>
      <c r="G540">
        <v>98056.31</v>
      </c>
      <c r="H540">
        <f t="shared" si="8"/>
        <v>1040881.5</v>
      </c>
    </row>
    <row r="541" spans="1:8">
      <c r="A541">
        <v>540</v>
      </c>
      <c r="B541" s="331">
        <v>46203.861111111109</v>
      </c>
      <c r="C541" t="s">
        <v>61</v>
      </c>
      <c r="D541" t="s">
        <v>61</v>
      </c>
      <c r="E541" t="s">
        <v>489</v>
      </c>
      <c r="F541">
        <v>415910</v>
      </c>
      <c r="G541">
        <v>1334.55</v>
      </c>
      <c r="H541">
        <f t="shared" si="8"/>
        <v>207955</v>
      </c>
    </row>
    <row r="542" spans="1:8">
      <c r="A542">
        <v>541</v>
      </c>
      <c r="B542" s="331">
        <v>46203.861111111109</v>
      </c>
      <c r="C542" t="s">
        <v>337</v>
      </c>
      <c r="D542" t="s">
        <v>337</v>
      </c>
      <c r="E542" t="s">
        <v>489</v>
      </c>
      <c r="F542">
        <v>1310513</v>
      </c>
      <c r="G542">
        <v>51776.3</v>
      </c>
      <c r="H542">
        <f t="shared" si="8"/>
        <v>655256.5</v>
      </c>
    </row>
    <row r="543" spans="1:8">
      <c r="A543">
        <v>542</v>
      </c>
      <c r="B543" s="331">
        <v>46203.861111111109</v>
      </c>
      <c r="C543" t="s">
        <v>979</v>
      </c>
      <c r="D543" t="s">
        <v>979</v>
      </c>
      <c r="E543" t="s">
        <v>489</v>
      </c>
      <c r="F543">
        <v>1283913</v>
      </c>
      <c r="H543">
        <f t="shared" si="8"/>
        <v>641956.5</v>
      </c>
    </row>
    <row r="544" spans="1:8">
      <c r="A544">
        <v>543</v>
      </c>
      <c r="B544" s="331">
        <v>46203.861111111109</v>
      </c>
      <c r="C544" t="s">
        <v>90</v>
      </c>
      <c r="D544" t="s">
        <v>90</v>
      </c>
      <c r="E544" t="s">
        <v>489</v>
      </c>
      <c r="F544">
        <v>2320290</v>
      </c>
      <c r="G544">
        <v>94671.94</v>
      </c>
      <c r="H544">
        <f t="shared" si="8"/>
        <v>1160145</v>
      </c>
    </row>
    <row r="545" spans="1:8">
      <c r="A545">
        <v>544</v>
      </c>
      <c r="B545" s="331">
        <v>46203.861111111109</v>
      </c>
      <c r="C545" t="s">
        <v>69</v>
      </c>
      <c r="D545" t="s">
        <v>69</v>
      </c>
      <c r="E545" t="s">
        <v>489</v>
      </c>
      <c r="F545">
        <v>2959698</v>
      </c>
      <c r="G545">
        <v>114380.65</v>
      </c>
      <c r="H545">
        <f t="shared" si="8"/>
        <v>1479849</v>
      </c>
    </row>
    <row r="546" spans="1:8">
      <c r="A546">
        <v>545</v>
      </c>
      <c r="B546" s="331">
        <v>46203.861111111109</v>
      </c>
      <c r="C546" t="s">
        <v>87</v>
      </c>
      <c r="D546" t="s">
        <v>87</v>
      </c>
      <c r="E546" t="s">
        <v>489</v>
      </c>
      <c r="F546">
        <v>334050</v>
      </c>
      <c r="G546">
        <v>1198.6600000000001</v>
      </c>
      <c r="H546">
        <f t="shared" si="8"/>
        <v>167025</v>
      </c>
    </row>
    <row r="547" spans="1:8">
      <c r="A547">
        <v>546</v>
      </c>
      <c r="B547" s="331">
        <v>46203.857638888891</v>
      </c>
      <c r="C547" t="s">
        <v>328</v>
      </c>
      <c r="D547" t="s">
        <v>328</v>
      </c>
      <c r="E547" t="s">
        <v>489</v>
      </c>
      <c r="F547">
        <v>3419654</v>
      </c>
      <c r="G547">
        <v>133712.47</v>
      </c>
      <c r="H547">
        <f t="shared" si="8"/>
        <v>1709827</v>
      </c>
    </row>
    <row r="548" spans="1:8">
      <c r="A548">
        <v>547</v>
      </c>
      <c r="B548" s="331">
        <v>46203.857638888891</v>
      </c>
      <c r="C548" t="s">
        <v>86</v>
      </c>
      <c r="D548" t="s">
        <v>86</v>
      </c>
      <c r="E548" t="s">
        <v>489</v>
      </c>
      <c r="F548">
        <v>999007</v>
      </c>
      <c r="G548">
        <v>43934.45</v>
      </c>
      <c r="H548">
        <f t="shared" si="8"/>
        <v>499503.5</v>
      </c>
    </row>
    <row r="549" spans="1:8">
      <c r="A549">
        <v>548</v>
      </c>
      <c r="B549" s="331">
        <v>46203.857638888891</v>
      </c>
      <c r="C549" t="s">
        <v>1110</v>
      </c>
      <c r="D549" t="s">
        <v>1110</v>
      </c>
      <c r="E549" t="s">
        <v>489</v>
      </c>
      <c r="F549">
        <v>3021160</v>
      </c>
      <c r="H549">
        <f t="shared" si="8"/>
        <v>1510580</v>
      </c>
    </row>
    <row r="550" spans="1:8">
      <c r="A550">
        <v>549</v>
      </c>
      <c r="B550" s="331">
        <v>46203.857638888891</v>
      </c>
      <c r="C550" t="s">
        <v>80</v>
      </c>
      <c r="D550" t="s">
        <v>80</v>
      </c>
      <c r="E550" t="s">
        <v>489</v>
      </c>
      <c r="F550">
        <v>1115436</v>
      </c>
      <c r="G550">
        <v>54153.69</v>
      </c>
      <c r="H550">
        <f t="shared" si="8"/>
        <v>557718</v>
      </c>
    </row>
    <row r="551" spans="1:8">
      <c r="A551">
        <v>550</v>
      </c>
      <c r="B551" s="331">
        <v>46203.857638888891</v>
      </c>
      <c r="C551" t="s">
        <v>75</v>
      </c>
      <c r="D551" t="s">
        <v>75</v>
      </c>
      <c r="E551" t="s">
        <v>489</v>
      </c>
      <c r="F551">
        <v>899529</v>
      </c>
      <c r="G551">
        <v>43313.47</v>
      </c>
      <c r="H551">
        <f t="shared" si="8"/>
        <v>449764.5</v>
      </c>
    </row>
    <row r="552" spans="1:8">
      <c r="A552">
        <v>551</v>
      </c>
      <c r="B552" s="331">
        <v>46203.857638888891</v>
      </c>
      <c r="C552" t="s">
        <v>980</v>
      </c>
      <c r="D552" t="s">
        <v>980</v>
      </c>
      <c r="E552" t="s">
        <v>489</v>
      </c>
      <c r="F552">
        <v>1734086</v>
      </c>
      <c r="H552">
        <f t="shared" si="8"/>
        <v>867043</v>
      </c>
    </row>
    <row r="553" spans="1:8">
      <c r="A553">
        <v>552</v>
      </c>
      <c r="B553" s="331">
        <v>46203.857638888891</v>
      </c>
      <c r="C553" t="s">
        <v>64</v>
      </c>
      <c r="D553" t="s">
        <v>64</v>
      </c>
      <c r="E553" t="s">
        <v>489</v>
      </c>
      <c r="F553">
        <v>2011093</v>
      </c>
      <c r="G553">
        <v>78702.22</v>
      </c>
      <c r="H553">
        <f t="shared" si="8"/>
        <v>1005546.5</v>
      </c>
    </row>
    <row r="554" spans="1:8">
      <c r="A554">
        <v>553</v>
      </c>
      <c r="B554" s="331">
        <v>46203.857638888891</v>
      </c>
      <c r="C554" t="s">
        <v>277</v>
      </c>
      <c r="D554" t="s">
        <v>277</v>
      </c>
      <c r="E554" t="s">
        <v>489</v>
      </c>
      <c r="F554">
        <v>2826065</v>
      </c>
      <c r="G554">
        <v>107030.85</v>
      </c>
      <c r="H554">
        <f t="shared" si="8"/>
        <v>1413032.5</v>
      </c>
    </row>
    <row r="555" spans="1:8">
      <c r="A555">
        <v>554</v>
      </c>
      <c r="B555" s="331">
        <v>46203.857638888891</v>
      </c>
      <c r="C555" t="s">
        <v>68</v>
      </c>
      <c r="D555" t="s">
        <v>68</v>
      </c>
      <c r="E555" t="s">
        <v>489</v>
      </c>
      <c r="F555">
        <v>1996850</v>
      </c>
      <c r="G555">
        <v>78030.86</v>
      </c>
      <c r="H555">
        <f t="shared" si="8"/>
        <v>998425</v>
      </c>
    </row>
    <row r="556" spans="1:8">
      <c r="A556">
        <v>555</v>
      </c>
      <c r="B556" s="331">
        <v>46203.857638888891</v>
      </c>
      <c r="C556" t="s">
        <v>979</v>
      </c>
      <c r="D556" t="s">
        <v>979</v>
      </c>
      <c r="E556" t="s">
        <v>489</v>
      </c>
      <c r="F556">
        <v>1283996</v>
      </c>
      <c r="H556">
        <f t="shared" si="8"/>
        <v>641998</v>
      </c>
    </row>
    <row r="557" spans="1:8">
      <c r="A557">
        <v>556</v>
      </c>
      <c r="B557" s="331">
        <v>46203.857638888891</v>
      </c>
      <c r="C557" t="s">
        <v>445</v>
      </c>
      <c r="D557" t="s">
        <v>445</v>
      </c>
      <c r="E557" t="s">
        <v>489</v>
      </c>
      <c r="F557">
        <v>2931458</v>
      </c>
      <c r="H557">
        <f t="shared" si="8"/>
        <v>1465729</v>
      </c>
    </row>
    <row r="558" spans="1:8">
      <c r="A558">
        <v>557</v>
      </c>
      <c r="B558" s="331">
        <v>46203.857638888891</v>
      </c>
      <c r="C558" t="s">
        <v>1109</v>
      </c>
      <c r="D558" t="s">
        <v>1109</v>
      </c>
      <c r="E558" t="s">
        <v>489</v>
      </c>
      <c r="F558">
        <v>2874805</v>
      </c>
      <c r="H558">
        <f t="shared" si="8"/>
        <v>1437402.5</v>
      </c>
    </row>
    <row r="559" spans="1:8">
      <c r="A559">
        <v>558</v>
      </c>
      <c r="B559" s="331">
        <v>46203.857638888891</v>
      </c>
      <c r="C559" t="s">
        <v>67</v>
      </c>
      <c r="D559" t="s">
        <v>67</v>
      </c>
      <c r="E559" t="s">
        <v>489</v>
      </c>
      <c r="F559">
        <v>2020165</v>
      </c>
      <c r="G559">
        <v>79660.210000000006</v>
      </c>
      <c r="H559">
        <f t="shared" si="8"/>
        <v>1010082.5</v>
      </c>
    </row>
    <row r="560" spans="1:8">
      <c r="A560">
        <v>559</v>
      </c>
      <c r="B560" s="331">
        <v>46203.857638888891</v>
      </c>
      <c r="C560" t="s">
        <v>74</v>
      </c>
      <c r="D560" t="s">
        <v>74</v>
      </c>
      <c r="E560" t="s">
        <v>489</v>
      </c>
      <c r="F560">
        <v>1308729</v>
      </c>
      <c r="G560">
        <v>52363.1</v>
      </c>
      <c r="H560">
        <f t="shared" si="8"/>
        <v>654364.5</v>
      </c>
    </row>
    <row r="561" spans="1:8">
      <c r="A561">
        <v>560</v>
      </c>
      <c r="B561" s="331">
        <v>46203.857638888891</v>
      </c>
      <c r="C561" t="s">
        <v>93</v>
      </c>
      <c r="D561" t="s">
        <v>93</v>
      </c>
      <c r="E561" t="s">
        <v>489</v>
      </c>
      <c r="F561">
        <v>2326882</v>
      </c>
      <c r="G561">
        <v>94058.5</v>
      </c>
      <c r="H561">
        <f t="shared" si="8"/>
        <v>1163441</v>
      </c>
    </row>
    <row r="562" spans="1:8">
      <c r="A562">
        <v>561</v>
      </c>
      <c r="B562" s="331">
        <v>46203.857638888891</v>
      </c>
      <c r="C562" t="s">
        <v>77</v>
      </c>
      <c r="D562" t="s">
        <v>77</v>
      </c>
      <c r="E562" t="s">
        <v>489</v>
      </c>
      <c r="F562">
        <v>892119</v>
      </c>
      <c r="G562">
        <v>42332.46</v>
      </c>
      <c r="H562">
        <f t="shared" si="8"/>
        <v>446059.5</v>
      </c>
    </row>
    <row r="563" spans="1:8">
      <c r="A563">
        <v>562</v>
      </c>
      <c r="B563" s="331">
        <v>46203.857638888891</v>
      </c>
      <c r="C563" t="s">
        <v>65</v>
      </c>
      <c r="D563" t="s">
        <v>65</v>
      </c>
      <c r="E563" t="s">
        <v>489</v>
      </c>
      <c r="F563">
        <v>2011283</v>
      </c>
      <c r="G563">
        <v>78206.89</v>
      </c>
      <c r="H563">
        <f t="shared" si="8"/>
        <v>1005641.5</v>
      </c>
    </row>
    <row r="564" spans="1:8">
      <c r="A564">
        <v>563</v>
      </c>
      <c r="B564" s="331">
        <v>46203.857638888891</v>
      </c>
      <c r="C564" t="s">
        <v>81</v>
      </c>
      <c r="D564" t="s">
        <v>81</v>
      </c>
      <c r="E564" t="s">
        <v>489</v>
      </c>
      <c r="F564">
        <v>2081909</v>
      </c>
      <c r="G564">
        <v>97839.78</v>
      </c>
      <c r="H564">
        <f t="shared" si="8"/>
        <v>1040954.5</v>
      </c>
    </row>
    <row r="565" spans="1:8">
      <c r="A565">
        <v>564</v>
      </c>
      <c r="B565" s="331">
        <v>46203.857638888891</v>
      </c>
      <c r="C565" t="s">
        <v>976</v>
      </c>
      <c r="D565" t="s">
        <v>976</v>
      </c>
      <c r="E565" t="s">
        <v>489</v>
      </c>
      <c r="F565">
        <v>1660400</v>
      </c>
      <c r="H565">
        <f t="shared" si="8"/>
        <v>830200</v>
      </c>
    </row>
    <row r="566" spans="1:8">
      <c r="A566">
        <v>565</v>
      </c>
      <c r="B566" s="331">
        <v>46203.857638888891</v>
      </c>
      <c r="C566" t="s">
        <v>1108</v>
      </c>
      <c r="D566" t="s">
        <v>1108</v>
      </c>
      <c r="E566" t="s">
        <v>489</v>
      </c>
      <c r="F566">
        <v>1737864</v>
      </c>
      <c r="H566">
        <f t="shared" si="8"/>
        <v>868932</v>
      </c>
    </row>
    <row r="567" spans="1:8">
      <c r="A567">
        <v>566</v>
      </c>
      <c r="B567" s="331">
        <v>46203.857638888891</v>
      </c>
      <c r="C567" t="s">
        <v>408</v>
      </c>
      <c r="D567" t="s">
        <v>408</v>
      </c>
      <c r="E567" t="s">
        <v>489</v>
      </c>
      <c r="F567">
        <v>1962581</v>
      </c>
      <c r="H567">
        <f t="shared" si="8"/>
        <v>981290.5</v>
      </c>
    </row>
    <row r="568" spans="1:8">
      <c r="A568">
        <v>567</v>
      </c>
      <c r="B568" s="331">
        <v>46203.857638888891</v>
      </c>
      <c r="C568" t="s">
        <v>61</v>
      </c>
      <c r="D568" t="s">
        <v>61</v>
      </c>
      <c r="E568" t="s">
        <v>489</v>
      </c>
      <c r="F568">
        <v>415851</v>
      </c>
      <c r="G568">
        <v>1372.75</v>
      </c>
      <c r="H568">
        <f t="shared" si="8"/>
        <v>207925.5</v>
      </c>
    </row>
    <row r="569" spans="1:8">
      <c r="A569">
        <v>568</v>
      </c>
      <c r="B569" s="331">
        <v>46203.857638888891</v>
      </c>
      <c r="C569" t="s">
        <v>1107</v>
      </c>
      <c r="D569" t="s">
        <v>1107</v>
      </c>
      <c r="E569" t="s">
        <v>489</v>
      </c>
      <c r="F569">
        <v>439792</v>
      </c>
      <c r="H569">
        <f t="shared" si="8"/>
        <v>219896</v>
      </c>
    </row>
    <row r="570" spans="1:8">
      <c r="A570">
        <v>569</v>
      </c>
      <c r="B570" s="331">
        <v>46203.857638888891</v>
      </c>
      <c r="C570" t="s">
        <v>89</v>
      </c>
      <c r="D570" t="s">
        <v>89</v>
      </c>
      <c r="E570" t="s">
        <v>489</v>
      </c>
      <c r="F570">
        <v>1081263</v>
      </c>
      <c r="G570">
        <v>43581.919999999998</v>
      </c>
      <c r="H570">
        <f t="shared" si="8"/>
        <v>540631.5</v>
      </c>
    </row>
    <row r="571" spans="1:8">
      <c r="A571">
        <v>570</v>
      </c>
      <c r="B571" s="331">
        <v>46203.857638888891</v>
      </c>
      <c r="C571" t="s">
        <v>278</v>
      </c>
      <c r="D571" t="s">
        <v>278</v>
      </c>
      <c r="E571" t="s">
        <v>489</v>
      </c>
      <c r="F571">
        <v>2974904</v>
      </c>
      <c r="G571">
        <v>114933.58</v>
      </c>
      <c r="H571">
        <f t="shared" si="8"/>
        <v>1487452</v>
      </c>
    </row>
    <row r="572" spans="1:8">
      <c r="A572">
        <v>571</v>
      </c>
      <c r="B572" s="331">
        <v>46203.857638888891</v>
      </c>
      <c r="C572" t="s">
        <v>276</v>
      </c>
      <c r="D572" t="s">
        <v>276</v>
      </c>
      <c r="E572" t="s">
        <v>489</v>
      </c>
      <c r="F572">
        <v>2066282</v>
      </c>
      <c r="G572">
        <v>95672.46</v>
      </c>
      <c r="H572">
        <f t="shared" si="8"/>
        <v>1033141</v>
      </c>
    </row>
    <row r="573" spans="1:8">
      <c r="A573">
        <v>572</v>
      </c>
      <c r="B573" s="331">
        <v>46203.857638888891</v>
      </c>
      <c r="C573" t="s">
        <v>279</v>
      </c>
      <c r="D573" t="s">
        <v>279</v>
      </c>
      <c r="E573" t="s">
        <v>489</v>
      </c>
      <c r="F573">
        <v>2955482</v>
      </c>
      <c r="G573">
        <v>112675.02</v>
      </c>
      <c r="H573">
        <f t="shared" si="8"/>
        <v>1477741</v>
      </c>
    </row>
    <row r="574" spans="1:8">
      <c r="A574">
        <v>573</v>
      </c>
      <c r="B574" s="331">
        <v>46203.857638888891</v>
      </c>
      <c r="C574" t="s">
        <v>72</v>
      </c>
      <c r="D574" t="s">
        <v>72</v>
      </c>
      <c r="E574" t="s">
        <v>489</v>
      </c>
      <c r="F574">
        <v>2972793</v>
      </c>
      <c r="G574">
        <v>115217.19</v>
      </c>
      <c r="H574">
        <f t="shared" si="8"/>
        <v>1486396.5</v>
      </c>
    </row>
    <row r="575" spans="1:8">
      <c r="A575">
        <v>574</v>
      </c>
      <c r="B575" s="331">
        <v>46203.857638888891</v>
      </c>
      <c r="C575" t="s">
        <v>411</v>
      </c>
      <c r="D575" t="s">
        <v>411</v>
      </c>
      <c r="E575" t="s">
        <v>489</v>
      </c>
      <c r="F575">
        <v>2828327</v>
      </c>
      <c r="H575">
        <f t="shared" si="8"/>
        <v>1414163.5</v>
      </c>
    </row>
    <row r="576" spans="1:8">
      <c r="A576">
        <v>575</v>
      </c>
      <c r="B576" s="331">
        <v>46203.857638888891</v>
      </c>
      <c r="C576" t="s">
        <v>69</v>
      </c>
      <c r="D576" t="s">
        <v>69</v>
      </c>
      <c r="E576" t="s">
        <v>489</v>
      </c>
      <c r="F576">
        <v>2959360</v>
      </c>
      <c r="G576">
        <v>113942.94</v>
      </c>
      <c r="H576">
        <f t="shared" si="8"/>
        <v>1479680</v>
      </c>
    </row>
    <row r="577" spans="1:8">
      <c r="A577">
        <v>576</v>
      </c>
      <c r="B577" s="331">
        <v>46203.857638888891</v>
      </c>
      <c r="C577" t="s">
        <v>337</v>
      </c>
      <c r="D577" t="s">
        <v>337</v>
      </c>
      <c r="E577" t="s">
        <v>489</v>
      </c>
      <c r="F577">
        <v>1310592</v>
      </c>
      <c r="G577">
        <v>51615.68</v>
      </c>
      <c r="H577">
        <f t="shared" si="8"/>
        <v>655296</v>
      </c>
    </row>
    <row r="578" spans="1:8">
      <c r="A578">
        <v>577</v>
      </c>
      <c r="B578" s="331">
        <v>46203.857638888891</v>
      </c>
      <c r="C578" t="s">
        <v>446</v>
      </c>
      <c r="D578" t="s">
        <v>446</v>
      </c>
      <c r="E578" t="s">
        <v>489</v>
      </c>
      <c r="F578">
        <v>2895309</v>
      </c>
      <c r="H578">
        <f t="shared" si="8"/>
        <v>1447654.5</v>
      </c>
    </row>
    <row r="579" spans="1:8">
      <c r="A579">
        <v>578</v>
      </c>
      <c r="B579" s="331">
        <v>46203.857638888891</v>
      </c>
      <c r="C579" t="s">
        <v>410</v>
      </c>
      <c r="D579" t="s">
        <v>410</v>
      </c>
      <c r="E579" t="s">
        <v>489</v>
      </c>
      <c r="F579">
        <v>1930385</v>
      </c>
      <c r="H579">
        <f t="shared" ref="H579:H642" si="9">0.5*F579</f>
        <v>965192.5</v>
      </c>
    </row>
    <row r="580" spans="1:8">
      <c r="A580">
        <v>579</v>
      </c>
      <c r="B580" s="331">
        <v>46203.857638888891</v>
      </c>
      <c r="C580" t="s">
        <v>58</v>
      </c>
      <c r="D580" t="s">
        <v>58</v>
      </c>
      <c r="E580" t="s">
        <v>489</v>
      </c>
      <c r="F580">
        <v>826337</v>
      </c>
      <c r="G580">
        <v>34234.18</v>
      </c>
      <c r="H580">
        <f t="shared" si="9"/>
        <v>413168.5</v>
      </c>
    </row>
    <row r="581" spans="1:8">
      <c r="A581">
        <v>580</v>
      </c>
      <c r="B581" s="331">
        <v>46203.857638888891</v>
      </c>
      <c r="C581" t="s">
        <v>84</v>
      </c>
      <c r="D581" t="s">
        <v>84</v>
      </c>
      <c r="E581" t="s">
        <v>489</v>
      </c>
      <c r="F581">
        <v>996388</v>
      </c>
      <c r="G581">
        <v>43599.26</v>
      </c>
      <c r="H581">
        <f t="shared" si="9"/>
        <v>498194</v>
      </c>
    </row>
    <row r="582" spans="1:8">
      <c r="A582">
        <v>581</v>
      </c>
      <c r="B582" s="331">
        <v>46203.857638888891</v>
      </c>
      <c r="C582" t="s">
        <v>60</v>
      </c>
      <c r="D582" t="s">
        <v>60</v>
      </c>
      <c r="E582" t="s">
        <v>489</v>
      </c>
      <c r="F582">
        <v>830651</v>
      </c>
      <c r="G582">
        <v>34605.14</v>
      </c>
      <c r="H582">
        <f t="shared" si="9"/>
        <v>415325.5</v>
      </c>
    </row>
    <row r="583" spans="1:8">
      <c r="A583">
        <v>582</v>
      </c>
      <c r="B583" s="331">
        <v>46203.857638888891</v>
      </c>
      <c r="C583" t="s">
        <v>63</v>
      </c>
      <c r="D583" t="s">
        <v>63</v>
      </c>
      <c r="E583" t="s">
        <v>489</v>
      </c>
      <c r="F583">
        <v>919672</v>
      </c>
      <c r="G583">
        <v>35043.129999999997</v>
      </c>
      <c r="H583">
        <f t="shared" si="9"/>
        <v>459836</v>
      </c>
    </row>
    <row r="584" spans="1:8">
      <c r="A584">
        <v>583</v>
      </c>
      <c r="B584" s="331">
        <v>46203.857638888891</v>
      </c>
      <c r="C584" t="s">
        <v>426</v>
      </c>
      <c r="D584" t="s">
        <v>426</v>
      </c>
      <c r="E584" t="s">
        <v>489</v>
      </c>
      <c r="F584">
        <v>448634</v>
      </c>
      <c r="H584">
        <f t="shared" si="9"/>
        <v>224317</v>
      </c>
    </row>
    <row r="585" spans="1:8">
      <c r="A585">
        <v>584</v>
      </c>
      <c r="B585" s="331">
        <v>46203.857638888891</v>
      </c>
      <c r="C585" t="s">
        <v>90</v>
      </c>
      <c r="D585" t="s">
        <v>90</v>
      </c>
      <c r="E585" t="s">
        <v>489</v>
      </c>
      <c r="F585">
        <v>2320474</v>
      </c>
      <c r="G585">
        <v>95906.32</v>
      </c>
      <c r="H585">
        <f t="shared" si="9"/>
        <v>1160237</v>
      </c>
    </row>
    <row r="586" spans="1:8">
      <c r="A586">
        <v>585</v>
      </c>
      <c r="B586" s="331">
        <v>46203.857638888891</v>
      </c>
      <c r="C586" t="s">
        <v>66</v>
      </c>
      <c r="D586" t="s">
        <v>66</v>
      </c>
      <c r="E586" t="s">
        <v>489</v>
      </c>
      <c r="F586">
        <v>1763760</v>
      </c>
      <c r="G586">
        <v>68876.539999999994</v>
      </c>
      <c r="H586">
        <f t="shared" si="9"/>
        <v>881880</v>
      </c>
    </row>
    <row r="587" spans="1:8">
      <c r="A587">
        <v>586</v>
      </c>
      <c r="B587" s="331">
        <v>46203.857638888891</v>
      </c>
      <c r="C587" t="s">
        <v>891</v>
      </c>
      <c r="D587" t="s">
        <v>891</v>
      </c>
      <c r="E587" t="s">
        <v>372</v>
      </c>
      <c r="F587">
        <v>1011720</v>
      </c>
      <c r="G587">
        <v>46747.8</v>
      </c>
      <c r="H587">
        <f t="shared" si="9"/>
        <v>505860</v>
      </c>
    </row>
    <row r="588" spans="1:8">
      <c r="A588">
        <v>587</v>
      </c>
      <c r="B588" s="331">
        <v>46203.857638888891</v>
      </c>
      <c r="C588" t="s">
        <v>491</v>
      </c>
      <c r="D588" t="s">
        <v>491</v>
      </c>
      <c r="E588" t="s">
        <v>372</v>
      </c>
      <c r="F588">
        <v>2506867</v>
      </c>
      <c r="G588">
        <v>117205.64</v>
      </c>
      <c r="H588">
        <f t="shared" si="9"/>
        <v>1253433.5</v>
      </c>
    </row>
    <row r="589" spans="1:8">
      <c r="A589">
        <v>588</v>
      </c>
      <c r="B589" s="331">
        <v>46203.857638888891</v>
      </c>
      <c r="C589" t="s">
        <v>452</v>
      </c>
      <c r="D589" t="s">
        <v>452</v>
      </c>
      <c r="E589" t="s">
        <v>372</v>
      </c>
      <c r="F589">
        <v>2510816</v>
      </c>
      <c r="G589">
        <v>118314.25</v>
      </c>
      <c r="H589">
        <f t="shared" si="9"/>
        <v>1255408</v>
      </c>
    </row>
    <row r="590" spans="1:8">
      <c r="A590">
        <v>589</v>
      </c>
      <c r="B590" s="331">
        <v>46203.857638888891</v>
      </c>
      <c r="C590" t="s">
        <v>492</v>
      </c>
      <c r="D590" t="s">
        <v>492</v>
      </c>
      <c r="E590" t="s">
        <v>372</v>
      </c>
      <c r="F590">
        <v>2289123</v>
      </c>
      <c r="G590">
        <v>94648.34</v>
      </c>
      <c r="H590">
        <f t="shared" si="9"/>
        <v>1144561.5</v>
      </c>
    </row>
    <row r="591" spans="1:8">
      <c r="A591">
        <v>590</v>
      </c>
      <c r="B591" s="331">
        <v>46203.857638888891</v>
      </c>
      <c r="C591" t="s">
        <v>451</v>
      </c>
      <c r="D591" t="s">
        <v>451</v>
      </c>
      <c r="E591" t="s">
        <v>372</v>
      </c>
      <c r="F591">
        <v>2504996</v>
      </c>
      <c r="G591">
        <v>116688.43</v>
      </c>
      <c r="H591">
        <f t="shared" si="9"/>
        <v>1252498</v>
      </c>
    </row>
    <row r="592" spans="1:8">
      <c r="A592">
        <v>591</v>
      </c>
      <c r="B592" s="331">
        <v>46203.857638888891</v>
      </c>
      <c r="C592" t="s">
        <v>360</v>
      </c>
      <c r="D592" t="s">
        <v>360</v>
      </c>
      <c r="E592" t="s">
        <v>372</v>
      </c>
      <c r="F592">
        <v>774664</v>
      </c>
      <c r="G592">
        <v>38923.53</v>
      </c>
      <c r="H592">
        <f t="shared" si="9"/>
        <v>387332</v>
      </c>
    </row>
    <row r="593" spans="1:8">
      <c r="A593">
        <v>592</v>
      </c>
      <c r="B593" s="331">
        <v>46203.857638888891</v>
      </c>
      <c r="C593" t="s">
        <v>359</v>
      </c>
      <c r="D593" t="s">
        <v>359</v>
      </c>
      <c r="E593" t="s">
        <v>372</v>
      </c>
      <c r="F593">
        <v>898140</v>
      </c>
      <c r="G593">
        <v>45361.34</v>
      </c>
      <c r="H593">
        <f t="shared" si="9"/>
        <v>449070</v>
      </c>
    </row>
    <row r="594" spans="1:8">
      <c r="A594">
        <v>593</v>
      </c>
      <c r="B594" s="331">
        <v>46203.857638888891</v>
      </c>
      <c r="C594" t="s">
        <v>83</v>
      </c>
      <c r="D594" t="s">
        <v>83</v>
      </c>
      <c r="E594" t="s">
        <v>489</v>
      </c>
      <c r="F594">
        <v>2084316</v>
      </c>
      <c r="G594">
        <v>96989.84</v>
      </c>
      <c r="H594">
        <f t="shared" si="9"/>
        <v>1042158</v>
      </c>
    </row>
    <row r="595" spans="1:8">
      <c r="A595">
        <v>594</v>
      </c>
      <c r="B595" s="331">
        <v>46203.857638888891</v>
      </c>
      <c r="C595" t="s">
        <v>278</v>
      </c>
      <c r="D595" t="s">
        <v>278</v>
      </c>
      <c r="E595" t="s">
        <v>489</v>
      </c>
      <c r="F595">
        <v>2974975</v>
      </c>
      <c r="G595">
        <v>113376.83</v>
      </c>
      <c r="H595">
        <f t="shared" si="9"/>
        <v>1487487.5</v>
      </c>
    </row>
    <row r="596" spans="1:8">
      <c r="A596">
        <v>595</v>
      </c>
      <c r="B596" s="331">
        <v>46203.857638888891</v>
      </c>
      <c r="C596" t="s">
        <v>1108</v>
      </c>
      <c r="D596" t="s">
        <v>1108</v>
      </c>
      <c r="E596" t="s">
        <v>489</v>
      </c>
      <c r="F596">
        <v>1737985</v>
      </c>
      <c r="H596">
        <f t="shared" si="9"/>
        <v>868992.5</v>
      </c>
    </row>
    <row r="597" spans="1:8">
      <c r="A597">
        <v>596</v>
      </c>
      <c r="B597" s="331">
        <v>46203.857638888891</v>
      </c>
      <c r="C597" t="s">
        <v>980</v>
      </c>
      <c r="D597" t="s">
        <v>980</v>
      </c>
      <c r="E597" t="s">
        <v>489</v>
      </c>
      <c r="F597">
        <v>1734428</v>
      </c>
      <c r="H597">
        <f t="shared" si="9"/>
        <v>867214</v>
      </c>
    </row>
    <row r="598" spans="1:8">
      <c r="A598">
        <v>597</v>
      </c>
      <c r="B598" s="331">
        <v>46203.857638888891</v>
      </c>
      <c r="C598" t="s">
        <v>64</v>
      </c>
      <c r="D598" t="s">
        <v>64</v>
      </c>
      <c r="E598" t="s">
        <v>489</v>
      </c>
      <c r="F598">
        <v>2011136</v>
      </c>
      <c r="G598">
        <v>78587.649999999994</v>
      </c>
      <c r="H598">
        <f t="shared" si="9"/>
        <v>1005568</v>
      </c>
    </row>
    <row r="599" spans="1:8">
      <c r="A599">
        <v>598</v>
      </c>
      <c r="B599" s="331">
        <v>46203.857638888891</v>
      </c>
      <c r="C599" t="s">
        <v>80</v>
      </c>
      <c r="D599" t="s">
        <v>80</v>
      </c>
      <c r="E599" t="s">
        <v>489</v>
      </c>
      <c r="F599">
        <v>1115652</v>
      </c>
      <c r="G599">
        <v>53410.21</v>
      </c>
      <c r="H599">
        <f t="shared" si="9"/>
        <v>557826</v>
      </c>
    </row>
    <row r="600" spans="1:8">
      <c r="A600">
        <v>599</v>
      </c>
      <c r="B600" s="331">
        <v>46203.857638888891</v>
      </c>
      <c r="C600" t="s">
        <v>328</v>
      </c>
      <c r="D600" t="s">
        <v>328</v>
      </c>
      <c r="E600" t="s">
        <v>489</v>
      </c>
      <c r="F600">
        <v>3420001</v>
      </c>
      <c r="G600">
        <v>133370.63</v>
      </c>
      <c r="H600">
        <f t="shared" si="9"/>
        <v>1710000.5</v>
      </c>
    </row>
    <row r="601" spans="1:8">
      <c r="A601">
        <v>600</v>
      </c>
      <c r="B601" s="331">
        <v>46203.857638888891</v>
      </c>
      <c r="C601" t="s">
        <v>445</v>
      </c>
      <c r="D601" t="s">
        <v>445</v>
      </c>
      <c r="E601" t="s">
        <v>489</v>
      </c>
      <c r="F601">
        <v>2932073</v>
      </c>
      <c r="H601">
        <f t="shared" si="9"/>
        <v>1466036.5</v>
      </c>
    </row>
    <row r="602" spans="1:8">
      <c r="A602">
        <v>601</v>
      </c>
      <c r="B602" s="331">
        <v>46203.857638888891</v>
      </c>
      <c r="C602" t="s">
        <v>1110</v>
      </c>
      <c r="D602" t="s">
        <v>1110</v>
      </c>
      <c r="E602" t="s">
        <v>489</v>
      </c>
      <c r="F602">
        <v>3021913</v>
      </c>
      <c r="H602">
        <f t="shared" si="9"/>
        <v>1510956.5</v>
      </c>
    </row>
    <row r="603" spans="1:8">
      <c r="A603">
        <v>602</v>
      </c>
      <c r="B603" s="331">
        <v>46203.857638888891</v>
      </c>
      <c r="C603" t="s">
        <v>1109</v>
      </c>
      <c r="D603" t="s">
        <v>1109</v>
      </c>
      <c r="E603" t="s">
        <v>489</v>
      </c>
      <c r="F603">
        <v>2875341</v>
      </c>
      <c r="H603">
        <f t="shared" si="9"/>
        <v>1437670.5</v>
      </c>
    </row>
    <row r="604" spans="1:8">
      <c r="A604">
        <v>603</v>
      </c>
      <c r="B604" s="331">
        <v>46203.857638888891</v>
      </c>
      <c r="C604" t="s">
        <v>87</v>
      </c>
      <c r="D604" t="s">
        <v>87</v>
      </c>
      <c r="E604" t="s">
        <v>489</v>
      </c>
      <c r="F604">
        <v>334265</v>
      </c>
      <c r="G604">
        <v>1293.5999999999999</v>
      </c>
      <c r="H604">
        <f t="shared" si="9"/>
        <v>167132.5</v>
      </c>
    </row>
    <row r="605" spans="1:8">
      <c r="A605">
        <v>604</v>
      </c>
      <c r="B605" s="331">
        <v>46203.857638888891</v>
      </c>
      <c r="C605" t="s">
        <v>67</v>
      </c>
      <c r="D605" t="s">
        <v>67</v>
      </c>
      <c r="E605" t="s">
        <v>489</v>
      </c>
      <c r="F605">
        <v>2020181</v>
      </c>
      <c r="G605">
        <v>79121.279999999999</v>
      </c>
      <c r="H605">
        <f t="shared" si="9"/>
        <v>1010090.5</v>
      </c>
    </row>
    <row r="606" spans="1:8">
      <c r="A606">
        <v>605</v>
      </c>
      <c r="B606" s="331">
        <v>46203.857638888891</v>
      </c>
      <c r="C606" t="s">
        <v>976</v>
      </c>
      <c r="D606" t="s">
        <v>976</v>
      </c>
      <c r="E606" t="s">
        <v>489</v>
      </c>
      <c r="F606">
        <v>1660641</v>
      </c>
      <c r="H606">
        <f t="shared" si="9"/>
        <v>830320.5</v>
      </c>
    </row>
    <row r="607" spans="1:8">
      <c r="A607">
        <v>606</v>
      </c>
      <c r="B607" s="331">
        <v>46203.857638888891</v>
      </c>
      <c r="C607" t="s">
        <v>279</v>
      </c>
      <c r="D607" t="s">
        <v>279</v>
      </c>
      <c r="E607" t="s">
        <v>489</v>
      </c>
      <c r="F607">
        <v>2955730</v>
      </c>
      <c r="G607">
        <v>111683.31</v>
      </c>
      <c r="H607">
        <f t="shared" si="9"/>
        <v>1477865</v>
      </c>
    </row>
    <row r="608" spans="1:8">
      <c r="A608">
        <v>607</v>
      </c>
      <c r="B608" s="331">
        <v>46203.857638888891</v>
      </c>
      <c r="C608" t="s">
        <v>84</v>
      </c>
      <c r="D608" t="s">
        <v>84</v>
      </c>
      <c r="E608" t="s">
        <v>489</v>
      </c>
      <c r="F608">
        <v>996259</v>
      </c>
      <c r="G608">
        <v>43509.4</v>
      </c>
      <c r="H608">
        <f t="shared" si="9"/>
        <v>498129.5</v>
      </c>
    </row>
    <row r="609" spans="1:8">
      <c r="A609">
        <v>608</v>
      </c>
      <c r="B609" s="331">
        <v>46203.857638888891</v>
      </c>
      <c r="C609" t="s">
        <v>78</v>
      </c>
      <c r="D609" t="s">
        <v>78</v>
      </c>
      <c r="E609" t="s">
        <v>489</v>
      </c>
      <c r="F609">
        <v>1188430</v>
      </c>
      <c r="G609">
        <v>56522.23</v>
      </c>
      <c r="H609">
        <f t="shared" si="9"/>
        <v>594215</v>
      </c>
    </row>
    <row r="610" spans="1:8">
      <c r="A610">
        <v>609</v>
      </c>
      <c r="B610" s="331">
        <v>46203.857638888891</v>
      </c>
      <c r="C610" t="s">
        <v>89</v>
      </c>
      <c r="D610" t="s">
        <v>89</v>
      </c>
      <c r="E610" t="s">
        <v>489</v>
      </c>
      <c r="F610">
        <v>1081331</v>
      </c>
      <c r="G610">
        <v>42960.04</v>
      </c>
      <c r="H610">
        <f t="shared" si="9"/>
        <v>540665.5</v>
      </c>
    </row>
    <row r="611" spans="1:8">
      <c r="A611">
        <v>610</v>
      </c>
      <c r="B611" s="331">
        <v>46203.857638888891</v>
      </c>
      <c r="C611" t="s">
        <v>69</v>
      </c>
      <c r="D611" t="s">
        <v>69</v>
      </c>
      <c r="E611" t="s">
        <v>489</v>
      </c>
      <c r="F611">
        <v>2959407</v>
      </c>
      <c r="G611">
        <v>112947.35</v>
      </c>
      <c r="H611">
        <f t="shared" si="9"/>
        <v>1479703.5</v>
      </c>
    </row>
    <row r="612" spans="1:8">
      <c r="A612">
        <v>611</v>
      </c>
      <c r="B612" s="331">
        <v>46203.857638888891</v>
      </c>
      <c r="C612" t="s">
        <v>58</v>
      </c>
      <c r="D612" t="s">
        <v>58</v>
      </c>
      <c r="E612" t="s">
        <v>489</v>
      </c>
      <c r="F612">
        <v>826461</v>
      </c>
      <c r="G612">
        <v>34202.99</v>
      </c>
      <c r="H612">
        <f t="shared" si="9"/>
        <v>413230.5</v>
      </c>
    </row>
    <row r="613" spans="1:8">
      <c r="A613">
        <v>612</v>
      </c>
      <c r="B613" s="331">
        <v>46203.857638888891</v>
      </c>
      <c r="C613" t="s">
        <v>74</v>
      </c>
      <c r="D613" t="s">
        <v>74</v>
      </c>
      <c r="E613" t="s">
        <v>489</v>
      </c>
      <c r="F613">
        <v>1308857</v>
      </c>
      <c r="G613">
        <v>52196.02</v>
      </c>
      <c r="H613">
        <f t="shared" si="9"/>
        <v>654428.5</v>
      </c>
    </row>
    <row r="614" spans="1:8">
      <c r="A614">
        <v>613</v>
      </c>
      <c r="B614" s="331">
        <v>46203.857638888891</v>
      </c>
      <c r="C614" t="s">
        <v>979</v>
      </c>
      <c r="D614" t="s">
        <v>979</v>
      </c>
      <c r="E614" t="s">
        <v>489</v>
      </c>
      <c r="F614">
        <v>1283841</v>
      </c>
      <c r="H614">
        <f t="shared" si="9"/>
        <v>641920.5</v>
      </c>
    </row>
    <row r="615" spans="1:8">
      <c r="A615">
        <v>614</v>
      </c>
      <c r="B615" s="331">
        <v>46203.857638888891</v>
      </c>
      <c r="C615" t="s">
        <v>65</v>
      </c>
      <c r="D615" t="s">
        <v>65</v>
      </c>
      <c r="E615" t="s">
        <v>489</v>
      </c>
      <c r="F615">
        <v>2011042</v>
      </c>
      <c r="G615">
        <v>77515.17</v>
      </c>
      <c r="H615">
        <f t="shared" si="9"/>
        <v>1005521</v>
      </c>
    </row>
    <row r="616" spans="1:8">
      <c r="A616">
        <v>615</v>
      </c>
      <c r="B616" s="331">
        <v>46203.857638888891</v>
      </c>
      <c r="C616" t="s">
        <v>277</v>
      </c>
      <c r="D616" t="s">
        <v>277</v>
      </c>
      <c r="E616" t="s">
        <v>489</v>
      </c>
      <c r="F616">
        <v>2826107</v>
      </c>
      <c r="G616">
        <v>105453.16</v>
      </c>
      <c r="H616">
        <f t="shared" si="9"/>
        <v>1413053.5</v>
      </c>
    </row>
    <row r="617" spans="1:8">
      <c r="A617">
        <v>616</v>
      </c>
      <c r="B617" s="331">
        <v>46203.857638888891</v>
      </c>
      <c r="C617" t="s">
        <v>337</v>
      </c>
      <c r="D617" t="s">
        <v>337</v>
      </c>
      <c r="E617" t="s">
        <v>489</v>
      </c>
      <c r="F617">
        <v>1310426</v>
      </c>
      <c r="G617">
        <v>51591.15</v>
      </c>
      <c r="H617">
        <f t="shared" si="9"/>
        <v>655213</v>
      </c>
    </row>
    <row r="618" spans="1:8">
      <c r="A618">
        <v>617</v>
      </c>
      <c r="B618" s="331">
        <v>46203.857638888891</v>
      </c>
      <c r="C618" t="s">
        <v>276</v>
      </c>
      <c r="D618" t="s">
        <v>276</v>
      </c>
      <c r="E618" t="s">
        <v>489</v>
      </c>
      <c r="F618">
        <v>2066680</v>
      </c>
      <c r="G618">
        <v>94806.720000000001</v>
      </c>
      <c r="H618">
        <f t="shared" si="9"/>
        <v>1033340</v>
      </c>
    </row>
    <row r="619" spans="1:8">
      <c r="A619">
        <v>618</v>
      </c>
      <c r="B619" s="331">
        <v>46203.857638888891</v>
      </c>
      <c r="C619" t="s">
        <v>68</v>
      </c>
      <c r="D619" t="s">
        <v>68</v>
      </c>
      <c r="E619" t="s">
        <v>489</v>
      </c>
      <c r="F619">
        <v>1996747</v>
      </c>
      <c r="G619">
        <v>77870.080000000002</v>
      </c>
      <c r="H619">
        <f t="shared" si="9"/>
        <v>998373.5</v>
      </c>
    </row>
    <row r="620" spans="1:8">
      <c r="A620">
        <v>619</v>
      </c>
      <c r="B620" s="331">
        <v>46203.857638888891</v>
      </c>
      <c r="C620" t="s">
        <v>81</v>
      </c>
      <c r="D620" t="s">
        <v>81</v>
      </c>
      <c r="E620" t="s">
        <v>489</v>
      </c>
      <c r="F620">
        <v>2081931</v>
      </c>
      <c r="G620">
        <v>99522.75</v>
      </c>
      <c r="H620">
        <f t="shared" si="9"/>
        <v>1040965.5</v>
      </c>
    </row>
    <row r="621" spans="1:8">
      <c r="A621">
        <v>620</v>
      </c>
      <c r="B621" s="331">
        <v>46203.857638888891</v>
      </c>
      <c r="C621" t="s">
        <v>75</v>
      </c>
      <c r="D621" t="s">
        <v>75</v>
      </c>
      <c r="E621" t="s">
        <v>489</v>
      </c>
      <c r="F621">
        <v>899565</v>
      </c>
      <c r="G621">
        <v>42999.07</v>
      </c>
      <c r="H621">
        <f t="shared" si="9"/>
        <v>449782.5</v>
      </c>
    </row>
    <row r="622" spans="1:8">
      <c r="A622">
        <v>621</v>
      </c>
      <c r="B622" s="331">
        <v>46203.857638888891</v>
      </c>
      <c r="C622" t="s">
        <v>71</v>
      </c>
      <c r="D622" t="s">
        <v>71</v>
      </c>
      <c r="E622" t="s">
        <v>489</v>
      </c>
      <c r="F622">
        <v>2949133</v>
      </c>
      <c r="G622">
        <v>112420.75</v>
      </c>
      <c r="H622">
        <f t="shared" si="9"/>
        <v>1474566.5</v>
      </c>
    </row>
    <row r="623" spans="1:8">
      <c r="A623">
        <v>622</v>
      </c>
      <c r="B623" s="331">
        <v>46203.857638888891</v>
      </c>
      <c r="C623" t="s">
        <v>426</v>
      </c>
      <c r="D623" t="s">
        <v>426</v>
      </c>
      <c r="E623" t="s">
        <v>489</v>
      </c>
      <c r="F623">
        <v>448677</v>
      </c>
      <c r="H623">
        <f t="shared" si="9"/>
        <v>224338.5</v>
      </c>
    </row>
    <row r="624" spans="1:8">
      <c r="A624">
        <v>623</v>
      </c>
      <c r="B624" s="331">
        <v>46203.857638888891</v>
      </c>
      <c r="C624" t="s">
        <v>1107</v>
      </c>
      <c r="D624" t="s">
        <v>1107</v>
      </c>
      <c r="E624" t="s">
        <v>489</v>
      </c>
      <c r="F624">
        <v>440008</v>
      </c>
      <c r="H624">
        <f t="shared" si="9"/>
        <v>220004</v>
      </c>
    </row>
    <row r="625" spans="1:8">
      <c r="A625">
        <v>624</v>
      </c>
      <c r="B625" s="331">
        <v>46203.857638888891</v>
      </c>
      <c r="C625" t="s">
        <v>77</v>
      </c>
      <c r="D625" t="s">
        <v>77</v>
      </c>
      <c r="E625" t="s">
        <v>489</v>
      </c>
      <c r="F625">
        <v>892133</v>
      </c>
      <c r="G625">
        <v>42733.65</v>
      </c>
      <c r="H625">
        <f t="shared" si="9"/>
        <v>446066.5</v>
      </c>
    </row>
    <row r="626" spans="1:8">
      <c r="A626">
        <v>625</v>
      </c>
      <c r="B626" s="331">
        <v>46203.857638888891</v>
      </c>
      <c r="C626" t="s">
        <v>61</v>
      </c>
      <c r="D626" t="s">
        <v>61</v>
      </c>
      <c r="E626" t="s">
        <v>489</v>
      </c>
      <c r="F626">
        <v>415857</v>
      </c>
      <c r="G626">
        <v>1343.33</v>
      </c>
      <c r="H626">
        <f t="shared" si="9"/>
        <v>207928.5</v>
      </c>
    </row>
    <row r="627" spans="1:8">
      <c r="A627">
        <v>626</v>
      </c>
      <c r="B627" s="331">
        <v>46203.857638888891</v>
      </c>
      <c r="C627" t="s">
        <v>86</v>
      </c>
      <c r="D627" t="s">
        <v>86</v>
      </c>
      <c r="E627" t="s">
        <v>489</v>
      </c>
      <c r="F627">
        <v>999181</v>
      </c>
      <c r="G627">
        <v>42923.56</v>
      </c>
      <c r="H627">
        <f t="shared" si="9"/>
        <v>499590.5</v>
      </c>
    </row>
    <row r="628" spans="1:8">
      <c r="A628">
        <v>627</v>
      </c>
      <c r="B628" s="331">
        <v>46203.857638888891</v>
      </c>
      <c r="C628" t="s">
        <v>411</v>
      </c>
      <c r="D628" t="s">
        <v>411</v>
      </c>
      <c r="E628" t="s">
        <v>489</v>
      </c>
      <c r="F628">
        <v>2828801</v>
      </c>
      <c r="H628">
        <f t="shared" si="9"/>
        <v>1414400.5</v>
      </c>
    </row>
    <row r="629" spans="1:8">
      <c r="A629">
        <v>628</v>
      </c>
      <c r="B629" s="331">
        <v>46203.857638888891</v>
      </c>
      <c r="C629" t="s">
        <v>410</v>
      </c>
      <c r="D629" t="s">
        <v>410</v>
      </c>
      <c r="E629" t="s">
        <v>489</v>
      </c>
      <c r="F629">
        <v>1930349</v>
      </c>
      <c r="H629">
        <f t="shared" si="9"/>
        <v>965174.5</v>
      </c>
    </row>
    <row r="630" spans="1:8">
      <c r="A630">
        <v>629</v>
      </c>
      <c r="B630" s="331">
        <v>46203.857638888891</v>
      </c>
      <c r="C630" t="s">
        <v>60</v>
      </c>
      <c r="D630" t="s">
        <v>60</v>
      </c>
      <c r="E630" t="s">
        <v>489</v>
      </c>
      <c r="F630">
        <v>830627</v>
      </c>
      <c r="G630">
        <v>34469.550000000003</v>
      </c>
      <c r="H630">
        <f t="shared" si="9"/>
        <v>415313.5</v>
      </c>
    </row>
    <row r="631" spans="1:8">
      <c r="A631">
        <v>630</v>
      </c>
      <c r="B631" s="331">
        <v>46203.857638888891</v>
      </c>
      <c r="C631" t="s">
        <v>93</v>
      </c>
      <c r="D631" t="s">
        <v>93</v>
      </c>
      <c r="E631" t="s">
        <v>489</v>
      </c>
      <c r="F631">
        <v>2326941</v>
      </c>
      <c r="G631">
        <v>92653.05</v>
      </c>
      <c r="H631">
        <f t="shared" si="9"/>
        <v>1163470.5</v>
      </c>
    </row>
    <row r="632" spans="1:8">
      <c r="A632">
        <v>631</v>
      </c>
      <c r="B632" s="331">
        <v>46203.857638888891</v>
      </c>
      <c r="C632" t="s">
        <v>408</v>
      </c>
      <c r="D632" t="s">
        <v>408</v>
      </c>
      <c r="E632" t="s">
        <v>489</v>
      </c>
      <c r="F632">
        <v>1962729</v>
      </c>
      <c r="H632">
        <f t="shared" si="9"/>
        <v>981364.5</v>
      </c>
    </row>
    <row r="633" spans="1:8">
      <c r="A633">
        <v>632</v>
      </c>
      <c r="B633" s="331">
        <v>46203.857638888891</v>
      </c>
      <c r="C633" t="s">
        <v>66</v>
      </c>
      <c r="D633" t="s">
        <v>66</v>
      </c>
      <c r="E633" t="s">
        <v>489</v>
      </c>
      <c r="F633">
        <v>1763546</v>
      </c>
      <c r="G633">
        <v>68834.009999999995</v>
      </c>
      <c r="H633">
        <f t="shared" si="9"/>
        <v>881773</v>
      </c>
    </row>
    <row r="634" spans="1:8">
      <c r="A634">
        <v>633</v>
      </c>
      <c r="B634" s="331">
        <v>46203.857638888891</v>
      </c>
      <c r="C634" t="s">
        <v>72</v>
      </c>
      <c r="D634" t="s">
        <v>72</v>
      </c>
      <c r="E634" t="s">
        <v>489</v>
      </c>
      <c r="F634">
        <v>2972853</v>
      </c>
      <c r="G634">
        <v>114673.58</v>
      </c>
      <c r="H634">
        <f t="shared" si="9"/>
        <v>1486426.5</v>
      </c>
    </row>
    <row r="635" spans="1:8">
      <c r="A635">
        <v>634</v>
      </c>
      <c r="B635" s="331">
        <v>46203.857638888891</v>
      </c>
      <c r="C635" t="s">
        <v>91</v>
      </c>
      <c r="D635" t="s">
        <v>91</v>
      </c>
      <c r="E635" t="s">
        <v>489</v>
      </c>
      <c r="F635">
        <v>2210568</v>
      </c>
      <c r="G635">
        <v>88263.15</v>
      </c>
      <c r="H635">
        <f t="shared" si="9"/>
        <v>1105284</v>
      </c>
    </row>
    <row r="636" spans="1:8">
      <c r="A636">
        <v>635</v>
      </c>
      <c r="B636" s="331">
        <v>46203.857638888891</v>
      </c>
      <c r="C636" t="s">
        <v>90</v>
      </c>
      <c r="D636" t="s">
        <v>90</v>
      </c>
      <c r="E636" t="s">
        <v>489</v>
      </c>
      <c r="F636">
        <v>2321017</v>
      </c>
      <c r="G636">
        <v>96018.4</v>
      </c>
      <c r="H636">
        <f t="shared" si="9"/>
        <v>1160508.5</v>
      </c>
    </row>
    <row r="637" spans="1:8">
      <c r="A637">
        <v>636</v>
      </c>
      <c r="B637" s="331">
        <v>46203.857638888891</v>
      </c>
      <c r="C637" t="s">
        <v>63</v>
      </c>
      <c r="D637" t="s">
        <v>63</v>
      </c>
      <c r="E637" t="s">
        <v>489</v>
      </c>
      <c r="F637">
        <v>919672</v>
      </c>
      <c r="G637">
        <v>34594.239999999998</v>
      </c>
      <c r="H637">
        <f t="shared" si="9"/>
        <v>459836</v>
      </c>
    </row>
    <row r="638" spans="1:8">
      <c r="A638">
        <v>637</v>
      </c>
      <c r="B638" s="331">
        <v>46203.857638888891</v>
      </c>
      <c r="C638" t="s">
        <v>446</v>
      </c>
      <c r="D638" t="s">
        <v>446</v>
      </c>
      <c r="E638" t="s">
        <v>489</v>
      </c>
      <c r="F638">
        <v>2895617</v>
      </c>
      <c r="H638">
        <f t="shared" si="9"/>
        <v>1447808.5</v>
      </c>
    </row>
    <row r="639" spans="1:8">
      <c r="A639">
        <v>638</v>
      </c>
      <c r="B639" s="331">
        <v>46203.857638888891</v>
      </c>
      <c r="C639" t="s">
        <v>883</v>
      </c>
      <c r="D639" t="s">
        <v>883</v>
      </c>
      <c r="E639" t="s">
        <v>372</v>
      </c>
      <c r="F639">
        <v>504696</v>
      </c>
      <c r="G639">
        <v>24719.96</v>
      </c>
      <c r="H639">
        <f t="shared" si="9"/>
        <v>252348</v>
      </c>
    </row>
    <row r="640" spans="1:8">
      <c r="A640">
        <v>639</v>
      </c>
      <c r="B640" s="331">
        <v>46203.857638888891</v>
      </c>
      <c r="C640" t="s">
        <v>882</v>
      </c>
      <c r="D640" t="s">
        <v>882</v>
      </c>
      <c r="E640" t="s">
        <v>372</v>
      </c>
      <c r="F640">
        <v>891483</v>
      </c>
      <c r="G640">
        <v>45063.22</v>
      </c>
      <c r="H640">
        <f t="shared" si="9"/>
        <v>445741.5</v>
      </c>
    </row>
    <row r="641" spans="1:8">
      <c r="A641">
        <v>640</v>
      </c>
      <c r="B641" s="331">
        <v>46203.857638888891</v>
      </c>
      <c r="C641" t="s">
        <v>453</v>
      </c>
      <c r="D641" t="s">
        <v>453</v>
      </c>
      <c r="E641" t="s">
        <v>372</v>
      </c>
      <c r="F641">
        <v>2529826</v>
      </c>
      <c r="G641">
        <v>117210.63</v>
      </c>
      <c r="H641">
        <f t="shared" si="9"/>
        <v>1264913</v>
      </c>
    </row>
    <row r="642" spans="1:8">
      <c r="A642">
        <v>641</v>
      </c>
      <c r="B642" s="331">
        <v>46203.857638888891</v>
      </c>
      <c r="C642" t="s">
        <v>886</v>
      </c>
      <c r="D642" t="s">
        <v>886</v>
      </c>
      <c r="E642" t="s">
        <v>372</v>
      </c>
      <c r="F642">
        <v>883349</v>
      </c>
      <c r="G642">
        <v>45148.5</v>
      </c>
      <c r="H642">
        <f t="shared" si="9"/>
        <v>441674.5</v>
      </c>
    </row>
    <row r="643" spans="1:8">
      <c r="A643">
        <v>642</v>
      </c>
      <c r="B643" s="331">
        <v>46203.857638888891</v>
      </c>
      <c r="C643" t="s">
        <v>884</v>
      </c>
      <c r="D643" t="s">
        <v>884</v>
      </c>
      <c r="E643" t="s">
        <v>372</v>
      </c>
      <c r="F643">
        <v>509817</v>
      </c>
      <c r="G643">
        <v>25393.98</v>
      </c>
      <c r="H643">
        <f t="shared" ref="H643:H706" si="10">0.5*F643</f>
        <v>254908.5</v>
      </c>
    </row>
    <row r="644" spans="1:8">
      <c r="A644">
        <v>643</v>
      </c>
      <c r="B644" s="331">
        <v>46203.857638888891</v>
      </c>
      <c r="C644" t="s">
        <v>498</v>
      </c>
      <c r="D644" t="s">
        <v>498</v>
      </c>
      <c r="E644" t="s">
        <v>372</v>
      </c>
      <c r="F644">
        <v>2292471</v>
      </c>
      <c r="G644">
        <v>95251</v>
      </c>
      <c r="H644">
        <f t="shared" si="10"/>
        <v>1146235.5</v>
      </c>
    </row>
    <row r="645" spans="1:8">
      <c r="A645">
        <v>644</v>
      </c>
      <c r="B645" s="331">
        <v>46203.857638888891</v>
      </c>
      <c r="C645" t="s">
        <v>889</v>
      </c>
      <c r="D645" t="s">
        <v>889</v>
      </c>
      <c r="E645" t="s">
        <v>372</v>
      </c>
      <c r="F645">
        <v>1007607</v>
      </c>
      <c r="G645">
        <v>45733.5</v>
      </c>
      <c r="H645">
        <f t="shared" si="10"/>
        <v>503803.5</v>
      </c>
    </row>
    <row r="646" spans="1:8">
      <c r="A646">
        <v>645</v>
      </c>
      <c r="B646" s="331">
        <v>46203.857638888891</v>
      </c>
      <c r="C646" t="s">
        <v>361</v>
      </c>
      <c r="D646" t="s">
        <v>361</v>
      </c>
      <c r="E646" t="s">
        <v>372</v>
      </c>
      <c r="F646">
        <v>775685</v>
      </c>
      <c r="G646">
        <v>39030.910000000003</v>
      </c>
      <c r="H646">
        <f t="shared" si="10"/>
        <v>387842.5</v>
      </c>
    </row>
    <row r="647" spans="1:8">
      <c r="A647">
        <v>646</v>
      </c>
      <c r="B647" s="331">
        <v>46203.857638888891</v>
      </c>
      <c r="C647" t="s">
        <v>887</v>
      </c>
      <c r="D647" t="s">
        <v>887</v>
      </c>
      <c r="E647" t="s">
        <v>372</v>
      </c>
      <c r="F647">
        <v>891985</v>
      </c>
      <c r="G647">
        <v>43958.81</v>
      </c>
      <c r="H647">
        <f t="shared" si="10"/>
        <v>445992.5</v>
      </c>
    </row>
    <row r="648" spans="1:8">
      <c r="A648">
        <v>647</v>
      </c>
      <c r="B648" s="331">
        <v>46203.857638888891</v>
      </c>
      <c r="C648" t="s">
        <v>496</v>
      </c>
      <c r="D648" t="s">
        <v>496</v>
      </c>
      <c r="E648" t="s">
        <v>372</v>
      </c>
      <c r="F648">
        <v>1718486</v>
      </c>
      <c r="G648">
        <v>71527.39</v>
      </c>
      <c r="H648">
        <f t="shared" si="10"/>
        <v>859243</v>
      </c>
    </row>
    <row r="649" spans="1:8">
      <c r="A649">
        <v>648</v>
      </c>
      <c r="B649" s="331">
        <v>46203.857638888891</v>
      </c>
      <c r="C649" t="s">
        <v>497</v>
      </c>
      <c r="D649" t="s">
        <v>497</v>
      </c>
      <c r="E649" t="s">
        <v>372</v>
      </c>
      <c r="F649">
        <v>1715812</v>
      </c>
      <c r="G649">
        <v>71148.679999999993</v>
      </c>
      <c r="H649">
        <f t="shared" si="10"/>
        <v>857906</v>
      </c>
    </row>
    <row r="650" spans="1:8">
      <c r="A650">
        <v>649</v>
      </c>
      <c r="B650" s="331">
        <v>46203.857638888891</v>
      </c>
      <c r="C650" t="s">
        <v>892</v>
      </c>
      <c r="D650" t="s">
        <v>892</v>
      </c>
      <c r="E650" t="s">
        <v>372</v>
      </c>
      <c r="F650">
        <v>1009800</v>
      </c>
      <c r="G650">
        <v>46164.52</v>
      </c>
      <c r="H650">
        <f t="shared" si="10"/>
        <v>504900</v>
      </c>
    </row>
    <row r="651" spans="1:8">
      <c r="A651">
        <v>650</v>
      </c>
      <c r="B651" s="331">
        <v>46203.857638888891</v>
      </c>
      <c r="C651" t="s">
        <v>71</v>
      </c>
      <c r="D651" t="s">
        <v>71</v>
      </c>
      <c r="E651" t="s">
        <v>489</v>
      </c>
      <c r="F651">
        <v>2948789</v>
      </c>
      <c r="G651">
        <v>113680</v>
      </c>
      <c r="H651">
        <f t="shared" si="10"/>
        <v>1474394.5</v>
      </c>
    </row>
    <row r="652" spans="1:8">
      <c r="A652">
        <v>651</v>
      </c>
      <c r="B652" s="331">
        <v>46203.857638888891</v>
      </c>
      <c r="C652" t="s">
        <v>87</v>
      </c>
      <c r="D652" t="s">
        <v>87</v>
      </c>
      <c r="E652" t="s">
        <v>489</v>
      </c>
      <c r="F652">
        <v>334083</v>
      </c>
      <c r="G652">
        <v>1408.81</v>
      </c>
      <c r="H652">
        <f t="shared" si="10"/>
        <v>167041.5</v>
      </c>
    </row>
    <row r="653" spans="1:8">
      <c r="A653">
        <v>652</v>
      </c>
      <c r="B653" s="331">
        <v>46203.857638888891</v>
      </c>
      <c r="C653" t="s">
        <v>78</v>
      </c>
      <c r="D653" t="s">
        <v>78</v>
      </c>
      <c r="E653" t="s">
        <v>489</v>
      </c>
      <c r="F653">
        <v>1188136</v>
      </c>
      <c r="G653">
        <v>56568.21</v>
      </c>
      <c r="H653">
        <f t="shared" si="10"/>
        <v>594068</v>
      </c>
    </row>
    <row r="654" spans="1:8">
      <c r="A654">
        <v>653</v>
      </c>
      <c r="B654" s="331">
        <v>46203.857638888891</v>
      </c>
      <c r="C654" t="s">
        <v>83</v>
      </c>
      <c r="D654" t="s">
        <v>83</v>
      </c>
      <c r="E654" t="s">
        <v>489</v>
      </c>
      <c r="F654">
        <v>2084070</v>
      </c>
      <c r="G654">
        <v>97336.97</v>
      </c>
      <c r="H654">
        <f t="shared" si="10"/>
        <v>1042035</v>
      </c>
    </row>
    <row r="655" spans="1:8">
      <c r="A655">
        <v>654</v>
      </c>
      <c r="B655" s="331">
        <v>46203.857638888891</v>
      </c>
      <c r="C655" t="s">
        <v>91</v>
      </c>
      <c r="D655" t="s">
        <v>91</v>
      </c>
      <c r="E655" t="s">
        <v>489</v>
      </c>
      <c r="F655">
        <v>2210501</v>
      </c>
      <c r="G655">
        <v>88626.47</v>
      </c>
      <c r="H655">
        <f t="shared" si="10"/>
        <v>1105250.5</v>
      </c>
    </row>
    <row r="656" spans="1:8">
      <c r="A656">
        <v>655</v>
      </c>
      <c r="B656" s="331">
        <v>46203.854166666664</v>
      </c>
      <c r="C656" t="s">
        <v>80</v>
      </c>
      <c r="D656" t="s">
        <v>80</v>
      </c>
      <c r="E656" t="s">
        <v>489</v>
      </c>
      <c r="F656">
        <v>1115678</v>
      </c>
      <c r="G656">
        <v>52788.62</v>
      </c>
      <c r="H656">
        <f t="shared" si="10"/>
        <v>557839</v>
      </c>
    </row>
    <row r="657" spans="1:8">
      <c r="A657">
        <v>656</v>
      </c>
      <c r="B657" s="331">
        <v>46203.854166666664</v>
      </c>
      <c r="C657" t="s">
        <v>328</v>
      </c>
      <c r="D657" t="s">
        <v>328</v>
      </c>
      <c r="E657" t="s">
        <v>489</v>
      </c>
      <c r="F657">
        <v>3420818</v>
      </c>
      <c r="G657">
        <v>134290.35999999999</v>
      </c>
      <c r="H657">
        <f t="shared" si="10"/>
        <v>1710409</v>
      </c>
    </row>
    <row r="658" spans="1:8">
      <c r="A658">
        <v>657</v>
      </c>
      <c r="B658" s="331">
        <v>46203.854166666664</v>
      </c>
      <c r="C658" t="s">
        <v>1110</v>
      </c>
      <c r="D658" t="s">
        <v>1110</v>
      </c>
      <c r="E658" t="s">
        <v>489</v>
      </c>
      <c r="F658">
        <v>3023466</v>
      </c>
      <c r="H658">
        <f t="shared" si="10"/>
        <v>1511733</v>
      </c>
    </row>
    <row r="659" spans="1:8">
      <c r="A659">
        <v>658</v>
      </c>
      <c r="B659" s="331">
        <v>46203.854166666664</v>
      </c>
      <c r="C659" t="s">
        <v>1109</v>
      </c>
      <c r="D659" t="s">
        <v>1109</v>
      </c>
      <c r="E659" t="s">
        <v>489</v>
      </c>
      <c r="F659">
        <v>2876452</v>
      </c>
      <c r="H659">
        <f t="shared" si="10"/>
        <v>1438226</v>
      </c>
    </row>
    <row r="660" spans="1:8">
      <c r="A660">
        <v>659</v>
      </c>
      <c r="B660" s="331">
        <v>46203.854166666664</v>
      </c>
      <c r="C660" t="s">
        <v>87</v>
      </c>
      <c r="D660" t="s">
        <v>87</v>
      </c>
      <c r="E660" t="s">
        <v>489</v>
      </c>
      <c r="F660">
        <v>334305</v>
      </c>
      <c r="G660">
        <v>1250.6600000000001</v>
      </c>
      <c r="H660">
        <f t="shared" si="10"/>
        <v>167152.5</v>
      </c>
    </row>
    <row r="661" spans="1:8">
      <c r="A661">
        <v>660</v>
      </c>
      <c r="B661" s="331">
        <v>46203.854166666664</v>
      </c>
      <c r="C661" t="s">
        <v>426</v>
      </c>
      <c r="D661" t="s">
        <v>426</v>
      </c>
      <c r="E661" t="s">
        <v>489</v>
      </c>
      <c r="F661">
        <v>449100</v>
      </c>
      <c r="H661">
        <f t="shared" si="10"/>
        <v>224550</v>
      </c>
    </row>
    <row r="662" spans="1:8">
      <c r="A662">
        <v>661</v>
      </c>
      <c r="B662" s="331">
        <v>46203.854166666664</v>
      </c>
      <c r="C662" t="s">
        <v>1108</v>
      </c>
      <c r="D662" t="s">
        <v>1108</v>
      </c>
      <c r="E662" t="s">
        <v>489</v>
      </c>
      <c r="F662">
        <v>1738368</v>
      </c>
      <c r="H662">
        <f t="shared" si="10"/>
        <v>869184</v>
      </c>
    </row>
    <row r="663" spans="1:8">
      <c r="A663">
        <v>662</v>
      </c>
      <c r="B663" s="331">
        <v>46203.854166666664</v>
      </c>
      <c r="C663" t="s">
        <v>66</v>
      </c>
      <c r="D663" t="s">
        <v>66</v>
      </c>
      <c r="E663" t="s">
        <v>489</v>
      </c>
      <c r="F663">
        <v>1763384</v>
      </c>
      <c r="G663">
        <v>67633.64</v>
      </c>
      <c r="H663">
        <f t="shared" si="10"/>
        <v>881692</v>
      </c>
    </row>
    <row r="664" spans="1:8">
      <c r="A664">
        <v>663</v>
      </c>
      <c r="B664" s="331">
        <v>46203.854166666664</v>
      </c>
      <c r="C664" t="s">
        <v>976</v>
      </c>
      <c r="D664" t="s">
        <v>976</v>
      </c>
      <c r="E664" t="s">
        <v>489</v>
      </c>
      <c r="F664">
        <v>1661237</v>
      </c>
      <c r="H664">
        <f t="shared" si="10"/>
        <v>830618.5</v>
      </c>
    </row>
    <row r="665" spans="1:8">
      <c r="A665">
        <v>664</v>
      </c>
      <c r="B665" s="331">
        <v>46203.854166666664</v>
      </c>
      <c r="C665" t="s">
        <v>408</v>
      </c>
      <c r="D665" t="s">
        <v>408</v>
      </c>
      <c r="E665" t="s">
        <v>489</v>
      </c>
      <c r="F665">
        <v>1963566</v>
      </c>
      <c r="H665">
        <f t="shared" si="10"/>
        <v>981783</v>
      </c>
    </row>
    <row r="666" spans="1:8">
      <c r="A666">
        <v>665</v>
      </c>
      <c r="B666" s="331">
        <v>46203.854166666664</v>
      </c>
      <c r="C666" t="s">
        <v>445</v>
      </c>
      <c r="D666" t="s">
        <v>445</v>
      </c>
      <c r="E666" t="s">
        <v>489</v>
      </c>
      <c r="F666">
        <v>2933834</v>
      </c>
      <c r="H666">
        <f t="shared" si="10"/>
        <v>1466917</v>
      </c>
    </row>
    <row r="667" spans="1:8">
      <c r="A667">
        <v>666</v>
      </c>
      <c r="B667" s="331">
        <v>46203.854166666664</v>
      </c>
      <c r="C667" t="s">
        <v>279</v>
      </c>
      <c r="D667" t="s">
        <v>279</v>
      </c>
      <c r="E667" t="s">
        <v>489</v>
      </c>
      <c r="F667">
        <v>2955163</v>
      </c>
      <c r="G667">
        <v>110966.34</v>
      </c>
      <c r="H667">
        <f t="shared" si="10"/>
        <v>1477581.5</v>
      </c>
    </row>
    <row r="668" spans="1:8">
      <c r="A668">
        <v>667</v>
      </c>
      <c r="B668" s="331">
        <v>46203.854166666664</v>
      </c>
      <c r="C668" t="s">
        <v>980</v>
      </c>
      <c r="D668" t="s">
        <v>980</v>
      </c>
      <c r="E668" t="s">
        <v>489</v>
      </c>
      <c r="F668">
        <v>1735162</v>
      </c>
      <c r="H668">
        <f t="shared" si="10"/>
        <v>867581</v>
      </c>
    </row>
    <row r="669" spans="1:8">
      <c r="A669">
        <v>668</v>
      </c>
      <c r="B669" s="331">
        <v>46203.854166666664</v>
      </c>
      <c r="C669" t="s">
        <v>75</v>
      </c>
      <c r="D669" t="s">
        <v>75</v>
      </c>
      <c r="E669" t="s">
        <v>489</v>
      </c>
      <c r="F669">
        <v>900225</v>
      </c>
      <c r="G669">
        <v>43438.15</v>
      </c>
      <c r="H669">
        <f t="shared" si="10"/>
        <v>450112.5</v>
      </c>
    </row>
    <row r="670" spans="1:8">
      <c r="A670">
        <v>669</v>
      </c>
      <c r="B670" s="331">
        <v>46203.854166666664</v>
      </c>
      <c r="C670" t="s">
        <v>89</v>
      </c>
      <c r="D670" t="s">
        <v>89</v>
      </c>
      <c r="E670" t="s">
        <v>489</v>
      </c>
      <c r="F670">
        <v>1081538</v>
      </c>
      <c r="G670">
        <v>44036.45</v>
      </c>
      <c r="H670">
        <f t="shared" si="10"/>
        <v>540769</v>
      </c>
    </row>
    <row r="671" spans="1:8">
      <c r="A671">
        <v>670</v>
      </c>
      <c r="B671" s="331">
        <v>46203.854166666664</v>
      </c>
      <c r="C671" t="s">
        <v>81</v>
      </c>
      <c r="D671" t="s">
        <v>81</v>
      </c>
      <c r="E671" t="s">
        <v>489</v>
      </c>
      <c r="F671">
        <v>2081468</v>
      </c>
      <c r="G671">
        <v>98520.76</v>
      </c>
      <c r="H671">
        <f t="shared" si="10"/>
        <v>1040734</v>
      </c>
    </row>
    <row r="672" spans="1:8">
      <c r="A672">
        <v>671</v>
      </c>
      <c r="B672" s="331">
        <v>46203.854166666664</v>
      </c>
      <c r="C672" t="s">
        <v>278</v>
      </c>
      <c r="D672" t="s">
        <v>278</v>
      </c>
      <c r="E672" t="s">
        <v>489</v>
      </c>
      <c r="F672">
        <v>2975047</v>
      </c>
      <c r="G672">
        <v>113637.21</v>
      </c>
      <c r="H672">
        <f t="shared" si="10"/>
        <v>1487523.5</v>
      </c>
    </row>
    <row r="673" spans="1:8">
      <c r="A673">
        <v>672</v>
      </c>
      <c r="B673" s="331">
        <v>46203.854166666664</v>
      </c>
      <c r="C673" t="s">
        <v>277</v>
      </c>
      <c r="D673" t="s">
        <v>277</v>
      </c>
      <c r="E673" t="s">
        <v>489</v>
      </c>
      <c r="F673">
        <v>2825885</v>
      </c>
      <c r="G673">
        <v>105633.82</v>
      </c>
      <c r="H673">
        <f t="shared" si="10"/>
        <v>1412942.5</v>
      </c>
    </row>
    <row r="674" spans="1:8">
      <c r="A674">
        <v>673</v>
      </c>
      <c r="B674" s="331">
        <v>46203.854166666664</v>
      </c>
      <c r="C674" t="s">
        <v>91</v>
      </c>
      <c r="D674" t="s">
        <v>91</v>
      </c>
      <c r="E674" t="s">
        <v>489</v>
      </c>
      <c r="F674">
        <v>2210578</v>
      </c>
      <c r="G674">
        <v>88602.01</v>
      </c>
      <c r="H674">
        <f t="shared" si="10"/>
        <v>1105289</v>
      </c>
    </row>
    <row r="675" spans="1:8">
      <c r="A675">
        <v>674</v>
      </c>
      <c r="B675" s="331">
        <v>46203.854166666664</v>
      </c>
      <c r="C675" t="s">
        <v>93</v>
      </c>
      <c r="D675" t="s">
        <v>93</v>
      </c>
      <c r="E675" t="s">
        <v>489</v>
      </c>
      <c r="F675">
        <v>2327003</v>
      </c>
      <c r="G675">
        <v>93830.48</v>
      </c>
      <c r="H675">
        <f t="shared" si="10"/>
        <v>1163501.5</v>
      </c>
    </row>
    <row r="676" spans="1:8">
      <c r="A676">
        <v>675</v>
      </c>
      <c r="B676" s="331">
        <v>46203.854166666664</v>
      </c>
      <c r="C676" t="s">
        <v>60</v>
      </c>
      <c r="D676" t="s">
        <v>60</v>
      </c>
      <c r="E676" t="s">
        <v>489</v>
      </c>
      <c r="F676">
        <v>830478</v>
      </c>
      <c r="G676">
        <v>34391.11</v>
      </c>
      <c r="H676">
        <f t="shared" si="10"/>
        <v>415239</v>
      </c>
    </row>
    <row r="677" spans="1:8">
      <c r="A677">
        <v>676</v>
      </c>
      <c r="B677" s="331">
        <v>46203.854166666664</v>
      </c>
      <c r="C677" t="s">
        <v>65</v>
      </c>
      <c r="D677" t="s">
        <v>65</v>
      </c>
      <c r="E677" t="s">
        <v>489</v>
      </c>
      <c r="F677">
        <v>2010896</v>
      </c>
      <c r="G677">
        <v>76982.759999999995</v>
      </c>
      <c r="H677">
        <f t="shared" si="10"/>
        <v>1005448</v>
      </c>
    </row>
    <row r="678" spans="1:8">
      <c r="A678">
        <v>677</v>
      </c>
      <c r="B678" s="331">
        <v>46203.854166666664</v>
      </c>
      <c r="C678" t="s">
        <v>90</v>
      </c>
      <c r="D678" t="s">
        <v>90</v>
      </c>
      <c r="E678" t="s">
        <v>489</v>
      </c>
      <c r="F678">
        <v>2321345</v>
      </c>
      <c r="G678">
        <v>95565.51</v>
      </c>
      <c r="H678">
        <f t="shared" si="10"/>
        <v>1160672.5</v>
      </c>
    </row>
    <row r="679" spans="1:8">
      <c r="A679">
        <v>678</v>
      </c>
      <c r="B679" s="331">
        <v>46203.854166666664</v>
      </c>
      <c r="C679" t="s">
        <v>72</v>
      </c>
      <c r="D679" t="s">
        <v>72</v>
      </c>
      <c r="E679" t="s">
        <v>489</v>
      </c>
      <c r="F679">
        <v>2972735</v>
      </c>
      <c r="G679">
        <v>113403.22</v>
      </c>
      <c r="H679">
        <f t="shared" si="10"/>
        <v>1486367.5</v>
      </c>
    </row>
    <row r="680" spans="1:8">
      <c r="A680">
        <v>679</v>
      </c>
      <c r="B680" s="331">
        <v>46203.854166666664</v>
      </c>
      <c r="C680" t="s">
        <v>77</v>
      </c>
      <c r="D680" t="s">
        <v>77</v>
      </c>
      <c r="E680" t="s">
        <v>489</v>
      </c>
      <c r="F680">
        <v>892235</v>
      </c>
      <c r="G680">
        <v>42234.74</v>
      </c>
      <c r="H680">
        <f t="shared" si="10"/>
        <v>446117.5</v>
      </c>
    </row>
    <row r="681" spans="1:8">
      <c r="A681">
        <v>680</v>
      </c>
      <c r="B681" s="331">
        <v>46203.854166666664</v>
      </c>
      <c r="C681" t="s">
        <v>411</v>
      </c>
      <c r="D681" t="s">
        <v>411</v>
      </c>
      <c r="E681" t="s">
        <v>489</v>
      </c>
      <c r="F681">
        <v>2830274</v>
      </c>
      <c r="H681">
        <f t="shared" si="10"/>
        <v>1415137</v>
      </c>
    </row>
    <row r="682" spans="1:8">
      <c r="A682">
        <v>681</v>
      </c>
      <c r="B682" s="331">
        <v>46203.854166666664</v>
      </c>
      <c r="C682" t="s">
        <v>74</v>
      </c>
      <c r="D682" t="s">
        <v>74</v>
      </c>
      <c r="E682" t="s">
        <v>489</v>
      </c>
      <c r="F682">
        <v>1308847</v>
      </c>
      <c r="G682">
        <v>51479.82</v>
      </c>
      <c r="H682">
        <f t="shared" si="10"/>
        <v>654423.5</v>
      </c>
    </row>
    <row r="683" spans="1:8">
      <c r="A683">
        <v>682</v>
      </c>
      <c r="B683" s="331">
        <v>46203.854166666664</v>
      </c>
      <c r="C683" t="s">
        <v>979</v>
      </c>
      <c r="D683" t="s">
        <v>979</v>
      </c>
      <c r="E683" t="s">
        <v>489</v>
      </c>
      <c r="F683">
        <v>1284344</v>
      </c>
      <c r="H683">
        <f t="shared" si="10"/>
        <v>642172</v>
      </c>
    </row>
    <row r="684" spans="1:8">
      <c r="A684">
        <v>683</v>
      </c>
      <c r="B684" s="331">
        <v>46203.854166666664</v>
      </c>
      <c r="C684" t="s">
        <v>71</v>
      </c>
      <c r="D684" t="s">
        <v>71</v>
      </c>
      <c r="E684" t="s">
        <v>489</v>
      </c>
      <c r="F684">
        <v>2948266</v>
      </c>
      <c r="G684">
        <v>110212.26</v>
      </c>
      <c r="H684">
        <f t="shared" si="10"/>
        <v>1474133</v>
      </c>
    </row>
    <row r="685" spans="1:8">
      <c r="A685">
        <v>684</v>
      </c>
      <c r="B685" s="331">
        <v>46203.854166666664</v>
      </c>
      <c r="C685" t="s">
        <v>1107</v>
      </c>
      <c r="D685" t="s">
        <v>1107</v>
      </c>
      <c r="E685" t="s">
        <v>489</v>
      </c>
      <c r="F685">
        <v>440202</v>
      </c>
      <c r="H685">
        <f t="shared" si="10"/>
        <v>220101</v>
      </c>
    </row>
    <row r="686" spans="1:8">
      <c r="A686">
        <v>685</v>
      </c>
      <c r="B686" s="331">
        <v>46203.854166666664</v>
      </c>
      <c r="C686" t="s">
        <v>446</v>
      </c>
      <c r="D686" t="s">
        <v>446</v>
      </c>
      <c r="E686" t="s">
        <v>489</v>
      </c>
      <c r="F686">
        <v>2896798</v>
      </c>
      <c r="H686">
        <f t="shared" si="10"/>
        <v>1448399</v>
      </c>
    </row>
    <row r="687" spans="1:8">
      <c r="A687">
        <v>686</v>
      </c>
      <c r="B687" s="331">
        <v>46203.854166666664</v>
      </c>
      <c r="C687" t="s">
        <v>84</v>
      </c>
      <c r="D687" t="s">
        <v>84</v>
      </c>
      <c r="E687" t="s">
        <v>489</v>
      </c>
      <c r="F687">
        <v>996469</v>
      </c>
      <c r="G687">
        <v>43679.08</v>
      </c>
      <c r="H687">
        <f t="shared" si="10"/>
        <v>498234.5</v>
      </c>
    </row>
    <row r="688" spans="1:8">
      <c r="A688">
        <v>687</v>
      </c>
      <c r="B688" s="331">
        <v>46203.854166666664</v>
      </c>
      <c r="C688" t="s">
        <v>69</v>
      </c>
      <c r="D688" t="s">
        <v>69</v>
      </c>
      <c r="E688" t="s">
        <v>489</v>
      </c>
      <c r="F688">
        <v>2958670</v>
      </c>
      <c r="G688">
        <v>112442.85</v>
      </c>
      <c r="H688">
        <f t="shared" si="10"/>
        <v>1479335</v>
      </c>
    </row>
    <row r="689" spans="1:8">
      <c r="A689">
        <v>688</v>
      </c>
      <c r="B689" s="331">
        <v>46203.854166666664</v>
      </c>
      <c r="C689" t="s">
        <v>68</v>
      </c>
      <c r="D689" t="s">
        <v>68</v>
      </c>
      <c r="E689" t="s">
        <v>489</v>
      </c>
      <c r="F689">
        <v>1996766</v>
      </c>
      <c r="G689">
        <v>76730.94</v>
      </c>
      <c r="H689">
        <f t="shared" si="10"/>
        <v>998383</v>
      </c>
    </row>
    <row r="690" spans="1:8">
      <c r="A690">
        <v>689</v>
      </c>
      <c r="B690" s="331">
        <v>46203.854166666664</v>
      </c>
      <c r="C690" t="s">
        <v>276</v>
      </c>
      <c r="D690" t="s">
        <v>276</v>
      </c>
      <c r="E690" t="s">
        <v>489</v>
      </c>
      <c r="F690">
        <v>2066933</v>
      </c>
      <c r="G690">
        <v>94836.64</v>
      </c>
      <c r="H690">
        <f t="shared" si="10"/>
        <v>1033466.5</v>
      </c>
    </row>
    <row r="691" spans="1:8">
      <c r="A691">
        <v>690</v>
      </c>
      <c r="B691" s="331">
        <v>46203.854166666664</v>
      </c>
      <c r="C691" t="s">
        <v>63</v>
      </c>
      <c r="D691" t="s">
        <v>63</v>
      </c>
      <c r="E691" t="s">
        <v>489</v>
      </c>
      <c r="F691">
        <v>919654</v>
      </c>
      <c r="G691">
        <v>33862.22</v>
      </c>
      <c r="H691">
        <f t="shared" si="10"/>
        <v>459827</v>
      </c>
    </row>
    <row r="692" spans="1:8">
      <c r="A692">
        <v>691</v>
      </c>
      <c r="B692" s="331">
        <v>46203.854166666664</v>
      </c>
      <c r="C692" t="s">
        <v>58</v>
      </c>
      <c r="D692" t="s">
        <v>58</v>
      </c>
      <c r="E692" t="s">
        <v>489</v>
      </c>
      <c r="F692">
        <v>825877</v>
      </c>
      <c r="G692">
        <v>33895.96</v>
      </c>
      <c r="H692">
        <f t="shared" si="10"/>
        <v>412938.5</v>
      </c>
    </row>
    <row r="693" spans="1:8">
      <c r="A693">
        <v>692</v>
      </c>
      <c r="B693" s="331">
        <v>46203.854166666664</v>
      </c>
      <c r="C693" t="s">
        <v>78</v>
      </c>
      <c r="D693" t="s">
        <v>78</v>
      </c>
      <c r="E693" t="s">
        <v>489</v>
      </c>
      <c r="F693">
        <v>1188453</v>
      </c>
      <c r="G693">
        <v>56546.239999999998</v>
      </c>
      <c r="H693">
        <f t="shared" si="10"/>
        <v>594226.5</v>
      </c>
    </row>
    <row r="694" spans="1:8">
      <c r="A694">
        <v>693</v>
      </c>
      <c r="B694" s="331">
        <v>46203.854166666664</v>
      </c>
      <c r="C694" t="s">
        <v>410</v>
      </c>
      <c r="D694" t="s">
        <v>410</v>
      </c>
      <c r="E694" t="s">
        <v>489</v>
      </c>
      <c r="F694">
        <v>1931254</v>
      </c>
      <c r="H694">
        <f t="shared" si="10"/>
        <v>965627</v>
      </c>
    </row>
    <row r="695" spans="1:8">
      <c r="A695">
        <v>694</v>
      </c>
      <c r="B695" s="331">
        <v>46203.854166666664</v>
      </c>
      <c r="C695" t="s">
        <v>86</v>
      </c>
      <c r="D695" t="s">
        <v>86</v>
      </c>
      <c r="E695" t="s">
        <v>489</v>
      </c>
      <c r="F695">
        <v>999380</v>
      </c>
      <c r="G695">
        <v>43457.1</v>
      </c>
      <c r="H695">
        <f t="shared" si="10"/>
        <v>499690</v>
      </c>
    </row>
    <row r="696" spans="1:8">
      <c r="A696">
        <v>695</v>
      </c>
      <c r="B696" s="331">
        <v>46203.854166666664</v>
      </c>
      <c r="C696" t="s">
        <v>61</v>
      </c>
      <c r="D696" t="s">
        <v>61</v>
      </c>
      <c r="E696" t="s">
        <v>489</v>
      </c>
      <c r="F696">
        <v>415676</v>
      </c>
      <c r="G696">
        <v>1291.4000000000001</v>
      </c>
      <c r="H696">
        <f t="shared" si="10"/>
        <v>207838</v>
      </c>
    </row>
    <row r="697" spans="1:8">
      <c r="A697">
        <v>696</v>
      </c>
      <c r="B697" s="331">
        <v>46203.854166666664</v>
      </c>
      <c r="C697" t="s">
        <v>337</v>
      </c>
      <c r="D697" t="s">
        <v>337</v>
      </c>
      <c r="E697" t="s">
        <v>489</v>
      </c>
      <c r="F697">
        <v>1310214</v>
      </c>
      <c r="G697">
        <v>50299.01</v>
      </c>
      <c r="H697">
        <f t="shared" si="10"/>
        <v>655107</v>
      </c>
    </row>
    <row r="698" spans="1:8">
      <c r="A698">
        <v>697</v>
      </c>
      <c r="B698" s="331">
        <v>46203.854166666664</v>
      </c>
      <c r="C698" t="s">
        <v>497</v>
      </c>
      <c r="D698" t="s">
        <v>497</v>
      </c>
      <c r="E698" t="s">
        <v>372</v>
      </c>
      <c r="F698">
        <v>1715473</v>
      </c>
      <c r="G698">
        <v>70766.47</v>
      </c>
      <c r="H698">
        <f t="shared" si="10"/>
        <v>857736.5</v>
      </c>
    </row>
    <row r="699" spans="1:8">
      <c r="A699">
        <v>698</v>
      </c>
      <c r="B699" s="331">
        <v>46203.854166666664</v>
      </c>
      <c r="C699" t="s">
        <v>452</v>
      </c>
      <c r="D699" t="s">
        <v>452</v>
      </c>
      <c r="E699" t="s">
        <v>372</v>
      </c>
      <c r="F699">
        <v>2511795</v>
      </c>
      <c r="G699">
        <v>118341.66</v>
      </c>
      <c r="H699">
        <f t="shared" si="10"/>
        <v>1255897.5</v>
      </c>
    </row>
    <row r="700" spans="1:8">
      <c r="A700">
        <v>699</v>
      </c>
      <c r="B700" s="331">
        <v>46203.854166666664</v>
      </c>
      <c r="C700" t="s">
        <v>359</v>
      </c>
      <c r="D700" t="s">
        <v>359</v>
      </c>
      <c r="E700" t="s">
        <v>372</v>
      </c>
      <c r="F700">
        <v>898633</v>
      </c>
      <c r="G700">
        <v>45438.89</v>
      </c>
      <c r="H700">
        <f t="shared" si="10"/>
        <v>449316.5</v>
      </c>
    </row>
    <row r="701" spans="1:8">
      <c r="A701">
        <v>700</v>
      </c>
      <c r="B701" s="331">
        <v>46203.854166666664</v>
      </c>
      <c r="C701" t="s">
        <v>453</v>
      </c>
      <c r="D701" t="s">
        <v>453</v>
      </c>
      <c r="E701" t="s">
        <v>372</v>
      </c>
      <c r="F701">
        <v>2530151</v>
      </c>
      <c r="G701">
        <v>118013.71</v>
      </c>
      <c r="H701">
        <f t="shared" si="10"/>
        <v>1265075.5</v>
      </c>
    </row>
    <row r="702" spans="1:8">
      <c r="A702">
        <v>701</v>
      </c>
      <c r="B702" s="331">
        <v>46203.854166666664</v>
      </c>
      <c r="C702" t="s">
        <v>884</v>
      </c>
      <c r="D702" t="s">
        <v>884</v>
      </c>
      <c r="E702" t="s">
        <v>372</v>
      </c>
      <c r="F702">
        <v>510049</v>
      </c>
      <c r="G702">
        <v>25422.02</v>
      </c>
      <c r="H702">
        <f t="shared" si="10"/>
        <v>255024.5</v>
      </c>
    </row>
    <row r="703" spans="1:8">
      <c r="A703">
        <v>702</v>
      </c>
      <c r="B703" s="331">
        <v>46203.854166666664</v>
      </c>
      <c r="C703" t="s">
        <v>892</v>
      </c>
      <c r="D703" t="s">
        <v>892</v>
      </c>
      <c r="E703" t="s">
        <v>372</v>
      </c>
      <c r="F703">
        <v>1010591</v>
      </c>
      <c r="G703">
        <v>46229.05</v>
      </c>
      <c r="H703">
        <f t="shared" si="10"/>
        <v>505295.5</v>
      </c>
    </row>
    <row r="704" spans="1:8">
      <c r="A704">
        <v>703</v>
      </c>
      <c r="B704" s="331">
        <v>46203.854166666664</v>
      </c>
      <c r="C704" t="s">
        <v>883</v>
      </c>
      <c r="D704" t="s">
        <v>883</v>
      </c>
      <c r="E704" t="s">
        <v>372</v>
      </c>
      <c r="F704">
        <v>504831</v>
      </c>
      <c r="G704">
        <v>25000.46</v>
      </c>
      <c r="H704">
        <f t="shared" si="10"/>
        <v>252415.5</v>
      </c>
    </row>
    <row r="705" spans="1:8">
      <c r="A705">
        <v>704</v>
      </c>
      <c r="B705" s="331">
        <v>46203.854166666664</v>
      </c>
      <c r="C705" t="s">
        <v>887</v>
      </c>
      <c r="D705" t="s">
        <v>887</v>
      </c>
      <c r="E705" t="s">
        <v>372</v>
      </c>
      <c r="F705">
        <v>892613</v>
      </c>
      <c r="G705">
        <v>44709.99</v>
      </c>
      <c r="H705">
        <f t="shared" si="10"/>
        <v>446306.5</v>
      </c>
    </row>
    <row r="706" spans="1:8">
      <c r="A706">
        <v>705</v>
      </c>
      <c r="B706" s="331">
        <v>46203.854166666664</v>
      </c>
      <c r="C706" t="s">
        <v>889</v>
      </c>
      <c r="D706" t="s">
        <v>889</v>
      </c>
      <c r="E706" t="s">
        <v>372</v>
      </c>
      <c r="F706">
        <v>1007720</v>
      </c>
      <c r="G706">
        <v>46428.22</v>
      </c>
      <c r="H706">
        <f t="shared" si="10"/>
        <v>503860</v>
      </c>
    </row>
    <row r="707" spans="1:8">
      <c r="A707">
        <v>706</v>
      </c>
      <c r="B707" s="331">
        <v>46203.854166666664</v>
      </c>
      <c r="C707" t="s">
        <v>445</v>
      </c>
      <c r="D707" t="s">
        <v>445</v>
      </c>
      <c r="E707" t="s">
        <v>489</v>
      </c>
      <c r="F707">
        <v>2932857</v>
      </c>
      <c r="H707">
        <f t="shared" ref="H707:H770" si="11">0.5*F707</f>
        <v>1466428.5</v>
      </c>
    </row>
    <row r="708" spans="1:8">
      <c r="A708">
        <v>707</v>
      </c>
      <c r="B708" s="331">
        <v>46203.854166666664</v>
      </c>
      <c r="C708" t="s">
        <v>976</v>
      </c>
      <c r="D708" t="s">
        <v>976</v>
      </c>
      <c r="E708" t="s">
        <v>489</v>
      </c>
      <c r="F708">
        <v>1660806</v>
      </c>
      <c r="H708">
        <f t="shared" si="11"/>
        <v>830403</v>
      </c>
    </row>
    <row r="709" spans="1:8">
      <c r="A709">
        <v>708</v>
      </c>
      <c r="B709" s="331">
        <v>46203.854166666664</v>
      </c>
      <c r="C709" t="s">
        <v>66</v>
      </c>
      <c r="D709" t="s">
        <v>66</v>
      </c>
      <c r="E709" t="s">
        <v>489</v>
      </c>
      <c r="F709">
        <v>1763311</v>
      </c>
      <c r="G709">
        <v>68058.679999999993</v>
      </c>
      <c r="H709">
        <f t="shared" si="11"/>
        <v>881655.5</v>
      </c>
    </row>
    <row r="710" spans="1:8">
      <c r="A710">
        <v>709</v>
      </c>
      <c r="B710" s="331">
        <v>46203.854166666664</v>
      </c>
      <c r="C710" t="s">
        <v>278</v>
      </c>
      <c r="D710" t="s">
        <v>278</v>
      </c>
      <c r="E710" t="s">
        <v>489</v>
      </c>
      <c r="F710">
        <v>2975091</v>
      </c>
      <c r="G710">
        <v>114155</v>
      </c>
      <c r="H710">
        <f t="shared" si="11"/>
        <v>1487545.5</v>
      </c>
    </row>
    <row r="711" spans="1:8">
      <c r="A711">
        <v>710</v>
      </c>
      <c r="B711" s="331">
        <v>46203.854166666664</v>
      </c>
      <c r="C711" t="s">
        <v>426</v>
      </c>
      <c r="D711" t="s">
        <v>426</v>
      </c>
      <c r="E711" t="s">
        <v>489</v>
      </c>
      <c r="F711">
        <v>448767</v>
      </c>
      <c r="H711">
        <f t="shared" si="11"/>
        <v>224383.5</v>
      </c>
    </row>
    <row r="712" spans="1:8">
      <c r="A712">
        <v>711</v>
      </c>
      <c r="B712" s="331">
        <v>46203.854166666664</v>
      </c>
      <c r="C712" t="s">
        <v>279</v>
      </c>
      <c r="D712" t="s">
        <v>279</v>
      </c>
      <c r="E712" t="s">
        <v>489</v>
      </c>
      <c r="F712">
        <v>2955448</v>
      </c>
      <c r="G712">
        <v>111889.43</v>
      </c>
      <c r="H712">
        <f t="shared" si="11"/>
        <v>1477724</v>
      </c>
    </row>
    <row r="713" spans="1:8">
      <c r="A713">
        <v>712</v>
      </c>
      <c r="B713" s="331">
        <v>46203.854166666664</v>
      </c>
      <c r="C713" t="s">
        <v>83</v>
      </c>
      <c r="D713" t="s">
        <v>83</v>
      </c>
      <c r="E713" t="s">
        <v>489</v>
      </c>
      <c r="F713">
        <v>2084435</v>
      </c>
      <c r="G713">
        <v>97389.67</v>
      </c>
      <c r="H713">
        <f t="shared" si="11"/>
        <v>1042217.5</v>
      </c>
    </row>
    <row r="714" spans="1:8">
      <c r="A714">
        <v>713</v>
      </c>
      <c r="B714" s="331">
        <v>46203.854166666664</v>
      </c>
      <c r="C714" t="s">
        <v>1108</v>
      </c>
      <c r="D714" t="s">
        <v>1108</v>
      </c>
      <c r="E714" t="s">
        <v>489</v>
      </c>
      <c r="F714">
        <v>1737860</v>
      </c>
      <c r="H714">
        <f t="shared" si="11"/>
        <v>868930</v>
      </c>
    </row>
    <row r="715" spans="1:8">
      <c r="A715">
        <v>714</v>
      </c>
      <c r="B715" s="331">
        <v>46203.854166666664</v>
      </c>
      <c r="C715" t="s">
        <v>89</v>
      </c>
      <c r="D715" t="s">
        <v>89</v>
      </c>
      <c r="E715" t="s">
        <v>489</v>
      </c>
      <c r="F715">
        <v>1081449</v>
      </c>
      <c r="G715">
        <v>43802.27</v>
      </c>
      <c r="H715">
        <f t="shared" si="11"/>
        <v>540724.5</v>
      </c>
    </row>
    <row r="716" spans="1:8">
      <c r="A716">
        <v>715</v>
      </c>
      <c r="B716" s="331">
        <v>46203.854166666664</v>
      </c>
      <c r="C716" t="s">
        <v>80</v>
      </c>
      <c r="D716" t="s">
        <v>80</v>
      </c>
      <c r="E716" t="s">
        <v>489</v>
      </c>
      <c r="F716">
        <v>1115769</v>
      </c>
      <c r="G716">
        <v>53349.42</v>
      </c>
      <c r="H716">
        <f t="shared" si="11"/>
        <v>557884.5</v>
      </c>
    </row>
    <row r="717" spans="1:8">
      <c r="A717">
        <v>716</v>
      </c>
      <c r="B717" s="331">
        <v>46203.854166666664</v>
      </c>
      <c r="C717" t="s">
        <v>67</v>
      </c>
      <c r="D717" t="s">
        <v>67</v>
      </c>
      <c r="E717" t="s">
        <v>489</v>
      </c>
      <c r="F717">
        <v>2020071</v>
      </c>
      <c r="G717">
        <v>78673.52</v>
      </c>
      <c r="H717">
        <f t="shared" si="11"/>
        <v>1010035.5</v>
      </c>
    </row>
    <row r="718" spans="1:8">
      <c r="A718">
        <v>717</v>
      </c>
      <c r="B718" s="331">
        <v>46203.854166666664</v>
      </c>
      <c r="C718" t="s">
        <v>87</v>
      </c>
      <c r="D718" t="s">
        <v>87</v>
      </c>
      <c r="E718" t="s">
        <v>489</v>
      </c>
      <c r="F718">
        <v>334263</v>
      </c>
      <c r="G718">
        <v>1356.51</v>
      </c>
      <c r="H718">
        <f t="shared" si="11"/>
        <v>167131.5</v>
      </c>
    </row>
    <row r="719" spans="1:8">
      <c r="A719">
        <v>718</v>
      </c>
      <c r="B719" s="331">
        <v>46203.854166666664</v>
      </c>
      <c r="C719" t="s">
        <v>64</v>
      </c>
      <c r="D719" t="s">
        <v>64</v>
      </c>
      <c r="E719" t="s">
        <v>489</v>
      </c>
      <c r="F719">
        <v>2010895</v>
      </c>
      <c r="G719">
        <v>78868.850000000006</v>
      </c>
      <c r="H719">
        <f t="shared" si="11"/>
        <v>1005447.5</v>
      </c>
    </row>
    <row r="720" spans="1:8">
      <c r="A720">
        <v>719</v>
      </c>
      <c r="B720" s="331">
        <v>46203.854166666664</v>
      </c>
      <c r="C720" t="s">
        <v>1110</v>
      </c>
      <c r="D720" t="s">
        <v>1110</v>
      </c>
      <c r="E720" t="s">
        <v>489</v>
      </c>
      <c r="F720">
        <v>3022460</v>
      </c>
      <c r="H720">
        <f t="shared" si="11"/>
        <v>1511230</v>
      </c>
    </row>
    <row r="721" spans="1:8">
      <c r="A721">
        <v>720</v>
      </c>
      <c r="B721" s="331">
        <v>46203.854166666664</v>
      </c>
      <c r="C721" t="s">
        <v>328</v>
      </c>
      <c r="D721" t="s">
        <v>328</v>
      </c>
      <c r="E721" t="s">
        <v>489</v>
      </c>
      <c r="F721">
        <v>3420669</v>
      </c>
      <c r="G721">
        <v>134342.1</v>
      </c>
      <c r="H721">
        <f t="shared" si="11"/>
        <v>1710334.5</v>
      </c>
    </row>
    <row r="722" spans="1:8">
      <c r="A722">
        <v>721</v>
      </c>
      <c r="B722" s="331">
        <v>46203.854166666664</v>
      </c>
      <c r="C722" t="s">
        <v>71</v>
      </c>
      <c r="D722" t="s">
        <v>71</v>
      </c>
      <c r="E722" t="s">
        <v>489</v>
      </c>
      <c r="F722">
        <v>2948725</v>
      </c>
      <c r="G722">
        <v>111216.13</v>
      </c>
      <c r="H722">
        <f t="shared" si="11"/>
        <v>1474362.5</v>
      </c>
    </row>
    <row r="723" spans="1:8">
      <c r="A723">
        <v>722</v>
      </c>
      <c r="B723" s="331">
        <v>46203.854166666664</v>
      </c>
      <c r="C723" t="s">
        <v>91</v>
      </c>
      <c r="D723" t="s">
        <v>91</v>
      </c>
      <c r="E723" t="s">
        <v>489</v>
      </c>
      <c r="F723">
        <v>2210240</v>
      </c>
      <c r="G723">
        <v>88781.1</v>
      </c>
      <c r="H723">
        <f t="shared" si="11"/>
        <v>1105120</v>
      </c>
    </row>
    <row r="724" spans="1:8">
      <c r="A724">
        <v>723</v>
      </c>
      <c r="B724" s="331">
        <v>46203.854166666664</v>
      </c>
      <c r="C724" t="s">
        <v>408</v>
      </c>
      <c r="D724" t="s">
        <v>408</v>
      </c>
      <c r="E724" t="s">
        <v>489</v>
      </c>
      <c r="F724">
        <v>1963342</v>
      </c>
      <c r="H724">
        <f t="shared" si="11"/>
        <v>981671</v>
      </c>
    </row>
    <row r="725" spans="1:8">
      <c r="A725">
        <v>724</v>
      </c>
      <c r="B725" s="331">
        <v>46203.854166666664</v>
      </c>
      <c r="C725" t="s">
        <v>1107</v>
      </c>
      <c r="D725" t="s">
        <v>1107</v>
      </c>
      <c r="E725" t="s">
        <v>489</v>
      </c>
      <c r="F725">
        <v>439949</v>
      </c>
      <c r="H725">
        <f t="shared" si="11"/>
        <v>219974.5</v>
      </c>
    </row>
    <row r="726" spans="1:8">
      <c r="A726">
        <v>725</v>
      </c>
      <c r="B726" s="331">
        <v>46203.854166666664</v>
      </c>
      <c r="C726" t="s">
        <v>74</v>
      </c>
      <c r="D726" t="s">
        <v>74</v>
      </c>
      <c r="E726" t="s">
        <v>489</v>
      </c>
      <c r="F726">
        <v>1308753</v>
      </c>
      <c r="G726">
        <v>52657.25</v>
      </c>
      <c r="H726">
        <f t="shared" si="11"/>
        <v>654376.5</v>
      </c>
    </row>
    <row r="727" spans="1:8">
      <c r="A727">
        <v>726</v>
      </c>
      <c r="B727" s="331">
        <v>46203.854166666664</v>
      </c>
      <c r="C727" t="s">
        <v>72</v>
      </c>
      <c r="D727" t="s">
        <v>72</v>
      </c>
      <c r="E727" t="s">
        <v>489</v>
      </c>
      <c r="F727">
        <v>2973025</v>
      </c>
      <c r="G727">
        <v>114738.11</v>
      </c>
      <c r="H727">
        <f t="shared" si="11"/>
        <v>1486512.5</v>
      </c>
    </row>
    <row r="728" spans="1:8">
      <c r="A728">
        <v>727</v>
      </c>
      <c r="B728" s="331">
        <v>46203.854166666664</v>
      </c>
      <c r="C728" t="s">
        <v>411</v>
      </c>
      <c r="D728" t="s">
        <v>411</v>
      </c>
      <c r="E728" t="s">
        <v>489</v>
      </c>
      <c r="F728">
        <v>2829379</v>
      </c>
      <c r="H728">
        <f t="shared" si="11"/>
        <v>1414689.5</v>
      </c>
    </row>
    <row r="729" spans="1:8">
      <c r="A729">
        <v>728</v>
      </c>
      <c r="B729" s="331">
        <v>46203.854166666664</v>
      </c>
      <c r="C729" t="s">
        <v>86</v>
      </c>
      <c r="D729" t="s">
        <v>86</v>
      </c>
      <c r="E729" t="s">
        <v>489</v>
      </c>
      <c r="F729">
        <v>999097</v>
      </c>
      <c r="G729">
        <v>43787.08</v>
      </c>
      <c r="H729">
        <f t="shared" si="11"/>
        <v>499548.5</v>
      </c>
    </row>
    <row r="730" spans="1:8">
      <c r="A730">
        <v>729</v>
      </c>
      <c r="B730" s="331">
        <v>46203.854166666664</v>
      </c>
      <c r="C730" t="s">
        <v>61</v>
      </c>
      <c r="D730" t="s">
        <v>61</v>
      </c>
      <c r="E730" t="s">
        <v>489</v>
      </c>
      <c r="F730">
        <v>415830</v>
      </c>
      <c r="G730">
        <v>1383.23</v>
      </c>
      <c r="H730">
        <f t="shared" si="11"/>
        <v>207915</v>
      </c>
    </row>
    <row r="731" spans="1:8">
      <c r="A731">
        <v>730</v>
      </c>
      <c r="B731" s="331">
        <v>46203.854166666664</v>
      </c>
      <c r="C731" t="s">
        <v>65</v>
      </c>
      <c r="D731" t="s">
        <v>65</v>
      </c>
      <c r="E731" t="s">
        <v>489</v>
      </c>
      <c r="F731">
        <v>2011070</v>
      </c>
      <c r="G731">
        <v>77685.960000000006</v>
      </c>
      <c r="H731">
        <f t="shared" si="11"/>
        <v>1005535</v>
      </c>
    </row>
    <row r="732" spans="1:8">
      <c r="A732">
        <v>731</v>
      </c>
      <c r="B732" s="331">
        <v>46203.854166666664</v>
      </c>
      <c r="C732" t="s">
        <v>337</v>
      </c>
      <c r="D732" t="s">
        <v>337</v>
      </c>
      <c r="E732" t="s">
        <v>489</v>
      </c>
      <c r="F732">
        <v>1310422</v>
      </c>
      <c r="G732">
        <v>51585.26</v>
      </c>
      <c r="H732">
        <f t="shared" si="11"/>
        <v>655211</v>
      </c>
    </row>
    <row r="733" spans="1:8">
      <c r="A733">
        <v>732</v>
      </c>
      <c r="B733" s="331">
        <v>46203.854166666664</v>
      </c>
      <c r="C733" t="s">
        <v>93</v>
      </c>
      <c r="D733" t="s">
        <v>93</v>
      </c>
      <c r="E733" t="s">
        <v>489</v>
      </c>
      <c r="F733">
        <v>2326963</v>
      </c>
      <c r="G733">
        <v>93639.54</v>
      </c>
      <c r="H733">
        <f t="shared" si="11"/>
        <v>1163481.5</v>
      </c>
    </row>
    <row r="734" spans="1:8">
      <c r="A734">
        <v>733</v>
      </c>
      <c r="B734" s="331">
        <v>46203.854166666664</v>
      </c>
      <c r="C734" t="s">
        <v>1109</v>
      </c>
      <c r="D734" t="s">
        <v>1109</v>
      </c>
      <c r="E734" t="s">
        <v>489</v>
      </c>
      <c r="F734">
        <v>2875959</v>
      </c>
      <c r="H734">
        <f t="shared" si="11"/>
        <v>1437979.5</v>
      </c>
    </row>
    <row r="735" spans="1:8">
      <c r="A735">
        <v>734</v>
      </c>
      <c r="B735" s="331">
        <v>46203.854166666664</v>
      </c>
      <c r="C735" t="s">
        <v>75</v>
      </c>
      <c r="D735" t="s">
        <v>75</v>
      </c>
      <c r="E735" t="s">
        <v>489</v>
      </c>
      <c r="F735">
        <v>899781</v>
      </c>
      <c r="G735">
        <v>43293.46</v>
      </c>
      <c r="H735">
        <f t="shared" si="11"/>
        <v>449890.5</v>
      </c>
    </row>
    <row r="736" spans="1:8">
      <c r="A736">
        <v>735</v>
      </c>
      <c r="B736" s="331">
        <v>46203.854166666664</v>
      </c>
      <c r="C736" t="s">
        <v>78</v>
      </c>
      <c r="D736" t="s">
        <v>78</v>
      </c>
      <c r="E736" t="s">
        <v>489</v>
      </c>
      <c r="F736">
        <v>1188465</v>
      </c>
      <c r="G736">
        <v>56794.55</v>
      </c>
      <c r="H736">
        <f t="shared" si="11"/>
        <v>594232.5</v>
      </c>
    </row>
    <row r="737" spans="1:8">
      <c r="A737">
        <v>736</v>
      </c>
      <c r="B737" s="331">
        <v>46203.854166666664</v>
      </c>
      <c r="C737" t="s">
        <v>979</v>
      </c>
      <c r="D737" t="s">
        <v>979</v>
      </c>
      <c r="E737" t="s">
        <v>489</v>
      </c>
      <c r="F737">
        <v>1284071</v>
      </c>
      <c r="H737">
        <f t="shared" si="11"/>
        <v>642035.5</v>
      </c>
    </row>
    <row r="738" spans="1:8">
      <c r="A738">
        <v>737</v>
      </c>
      <c r="B738" s="331">
        <v>46203.854166666664</v>
      </c>
      <c r="C738" t="s">
        <v>69</v>
      </c>
      <c r="D738" t="s">
        <v>69</v>
      </c>
      <c r="E738" t="s">
        <v>489</v>
      </c>
      <c r="F738">
        <v>2958948</v>
      </c>
      <c r="G738">
        <v>113148.81</v>
      </c>
      <c r="H738">
        <f t="shared" si="11"/>
        <v>1479474</v>
      </c>
    </row>
    <row r="739" spans="1:8">
      <c r="A739">
        <v>738</v>
      </c>
      <c r="B739" s="331">
        <v>46203.854166666664</v>
      </c>
      <c r="C739" t="s">
        <v>980</v>
      </c>
      <c r="D739" t="s">
        <v>980</v>
      </c>
      <c r="E739" t="s">
        <v>489</v>
      </c>
      <c r="F739">
        <v>1734480</v>
      </c>
      <c r="H739">
        <f t="shared" si="11"/>
        <v>867240</v>
      </c>
    </row>
    <row r="740" spans="1:8">
      <c r="A740">
        <v>739</v>
      </c>
      <c r="B740" s="331">
        <v>46203.854166666664</v>
      </c>
      <c r="C740" t="s">
        <v>68</v>
      </c>
      <c r="D740" t="s">
        <v>68</v>
      </c>
      <c r="E740" t="s">
        <v>489</v>
      </c>
      <c r="F740">
        <v>1996849</v>
      </c>
      <c r="G740">
        <v>78314.100000000006</v>
      </c>
      <c r="H740">
        <f t="shared" si="11"/>
        <v>998424.5</v>
      </c>
    </row>
    <row r="741" spans="1:8">
      <c r="A741">
        <v>740</v>
      </c>
      <c r="B741" s="331">
        <v>46203.854166666664</v>
      </c>
      <c r="C741" t="s">
        <v>276</v>
      </c>
      <c r="D741" t="s">
        <v>276</v>
      </c>
      <c r="E741" t="s">
        <v>489</v>
      </c>
      <c r="F741">
        <v>2066947</v>
      </c>
      <c r="G741">
        <v>95120.68</v>
      </c>
      <c r="H741">
        <f t="shared" si="11"/>
        <v>1033473.5</v>
      </c>
    </row>
    <row r="742" spans="1:8">
      <c r="A742">
        <v>741</v>
      </c>
      <c r="B742" s="331">
        <v>46203.854166666664</v>
      </c>
      <c r="C742" t="s">
        <v>277</v>
      </c>
      <c r="D742" t="s">
        <v>277</v>
      </c>
      <c r="E742" t="s">
        <v>489</v>
      </c>
      <c r="F742">
        <v>2826356</v>
      </c>
      <c r="G742">
        <v>105209.89</v>
      </c>
      <c r="H742">
        <f t="shared" si="11"/>
        <v>1413178</v>
      </c>
    </row>
    <row r="743" spans="1:8">
      <c r="A743">
        <v>742</v>
      </c>
      <c r="B743" s="331">
        <v>46203.854166666664</v>
      </c>
      <c r="C743" t="s">
        <v>84</v>
      </c>
      <c r="D743" t="s">
        <v>84</v>
      </c>
      <c r="E743" t="s">
        <v>489</v>
      </c>
      <c r="F743">
        <v>996379</v>
      </c>
      <c r="G743">
        <v>43393.05</v>
      </c>
      <c r="H743">
        <f t="shared" si="11"/>
        <v>498189.5</v>
      </c>
    </row>
    <row r="744" spans="1:8">
      <c r="A744">
        <v>743</v>
      </c>
      <c r="B744" s="331">
        <v>46203.854166666664</v>
      </c>
      <c r="C744" t="s">
        <v>446</v>
      </c>
      <c r="D744" t="s">
        <v>446</v>
      </c>
      <c r="E744" t="s">
        <v>489</v>
      </c>
      <c r="F744">
        <v>2895899</v>
      </c>
      <c r="H744">
        <f t="shared" si="11"/>
        <v>1447949.5</v>
      </c>
    </row>
    <row r="745" spans="1:8">
      <c r="A745">
        <v>744</v>
      </c>
      <c r="B745" s="331">
        <v>46203.854166666664</v>
      </c>
      <c r="C745" t="s">
        <v>77</v>
      </c>
      <c r="D745" t="s">
        <v>77</v>
      </c>
      <c r="E745" t="s">
        <v>489</v>
      </c>
      <c r="F745">
        <v>892107</v>
      </c>
      <c r="G745">
        <v>42271.81</v>
      </c>
      <c r="H745">
        <f t="shared" si="11"/>
        <v>446053.5</v>
      </c>
    </row>
    <row r="746" spans="1:8">
      <c r="A746">
        <v>745</v>
      </c>
      <c r="B746" s="331">
        <v>46203.854166666664</v>
      </c>
      <c r="C746" t="s">
        <v>58</v>
      </c>
      <c r="D746" t="s">
        <v>58</v>
      </c>
      <c r="E746" t="s">
        <v>489</v>
      </c>
      <c r="F746">
        <v>826112</v>
      </c>
      <c r="G746">
        <v>33776.97</v>
      </c>
      <c r="H746">
        <f t="shared" si="11"/>
        <v>413056</v>
      </c>
    </row>
    <row r="747" spans="1:8">
      <c r="A747">
        <v>746</v>
      </c>
      <c r="B747" s="331">
        <v>46203.854166666664</v>
      </c>
      <c r="C747" t="s">
        <v>410</v>
      </c>
      <c r="D747" t="s">
        <v>410</v>
      </c>
      <c r="E747" t="s">
        <v>489</v>
      </c>
      <c r="F747">
        <v>1930770</v>
      </c>
      <c r="H747">
        <f t="shared" si="11"/>
        <v>965385</v>
      </c>
    </row>
    <row r="748" spans="1:8">
      <c r="A748">
        <v>747</v>
      </c>
      <c r="B748" s="331">
        <v>46203.854166666664</v>
      </c>
      <c r="C748" t="s">
        <v>60</v>
      </c>
      <c r="D748" t="s">
        <v>60</v>
      </c>
      <c r="E748" t="s">
        <v>489</v>
      </c>
      <c r="F748">
        <v>830515</v>
      </c>
      <c r="G748">
        <v>34174.25</v>
      </c>
      <c r="H748">
        <f t="shared" si="11"/>
        <v>415257.5</v>
      </c>
    </row>
    <row r="749" spans="1:8">
      <c r="A749">
        <v>748</v>
      </c>
      <c r="B749" s="331">
        <v>46203.854166666664</v>
      </c>
      <c r="C749" t="s">
        <v>90</v>
      </c>
      <c r="D749" t="s">
        <v>90</v>
      </c>
      <c r="E749" t="s">
        <v>489</v>
      </c>
      <c r="F749">
        <v>2321162</v>
      </c>
      <c r="G749">
        <v>96066.12</v>
      </c>
      <c r="H749">
        <f t="shared" si="11"/>
        <v>1160581</v>
      </c>
    </row>
    <row r="750" spans="1:8">
      <c r="A750">
        <v>749</v>
      </c>
      <c r="B750" s="331">
        <v>46203.854166666664</v>
      </c>
      <c r="C750" t="s">
        <v>81</v>
      </c>
      <c r="D750" t="s">
        <v>81</v>
      </c>
      <c r="E750" t="s">
        <v>489</v>
      </c>
      <c r="F750">
        <v>2081878</v>
      </c>
      <c r="G750">
        <v>98855.039999999994</v>
      </c>
      <c r="H750">
        <f t="shared" si="11"/>
        <v>1040939</v>
      </c>
    </row>
    <row r="751" spans="1:8">
      <c r="A751">
        <v>750</v>
      </c>
      <c r="B751" s="331">
        <v>46203.854166666664</v>
      </c>
      <c r="C751" t="s">
        <v>891</v>
      </c>
      <c r="D751" t="s">
        <v>891</v>
      </c>
      <c r="E751" t="s">
        <v>372</v>
      </c>
      <c r="F751">
        <v>1012326</v>
      </c>
      <c r="G751">
        <v>47093.58</v>
      </c>
      <c r="H751">
        <f t="shared" si="11"/>
        <v>506163</v>
      </c>
    </row>
    <row r="752" spans="1:8">
      <c r="A752">
        <v>751</v>
      </c>
      <c r="B752" s="331">
        <v>46203.854166666664</v>
      </c>
      <c r="C752" t="s">
        <v>360</v>
      </c>
      <c r="D752" t="s">
        <v>360</v>
      </c>
      <c r="E752" t="s">
        <v>372</v>
      </c>
      <c r="F752">
        <v>775154</v>
      </c>
      <c r="G752">
        <v>38734.57</v>
      </c>
      <c r="H752">
        <f t="shared" si="11"/>
        <v>387577</v>
      </c>
    </row>
    <row r="753" spans="1:8">
      <c r="A753">
        <v>752</v>
      </c>
      <c r="B753" s="331">
        <v>46203.854166666664</v>
      </c>
      <c r="C753" t="s">
        <v>498</v>
      </c>
      <c r="D753" t="s">
        <v>498</v>
      </c>
      <c r="E753" t="s">
        <v>372</v>
      </c>
      <c r="F753">
        <v>2291901</v>
      </c>
      <c r="G753">
        <v>94782.88</v>
      </c>
      <c r="H753">
        <f t="shared" si="11"/>
        <v>1145950.5</v>
      </c>
    </row>
    <row r="754" spans="1:8">
      <c r="A754">
        <v>753</v>
      </c>
      <c r="B754" s="331">
        <v>46203.854166666664</v>
      </c>
      <c r="C754" t="s">
        <v>492</v>
      </c>
      <c r="D754" t="s">
        <v>492</v>
      </c>
      <c r="E754" t="s">
        <v>372</v>
      </c>
      <c r="F754">
        <v>2288462</v>
      </c>
      <c r="G754">
        <v>94046.06</v>
      </c>
      <c r="H754">
        <f t="shared" si="11"/>
        <v>1144231</v>
      </c>
    </row>
    <row r="755" spans="1:8">
      <c r="A755">
        <v>754</v>
      </c>
      <c r="B755" s="331">
        <v>46203.854166666664</v>
      </c>
      <c r="C755" t="s">
        <v>361</v>
      </c>
      <c r="D755" t="s">
        <v>361</v>
      </c>
      <c r="E755" t="s">
        <v>372</v>
      </c>
      <c r="F755">
        <v>775956</v>
      </c>
      <c r="G755">
        <v>39062.239999999998</v>
      </c>
      <c r="H755">
        <f t="shared" si="11"/>
        <v>387978</v>
      </c>
    </row>
    <row r="756" spans="1:8">
      <c r="A756">
        <v>755</v>
      </c>
      <c r="B756" s="331">
        <v>46203.854166666664</v>
      </c>
      <c r="C756" t="s">
        <v>491</v>
      </c>
      <c r="D756" t="s">
        <v>491</v>
      </c>
      <c r="E756" t="s">
        <v>372</v>
      </c>
      <c r="F756">
        <v>2507541</v>
      </c>
      <c r="G756">
        <v>117481.96</v>
      </c>
      <c r="H756">
        <f t="shared" si="11"/>
        <v>1253770.5</v>
      </c>
    </row>
    <row r="757" spans="1:8">
      <c r="A757">
        <v>756</v>
      </c>
      <c r="B757" s="331">
        <v>46203.854166666664</v>
      </c>
      <c r="C757" t="s">
        <v>886</v>
      </c>
      <c r="D757" t="s">
        <v>886</v>
      </c>
      <c r="E757" t="s">
        <v>372</v>
      </c>
      <c r="F757">
        <v>883741</v>
      </c>
      <c r="G757">
        <v>45424.800000000003</v>
      </c>
      <c r="H757">
        <f t="shared" si="11"/>
        <v>441870.5</v>
      </c>
    </row>
    <row r="758" spans="1:8">
      <c r="A758">
        <v>757</v>
      </c>
      <c r="B758" s="331">
        <v>46203.854166666664</v>
      </c>
      <c r="C758" t="s">
        <v>496</v>
      </c>
      <c r="D758" t="s">
        <v>496</v>
      </c>
      <c r="E758" t="s">
        <v>372</v>
      </c>
      <c r="F758">
        <v>1718441</v>
      </c>
      <c r="G758">
        <v>71138.77</v>
      </c>
      <c r="H758">
        <f t="shared" si="11"/>
        <v>859220.5</v>
      </c>
    </row>
    <row r="759" spans="1:8">
      <c r="A759">
        <v>758</v>
      </c>
      <c r="B759" s="331">
        <v>46203.854166666664</v>
      </c>
      <c r="C759" t="s">
        <v>882</v>
      </c>
      <c r="D759" t="s">
        <v>882</v>
      </c>
      <c r="E759" t="s">
        <v>372</v>
      </c>
      <c r="F759">
        <v>892044</v>
      </c>
      <c r="G759">
        <v>44889.58</v>
      </c>
      <c r="H759">
        <f t="shared" si="11"/>
        <v>446022</v>
      </c>
    </row>
    <row r="760" spans="1:8">
      <c r="A760">
        <v>759</v>
      </c>
      <c r="B760" s="331">
        <v>46203.854166666664</v>
      </c>
      <c r="C760" t="s">
        <v>451</v>
      </c>
      <c r="D760" t="s">
        <v>451</v>
      </c>
      <c r="E760" t="s">
        <v>372</v>
      </c>
      <c r="F760">
        <v>2506510</v>
      </c>
      <c r="G760">
        <v>117746.44</v>
      </c>
      <c r="H760">
        <f t="shared" si="11"/>
        <v>1253255</v>
      </c>
    </row>
    <row r="761" spans="1:8">
      <c r="A761">
        <v>760</v>
      </c>
      <c r="B761" s="331">
        <v>46203.854166666664</v>
      </c>
      <c r="C761" t="s">
        <v>83</v>
      </c>
      <c r="D761" t="s">
        <v>83</v>
      </c>
      <c r="E761" t="s">
        <v>489</v>
      </c>
      <c r="F761">
        <v>2084760</v>
      </c>
      <c r="G761">
        <v>96853.04</v>
      </c>
      <c r="H761">
        <f t="shared" si="11"/>
        <v>1042380</v>
      </c>
    </row>
    <row r="762" spans="1:8">
      <c r="A762">
        <v>761</v>
      </c>
      <c r="B762" s="331">
        <v>46203.854166666664</v>
      </c>
      <c r="C762" t="s">
        <v>67</v>
      </c>
      <c r="D762" t="s">
        <v>67</v>
      </c>
      <c r="E762" t="s">
        <v>489</v>
      </c>
      <c r="F762">
        <v>2019540</v>
      </c>
      <c r="G762">
        <v>78094.66</v>
      </c>
      <c r="H762">
        <f t="shared" si="11"/>
        <v>1009770</v>
      </c>
    </row>
    <row r="763" spans="1:8">
      <c r="A763">
        <v>762</v>
      </c>
      <c r="B763" s="331">
        <v>46203.854166666664</v>
      </c>
      <c r="C763" t="s">
        <v>64</v>
      </c>
      <c r="D763" t="s">
        <v>64</v>
      </c>
      <c r="E763" t="s">
        <v>489</v>
      </c>
      <c r="F763">
        <v>2010594</v>
      </c>
      <c r="G763">
        <v>77501.63</v>
      </c>
      <c r="H763">
        <f t="shared" si="11"/>
        <v>1005297</v>
      </c>
    </row>
    <row r="764" spans="1:8">
      <c r="H764">
        <f t="shared" si="11"/>
        <v>0</v>
      </c>
    </row>
    <row r="765" spans="1:8">
      <c r="H765">
        <f t="shared" si="11"/>
        <v>0</v>
      </c>
    </row>
    <row r="766" spans="1:8">
      <c r="H766">
        <f t="shared" si="11"/>
        <v>0</v>
      </c>
    </row>
    <row r="767" spans="1:8">
      <c r="H767">
        <f t="shared" si="11"/>
        <v>0</v>
      </c>
    </row>
    <row r="768" spans="1:8">
      <c r="H768">
        <f t="shared" si="11"/>
        <v>0</v>
      </c>
    </row>
    <row r="769" spans="8:8">
      <c r="H769">
        <f t="shared" si="11"/>
        <v>0</v>
      </c>
    </row>
    <row r="770" spans="8:8">
      <c r="H770">
        <f t="shared" si="11"/>
        <v>0</v>
      </c>
    </row>
    <row r="771" spans="8:8">
      <c r="H771">
        <f t="shared" ref="H771:H834" si="12">0.5*F771</f>
        <v>0</v>
      </c>
    </row>
    <row r="772" spans="8:8">
      <c r="H772">
        <f t="shared" si="12"/>
        <v>0</v>
      </c>
    </row>
    <row r="773" spans="8:8">
      <c r="H773">
        <f t="shared" si="12"/>
        <v>0</v>
      </c>
    </row>
    <row r="774" spans="8:8">
      <c r="H774">
        <f t="shared" si="12"/>
        <v>0</v>
      </c>
    </row>
    <row r="775" spans="8:8">
      <c r="H775">
        <f t="shared" si="12"/>
        <v>0</v>
      </c>
    </row>
    <row r="776" spans="8:8">
      <c r="H776">
        <f t="shared" si="12"/>
        <v>0</v>
      </c>
    </row>
    <row r="777" spans="8:8">
      <c r="H777">
        <f t="shared" si="12"/>
        <v>0</v>
      </c>
    </row>
    <row r="778" spans="8:8">
      <c r="H778">
        <f t="shared" si="12"/>
        <v>0</v>
      </c>
    </row>
    <row r="779" spans="8:8">
      <c r="H779">
        <f t="shared" si="12"/>
        <v>0</v>
      </c>
    </row>
    <row r="780" spans="8:8">
      <c r="H780">
        <f t="shared" si="12"/>
        <v>0</v>
      </c>
    </row>
    <row r="781" spans="8:8">
      <c r="H781">
        <f t="shared" si="12"/>
        <v>0</v>
      </c>
    </row>
    <row r="782" spans="8:8">
      <c r="H782">
        <f t="shared" si="12"/>
        <v>0</v>
      </c>
    </row>
    <row r="783" spans="8:8">
      <c r="H783">
        <f t="shared" si="12"/>
        <v>0</v>
      </c>
    </row>
    <row r="784" spans="8:8">
      <c r="H784">
        <f t="shared" si="12"/>
        <v>0</v>
      </c>
    </row>
    <row r="785" spans="8:8">
      <c r="H785">
        <f t="shared" si="12"/>
        <v>0</v>
      </c>
    </row>
    <row r="786" spans="8:8">
      <c r="H786">
        <f t="shared" si="12"/>
        <v>0</v>
      </c>
    </row>
    <row r="787" spans="8:8">
      <c r="H787">
        <f t="shared" si="12"/>
        <v>0</v>
      </c>
    </row>
    <row r="788" spans="8:8">
      <c r="H788">
        <f t="shared" si="12"/>
        <v>0</v>
      </c>
    </row>
    <row r="789" spans="8:8">
      <c r="H789">
        <f t="shared" si="12"/>
        <v>0</v>
      </c>
    </row>
    <row r="790" spans="8:8">
      <c r="H790">
        <f t="shared" si="12"/>
        <v>0</v>
      </c>
    </row>
    <row r="791" spans="8:8">
      <c r="H791">
        <f t="shared" si="12"/>
        <v>0</v>
      </c>
    </row>
    <row r="792" spans="8:8">
      <c r="H792">
        <f t="shared" si="12"/>
        <v>0</v>
      </c>
    </row>
    <row r="793" spans="8:8">
      <c r="H793">
        <f t="shared" si="12"/>
        <v>0</v>
      </c>
    </row>
    <row r="794" spans="8:8">
      <c r="H794">
        <f t="shared" si="12"/>
        <v>0</v>
      </c>
    </row>
    <row r="795" spans="8:8">
      <c r="H795">
        <f t="shared" si="12"/>
        <v>0</v>
      </c>
    </row>
    <row r="796" spans="8:8">
      <c r="H796">
        <f t="shared" si="12"/>
        <v>0</v>
      </c>
    </row>
    <row r="797" spans="8:8">
      <c r="H797">
        <f t="shared" si="12"/>
        <v>0</v>
      </c>
    </row>
    <row r="798" spans="8:8">
      <c r="H798">
        <f t="shared" si="12"/>
        <v>0</v>
      </c>
    </row>
    <row r="799" spans="8:8">
      <c r="H799">
        <f t="shared" si="12"/>
        <v>0</v>
      </c>
    </row>
    <row r="800" spans="8:8">
      <c r="H800">
        <f t="shared" si="12"/>
        <v>0</v>
      </c>
    </row>
    <row r="801" spans="8:8">
      <c r="H801">
        <f t="shared" si="12"/>
        <v>0</v>
      </c>
    </row>
    <row r="802" spans="8:8">
      <c r="H802">
        <f t="shared" si="12"/>
        <v>0</v>
      </c>
    </row>
    <row r="803" spans="8:8">
      <c r="H803">
        <f t="shared" si="12"/>
        <v>0</v>
      </c>
    </row>
    <row r="804" spans="8:8">
      <c r="H804">
        <f t="shared" si="12"/>
        <v>0</v>
      </c>
    </row>
    <row r="805" spans="8:8">
      <c r="H805">
        <f t="shared" si="12"/>
        <v>0</v>
      </c>
    </row>
    <row r="806" spans="8:8">
      <c r="H806">
        <f t="shared" si="12"/>
        <v>0</v>
      </c>
    </row>
    <row r="807" spans="8:8">
      <c r="H807">
        <f t="shared" si="12"/>
        <v>0</v>
      </c>
    </row>
    <row r="808" spans="8:8">
      <c r="H808">
        <f t="shared" si="12"/>
        <v>0</v>
      </c>
    </row>
    <row r="809" spans="8:8">
      <c r="H809">
        <f t="shared" si="12"/>
        <v>0</v>
      </c>
    </row>
    <row r="810" spans="8:8">
      <c r="H810">
        <f t="shared" si="12"/>
        <v>0</v>
      </c>
    </row>
    <row r="811" spans="8:8">
      <c r="H811">
        <f t="shared" si="12"/>
        <v>0</v>
      </c>
    </row>
    <row r="812" spans="8:8">
      <c r="H812">
        <f t="shared" si="12"/>
        <v>0</v>
      </c>
    </row>
    <row r="813" spans="8:8">
      <c r="H813">
        <f t="shared" si="12"/>
        <v>0</v>
      </c>
    </row>
    <row r="814" spans="8:8">
      <c r="H814">
        <f t="shared" si="12"/>
        <v>0</v>
      </c>
    </row>
    <row r="815" spans="8:8">
      <c r="H815">
        <f t="shared" si="12"/>
        <v>0</v>
      </c>
    </row>
    <row r="816" spans="8:8">
      <c r="H816">
        <f t="shared" si="12"/>
        <v>0</v>
      </c>
    </row>
    <row r="817" spans="8:8">
      <c r="H817">
        <f t="shared" si="12"/>
        <v>0</v>
      </c>
    </row>
    <row r="818" spans="8:8">
      <c r="H818">
        <f t="shared" si="12"/>
        <v>0</v>
      </c>
    </row>
    <row r="819" spans="8:8">
      <c r="H819">
        <f t="shared" si="12"/>
        <v>0</v>
      </c>
    </row>
    <row r="820" spans="8:8">
      <c r="H820">
        <f t="shared" si="12"/>
        <v>0</v>
      </c>
    </row>
    <row r="821" spans="8:8">
      <c r="H821">
        <f t="shared" si="12"/>
        <v>0</v>
      </c>
    </row>
    <row r="822" spans="8:8">
      <c r="H822">
        <f t="shared" si="12"/>
        <v>0</v>
      </c>
    </row>
    <row r="823" spans="8:8">
      <c r="H823">
        <f t="shared" si="12"/>
        <v>0</v>
      </c>
    </row>
    <row r="824" spans="8:8">
      <c r="H824">
        <f t="shared" si="12"/>
        <v>0</v>
      </c>
    </row>
    <row r="825" spans="8:8">
      <c r="H825">
        <f t="shared" si="12"/>
        <v>0</v>
      </c>
    </row>
    <row r="826" spans="8:8">
      <c r="H826">
        <f t="shared" si="12"/>
        <v>0</v>
      </c>
    </row>
    <row r="827" spans="8:8">
      <c r="H827">
        <f t="shared" si="12"/>
        <v>0</v>
      </c>
    </row>
    <row r="828" spans="8:8">
      <c r="H828">
        <f t="shared" si="12"/>
        <v>0</v>
      </c>
    </row>
    <row r="829" spans="8:8">
      <c r="H829">
        <f t="shared" si="12"/>
        <v>0</v>
      </c>
    </row>
    <row r="830" spans="8:8">
      <c r="H830">
        <f t="shared" si="12"/>
        <v>0</v>
      </c>
    </row>
    <row r="831" spans="8:8">
      <c r="H831">
        <f t="shared" si="12"/>
        <v>0</v>
      </c>
    </row>
    <row r="832" spans="8:8">
      <c r="H832">
        <f t="shared" si="12"/>
        <v>0</v>
      </c>
    </row>
    <row r="833" spans="8:8">
      <c r="H833">
        <f t="shared" si="12"/>
        <v>0</v>
      </c>
    </row>
    <row r="834" spans="8:8">
      <c r="H834">
        <f t="shared" si="12"/>
        <v>0</v>
      </c>
    </row>
    <row r="835" spans="8:8">
      <c r="H835">
        <f t="shared" ref="H835:H898" si="13">0.5*F835</f>
        <v>0</v>
      </c>
    </row>
    <row r="836" spans="8:8">
      <c r="H836">
        <f t="shared" si="13"/>
        <v>0</v>
      </c>
    </row>
    <row r="837" spans="8:8">
      <c r="H837">
        <f t="shared" si="13"/>
        <v>0</v>
      </c>
    </row>
    <row r="838" spans="8:8">
      <c r="H838">
        <f t="shared" si="13"/>
        <v>0</v>
      </c>
    </row>
    <row r="839" spans="8:8">
      <c r="H839">
        <f t="shared" si="13"/>
        <v>0</v>
      </c>
    </row>
    <row r="840" spans="8:8">
      <c r="H840">
        <f t="shared" si="13"/>
        <v>0</v>
      </c>
    </row>
    <row r="841" spans="8:8">
      <c r="H841">
        <f t="shared" si="13"/>
        <v>0</v>
      </c>
    </row>
    <row r="842" spans="8:8">
      <c r="H842">
        <f t="shared" si="13"/>
        <v>0</v>
      </c>
    </row>
    <row r="843" spans="8:8">
      <c r="H843">
        <f t="shared" si="13"/>
        <v>0</v>
      </c>
    </row>
    <row r="844" spans="8:8">
      <c r="H844">
        <f t="shared" si="13"/>
        <v>0</v>
      </c>
    </row>
    <row r="845" spans="8:8">
      <c r="H845">
        <f t="shared" si="13"/>
        <v>0</v>
      </c>
    </row>
    <row r="846" spans="8:8">
      <c r="H846">
        <f t="shared" si="13"/>
        <v>0</v>
      </c>
    </row>
    <row r="847" spans="8:8">
      <c r="H847">
        <f t="shared" si="13"/>
        <v>0</v>
      </c>
    </row>
    <row r="848" spans="8:8">
      <c r="H848">
        <f t="shared" si="13"/>
        <v>0</v>
      </c>
    </row>
    <row r="849" spans="8:8">
      <c r="H849">
        <f t="shared" si="13"/>
        <v>0</v>
      </c>
    </row>
    <row r="850" spans="8:8">
      <c r="H850">
        <f t="shared" si="13"/>
        <v>0</v>
      </c>
    </row>
    <row r="851" spans="8:8">
      <c r="H851">
        <f t="shared" si="13"/>
        <v>0</v>
      </c>
    </row>
    <row r="852" spans="8:8">
      <c r="H852">
        <f t="shared" si="13"/>
        <v>0</v>
      </c>
    </row>
    <row r="853" spans="8:8">
      <c r="H853">
        <f t="shared" si="13"/>
        <v>0</v>
      </c>
    </row>
    <row r="854" spans="8:8">
      <c r="H854">
        <f t="shared" si="13"/>
        <v>0</v>
      </c>
    </row>
    <row r="855" spans="8:8">
      <c r="H855">
        <f t="shared" si="13"/>
        <v>0</v>
      </c>
    </row>
    <row r="856" spans="8:8">
      <c r="H856">
        <f t="shared" si="13"/>
        <v>0</v>
      </c>
    </row>
    <row r="857" spans="8:8">
      <c r="H857">
        <f t="shared" si="13"/>
        <v>0</v>
      </c>
    </row>
    <row r="858" spans="8:8">
      <c r="H858">
        <f t="shared" si="13"/>
        <v>0</v>
      </c>
    </row>
    <row r="859" spans="8:8">
      <c r="H859">
        <f t="shared" si="13"/>
        <v>0</v>
      </c>
    </row>
    <row r="860" spans="8:8">
      <c r="H860">
        <f t="shared" si="13"/>
        <v>0</v>
      </c>
    </row>
    <row r="861" spans="8:8">
      <c r="H861">
        <f t="shared" si="13"/>
        <v>0</v>
      </c>
    </row>
    <row r="862" spans="8:8">
      <c r="H862">
        <f t="shared" si="13"/>
        <v>0</v>
      </c>
    </row>
    <row r="863" spans="8:8">
      <c r="H863">
        <f t="shared" si="13"/>
        <v>0</v>
      </c>
    </row>
    <row r="864" spans="8:8">
      <c r="H864">
        <f t="shared" si="13"/>
        <v>0</v>
      </c>
    </row>
    <row r="865" spans="8:8">
      <c r="H865">
        <f t="shared" si="13"/>
        <v>0</v>
      </c>
    </row>
    <row r="866" spans="8:8">
      <c r="H866">
        <f t="shared" si="13"/>
        <v>0</v>
      </c>
    </row>
    <row r="867" spans="8:8">
      <c r="H867">
        <f t="shared" si="13"/>
        <v>0</v>
      </c>
    </row>
    <row r="868" spans="8:8">
      <c r="H868">
        <f t="shared" si="13"/>
        <v>0</v>
      </c>
    </row>
    <row r="869" spans="8:8">
      <c r="H869">
        <f t="shared" si="13"/>
        <v>0</v>
      </c>
    </row>
    <row r="870" spans="8:8">
      <c r="H870">
        <f t="shared" si="13"/>
        <v>0</v>
      </c>
    </row>
    <row r="871" spans="8:8">
      <c r="H871">
        <f t="shared" si="13"/>
        <v>0</v>
      </c>
    </row>
    <row r="872" spans="8:8">
      <c r="H872">
        <f t="shared" si="13"/>
        <v>0</v>
      </c>
    </row>
    <row r="873" spans="8:8">
      <c r="H873">
        <f t="shared" si="13"/>
        <v>0</v>
      </c>
    </row>
    <row r="874" spans="8:8">
      <c r="H874">
        <f t="shared" si="13"/>
        <v>0</v>
      </c>
    </row>
    <row r="875" spans="8:8">
      <c r="H875">
        <f t="shared" si="13"/>
        <v>0</v>
      </c>
    </row>
    <row r="876" spans="8:8">
      <c r="H876">
        <f t="shared" si="13"/>
        <v>0</v>
      </c>
    </row>
    <row r="877" spans="8:8">
      <c r="H877">
        <f t="shared" si="13"/>
        <v>0</v>
      </c>
    </row>
    <row r="878" spans="8:8">
      <c r="H878">
        <f t="shared" si="13"/>
        <v>0</v>
      </c>
    </row>
    <row r="879" spans="8:8">
      <c r="H879">
        <f t="shared" si="13"/>
        <v>0</v>
      </c>
    </row>
    <row r="880" spans="8:8">
      <c r="H880">
        <f t="shared" si="13"/>
        <v>0</v>
      </c>
    </row>
    <row r="881" spans="8:8">
      <c r="H881">
        <f t="shared" si="13"/>
        <v>0</v>
      </c>
    </row>
    <row r="882" spans="8:8">
      <c r="H882">
        <f t="shared" si="13"/>
        <v>0</v>
      </c>
    </row>
    <row r="883" spans="8:8">
      <c r="H883">
        <f t="shared" si="13"/>
        <v>0</v>
      </c>
    </row>
    <row r="884" spans="8:8">
      <c r="H884">
        <f t="shared" si="13"/>
        <v>0</v>
      </c>
    </row>
    <row r="885" spans="8:8">
      <c r="H885">
        <f t="shared" si="13"/>
        <v>0</v>
      </c>
    </row>
    <row r="886" spans="8:8">
      <c r="H886">
        <f t="shared" si="13"/>
        <v>0</v>
      </c>
    </row>
    <row r="887" spans="8:8">
      <c r="H887">
        <f t="shared" si="13"/>
        <v>0</v>
      </c>
    </row>
    <row r="888" spans="8:8">
      <c r="H888">
        <f t="shared" si="13"/>
        <v>0</v>
      </c>
    </row>
    <row r="889" spans="8:8">
      <c r="H889">
        <f t="shared" si="13"/>
        <v>0</v>
      </c>
    </row>
    <row r="890" spans="8:8">
      <c r="H890">
        <f t="shared" si="13"/>
        <v>0</v>
      </c>
    </row>
    <row r="891" spans="8:8">
      <c r="H891">
        <f t="shared" si="13"/>
        <v>0</v>
      </c>
    </row>
    <row r="892" spans="8:8">
      <c r="H892">
        <f t="shared" si="13"/>
        <v>0</v>
      </c>
    </row>
    <row r="893" spans="8:8">
      <c r="H893">
        <f t="shared" si="13"/>
        <v>0</v>
      </c>
    </row>
    <row r="894" spans="8:8">
      <c r="H894">
        <f t="shared" si="13"/>
        <v>0</v>
      </c>
    </row>
    <row r="895" spans="8:8">
      <c r="H895">
        <f t="shared" si="13"/>
        <v>0</v>
      </c>
    </row>
    <row r="896" spans="8:8">
      <c r="H896">
        <f t="shared" si="13"/>
        <v>0</v>
      </c>
    </row>
    <row r="897" spans="8:8">
      <c r="H897">
        <f t="shared" si="13"/>
        <v>0</v>
      </c>
    </row>
    <row r="898" spans="8:8">
      <c r="H898">
        <f t="shared" si="13"/>
        <v>0</v>
      </c>
    </row>
    <row r="899" spans="8:8">
      <c r="H899">
        <f t="shared" ref="H899:H962" si="14">0.5*F899</f>
        <v>0</v>
      </c>
    </row>
    <row r="900" spans="8:8">
      <c r="H900">
        <f t="shared" si="14"/>
        <v>0</v>
      </c>
    </row>
    <row r="901" spans="8:8">
      <c r="H901">
        <f t="shared" si="14"/>
        <v>0</v>
      </c>
    </row>
    <row r="902" spans="8:8">
      <c r="H902">
        <f t="shared" si="14"/>
        <v>0</v>
      </c>
    </row>
    <row r="903" spans="8:8">
      <c r="H903">
        <f t="shared" si="14"/>
        <v>0</v>
      </c>
    </row>
    <row r="904" spans="8:8">
      <c r="H904">
        <f t="shared" si="14"/>
        <v>0</v>
      </c>
    </row>
    <row r="905" spans="8:8">
      <c r="H905">
        <f t="shared" si="14"/>
        <v>0</v>
      </c>
    </row>
    <row r="906" spans="8:8">
      <c r="H906">
        <f t="shared" si="14"/>
        <v>0</v>
      </c>
    </row>
    <row r="907" spans="8:8">
      <c r="H907">
        <f t="shared" si="14"/>
        <v>0</v>
      </c>
    </row>
    <row r="908" spans="8:8">
      <c r="H908">
        <f t="shared" si="14"/>
        <v>0</v>
      </c>
    </row>
    <row r="909" spans="8:8">
      <c r="H909">
        <f t="shared" si="14"/>
        <v>0</v>
      </c>
    </row>
    <row r="910" spans="8:8">
      <c r="H910">
        <f t="shared" si="14"/>
        <v>0</v>
      </c>
    </row>
    <row r="911" spans="8:8">
      <c r="H911">
        <f t="shared" si="14"/>
        <v>0</v>
      </c>
    </row>
    <row r="912" spans="8:8">
      <c r="H912">
        <f t="shared" si="14"/>
        <v>0</v>
      </c>
    </row>
    <row r="913" spans="8:8">
      <c r="H913">
        <f t="shared" si="14"/>
        <v>0</v>
      </c>
    </row>
    <row r="914" spans="8:8">
      <c r="H914">
        <f t="shared" si="14"/>
        <v>0</v>
      </c>
    </row>
    <row r="915" spans="8:8">
      <c r="H915">
        <f t="shared" si="14"/>
        <v>0</v>
      </c>
    </row>
    <row r="916" spans="8:8">
      <c r="H916">
        <f t="shared" si="14"/>
        <v>0</v>
      </c>
    </row>
    <row r="917" spans="8:8">
      <c r="H917">
        <f t="shared" si="14"/>
        <v>0</v>
      </c>
    </row>
    <row r="918" spans="8:8">
      <c r="H918">
        <f t="shared" si="14"/>
        <v>0</v>
      </c>
    </row>
    <row r="919" spans="8:8">
      <c r="H919">
        <f t="shared" si="14"/>
        <v>0</v>
      </c>
    </row>
    <row r="920" spans="8:8">
      <c r="H920">
        <f t="shared" si="14"/>
        <v>0</v>
      </c>
    </row>
    <row r="921" spans="8:8">
      <c r="H921">
        <f t="shared" si="14"/>
        <v>0</v>
      </c>
    </row>
    <row r="922" spans="8:8">
      <c r="H922">
        <f t="shared" si="14"/>
        <v>0</v>
      </c>
    </row>
    <row r="923" spans="8:8">
      <c r="H923">
        <f t="shared" si="14"/>
        <v>0</v>
      </c>
    </row>
    <row r="924" spans="8:8">
      <c r="H924">
        <f t="shared" si="14"/>
        <v>0</v>
      </c>
    </row>
    <row r="925" spans="8:8">
      <c r="H925">
        <f t="shared" si="14"/>
        <v>0</v>
      </c>
    </row>
    <row r="926" spans="8:8">
      <c r="H926">
        <f t="shared" si="14"/>
        <v>0</v>
      </c>
    </row>
    <row r="927" spans="8:8">
      <c r="H927">
        <f t="shared" si="14"/>
        <v>0</v>
      </c>
    </row>
    <row r="928" spans="8:8">
      <c r="H928">
        <f t="shared" si="14"/>
        <v>0</v>
      </c>
    </row>
    <row r="929" spans="8:8">
      <c r="H929">
        <f t="shared" si="14"/>
        <v>0</v>
      </c>
    </row>
    <row r="930" spans="8:8">
      <c r="H930">
        <f t="shared" si="14"/>
        <v>0</v>
      </c>
    </row>
    <row r="931" spans="8:8">
      <c r="H931">
        <f t="shared" si="14"/>
        <v>0</v>
      </c>
    </row>
    <row r="932" spans="8:8">
      <c r="H932">
        <f t="shared" si="14"/>
        <v>0</v>
      </c>
    </row>
    <row r="933" spans="8:8">
      <c r="H933">
        <f t="shared" si="14"/>
        <v>0</v>
      </c>
    </row>
    <row r="934" spans="8:8">
      <c r="H934">
        <f t="shared" si="14"/>
        <v>0</v>
      </c>
    </row>
    <row r="935" spans="8:8">
      <c r="H935">
        <f t="shared" si="14"/>
        <v>0</v>
      </c>
    </row>
    <row r="936" spans="8:8">
      <c r="H936">
        <f t="shared" si="14"/>
        <v>0</v>
      </c>
    </row>
    <row r="937" spans="8:8">
      <c r="H937">
        <f t="shared" si="14"/>
        <v>0</v>
      </c>
    </row>
    <row r="938" spans="8:8">
      <c r="H938">
        <f t="shared" si="14"/>
        <v>0</v>
      </c>
    </row>
    <row r="939" spans="8:8">
      <c r="H939">
        <f t="shared" si="14"/>
        <v>0</v>
      </c>
    </row>
    <row r="940" spans="8:8">
      <c r="H940">
        <f t="shared" si="14"/>
        <v>0</v>
      </c>
    </row>
    <row r="941" spans="8:8">
      <c r="H941">
        <f t="shared" si="14"/>
        <v>0</v>
      </c>
    </row>
    <row r="942" spans="8:8">
      <c r="H942">
        <f t="shared" si="14"/>
        <v>0</v>
      </c>
    </row>
    <row r="943" spans="8:8">
      <c r="H943">
        <f t="shared" si="14"/>
        <v>0</v>
      </c>
    </row>
    <row r="944" spans="8:8">
      <c r="H944">
        <f t="shared" si="14"/>
        <v>0</v>
      </c>
    </row>
    <row r="945" spans="8:8">
      <c r="H945">
        <f t="shared" si="14"/>
        <v>0</v>
      </c>
    </row>
    <row r="946" spans="8:8">
      <c r="H946">
        <f t="shared" si="14"/>
        <v>0</v>
      </c>
    </row>
    <row r="947" spans="8:8">
      <c r="H947">
        <f t="shared" si="14"/>
        <v>0</v>
      </c>
    </row>
    <row r="948" spans="8:8">
      <c r="H948">
        <f t="shared" si="14"/>
        <v>0</v>
      </c>
    </row>
    <row r="949" spans="8:8">
      <c r="H949">
        <f t="shared" si="14"/>
        <v>0</v>
      </c>
    </row>
    <row r="950" spans="8:8">
      <c r="H950">
        <f t="shared" si="14"/>
        <v>0</v>
      </c>
    </row>
    <row r="951" spans="8:8">
      <c r="H951">
        <f t="shared" si="14"/>
        <v>0</v>
      </c>
    </row>
    <row r="952" spans="8:8">
      <c r="H952">
        <f t="shared" si="14"/>
        <v>0</v>
      </c>
    </row>
    <row r="953" spans="8:8">
      <c r="H953">
        <f t="shared" si="14"/>
        <v>0</v>
      </c>
    </row>
    <row r="954" spans="8:8">
      <c r="H954">
        <f t="shared" si="14"/>
        <v>0</v>
      </c>
    </row>
    <row r="955" spans="8:8">
      <c r="H955">
        <f t="shared" si="14"/>
        <v>0</v>
      </c>
    </row>
    <row r="956" spans="8:8">
      <c r="H956">
        <f t="shared" si="14"/>
        <v>0</v>
      </c>
    </row>
    <row r="957" spans="8:8">
      <c r="H957">
        <f t="shared" si="14"/>
        <v>0</v>
      </c>
    </row>
    <row r="958" spans="8:8">
      <c r="H958">
        <f t="shared" si="14"/>
        <v>0</v>
      </c>
    </row>
    <row r="959" spans="8:8">
      <c r="H959">
        <f t="shared" si="14"/>
        <v>0</v>
      </c>
    </row>
    <row r="960" spans="8:8">
      <c r="H960">
        <f t="shared" si="14"/>
        <v>0</v>
      </c>
    </row>
    <row r="961" spans="8:8">
      <c r="H961">
        <f t="shared" si="14"/>
        <v>0</v>
      </c>
    </row>
    <row r="962" spans="8:8">
      <c r="H962">
        <f t="shared" si="14"/>
        <v>0</v>
      </c>
    </row>
    <row r="963" spans="8:8">
      <c r="H963">
        <f t="shared" ref="H963:H1026" si="15">0.5*F963</f>
        <v>0</v>
      </c>
    </row>
    <row r="964" spans="8:8">
      <c r="H964">
        <f t="shared" si="15"/>
        <v>0</v>
      </c>
    </row>
    <row r="965" spans="8:8">
      <c r="H965">
        <f t="shared" si="15"/>
        <v>0</v>
      </c>
    </row>
    <row r="966" spans="8:8">
      <c r="H966">
        <f t="shared" si="15"/>
        <v>0</v>
      </c>
    </row>
    <row r="967" spans="8:8">
      <c r="H967">
        <f t="shared" si="15"/>
        <v>0</v>
      </c>
    </row>
    <row r="968" spans="8:8">
      <c r="H968">
        <f t="shared" si="15"/>
        <v>0</v>
      </c>
    </row>
    <row r="969" spans="8:8">
      <c r="H969">
        <f t="shared" si="15"/>
        <v>0</v>
      </c>
    </row>
    <row r="970" spans="8:8">
      <c r="H970">
        <f t="shared" si="15"/>
        <v>0</v>
      </c>
    </row>
    <row r="971" spans="8:8">
      <c r="H971">
        <f t="shared" si="15"/>
        <v>0</v>
      </c>
    </row>
    <row r="972" spans="8:8">
      <c r="H972">
        <f t="shared" si="15"/>
        <v>0</v>
      </c>
    </row>
    <row r="973" spans="8:8">
      <c r="H973">
        <f t="shared" si="15"/>
        <v>0</v>
      </c>
    </row>
    <row r="974" spans="8:8">
      <c r="H974">
        <f t="shared" si="15"/>
        <v>0</v>
      </c>
    </row>
    <row r="975" spans="8:8">
      <c r="H975">
        <f t="shared" si="15"/>
        <v>0</v>
      </c>
    </row>
    <row r="976" spans="8:8">
      <c r="H976">
        <f t="shared" si="15"/>
        <v>0</v>
      </c>
    </row>
    <row r="977" spans="8:8">
      <c r="H977">
        <f t="shared" si="15"/>
        <v>0</v>
      </c>
    </row>
    <row r="978" spans="8:8">
      <c r="H978">
        <f t="shared" si="15"/>
        <v>0</v>
      </c>
    </row>
    <row r="979" spans="8:8">
      <c r="H979">
        <f t="shared" si="15"/>
        <v>0</v>
      </c>
    </row>
    <row r="980" spans="8:8">
      <c r="H980">
        <f t="shared" si="15"/>
        <v>0</v>
      </c>
    </row>
    <row r="981" spans="8:8">
      <c r="H981">
        <f t="shared" si="15"/>
        <v>0</v>
      </c>
    </row>
    <row r="982" spans="8:8">
      <c r="H982">
        <f t="shared" si="15"/>
        <v>0</v>
      </c>
    </row>
    <row r="983" spans="8:8">
      <c r="H983">
        <f t="shared" si="15"/>
        <v>0</v>
      </c>
    </row>
    <row r="984" spans="8:8">
      <c r="H984">
        <f t="shared" si="15"/>
        <v>0</v>
      </c>
    </row>
    <row r="985" spans="8:8">
      <c r="H985">
        <f t="shared" si="15"/>
        <v>0</v>
      </c>
    </row>
    <row r="986" spans="8:8">
      <c r="H986">
        <f t="shared" si="15"/>
        <v>0</v>
      </c>
    </row>
    <row r="987" spans="8:8">
      <c r="H987">
        <f t="shared" si="15"/>
        <v>0</v>
      </c>
    </row>
    <row r="988" spans="8:8">
      <c r="H988">
        <f t="shared" si="15"/>
        <v>0</v>
      </c>
    </row>
    <row r="989" spans="8:8">
      <c r="H989">
        <f t="shared" si="15"/>
        <v>0</v>
      </c>
    </row>
    <row r="990" spans="8:8">
      <c r="H990">
        <f t="shared" si="15"/>
        <v>0</v>
      </c>
    </row>
    <row r="991" spans="8:8">
      <c r="H991">
        <f t="shared" si="15"/>
        <v>0</v>
      </c>
    </row>
    <row r="992" spans="8:8">
      <c r="H992">
        <f t="shared" si="15"/>
        <v>0</v>
      </c>
    </row>
    <row r="993" spans="8:8">
      <c r="H993">
        <f t="shared" si="15"/>
        <v>0</v>
      </c>
    </row>
    <row r="994" spans="8:8">
      <c r="H994">
        <f t="shared" si="15"/>
        <v>0</v>
      </c>
    </row>
    <row r="995" spans="8:8">
      <c r="H995">
        <f t="shared" si="15"/>
        <v>0</v>
      </c>
    </row>
    <row r="996" spans="8:8">
      <c r="H996">
        <f t="shared" si="15"/>
        <v>0</v>
      </c>
    </row>
    <row r="997" spans="8:8">
      <c r="H997">
        <f t="shared" si="15"/>
        <v>0</v>
      </c>
    </row>
    <row r="998" spans="8:8">
      <c r="H998">
        <f t="shared" si="15"/>
        <v>0</v>
      </c>
    </row>
    <row r="999" spans="8:8">
      <c r="H999">
        <f t="shared" si="15"/>
        <v>0</v>
      </c>
    </row>
    <row r="1000" spans="8:8">
      <c r="H1000">
        <f t="shared" si="15"/>
        <v>0</v>
      </c>
    </row>
    <row r="1001" spans="8:8">
      <c r="H1001">
        <f t="shared" si="15"/>
        <v>0</v>
      </c>
    </row>
    <row r="1002" spans="8:8">
      <c r="H1002">
        <f t="shared" si="15"/>
        <v>0</v>
      </c>
    </row>
    <row r="1003" spans="8:8">
      <c r="H1003">
        <f t="shared" si="15"/>
        <v>0</v>
      </c>
    </row>
    <row r="1004" spans="8:8">
      <c r="H1004">
        <f t="shared" si="15"/>
        <v>0</v>
      </c>
    </row>
    <row r="1005" spans="8:8">
      <c r="H1005">
        <f t="shared" si="15"/>
        <v>0</v>
      </c>
    </row>
    <row r="1006" spans="8:8">
      <c r="H1006">
        <f t="shared" si="15"/>
        <v>0</v>
      </c>
    </row>
    <row r="1007" spans="8:8">
      <c r="H1007">
        <f t="shared" si="15"/>
        <v>0</v>
      </c>
    </row>
    <row r="1008" spans="8:8">
      <c r="H1008">
        <f t="shared" si="15"/>
        <v>0</v>
      </c>
    </row>
    <row r="1009" spans="8:8">
      <c r="H1009">
        <f t="shared" si="15"/>
        <v>0</v>
      </c>
    </row>
    <row r="1010" spans="8:8">
      <c r="H1010">
        <f t="shared" si="15"/>
        <v>0</v>
      </c>
    </row>
    <row r="1011" spans="8:8">
      <c r="H1011">
        <f t="shared" si="15"/>
        <v>0</v>
      </c>
    </row>
    <row r="1012" spans="8:8">
      <c r="H1012">
        <f t="shared" si="15"/>
        <v>0</v>
      </c>
    </row>
    <row r="1013" spans="8:8">
      <c r="H1013">
        <f t="shared" si="15"/>
        <v>0</v>
      </c>
    </row>
    <row r="1014" spans="8:8">
      <c r="H1014">
        <f t="shared" si="15"/>
        <v>0</v>
      </c>
    </row>
    <row r="1015" spans="8:8">
      <c r="H1015">
        <f t="shared" si="15"/>
        <v>0</v>
      </c>
    </row>
    <row r="1016" spans="8:8">
      <c r="H1016">
        <f t="shared" si="15"/>
        <v>0</v>
      </c>
    </row>
    <row r="1017" spans="8:8">
      <c r="H1017">
        <f t="shared" si="15"/>
        <v>0</v>
      </c>
    </row>
    <row r="1018" spans="8:8">
      <c r="H1018">
        <f t="shared" si="15"/>
        <v>0</v>
      </c>
    </row>
    <row r="1019" spans="8:8">
      <c r="H1019">
        <f t="shared" si="15"/>
        <v>0</v>
      </c>
    </row>
    <row r="1020" spans="8:8">
      <c r="H1020">
        <f t="shared" si="15"/>
        <v>0</v>
      </c>
    </row>
    <row r="1021" spans="8:8">
      <c r="H1021">
        <f t="shared" si="15"/>
        <v>0</v>
      </c>
    </row>
    <row r="1022" spans="8:8">
      <c r="H1022">
        <f t="shared" si="15"/>
        <v>0</v>
      </c>
    </row>
    <row r="1023" spans="8:8">
      <c r="H1023">
        <f t="shared" si="15"/>
        <v>0</v>
      </c>
    </row>
    <row r="1024" spans="8:8">
      <c r="H1024">
        <f t="shared" si="15"/>
        <v>0</v>
      </c>
    </row>
    <row r="1025" spans="8:8">
      <c r="H1025">
        <f t="shared" si="15"/>
        <v>0</v>
      </c>
    </row>
    <row r="1026" spans="8:8">
      <c r="H1026">
        <f t="shared" si="15"/>
        <v>0</v>
      </c>
    </row>
    <row r="1027" spans="8:8">
      <c r="H1027">
        <f t="shared" ref="H1027:H1091" si="16">0.5*F1027</f>
        <v>0</v>
      </c>
    </row>
    <row r="1028" spans="8:8">
      <c r="H1028">
        <f t="shared" si="16"/>
        <v>0</v>
      </c>
    </row>
    <row r="1029" spans="8:8">
      <c r="H1029">
        <f t="shared" si="16"/>
        <v>0</v>
      </c>
    </row>
    <row r="1030" spans="8:8">
      <c r="H1030">
        <f t="shared" si="16"/>
        <v>0</v>
      </c>
    </row>
    <row r="1031" spans="8:8">
      <c r="H1031">
        <f t="shared" si="16"/>
        <v>0</v>
      </c>
    </row>
    <row r="1032" spans="8:8">
      <c r="H1032">
        <f t="shared" si="16"/>
        <v>0</v>
      </c>
    </row>
    <row r="1033" spans="8:8">
      <c r="H1033">
        <f t="shared" si="16"/>
        <v>0</v>
      </c>
    </row>
    <row r="1034" spans="8:8">
      <c r="H1034">
        <f t="shared" si="16"/>
        <v>0</v>
      </c>
    </row>
    <row r="1035" spans="8:8">
      <c r="H1035">
        <f t="shared" si="16"/>
        <v>0</v>
      </c>
    </row>
    <row r="1036" spans="8:8">
      <c r="H1036">
        <f t="shared" si="16"/>
        <v>0</v>
      </c>
    </row>
    <row r="1037" spans="8:8">
      <c r="H1037">
        <f t="shared" si="16"/>
        <v>0</v>
      </c>
    </row>
    <row r="1038" spans="8:8">
      <c r="H1038">
        <f t="shared" si="16"/>
        <v>0</v>
      </c>
    </row>
    <row r="1039" spans="8:8">
      <c r="H1039">
        <f t="shared" si="16"/>
        <v>0</v>
      </c>
    </row>
    <row r="1040" spans="8:8">
      <c r="H1040">
        <f t="shared" si="16"/>
        <v>0</v>
      </c>
    </row>
    <row r="1041" spans="8:8">
      <c r="H1041">
        <f t="shared" si="16"/>
        <v>0</v>
      </c>
    </row>
    <row r="1042" spans="8:8">
      <c r="H1042">
        <f t="shared" si="16"/>
        <v>0</v>
      </c>
    </row>
    <row r="1043" spans="8:8">
      <c r="H1043">
        <f t="shared" si="16"/>
        <v>0</v>
      </c>
    </row>
    <row r="1044" spans="8:8">
      <c r="H1044">
        <f t="shared" si="16"/>
        <v>0</v>
      </c>
    </row>
    <row r="1045" spans="8:8">
      <c r="H1045">
        <f t="shared" si="16"/>
        <v>0</v>
      </c>
    </row>
    <row r="1046" spans="8:8">
      <c r="H1046">
        <f t="shared" si="16"/>
        <v>0</v>
      </c>
    </row>
    <row r="1047" spans="8:8">
      <c r="H1047">
        <f t="shared" si="16"/>
        <v>0</v>
      </c>
    </row>
    <row r="1048" spans="8:8">
      <c r="H1048">
        <f t="shared" si="16"/>
        <v>0</v>
      </c>
    </row>
    <row r="1049" spans="8:8">
      <c r="H1049">
        <f t="shared" si="16"/>
        <v>0</v>
      </c>
    </row>
    <row r="1050" spans="8:8">
      <c r="H1050">
        <f t="shared" si="16"/>
        <v>0</v>
      </c>
    </row>
    <row r="1051" spans="8:8">
      <c r="H1051">
        <f t="shared" si="16"/>
        <v>0</v>
      </c>
    </row>
    <row r="1052" spans="8:8">
      <c r="H1052">
        <f t="shared" si="16"/>
        <v>0</v>
      </c>
    </row>
    <row r="1053" spans="8:8">
      <c r="H1053">
        <f t="shared" si="16"/>
        <v>0</v>
      </c>
    </row>
    <row r="1054" spans="8:8">
      <c r="H1054">
        <f t="shared" si="16"/>
        <v>0</v>
      </c>
    </row>
    <row r="1055" spans="8:8">
      <c r="H1055">
        <f t="shared" si="16"/>
        <v>0</v>
      </c>
    </row>
    <row r="1056" spans="8:8">
      <c r="H1056">
        <f t="shared" si="16"/>
        <v>0</v>
      </c>
    </row>
    <row r="1057" spans="8:8">
      <c r="H1057">
        <f t="shared" si="16"/>
        <v>0</v>
      </c>
    </row>
    <row r="1058" spans="8:8">
      <c r="H1058">
        <f t="shared" si="16"/>
        <v>0</v>
      </c>
    </row>
    <row r="1059" spans="8:8">
      <c r="H1059">
        <f t="shared" si="16"/>
        <v>0</v>
      </c>
    </row>
    <row r="1060" spans="8:8">
      <c r="H1060">
        <f t="shared" si="16"/>
        <v>0</v>
      </c>
    </row>
    <row r="1061" spans="8:8">
      <c r="H1061">
        <f t="shared" si="16"/>
        <v>0</v>
      </c>
    </row>
    <row r="1062" spans="8:8">
      <c r="H1062">
        <f t="shared" si="16"/>
        <v>0</v>
      </c>
    </row>
    <row r="1063" spans="8:8">
      <c r="H1063">
        <f t="shared" si="16"/>
        <v>0</v>
      </c>
    </row>
    <row r="1064" spans="8:8">
      <c r="H1064">
        <f t="shared" si="16"/>
        <v>0</v>
      </c>
    </row>
    <row r="1065" spans="8:8">
      <c r="H1065">
        <f t="shared" si="16"/>
        <v>0</v>
      </c>
    </row>
    <row r="1066" spans="8:8">
      <c r="H1066">
        <f t="shared" si="16"/>
        <v>0</v>
      </c>
    </row>
    <row r="1067" spans="8:8">
      <c r="H1067">
        <f t="shared" si="16"/>
        <v>0</v>
      </c>
    </row>
    <row r="1068" spans="8:8">
      <c r="H1068">
        <f t="shared" si="16"/>
        <v>0</v>
      </c>
    </row>
    <row r="1069" spans="8:8">
      <c r="H1069">
        <f t="shared" si="16"/>
        <v>0</v>
      </c>
    </row>
    <row r="1070" spans="8:8">
      <c r="H1070">
        <f t="shared" si="16"/>
        <v>0</v>
      </c>
    </row>
    <row r="1071" spans="8:8">
      <c r="H1071">
        <f t="shared" si="16"/>
        <v>0</v>
      </c>
    </row>
    <row r="1072" spans="8:8">
      <c r="H1072">
        <f t="shared" si="16"/>
        <v>0</v>
      </c>
    </row>
    <row r="1073" spans="8:8">
      <c r="H1073">
        <f t="shared" si="16"/>
        <v>0</v>
      </c>
    </row>
    <row r="1074" spans="8:8">
      <c r="H1074">
        <f t="shared" si="16"/>
        <v>0</v>
      </c>
    </row>
    <row r="1075" spans="8:8">
      <c r="H1075">
        <f t="shared" si="16"/>
        <v>0</v>
      </c>
    </row>
    <row r="1076" spans="8:8">
      <c r="H1076">
        <f t="shared" si="16"/>
        <v>0</v>
      </c>
    </row>
    <row r="1077" spans="8:8">
      <c r="H1077">
        <f t="shared" si="16"/>
        <v>0</v>
      </c>
    </row>
    <row r="1078" spans="8:8">
      <c r="H1078">
        <f t="shared" si="16"/>
        <v>0</v>
      </c>
    </row>
    <row r="1079" spans="8:8">
      <c r="H1079">
        <f t="shared" si="16"/>
        <v>0</v>
      </c>
    </row>
    <row r="1080" spans="8:8">
      <c r="H1080">
        <f t="shared" si="16"/>
        <v>0</v>
      </c>
    </row>
    <row r="1081" spans="8:8">
      <c r="H1081">
        <f t="shared" si="16"/>
        <v>0</v>
      </c>
    </row>
    <row r="1082" spans="8:8">
      <c r="H1082">
        <f t="shared" si="16"/>
        <v>0</v>
      </c>
    </row>
    <row r="1083" spans="8:8">
      <c r="H1083">
        <f t="shared" si="16"/>
        <v>0</v>
      </c>
    </row>
    <row r="1084" spans="8:8">
      <c r="H1084">
        <f t="shared" si="16"/>
        <v>0</v>
      </c>
    </row>
    <row r="1085" spans="8:8">
      <c r="H1085">
        <f t="shared" si="16"/>
        <v>0</v>
      </c>
    </row>
    <row r="1086" spans="8:8">
      <c r="H1086">
        <f t="shared" si="16"/>
        <v>0</v>
      </c>
    </row>
    <row r="1087" spans="8:8">
      <c r="H1087">
        <f t="shared" si="16"/>
        <v>0</v>
      </c>
    </row>
    <row r="1088" spans="8:8">
      <c r="H1088">
        <f t="shared" si="16"/>
        <v>0</v>
      </c>
    </row>
    <row r="1089" spans="8:8">
      <c r="H1089">
        <f t="shared" si="16"/>
        <v>0</v>
      </c>
    </row>
    <row r="1090" spans="8:8">
      <c r="H1090">
        <f t="shared" si="16"/>
        <v>0</v>
      </c>
    </row>
    <row r="1091" spans="8:8">
      <c r="H1091">
        <f t="shared" si="16"/>
        <v>0</v>
      </c>
    </row>
    <row r="1092" spans="8:8">
      <c r="H1092">
        <f t="shared" ref="H1092:H1155" si="17">0.5*F1092</f>
        <v>0</v>
      </c>
    </row>
    <row r="1093" spans="8:8">
      <c r="H1093">
        <f t="shared" si="17"/>
        <v>0</v>
      </c>
    </row>
    <row r="1094" spans="8:8">
      <c r="H1094">
        <f t="shared" si="17"/>
        <v>0</v>
      </c>
    </row>
    <row r="1095" spans="8:8">
      <c r="H1095">
        <f t="shared" si="17"/>
        <v>0</v>
      </c>
    </row>
    <row r="1096" spans="8:8">
      <c r="H1096">
        <f t="shared" si="17"/>
        <v>0</v>
      </c>
    </row>
    <row r="1097" spans="8:8">
      <c r="H1097">
        <f t="shared" si="17"/>
        <v>0</v>
      </c>
    </row>
    <row r="1098" spans="8:8">
      <c r="H1098">
        <f t="shared" si="17"/>
        <v>0</v>
      </c>
    </row>
    <row r="1099" spans="8:8">
      <c r="H1099">
        <f t="shared" si="17"/>
        <v>0</v>
      </c>
    </row>
    <row r="1100" spans="8:8">
      <c r="H1100">
        <f t="shared" si="17"/>
        <v>0</v>
      </c>
    </row>
    <row r="1101" spans="8:8">
      <c r="H1101">
        <f t="shared" si="17"/>
        <v>0</v>
      </c>
    </row>
    <row r="1102" spans="8:8">
      <c r="H1102">
        <f t="shared" si="17"/>
        <v>0</v>
      </c>
    </row>
    <row r="1103" spans="8:8">
      <c r="H1103">
        <f t="shared" si="17"/>
        <v>0</v>
      </c>
    </row>
    <row r="1104" spans="8:8">
      <c r="H1104">
        <f t="shared" si="17"/>
        <v>0</v>
      </c>
    </row>
    <row r="1105" spans="8:8">
      <c r="H1105">
        <f t="shared" si="17"/>
        <v>0</v>
      </c>
    </row>
    <row r="1106" spans="8:8">
      <c r="H1106">
        <f t="shared" si="17"/>
        <v>0</v>
      </c>
    </row>
    <row r="1107" spans="8:8">
      <c r="H1107">
        <f t="shared" si="17"/>
        <v>0</v>
      </c>
    </row>
    <row r="1108" spans="8:8">
      <c r="H1108">
        <f t="shared" si="17"/>
        <v>0</v>
      </c>
    </row>
    <row r="1109" spans="8:8">
      <c r="H1109">
        <f t="shared" si="17"/>
        <v>0</v>
      </c>
    </row>
    <row r="1110" spans="8:8">
      <c r="H1110">
        <f t="shared" si="17"/>
        <v>0</v>
      </c>
    </row>
    <row r="1111" spans="8:8">
      <c r="H1111">
        <f t="shared" si="17"/>
        <v>0</v>
      </c>
    </row>
    <row r="1112" spans="8:8">
      <c r="H1112">
        <f t="shared" si="17"/>
        <v>0</v>
      </c>
    </row>
    <row r="1113" spans="8:8">
      <c r="H1113">
        <f t="shared" si="17"/>
        <v>0</v>
      </c>
    </row>
    <row r="1114" spans="8:8">
      <c r="H1114">
        <f t="shared" si="17"/>
        <v>0</v>
      </c>
    </row>
    <row r="1115" spans="8:8">
      <c r="H1115">
        <f t="shared" si="17"/>
        <v>0</v>
      </c>
    </row>
    <row r="1116" spans="8:8">
      <c r="H1116">
        <f t="shared" si="17"/>
        <v>0</v>
      </c>
    </row>
    <row r="1117" spans="8:8">
      <c r="H1117">
        <f t="shared" si="17"/>
        <v>0</v>
      </c>
    </row>
    <row r="1118" spans="8:8">
      <c r="H1118">
        <f t="shared" si="17"/>
        <v>0</v>
      </c>
    </row>
    <row r="1119" spans="8:8">
      <c r="H1119">
        <f t="shared" si="17"/>
        <v>0</v>
      </c>
    </row>
    <row r="1120" spans="8:8">
      <c r="H1120">
        <f t="shared" si="17"/>
        <v>0</v>
      </c>
    </row>
    <row r="1121" spans="8:8">
      <c r="H1121">
        <f t="shared" si="17"/>
        <v>0</v>
      </c>
    </row>
    <row r="1122" spans="8:8">
      <c r="H1122">
        <f t="shared" si="17"/>
        <v>0</v>
      </c>
    </row>
    <row r="1123" spans="8:8">
      <c r="H1123">
        <f t="shared" si="17"/>
        <v>0</v>
      </c>
    </row>
    <row r="1124" spans="8:8">
      <c r="H1124">
        <f t="shared" si="17"/>
        <v>0</v>
      </c>
    </row>
    <row r="1125" spans="8:8">
      <c r="H1125">
        <f t="shared" si="17"/>
        <v>0</v>
      </c>
    </row>
    <row r="1126" spans="8:8">
      <c r="H1126">
        <f t="shared" si="17"/>
        <v>0</v>
      </c>
    </row>
    <row r="1127" spans="8:8">
      <c r="H1127">
        <f t="shared" si="17"/>
        <v>0</v>
      </c>
    </row>
    <row r="1128" spans="8:8">
      <c r="H1128">
        <f t="shared" si="17"/>
        <v>0</v>
      </c>
    </row>
    <row r="1129" spans="8:8">
      <c r="H1129">
        <f t="shared" si="17"/>
        <v>0</v>
      </c>
    </row>
    <row r="1130" spans="8:8">
      <c r="H1130">
        <f t="shared" si="17"/>
        <v>0</v>
      </c>
    </row>
    <row r="1131" spans="8:8">
      <c r="H1131">
        <f t="shared" si="17"/>
        <v>0</v>
      </c>
    </row>
    <row r="1132" spans="8:8">
      <c r="H1132">
        <f t="shared" si="17"/>
        <v>0</v>
      </c>
    </row>
    <row r="1133" spans="8:8">
      <c r="H1133">
        <f t="shared" si="17"/>
        <v>0</v>
      </c>
    </row>
    <row r="1134" spans="8:8">
      <c r="H1134">
        <f t="shared" si="17"/>
        <v>0</v>
      </c>
    </row>
    <row r="1135" spans="8:8">
      <c r="H1135">
        <f t="shared" si="17"/>
        <v>0</v>
      </c>
    </row>
    <row r="1136" spans="8:8">
      <c r="H1136">
        <f t="shared" si="17"/>
        <v>0</v>
      </c>
    </row>
    <row r="1137" spans="8:8">
      <c r="H1137">
        <f t="shared" si="17"/>
        <v>0</v>
      </c>
    </row>
    <row r="1138" spans="8:8">
      <c r="H1138">
        <f t="shared" si="17"/>
        <v>0</v>
      </c>
    </row>
    <row r="1139" spans="8:8">
      <c r="H1139">
        <f t="shared" si="17"/>
        <v>0</v>
      </c>
    </row>
    <row r="1140" spans="8:8">
      <c r="H1140">
        <f t="shared" si="17"/>
        <v>0</v>
      </c>
    </row>
    <row r="1141" spans="8:8">
      <c r="H1141">
        <f t="shared" si="17"/>
        <v>0</v>
      </c>
    </row>
    <row r="1142" spans="8:8">
      <c r="H1142">
        <f t="shared" si="17"/>
        <v>0</v>
      </c>
    </row>
    <row r="1143" spans="8:8">
      <c r="H1143">
        <f t="shared" si="17"/>
        <v>0</v>
      </c>
    </row>
    <row r="1144" spans="8:8">
      <c r="H1144">
        <f t="shared" si="17"/>
        <v>0</v>
      </c>
    </row>
    <row r="1145" spans="8:8">
      <c r="H1145">
        <f t="shared" si="17"/>
        <v>0</v>
      </c>
    </row>
    <row r="1146" spans="8:8">
      <c r="H1146">
        <f t="shared" si="17"/>
        <v>0</v>
      </c>
    </row>
    <row r="1147" spans="8:8">
      <c r="H1147">
        <f t="shared" si="17"/>
        <v>0</v>
      </c>
    </row>
    <row r="1148" spans="8:8">
      <c r="H1148">
        <f t="shared" si="17"/>
        <v>0</v>
      </c>
    </row>
    <row r="1149" spans="8:8">
      <c r="H1149">
        <f t="shared" si="17"/>
        <v>0</v>
      </c>
    </row>
    <row r="1150" spans="8:8">
      <c r="H1150">
        <f t="shared" si="17"/>
        <v>0</v>
      </c>
    </row>
    <row r="1151" spans="8:8">
      <c r="H1151">
        <f t="shared" si="17"/>
        <v>0</v>
      </c>
    </row>
    <row r="1152" spans="8:8">
      <c r="H1152">
        <f t="shared" si="17"/>
        <v>0</v>
      </c>
    </row>
    <row r="1153" spans="8:8">
      <c r="H1153">
        <f t="shared" si="17"/>
        <v>0</v>
      </c>
    </row>
    <row r="1154" spans="8:8">
      <c r="H1154">
        <f t="shared" si="17"/>
        <v>0</v>
      </c>
    </row>
    <row r="1155" spans="8:8">
      <c r="H1155">
        <f t="shared" si="17"/>
        <v>0</v>
      </c>
    </row>
    <row r="1156" spans="8:8">
      <c r="H1156">
        <f t="shared" ref="H1156:H1219" si="18">0.5*F1156</f>
        <v>0</v>
      </c>
    </row>
    <row r="1157" spans="8:8">
      <c r="H1157">
        <f t="shared" si="18"/>
        <v>0</v>
      </c>
    </row>
    <row r="1158" spans="8:8">
      <c r="H1158">
        <f t="shared" si="18"/>
        <v>0</v>
      </c>
    </row>
    <row r="1159" spans="8:8">
      <c r="H1159">
        <f t="shared" si="18"/>
        <v>0</v>
      </c>
    </row>
    <row r="1160" spans="8:8">
      <c r="H1160">
        <f t="shared" si="18"/>
        <v>0</v>
      </c>
    </row>
    <row r="1161" spans="8:8">
      <c r="H1161">
        <f t="shared" si="18"/>
        <v>0</v>
      </c>
    </row>
    <row r="1162" spans="8:8">
      <c r="H1162">
        <f t="shared" si="18"/>
        <v>0</v>
      </c>
    </row>
    <row r="1163" spans="8:8">
      <c r="H1163">
        <f t="shared" si="18"/>
        <v>0</v>
      </c>
    </row>
    <row r="1164" spans="8:8">
      <c r="H1164">
        <f t="shared" si="18"/>
        <v>0</v>
      </c>
    </row>
    <row r="1165" spans="8:8">
      <c r="H1165">
        <f t="shared" si="18"/>
        <v>0</v>
      </c>
    </row>
    <row r="1166" spans="8:8">
      <c r="H1166">
        <f t="shared" si="18"/>
        <v>0</v>
      </c>
    </row>
    <row r="1167" spans="8:8">
      <c r="H1167">
        <f t="shared" si="18"/>
        <v>0</v>
      </c>
    </row>
    <row r="1168" spans="8:8">
      <c r="H1168">
        <f t="shared" si="18"/>
        <v>0</v>
      </c>
    </row>
    <row r="1169" spans="8:8">
      <c r="H1169">
        <f t="shared" si="18"/>
        <v>0</v>
      </c>
    </row>
    <row r="1170" spans="8:8">
      <c r="H1170">
        <f t="shared" si="18"/>
        <v>0</v>
      </c>
    </row>
    <row r="1171" spans="8:8">
      <c r="H1171">
        <f t="shared" si="18"/>
        <v>0</v>
      </c>
    </row>
    <row r="1172" spans="8:8">
      <c r="H1172">
        <f t="shared" si="18"/>
        <v>0</v>
      </c>
    </row>
    <row r="1173" spans="8:8">
      <c r="H1173">
        <f t="shared" si="18"/>
        <v>0</v>
      </c>
    </row>
    <row r="1174" spans="8:8">
      <c r="H1174">
        <f t="shared" si="18"/>
        <v>0</v>
      </c>
    </row>
    <row r="1175" spans="8:8">
      <c r="H1175">
        <f t="shared" si="18"/>
        <v>0</v>
      </c>
    </row>
    <row r="1176" spans="8:8">
      <c r="H1176">
        <f t="shared" si="18"/>
        <v>0</v>
      </c>
    </row>
    <row r="1177" spans="8:8">
      <c r="H1177">
        <f t="shared" si="18"/>
        <v>0</v>
      </c>
    </row>
    <row r="1178" spans="8:8">
      <c r="H1178">
        <f t="shared" si="18"/>
        <v>0</v>
      </c>
    </row>
    <row r="1179" spans="8:8">
      <c r="H1179">
        <f t="shared" si="18"/>
        <v>0</v>
      </c>
    </row>
    <row r="1180" spans="8:8">
      <c r="H1180">
        <f t="shared" si="18"/>
        <v>0</v>
      </c>
    </row>
    <row r="1181" spans="8:8">
      <c r="H1181">
        <f t="shared" si="18"/>
        <v>0</v>
      </c>
    </row>
    <row r="1182" spans="8:8">
      <c r="H1182">
        <f t="shared" si="18"/>
        <v>0</v>
      </c>
    </row>
    <row r="1183" spans="8:8">
      <c r="H1183">
        <f t="shared" si="18"/>
        <v>0</v>
      </c>
    </row>
    <row r="1184" spans="8:8">
      <c r="H1184">
        <f t="shared" si="18"/>
        <v>0</v>
      </c>
    </row>
    <row r="1185" spans="8:8">
      <c r="H1185">
        <f t="shared" si="18"/>
        <v>0</v>
      </c>
    </row>
    <row r="1186" spans="8:8">
      <c r="H1186">
        <f t="shared" si="18"/>
        <v>0</v>
      </c>
    </row>
    <row r="1187" spans="8:8">
      <c r="H1187">
        <f t="shared" si="18"/>
        <v>0</v>
      </c>
    </row>
    <row r="1188" spans="8:8">
      <c r="H1188">
        <f t="shared" si="18"/>
        <v>0</v>
      </c>
    </row>
    <row r="1189" spans="8:8">
      <c r="H1189">
        <f t="shared" si="18"/>
        <v>0</v>
      </c>
    </row>
    <row r="1190" spans="8:8">
      <c r="H1190">
        <f t="shared" si="18"/>
        <v>0</v>
      </c>
    </row>
    <row r="1191" spans="8:8">
      <c r="H1191">
        <f t="shared" si="18"/>
        <v>0</v>
      </c>
    </row>
    <row r="1192" spans="8:8">
      <c r="H1192">
        <f t="shared" si="18"/>
        <v>0</v>
      </c>
    </row>
    <row r="1193" spans="8:8">
      <c r="H1193">
        <f t="shared" si="18"/>
        <v>0</v>
      </c>
    </row>
    <row r="1194" spans="8:8">
      <c r="H1194">
        <f t="shared" si="18"/>
        <v>0</v>
      </c>
    </row>
    <row r="1195" spans="8:8">
      <c r="H1195">
        <f t="shared" si="18"/>
        <v>0</v>
      </c>
    </row>
    <row r="1196" spans="8:8">
      <c r="H1196">
        <f t="shared" si="18"/>
        <v>0</v>
      </c>
    </row>
    <row r="1197" spans="8:8">
      <c r="H1197">
        <f t="shared" si="18"/>
        <v>0</v>
      </c>
    </row>
    <row r="1198" spans="8:8">
      <c r="H1198">
        <f t="shared" si="18"/>
        <v>0</v>
      </c>
    </row>
    <row r="1199" spans="8:8">
      <c r="H1199">
        <f t="shared" si="18"/>
        <v>0</v>
      </c>
    </row>
    <row r="1200" spans="8:8">
      <c r="H1200">
        <f t="shared" si="18"/>
        <v>0</v>
      </c>
    </row>
    <row r="1201" spans="8:8">
      <c r="H1201">
        <f t="shared" si="18"/>
        <v>0</v>
      </c>
    </row>
    <row r="1202" spans="8:8">
      <c r="H1202">
        <f t="shared" si="18"/>
        <v>0</v>
      </c>
    </row>
    <row r="1203" spans="8:8">
      <c r="H1203">
        <f t="shared" si="18"/>
        <v>0</v>
      </c>
    </row>
    <row r="1204" spans="8:8">
      <c r="H1204">
        <f t="shared" si="18"/>
        <v>0</v>
      </c>
    </row>
    <row r="1205" spans="8:8">
      <c r="H1205">
        <f t="shared" si="18"/>
        <v>0</v>
      </c>
    </row>
    <row r="1206" spans="8:8">
      <c r="H1206">
        <f t="shared" si="18"/>
        <v>0</v>
      </c>
    </row>
    <row r="1207" spans="8:8">
      <c r="H1207">
        <f t="shared" si="18"/>
        <v>0</v>
      </c>
    </row>
    <row r="1208" spans="8:8">
      <c r="H1208">
        <f t="shared" si="18"/>
        <v>0</v>
      </c>
    </row>
    <row r="1209" spans="8:8">
      <c r="H1209">
        <f t="shared" si="18"/>
        <v>0</v>
      </c>
    </row>
    <row r="1210" spans="8:8">
      <c r="H1210">
        <f t="shared" si="18"/>
        <v>0</v>
      </c>
    </row>
    <row r="1211" spans="8:8">
      <c r="H1211">
        <f t="shared" si="18"/>
        <v>0</v>
      </c>
    </row>
    <row r="1212" spans="8:8">
      <c r="H1212">
        <f t="shared" si="18"/>
        <v>0</v>
      </c>
    </row>
    <row r="1213" spans="8:8">
      <c r="H1213">
        <f t="shared" si="18"/>
        <v>0</v>
      </c>
    </row>
    <row r="1214" spans="8:8">
      <c r="H1214">
        <f t="shared" si="18"/>
        <v>0</v>
      </c>
    </row>
    <row r="1215" spans="8:8">
      <c r="H1215">
        <f t="shared" si="18"/>
        <v>0</v>
      </c>
    </row>
    <row r="1216" spans="8:8">
      <c r="H1216">
        <f t="shared" si="18"/>
        <v>0</v>
      </c>
    </row>
    <row r="1217" spans="8:8">
      <c r="H1217">
        <f t="shared" si="18"/>
        <v>0</v>
      </c>
    </row>
    <row r="1218" spans="8:8">
      <c r="H1218">
        <f t="shared" si="18"/>
        <v>0</v>
      </c>
    </row>
    <row r="1219" spans="8:8">
      <c r="H1219">
        <f t="shared" si="18"/>
        <v>0</v>
      </c>
    </row>
    <row r="1220" spans="8:8">
      <c r="H1220">
        <f t="shared" ref="H1220:H1283" si="19">0.5*F1220</f>
        <v>0</v>
      </c>
    </row>
    <row r="1221" spans="8:8">
      <c r="H1221">
        <f t="shared" si="19"/>
        <v>0</v>
      </c>
    </row>
    <row r="1222" spans="8:8">
      <c r="H1222">
        <f t="shared" si="19"/>
        <v>0</v>
      </c>
    </row>
    <row r="1223" spans="8:8">
      <c r="H1223">
        <f t="shared" si="19"/>
        <v>0</v>
      </c>
    </row>
    <row r="1224" spans="8:8">
      <c r="H1224">
        <f t="shared" si="19"/>
        <v>0</v>
      </c>
    </row>
    <row r="1225" spans="8:8">
      <c r="H1225">
        <f t="shared" si="19"/>
        <v>0</v>
      </c>
    </row>
    <row r="1226" spans="8:8">
      <c r="H1226">
        <f t="shared" si="19"/>
        <v>0</v>
      </c>
    </row>
    <row r="1227" spans="8:8">
      <c r="H1227">
        <f t="shared" si="19"/>
        <v>0</v>
      </c>
    </row>
    <row r="1228" spans="8:8">
      <c r="H1228">
        <f t="shared" si="19"/>
        <v>0</v>
      </c>
    </row>
    <row r="1229" spans="8:8">
      <c r="H1229">
        <f t="shared" si="19"/>
        <v>0</v>
      </c>
    </row>
    <row r="1230" spans="8:8">
      <c r="H1230">
        <f t="shared" si="19"/>
        <v>0</v>
      </c>
    </row>
    <row r="1231" spans="8:8">
      <c r="H1231">
        <f t="shared" si="19"/>
        <v>0</v>
      </c>
    </row>
    <row r="1232" spans="8:8">
      <c r="H1232">
        <f t="shared" si="19"/>
        <v>0</v>
      </c>
    </row>
    <row r="1233" spans="8:8">
      <c r="H1233">
        <f t="shared" si="19"/>
        <v>0</v>
      </c>
    </row>
    <row r="1234" spans="8:8">
      <c r="H1234">
        <f t="shared" si="19"/>
        <v>0</v>
      </c>
    </row>
    <row r="1235" spans="8:8">
      <c r="H1235">
        <f t="shared" si="19"/>
        <v>0</v>
      </c>
    </row>
    <row r="1236" spans="8:8">
      <c r="H1236">
        <f t="shared" si="19"/>
        <v>0</v>
      </c>
    </row>
    <row r="1237" spans="8:8">
      <c r="H1237">
        <f t="shared" si="19"/>
        <v>0</v>
      </c>
    </row>
    <row r="1238" spans="8:8">
      <c r="H1238">
        <f t="shared" si="19"/>
        <v>0</v>
      </c>
    </row>
    <row r="1239" spans="8:8">
      <c r="H1239">
        <f t="shared" si="19"/>
        <v>0</v>
      </c>
    </row>
    <row r="1240" spans="8:8">
      <c r="H1240">
        <f t="shared" si="19"/>
        <v>0</v>
      </c>
    </row>
    <row r="1241" spans="8:8">
      <c r="H1241">
        <f t="shared" si="19"/>
        <v>0</v>
      </c>
    </row>
    <row r="1242" spans="8:8">
      <c r="H1242">
        <f t="shared" si="19"/>
        <v>0</v>
      </c>
    </row>
    <row r="1243" spans="8:8">
      <c r="H1243">
        <f t="shared" si="19"/>
        <v>0</v>
      </c>
    </row>
    <row r="1244" spans="8:8">
      <c r="H1244">
        <f t="shared" si="19"/>
        <v>0</v>
      </c>
    </row>
    <row r="1245" spans="8:8">
      <c r="H1245">
        <f t="shared" si="19"/>
        <v>0</v>
      </c>
    </row>
    <row r="1246" spans="8:8">
      <c r="H1246">
        <f t="shared" si="19"/>
        <v>0</v>
      </c>
    </row>
    <row r="1247" spans="8:8">
      <c r="H1247">
        <f t="shared" si="19"/>
        <v>0</v>
      </c>
    </row>
    <row r="1248" spans="8:8">
      <c r="H1248">
        <f t="shared" si="19"/>
        <v>0</v>
      </c>
    </row>
    <row r="1249" spans="8:8">
      <c r="H1249">
        <f t="shared" si="19"/>
        <v>0</v>
      </c>
    </row>
    <row r="1250" spans="8:8">
      <c r="H1250">
        <f t="shared" si="19"/>
        <v>0</v>
      </c>
    </row>
    <row r="1251" spans="8:8">
      <c r="H1251">
        <f t="shared" si="19"/>
        <v>0</v>
      </c>
    </row>
    <row r="1252" spans="8:8">
      <c r="H1252">
        <f t="shared" si="19"/>
        <v>0</v>
      </c>
    </row>
    <row r="1253" spans="8:8">
      <c r="H1253">
        <f t="shared" si="19"/>
        <v>0</v>
      </c>
    </row>
    <row r="1254" spans="8:8">
      <c r="H1254">
        <f t="shared" si="19"/>
        <v>0</v>
      </c>
    </row>
    <row r="1255" spans="8:8">
      <c r="H1255">
        <f t="shared" si="19"/>
        <v>0</v>
      </c>
    </row>
    <row r="1256" spans="8:8">
      <c r="H1256">
        <f t="shared" si="19"/>
        <v>0</v>
      </c>
    </row>
    <row r="1257" spans="8:8">
      <c r="H1257">
        <f t="shared" si="19"/>
        <v>0</v>
      </c>
    </row>
    <row r="1258" spans="8:8">
      <c r="H1258">
        <f t="shared" si="19"/>
        <v>0</v>
      </c>
    </row>
    <row r="1259" spans="8:8">
      <c r="H1259">
        <f t="shared" si="19"/>
        <v>0</v>
      </c>
    </row>
    <row r="1260" spans="8:8">
      <c r="H1260">
        <f t="shared" si="19"/>
        <v>0</v>
      </c>
    </row>
    <row r="1261" spans="8:8">
      <c r="H1261">
        <f t="shared" si="19"/>
        <v>0</v>
      </c>
    </row>
    <row r="1262" spans="8:8">
      <c r="H1262">
        <f t="shared" si="19"/>
        <v>0</v>
      </c>
    </row>
    <row r="1263" spans="8:8">
      <c r="H1263">
        <f t="shared" si="19"/>
        <v>0</v>
      </c>
    </row>
    <row r="1264" spans="8:8">
      <c r="H1264">
        <f t="shared" si="19"/>
        <v>0</v>
      </c>
    </row>
    <row r="1265" spans="8:8">
      <c r="H1265">
        <f t="shared" si="19"/>
        <v>0</v>
      </c>
    </row>
    <row r="1266" spans="8:8">
      <c r="H1266">
        <f t="shared" si="19"/>
        <v>0</v>
      </c>
    </row>
    <row r="1267" spans="8:8">
      <c r="H1267">
        <f t="shared" si="19"/>
        <v>0</v>
      </c>
    </row>
    <row r="1268" spans="8:8">
      <c r="H1268">
        <f t="shared" si="19"/>
        <v>0</v>
      </c>
    </row>
    <row r="1269" spans="8:8">
      <c r="H1269">
        <f t="shared" si="19"/>
        <v>0</v>
      </c>
    </row>
    <row r="1270" spans="8:8">
      <c r="H1270">
        <f t="shared" si="19"/>
        <v>0</v>
      </c>
    </row>
    <row r="1271" spans="8:8">
      <c r="H1271">
        <f t="shared" si="19"/>
        <v>0</v>
      </c>
    </row>
    <row r="1272" spans="8:8">
      <c r="H1272">
        <f t="shared" si="19"/>
        <v>0</v>
      </c>
    </row>
    <row r="1273" spans="8:8">
      <c r="H1273">
        <f t="shared" si="19"/>
        <v>0</v>
      </c>
    </row>
    <row r="1274" spans="8:8">
      <c r="H1274">
        <f t="shared" si="19"/>
        <v>0</v>
      </c>
    </row>
    <row r="1275" spans="8:8">
      <c r="H1275">
        <f t="shared" si="19"/>
        <v>0</v>
      </c>
    </row>
    <row r="1276" spans="8:8">
      <c r="H1276">
        <f t="shared" si="19"/>
        <v>0</v>
      </c>
    </row>
    <row r="1277" spans="8:8">
      <c r="H1277">
        <f t="shared" si="19"/>
        <v>0</v>
      </c>
    </row>
    <row r="1278" spans="8:8">
      <c r="H1278">
        <f t="shared" si="19"/>
        <v>0</v>
      </c>
    </row>
    <row r="1279" spans="8:8">
      <c r="H1279">
        <f t="shared" si="19"/>
        <v>0</v>
      </c>
    </row>
    <row r="1280" spans="8:8">
      <c r="H1280">
        <f t="shared" si="19"/>
        <v>0</v>
      </c>
    </row>
    <row r="1281" spans="8:8">
      <c r="H1281">
        <f t="shared" si="19"/>
        <v>0</v>
      </c>
    </row>
    <row r="1282" spans="8:8">
      <c r="H1282">
        <f t="shared" si="19"/>
        <v>0</v>
      </c>
    </row>
    <row r="1283" spans="8:8">
      <c r="H1283">
        <f t="shared" si="19"/>
        <v>0</v>
      </c>
    </row>
    <row r="1284" spans="8:8">
      <c r="H1284">
        <f t="shared" ref="H1284:H1347" si="20">0.5*F1284</f>
        <v>0</v>
      </c>
    </row>
    <row r="1285" spans="8:8">
      <c r="H1285">
        <f t="shared" si="20"/>
        <v>0</v>
      </c>
    </row>
    <row r="1286" spans="8:8">
      <c r="H1286">
        <f t="shared" si="20"/>
        <v>0</v>
      </c>
    </row>
    <row r="1287" spans="8:8">
      <c r="H1287">
        <f t="shared" si="20"/>
        <v>0</v>
      </c>
    </row>
    <row r="1288" spans="8:8">
      <c r="H1288">
        <f t="shared" si="20"/>
        <v>0</v>
      </c>
    </row>
    <row r="1289" spans="8:8">
      <c r="H1289">
        <f t="shared" si="20"/>
        <v>0</v>
      </c>
    </row>
    <row r="1290" spans="8:8">
      <c r="H1290">
        <f t="shared" si="20"/>
        <v>0</v>
      </c>
    </row>
    <row r="1291" spans="8:8">
      <c r="H1291">
        <f t="shared" si="20"/>
        <v>0</v>
      </c>
    </row>
    <row r="1292" spans="8:8">
      <c r="H1292">
        <f t="shared" si="20"/>
        <v>0</v>
      </c>
    </row>
    <row r="1293" spans="8:8">
      <c r="H1293">
        <f t="shared" si="20"/>
        <v>0</v>
      </c>
    </row>
    <row r="1294" spans="8:8">
      <c r="H1294">
        <f t="shared" si="20"/>
        <v>0</v>
      </c>
    </row>
    <row r="1295" spans="8:8">
      <c r="H1295">
        <f t="shared" si="20"/>
        <v>0</v>
      </c>
    </row>
    <row r="1296" spans="8:8">
      <c r="H1296">
        <f t="shared" si="20"/>
        <v>0</v>
      </c>
    </row>
    <row r="1297" spans="8:8">
      <c r="H1297">
        <f t="shared" si="20"/>
        <v>0</v>
      </c>
    </row>
    <row r="1298" spans="8:8">
      <c r="H1298">
        <f t="shared" si="20"/>
        <v>0</v>
      </c>
    </row>
    <row r="1299" spans="8:8">
      <c r="H1299">
        <f t="shared" si="20"/>
        <v>0</v>
      </c>
    </row>
    <row r="1300" spans="8:8">
      <c r="H1300">
        <f t="shared" si="20"/>
        <v>0</v>
      </c>
    </row>
    <row r="1301" spans="8:8">
      <c r="H1301">
        <f t="shared" si="20"/>
        <v>0</v>
      </c>
    </row>
    <row r="1302" spans="8:8">
      <c r="H1302">
        <f t="shared" si="20"/>
        <v>0</v>
      </c>
    </row>
    <row r="1303" spans="8:8">
      <c r="H1303">
        <f t="shared" si="20"/>
        <v>0</v>
      </c>
    </row>
    <row r="1304" spans="8:8">
      <c r="H1304">
        <f t="shared" si="20"/>
        <v>0</v>
      </c>
    </row>
    <row r="1305" spans="8:8">
      <c r="H1305">
        <f t="shared" si="20"/>
        <v>0</v>
      </c>
    </row>
    <row r="1306" spans="8:8">
      <c r="H1306">
        <f t="shared" si="20"/>
        <v>0</v>
      </c>
    </row>
    <row r="1307" spans="8:8">
      <c r="H1307">
        <f t="shared" si="20"/>
        <v>0</v>
      </c>
    </row>
    <row r="1308" spans="8:8">
      <c r="H1308">
        <f t="shared" si="20"/>
        <v>0</v>
      </c>
    </row>
    <row r="1309" spans="8:8">
      <c r="H1309">
        <f t="shared" si="20"/>
        <v>0</v>
      </c>
    </row>
    <row r="1310" spans="8:8">
      <c r="H1310">
        <f t="shared" si="20"/>
        <v>0</v>
      </c>
    </row>
    <row r="1311" spans="8:8">
      <c r="H1311">
        <f t="shared" si="20"/>
        <v>0</v>
      </c>
    </row>
    <row r="1312" spans="8:8">
      <c r="H1312">
        <f t="shared" si="20"/>
        <v>0</v>
      </c>
    </row>
    <row r="1313" spans="8:8">
      <c r="H1313">
        <f t="shared" si="20"/>
        <v>0</v>
      </c>
    </row>
    <row r="1314" spans="8:8">
      <c r="H1314">
        <f t="shared" si="20"/>
        <v>0</v>
      </c>
    </row>
    <row r="1315" spans="8:8">
      <c r="H1315">
        <f t="shared" si="20"/>
        <v>0</v>
      </c>
    </row>
    <row r="1316" spans="8:8">
      <c r="H1316">
        <f t="shared" si="20"/>
        <v>0</v>
      </c>
    </row>
    <row r="1317" spans="8:8">
      <c r="H1317">
        <f t="shared" si="20"/>
        <v>0</v>
      </c>
    </row>
    <row r="1318" spans="8:8">
      <c r="H1318">
        <f t="shared" si="20"/>
        <v>0</v>
      </c>
    </row>
    <row r="1319" spans="8:8">
      <c r="H1319">
        <f t="shared" si="20"/>
        <v>0</v>
      </c>
    </row>
    <row r="1320" spans="8:8">
      <c r="H1320">
        <f t="shared" si="20"/>
        <v>0</v>
      </c>
    </row>
    <row r="1321" spans="8:8">
      <c r="H1321">
        <f t="shared" si="20"/>
        <v>0</v>
      </c>
    </row>
    <row r="1322" spans="8:8">
      <c r="H1322">
        <f t="shared" si="20"/>
        <v>0</v>
      </c>
    </row>
    <row r="1323" spans="8:8">
      <c r="H1323">
        <f t="shared" si="20"/>
        <v>0</v>
      </c>
    </row>
    <row r="1324" spans="8:8">
      <c r="H1324">
        <f t="shared" si="20"/>
        <v>0</v>
      </c>
    </row>
    <row r="1325" spans="8:8">
      <c r="H1325">
        <f t="shared" si="20"/>
        <v>0</v>
      </c>
    </row>
    <row r="1326" spans="8:8">
      <c r="H1326">
        <f t="shared" si="20"/>
        <v>0</v>
      </c>
    </row>
    <row r="1327" spans="8:8">
      <c r="H1327">
        <f t="shared" si="20"/>
        <v>0</v>
      </c>
    </row>
    <row r="1328" spans="8:8">
      <c r="H1328">
        <f t="shared" si="20"/>
        <v>0</v>
      </c>
    </row>
    <row r="1329" spans="8:8">
      <c r="H1329">
        <f t="shared" si="20"/>
        <v>0</v>
      </c>
    </row>
    <row r="1330" spans="8:8">
      <c r="H1330">
        <f t="shared" si="20"/>
        <v>0</v>
      </c>
    </row>
    <row r="1331" spans="8:8">
      <c r="H1331">
        <f t="shared" si="20"/>
        <v>0</v>
      </c>
    </row>
    <row r="1332" spans="8:8">
      <c r="H1332">
        <f t="shared" si="20"/>
        <v>0</v>
      </c>
    </row>
    <row r="1333" spans="8:8">
      <c r="H1333">
        <f t="shared" si="20"/>
        <v>0</v>
      </c>
    </row>
    <row r="1334" spans="8:8">
      <c r="H1334">
        <f t="shared" si="20"/>
        <v>0</v>
      </c>
    </row>
    <row r="1335" spans="8:8">
      <c r="H1335">
        <f t="shared" si="20"/>
        <v>0</v>
      </c>
    </row>
    <row r="1336" spans="8:8">
      <c r="H1336">
        <f t="shared" si="20"/>
        <v>0</v>
      </c>
    </row>
    <row r="1337" spans="8:8">
      <c r="H1337">
        <f t="shared" si="20"/>
        <v>0</v>
      </c>
    </row>
    <row r="1338" spans="8:8">
      <c r="H1338">
        <f t="shared" si="20"/>
        <v>0</v>
      </c>
    </row>
    <row r="1339" spans="8:8">
      <c r="H1339">
        <f t="shared" si="20"/>
        <v>0</v>
      </c>
    </row>
    <row r="1340" spans="8:8">
      <c r="H1340">
        <f t="shared" si="20"/>
        <v>0</v>
      </c>
    </row>
    <row r="1341" spans="8:8">
      <c r="H1341">
        <f t="shared" si="20"/>
        <v>0</v>
      </c>
    </row>
    <row r="1342" spans="8:8">
      <c r="H1342">
        <f t="shared" si="20"/>
        <v>0</v>
      </c>
    </row>
    <row r="1343" spans="8:8">
      <c r="H1343">
        <f t="shared" si="20"/>
        <v>0</v>
      </c>
    </row>
    <row r="1344" spans="8:8">
      <c r="H1344">
        <f t="shared" si="20"/>
        <v>0</v>
      </c>
    </row>
    <row r="1345" spans="8:8">
      <c r="H1345">
        <f t="shared" si="20"/>
        <v>0</v>
      </c>
    </row>
    <row r="1346" spans="8:8">
      <c r="H1346">
        <f t="shared" si="20"/>
        <v>0</v>
      </c>
    </row>
    <row r="1347" spans="8:8">
      <c r="H1347">
        <f t="shared" si="20"/>
        <v>0</v>
      </c>
    </row>
    <row r="1348" spans="8:8">
      <c r="H1348">
        <f t="shared" ref="H1348:H1411" si="21">0.5*F1348</f>
        <v>0</v>
      </c>
    </row>
    <row r="1349" spans="8:8">
      <c r="H1349">
        <f t="shared" si="21"/>
        <v>0</v>
      </c>
    </row>
    <row r="1350" spans="8:8">
      <c r="H1350">
        <f t="shared" si="21"/>
        <v>0</v>
      </c>
    </row>
    <row r="1351" spans="8:8">
      <c r="H1351">
        <f t="shared" si="21"/>
        <v>0</v>
      </c>
    </row>
    <row r="1352" spans="8:8">
      <c r="H1352">
        <f t="shared" si="21"/>
        <v>0</v>
      </c>
    </row>
    <row r="1353" spans="8:8">
      <c r="H1353">
        <f t="shared" si="21"/>
        <v>0</v>
      </c>
    </row>
    <row r="1354" spans="8:8">
      <c r="H1354">
        <f t="shared" si="21"/>
        <v>0</v>
      </c>
    </row>
    <row r="1355" spans="8:8">
      <c r="H1355">
        <f t="shared" si="21"/>
        <v>0</v>
      </c>
    </row>
    <row r="1356" spans="8:8">
      <c r="H1356">
        <f t="shared" si="21"/>
        <v>0</v>
      </c>
    </row>
    <row r="1357" spans="8:8">
      <c r="H1357">
        <f t="shared" si="21"/>
        <v>0</v>
      </c>
    </row>
    <row r="1358" spans="8:8">
      <c r="H1358">
        <f t="shared" si="21"/>
        <v>0</v>
      </c>
    </row>
    <row r="1359" spans="8:8">
      <c r="H1359">
        <f t="shared" si="21"/>
        <v>0</v>
      </c>
    </row>
    <row r="1360" spans="8:8">
      <c r="H1360">
        <f t="shared" si="21"/>
        <v>0</v>
      </c>
    </row>
    <row r="1361" spans="8:8">
      <c r="H1361">
        <f t="shared" si="21"/>
        <v>0</v>
      </c>
    </row>
    <row r="1362" spans="8:8">
      <c r="H1362">
        <f t="shared" si="21"/>
        <v>0</v>
      </c>
    </row>
    <row r="1363" spans="8:8">
      <c r="H1363">
        <f t="shared" si="21"/>
        <v>0</v>
      </c>
    </row>
    <row r="1364" spans="8:8">
      <c r="H1364">
        <f t="shared" si="21"/>
        <v>0</v>
      </c>
    </row>
    <row r="1365" spans="8:8">
      <c r="H1365">
        <f t="shared" si="21"/>
        <v>0</v>
      </c>
    </row>
    <row r="1366" spans="8:8">
      <c r="H1366">
        <f t="shared" si="21"/>
        <v>0</v>
      </c>
    </row>
    <row r="1367" spans="8:8">
      <c r="H1367">
        <f t="shared" si="21"/>
        <v>0</v>
      </c>
    </row>
    <row r="1368" spans="8:8">
      <c r="H1368">
        <f t="shared" si="21"/>
        <v>0</v>
      </c>
    </row>
    <row r="1369" spans="8:8">
      <c r="H1369">
        <f t="shared" si="21"/>
        <v>0</v>
      </c>
    </row>
    <row r="1370" spans="8:8">
      <c r="H1370">
        <f t="shared" si="21"/>
        <v>0</v>
      </c>
    </row>
    <row r="1371" spans="8:8">
      <c r="H1371">
        <f t="shared" si="21"/>
        <v>0</v>
      </c>
    </row>
    <row r="1372" spans="8:8">
      <c r="H1372">
        <f t="shared" si="21"/>
        <v>0</v>
      </c>
    </row>
    <row r="1373" spans="8:8">
      <c r="H1373">
        <f t="shared" si="21"/>
        <v>0</v>
      </c>
    </row>
    <row r="1374" spans="8:8">
      <c r="H1374">
        <f t="shared" si="21"/>
        <v>0</v>
      </c>
    </row>
    <row r="1375" spans="8:8">
      <c r="H1375">
        <f t="shared" si="21"/>
        <v>0</v>
      </c>
    </row>
    <row r="1376" spans="8:8">
      <c r="H1376">
        <f t="shared" si="21"/>
        <v>0</v>
      </c>
    </row>
    <row r="1377" spans="8:8">
      <c r="H1377">
        <f t="shared" si="21"/>
        <v>0</v>
      </c>
    </row>
    <row r="1378" spans="8:8">
      <c r="H1378">
        <f t="shared" si="21"/>
        <v>0</v>
      </c>
    </row>
    <row r="1379" spans="8:8">
      <c r="H1379">
        <f t="shared" si="21"/>
        <v>0</v>
      </c>
    </row>
    <row r="1380" spans="8:8">
      <c r="H1380">
        <f t="shared" si="21"/>
        <v>0</v>
      </c>
    </row>
    <row r="1381" spans="8:8">
      <c r="H1381">
        <f t="shared" si="21"/>
        <v>0</v>
      </c>
    </row>
    <row r="1382" spans="8:8">
      <c r="H1382">
        <f t="shared" si="21"/>
        <v>0</v>
      </c>
    </row>
    <row r="1383" spans="8:8">
      <c r="H1383">
        <f t="shared" si="21"/>
        <v>0</v>
      </c>
    </row>
    <row r="1384" spans="8:8">
      <c r="H1384">
        <f t="shared" si="21"/>
        <v>0</v>
      </c>
    </row>
    <row r="1385" spans="8:8">
      <c r="H1385">
        <f t="shared" si="21"/>
        <v>0</v>
      </c>
    </row>
    <row r="1386" spans="8:8">
      <c r="H1386">
        <f t="shared" si="21"/>
        <v>0</v>
      </c>
    </row>
    <row r="1387" spans="8:8">
      <c r="H1387">
        <f t="shared" si="21"/>
        <v>0</v>
      </c>
    </row>
    <row r="1388" spans="8:8">
      <c r="H1388">
        <f t="shared" si="21"/>
        <v>0</v>
      </c>
    </row>
    <row r="1389" spans="8:8">
      <c r="H1389">
        <f t="shared" si="21"/>
        <v>0</v>
      </c>
    </row>
    <row r="1390" spans="8:8">
      <c r="H1390">
        <f t="shared" si="21"/>
        <v>0</v>
      </c>
    </row>
    <row r="1391" spans="8:8">
      <c r="H1391">
        <f t="shared" si="21"/>
        <v>0</v>
      </c>
    </row>
    <row r="1392" spans="8:8">
      <c r="H1392">
        <f t="shared" si="21"/>
        <v>0</v>
      </c>
    </row>
    <row r="1393" spans="8:8">
      <c r="H1393">
        <f t="shared" si="21"/>
        <v>0</v>
      </c>
    </row>
    <row r="1394" spans="8:8">
      <c r="H1394">
        <f t="shared" si="21"/>
        <v>0</v>
      </c>
    </row>
    <row r="1395" spans="8:8">
      <c r="H1395">
        <f t="shared" si="21"/>
        <v>0</v>
      </c>
    </row>
    <row r="1396" spans="8:8">
      <c r="H1396">
        <f t="shared" si="21"/>
        <v>0</v>
      </c>
    </row>
    <row r="1397" spans="8:8">
      <c r="H1397">
        <f t="shared" si="21"/>
        <v>0</v>
      </c>
    </row>
    <row r="1398" spans="8:8">
      <c r="H1398">
        <f t="shared" si="21"/>
        <v>0</v>
      </c>
    </row>
    <row r="1399" spans="8:8">
      <c r="H1399">
        <f t="shared" si="21"/>
        <v>0</v>
      </c>
    </row>
    <row r="1400" spans="8:8">
      <c r="H1400">
        <f t="shared" si="21"/>
        <v>0</v>
      </c>
    </row>
    <row r="1401" spans="8:8">
      <c r="H1401">
        <f t="shared" si="21"/>
        <v>0</v>
      </c>
    </row>
    <row r="1402" spans="8:8">
      <c r="H1402">
        <f t="shared" si="21"/>
        <v>0</v>
      </c>
    </row>
    <row r="1403" spans="8:8">
      <c r="H1403">
        <f t="shared" si="21"/>
        <v>0</v>
      </c>
    </row>
    <row r="1404" spans="8:8">
      <c r="H1404">
        <f t="shared" si="21"/>
        <v>0</v>
      </c>
    </row>
    <row r="1405" spans="8:8">
      <c r="H1405">
        <f t="shared" si="21"/>
        <v>0</v>
      </c>
    </row>
    <row r="1406" spans="8:8">
      <c r="H1406">
        <f t="shared" si="21"/>
        <v>0</v>
      </c>
    </row>
    <row r="1407" spans="8:8">
      <c r="H1407">
        <f t="shared" si="21"/>
        <v>0</v>
      </c>
    </row>
    <row r="1408" spans="8:8">
      <c r="H1408">
        <f t="shared" si="21"/>
        <v>0</v>
      </c>
    </row>
    <row r="1409" spans="8:8">
      <c r="H1409">
        <f t="shared" si="21"/>
        <v>0</v>
      </c>
    </row>
    <row r="1410" spans="8:8">
      <c r="H1410">
        <f t="shared" si="21"/>
        <v>0</v>
      </c>
    </row>
    <row r="1411" spans="8:8">
      <c r="H1411">
        <f t="shared" si="21"/>
        <v>0</v>
      </c>
    </row>
    <row r="1412" spans="8:8">
      <c r="H1412">
        <f t="shared" ref="H1412:H1475" si="22">0.5*F1412</f>
        <v>0</v>
      </c>
    </row>
    <row r="1413" spans="8:8">
      <c r="H1413">
        <f t="shared" si="22"/>
        <v>0</v>
      </c>
    </row>
    <row r="1414" spans="8:8">
      <c r="H1414">
        <f t="shared" si="22"/>
        <v>0</v>
      </c>
    </row>
    <row r="1415" spans="8:8">
      <c r="H1415">
        <f t="shared" si="22"/>
        <v>0</v>
      </c>
    </row>
    <row r="1416" spans="8:8">
      <c r="H1416">
        <f t="shared" si="22"/>
        <v>0</v>
      </c>
    </row>
    <row r="1417" spans="8:8">
      <c r="H1417">
        <f t="shared" si="22"/>
        <v>0</v>
      </c>
    </row>
    <row r="1418" spans="8:8">
      <c r="H1418">
        <f t="shared" si="22"/>
        <v>0</v>
      </c>
    </row>
    <row r="1419" spans="8:8">
      <c r="H1419">
        <f t="shared" si="22"/>
        <v>0</v>
      </c>
    </row>
    <row r="1420" spans="8:8">
      <c r="H1420">
        <f t="shared" si="22"/>
        <v>0</v>
      </c>
    </row>
    <row r="1421" spans="8:8">
      <c r="H1421">
        <f t="shared" si="22"/>
        <v>0</v>
      </c>
    </row>
    <row r="1422" spans="8:8">
      <c r="H1422">
        <f t="shared" si="22"/>
        <v>0</v>
      </c>
    </row>
    <row r="1423" spans="8:8">
      <c r="H1423">
        <f t="shared" si="22"/>
        <v>0</v>
      </c>
    </row>
    <row r="1424" spans="8:8">
      <c r="H1424">
        <f t="shared" si="22"/>
        <v>0</v>
      </c>
    </row>
    <row r="1425" spans="8:8">
      <c r="H1425">
        <f t="shared" si="22"/>
        <v>0</v>
      </c>
    </row>
    <row r="1426" spans="8:8">
      <c r="H1426">
        <f t="shared" si="22"/>
        <v>0</v>
      </c>
    </row>
    <row r="1427" spans="8:8">
      <c r="H1427">
        <f t="shared" si="22"/>
        <v>0</v>
      </c>
    </row>
    <row r="1428" spans="8:8">
      <c r="H1428">
        <f t="shared" si="22"/>
        <v>0</v>
      </c>
    </row>
    <row r="1429" spans="8:8">
      <c r="H1429">
        <f t="shared" si="22"/>
        <v>0</v>
      </c>
    </row>
    <row r="1430" spans="8:8">
      <c r="H1430">
        <f t="shared" si="22"/>
        <v>0</v>
      </c>
    </row>
    <row r="1431" spans="8:8">
      <c r="H1431">
        <f t="shared" si="22"/>
        <v>0</v>
      </c>
    </row>
    <row r="1432" spans="8:8">
      <c r="H1432">
        <f t="shared" si="22"/>
        <v>0</v>
      </c>
    </row>
    <row r="1433" spans="8:8">
      <c r="H1433">
        <f t="shared" si="22"/>
        <v>0</v>
      </c>
    </row>
    <row r="1434" spans="8:8">
      <c r="H1434">
        <f t="shared" si="22"/>
        <v>0</v>
      </c>
    </row>
    <row r="1435" spans="8:8">
      <c r="H1435">
        <f t="shared" si="22"/>
        <v>0</v>
      </c>
    </row>
    <row r="1436" spans="8:8">
      <c r="H1436">
        <f t="shared" si="22"/>
        <v>0</v>
      </c>
    </row>
    <row r="1437" spans="8:8">
      <c r="H1437">
        <f t="shared" si="22"/>
        <v>0</v>
      </c>
    </row>
    <row r="1438" spans="8:8">
      <c r="H1438">
        <f t="shared" si="22"/>
        <v>0</v>
      </c>
    </row>
    <row r="1439" spans="8:8">
      <c r="H1439">
        <f t="shared" si="22"/>
        <v>0</v>
      </c>
    </row>
    <row r="1440" spans="8:8">
      <c r="H1440">
        <f t="shared" si="22"/>
        <v>0</v>
      </c>
    </row>
    <row r="1441" spans="8:8">
      <c r="H1441">
        <f t="shared" si="22"/>
        <v>0</v>
      </c>
    </row>
    <row r="1442" spans="8:8">
      <c r="H1442">
        <f t="shared" si="22"/>
        <v>0</v>
      </c>
    </row>
    <row r="1443" spans="8:8">
      <c r="H1443">
        <f t="shared" si="22"/>
        <v>0</v>
      </c>
    </row>
    <row r="1444" spans="8:8">
      <c r="H1444">
        <f t="shared" si="22"/>
        <v>0</v>
      </c>
    </row>
    <row r="1445" spans="8:8">
      <c r="H1445">
        <f t="shared" si="22"/>
        <v>0</v>
      </c>
    </row>
    <row r="1446" spans="8:8">
      <c r="H1446">
        <f t="shared" si="22"/>
        <v>0</v>
      </c>
    </row>
    <row r="1447" spans="8:8">
      <c r="H1447">
        <f t="shared" si="22"/>
        <v>0</v>
      </c>
    </row>
    <row r="1448" spans="8:8">
      <c r="H1448">
        <f t="shared" si="22"/>
        <v>0</v>
      </c>
    </row>
    <row r="1449" spans="8:8">
      <c r="H1449">
        <f t="shared" si="22"/>
        <v>0</v>
      </c>
    </row>
    <row r="1450" spans="8:8">
      <c r="H1450">
        <f t="shared" si="22"/>
        <v>0</v>
      </c>
    </row>
    <row r="1451" spans="8:8">
      <c r="H1451">
        <f t="shared" si="22"/>
        <v>0</v>
      </c>
    </row>
    <row r="1452" spans="8:8">
      <c r="H1452">
        <f t="shared" si="22"/>
        <v>0</v>
      </c>
    </row>
    <row r="1453" spans="8:8">
      <c r="H1453">
        <f t="shared" si="22"/>
        <v>0</v>
      </c>
    </row>
    <row r="1454" spans="8:8">
      <c r="H1454">
        <f t="shared" si="22"/>
        <v>0</v>
      </c>
    </row>
    <row r="1455" spans="8:8">
      <c r="H1455">
        <f t="shared" si="22"/>
        <v>0</v>
      </c>
    </row>
    <row r="1456" spans="8:8">
      <c r="H1456">
        <f t="shared" si="22"/>
        <v>0</v>
      </c>
    </row>
    <row r="1457" spans="8:8">
      <c r="H1457">
        <f t="shared" si="22"/>
        <v>0</v>
      </c>
    </row>
    <row r="1458" spans="8:8">
      <c r="H1458">
        <f t="shared" si="22"/>
        <v>0</v>
      </c>
    </row>
    <row r="1459" spans="8:8">
      <c r="H1459">
        <f t="shared" si="22"/>
        <v>0</v>
      </c>
    </row>
    <row r="1460" spans="8:8">
      <c r="H1460">
        <f t="shared" si="22"/>
        <v>0</v>
      </c>
    </row>
    <row r="1461" spans="8:8">
      <c r="H1461">
        <f t="shared" si="22"/>
        <v>0</v>
      </c>
    </row>
    <row r="1462" spans="8:8">
      <c r="H1462">
        <f t="shared" si="22"/>
        <v>0</v>
      </c>
    </row>
    <row r="1463" spans="8:8">
      <c r="H1463">
        <f t="shared" si="22"/>
        <v>0</v>
      </c>
    </row>
    <row r="1464" spans="8:8">
      <c r="H1464">
        <f t="shared" si="22"/>
        <v>0</v>
      </c>
    </row>
    <row r="1465" spans="8:8">
      <c r="H1465">
        <f t="shared" si="22"/>
        <v>0</v>
      </c>
    </row>
    <row r="1466" spans="8:8">
      <c r="H1466">
        <f t="shared" si="22"/>
        <v>0</v>
      </c>
    </row>
    <row r="1467" spans="8:8">
      <c r="H1467">
        <f t="shared" si="22"/>
        <v>0</v>
      </c>
    </row>
    <row r="1468" spans="8:8">
      <c r="H1468">
        <f t="shared" si="22"/>
        <v>0</v>
      </c>
    </row>
    <row r="1469" spans="8:8">
      <c r="H1469">
        <f t="shared" si="22"/>
        <v>0</v>
      </c>
    </row>
    <row r="1470" spans="8:8">
      <c r="H1470">
        <f t="shared" si="22"/>
        <v>0</v>
      </c>
    </row>
    <row r="1471" spans="8:8">
      <c r="H1471">
        <f t="shared" si="22"/>
        <v>0</v>
      </c>
    </row>
    <row r="1472" spans="8:8">
      <c r="H1472">
        <f t="shared" si="22"/>
        <v>0</v>
      </c>
    </row>
    <row r="1473" spans="8:8">
      <c r="H1473">
        <f t="shared" si="22"/>
        <v>0</v>
      </c>
    </row>
    <row r="1474" spans="8:8">
      <c r="H1474">
        <f t="shared" si="22"/>
        <v>0</v>
      </c>
    </row>
    <row r="1475" spans="8:8">
      <c r="H1475">
        <f t="shared" si="22"/>
        <v>0</v>
      </c>
    </row>
    <row r="1476" spans="8:8">
      <c r="H1476">
        <f t="shared" ref="H1476:H1539" si="23">0.5*F1476</f>
        <v>0</v>
      </c>
    </row>
    <row r="1477" spans="8:8">
      <c r="H1477">
        <f t="shared" si="23"/>
        <v>0</v>
      </c>
    </row>
    <row r="1478" spans="8:8">
      <c r="H1478">
        <f t="shared" si="23"/>
        <v>0</v>
      </c>
    </row>
    <row r="1479" spans="8:8">
      <c r="H1479">
        <f t="shared" si="23"/>
        <v>0</v>
      </c>
    </row>
    <row r="1480" spans="8:8">
      <c r="H1480">
        <f t="shared" si="23"/>
        <v>0</v>
      </c>
    </row>
    <row r="1481" spans="8:8">
      <c r="H1481">
        <f t="shared" si="23"/>
        <v>0</v>
      </c>
    </row>
    <row r="1482" spans="8:8">
      <c r="H1482">
        <f t="shared" si="23"/>
        <v>0</v>
      </c>
    </row>
    <row r="1483" spans="8:8">
      <c r="H1483">
        <f t="shared" si="23"/>
        <v>0</v>
      </c>
    </row>
    <row r="1484" spans="8:8">
      <c r="H1484">
        <f t="shared" si="23"/>
        <v>0</v>
      </c>
    </row>
    <row r="1485" spans="8:8">
      <c r="H1485">
        <f t="shared" si="23"/>
        <v>0</v>
      </c>
    </row>
    <row r="1486" spans="8:8">
      <c r="H1486">
        <f t="shared" si="23"/>
        <v>0</v>
      </c>
    </row>
    <row r="1487" spans="8:8">
      <c r="H1487">
        <f t="shared" si="23"/>
        <v>0</v>
      </c>
    </row>
    <row r="1488" spans="8:8">
      <c r="H1488">
        <f t="shared" si="23"/>
        <v>0</v>
      </c>
    </row>
    <row r="1489" spans="8:8">
      <c r="H1489">
        <f t="shared" si="23"/>
        <v>0</v>
      </c>
    </row>
    <row r="1490" spans="8:8">
      <c r="H1490">
        <f t="shared" si="23"/>
        <v>0</v>
      </c>
    </row>
    <row r="1491" spans="8:8">
      <c r="H1491">
        <f t="shared" si="23"/>
        <v>0</v>
      </c>
    </row>
    <row r="1492" spans="8:8">
      <c r="H1492">
        <f t="shared" si="23"/>
        <v>0</v>
      </c>
    </row>
    <row r="1493" spans="8:8">
      <c r="H1493">
        <f t="shared" si="23"/>
        <v>0</v>
      </c>
    </row>
    <row r="1494" spans="8:8">
      <c r="H1494">
        <f t="shared" si="23"/>
        <v>0</v>
      </c>
    </row>
    <row r="1495" spans="8:8">
      <c r="H1495">
        <f t="shared" si="23"/>
        <v>0</v>
      </c>
    </row>
    <row r="1496" spans="8:8">
      <c r="H1496">
        <f t="shared" si="23"/>
        <v>0</v>
      </c>
    </row>
    <row r="1497" spans="8:8">
      <c r="H1497">
        <f t="shared" si="23"/>
        <v>0</v>
      </c>
    </row>
    <row r="1498" spans="8:8">
      <c r="H1498">
        <f t="shared" si="23"/>
        <v>0</v>
      </c>
    </row>
    <row r="1499" spans="8:8">
      <c r="H1499">
        <f t="shared" si="23"/>
        <v>0</v>
      </c>
    </row>
    <row r="1500" spans="8:8">
      <c r="H1500">
        <f t="shared" si="23"/>
        <v>0</v>
      </c>
    </row>
    <row r="1501" spans="8:8">
      <c r="H1501">
        <f t="shared" si="23"/>
        <v>0</v>
      </c>
    </row>
    <row r="1502" spans="8:8">
      <c r="H1502">
        <f t="shared" si="23"/>
        <v>0</v>
      </c>
    </row>
    <row r="1503" spans="8:8">
      <c r="H1503">
        <f t="shared" si="23"/>
        <v>0</v>
      </c>
    </row>
    <row r="1504" spans="8:8">
      <c r="H1504">
        <f t="shared" si="23"/>
        <v>0</v>
      </c>
    </row>
    <row r="1505" spans="8:8">
      <c r="H1505">
        <f t="shared" si="23"/>
        <v>0</v>
      </c>
    </row>
    <row r="1506" spans="8:8">
      <c r="H1506">
        <f t="shared" si="23"/>
        <v>0</v>
      </c>
    </row>
    <row r="1507" spans="8:8">
      <c r="H1507">
        <f t="shared" si="23"/>
        <v>0</v>
      </c>
    </row>
    <row r="1508" spans="8:8">
      <c r="H1508">
        <f t="shared" si="23"/>
        <v>0</v>
      </c>
    </row>
    <row r="1509" spans="8:8">
      <c r="H1509">
        <f t="shared" si="23"/>
        <v>0</v>
      </c>
    </row>
    <row r="1510" spans="8:8">
      <c r="H1510">
        <f t="shared" si="23"/>
        <v>0</v>
      </c>
    </row>
    <row r="1511" spans="8:8">
      <c r="H1511">
        <f t="shared" si="23"/>
        <v>0</v>
      </c>
    </row>
    <row r="1512" spans="8:8">
      <c r="H1512">
        <f t="shared" si="23"/>
        <v>0</v>
      </c>
    </row>
    <row r="1513" spans="8:8">
      <c r="H1513">
        <f t="shared" si="23"/>
        <v>0</v>
      </c>
    </row>
    <row r="1514" spans="8:8">
      <c r="H1514">
        <f t="shared" si="23"/>
        <v>0</v>
      </c>
    </row>
    <row r="1515" spans="8:8">
      <c r="H1515">
        <f t="shared" si="23"/>
        <v>0</v>
      </c>
    </row>
    <row r="1516" spans="8:8">
      <c r="H1516">
        <f t="shared" si="23"/>
        <v>0</v>
      </c>
    </row>
    <row r="1517" spans="8:8">
      <c r="H1517">
        <f t="shared" si="23"/>
        <v>0</v>
      </c>
    </row>
    <row r="1518" spans="8:8">
      <c r="H1518">
        <f t="shared" si="23"/>
        <v>0</v>
      </c>
    </row>
    <row r="1519" spans="8:8">
      <c r="H1519">
        <f t="shared" si="23"/>
        <v>0</v>
      </c>
    </row>
    <row r="1520" spans="8:8">
      <c r="H1520">
        <f t="shared" si="23"/>
        <v>0</v>
      </c>
    </row>
    <row r="1521" spans="8:8">
      <c r="H1521">
        <f t="shared" si="23"/>
        <v>0</v>
      </c>
    </row>
    <row r="1522" spans="8:8">
      <c r="H1522">
        <f t="shared" si="23"/>
        <v>0</v>
      </c>
    </row>
    <row r="1523" spans="8:8">
      <c r="H1523">
        <f t="shared" si="23"/>
        <v>0</v>
      </c>
    </row>
    <row r="1524" spans="8:8">
      <c r="H1524">
        <f t="shared" si="23"/>
        <v>0</v>
      </c>
    </row>
    <row r="1525" spans="8:8">
      <c r="H1525">
        <f t="shared" si="23"/>
        <v>0</v>
      </c>
    </row>
    <row r="1526" spans="8:8">
      <c r="H1526">
        <f t="shared" si="23"/>
        <v>0</v>
      </c>
    </row>
    <row r="1527" spans="8:8">
      <c r="H1527">
        <f t="shared" si="23"/>
        <v>0</v>
      </c>
    </row>
    <row r="1528" spans="8:8">
      <c r="H1528">
        <f t="shared" si="23"/>
        <v>0</v>
      </c>
    </row>
    <row r="1529" spans="8:8">
      <c r="H1529">
        <f t="shared" si="23"/>
        <v>0</v>
      </c>
    </row>
    <row r="1530" spans="8:8">
      <c r="H1530">
        <f t="shared" si="23"/>
        <v>0</v>
      </c>
    </row>
    <row r="1531" spans="8:8">
      <c r="H1531">
        <f t="shared" si="23"/>
        <v>0</v>
      </c>
    </row>
    <row r="1532" spans="8:8">
      <c r="H1532">
        <f t="shared" si="23"/>
        <v>0</v>
      </c>
    </row>
    <row r="1533" spans="8:8">
      <c r="H1533">
        <f t="shared" si="23"/>
        <v>0</v>
      </c>
    </row>
    <row r="1534" spans="8:8">
      <c r="H1534">
        <f t="shared" si="23"/>
        <v>0</v>
      </c>
    </row>
    <row r="1535" spans="8:8">
      <c r="H1535">
        <f t="shared" si="23"/>
        <v>0</v>
      </c>
    </row>
    <row r="1536" spans="8:8">
      <c r="H1536">
        <f t="shared" si="23"/>
        <v>0</v>
      </c>
    </row>
    <row r="1537" spans="8:8">
      <c r="H1537">
        <f t="shared" si="23"/>
        <v>0</v>
      </c>
    </row>
    <row r="1538" spans="8:8">
      <c r="H1538">
        <f t="shared" si="23"/>
        <v>0</v>
      </c>
    </row>
    <row r="1539" spans="8:8">
      <c r="H1539">
        <f t="shared" si="23"/>
        <v>0</v>
      </c>
    </row>
    <row r="1540" spans="8:8">
      <c r="H1540">
        <f t="shared" ref="H1540:H1603" si="24">0.5*F1540</f>
        <v>0</v>
      </c>
    </row>
    <row r="1541" spans="8:8">
      <c r="H1541">
        <f t="shared" si="24"/>
        <v>0</v>
      </c>
    </row>
    <row r="1542" spans="8:8">
      <c r="H1542">
        <f t="shared" si="24"/>
        <v>0</v>
      </c>
    </row>
    <row r="1543" spans="8:8">
      <c r="H1543">
        <f t="shared" si="24"/>
        <v>0</v>
      </c>
    </row>
    <row r="1544" spans="8:8">
      <c r="H1544">
        <f t="shared" si="24"/>
        <v>0</v>
      </c>
    </row>
    <row r="1545" spans="8:8">
      <c r="H1545">
        <f t="shared" si="24"/>
        <v>0</v>
      </c>
    </row>
    <row r="1546" spans="8:8">
      <c r="H1546">
        <f t="shared" si="24"/>
        <v>0</v>
      </c>
    </row>
    <row r="1547" spans="8:8">
      <c r="H1547">
        <f t="shared" si="24"/>
        <v>0</v>
      </c>
    </row>
    <row r="1548" spans="8:8">
      <c r="H1548">
        <f t="shared" si="24"/>
        <v>0</v>
      </c>
    </row>
    <row r="1549" spans="8:8">
      <c r="H1549">
        <f t="shared" si="24"/>
        <v>0</v>
      </c>
    </row>
    <row r="1550" spans="8:8">
      <c r="H1550">
        <f t="shared" si="24"/>
        <v>0</v>
      </c>
    </row>
    <row r="1551" spans="8:8">
      <c r="H1551">
        <f t="shared" si="24"/>
        <v>0</v>
      </c>
    </row>
    <row r="1552" spans="8:8">
      <c r="H1552">
        <f t="shared" si="24"/>
        <v>0</v>
      </c>
    </row>
    <row r="1553" spans="8:8">
      <c r="H1553">
        <f t="shared" si="24"/>
        <v>0</v>
      </c>
    </row>
    <row r="1554" spans="8:8">
      <c r="H1554">
        <f t="shared" si="24"/>
        <v>0</v>
      </c>
    </row>
    <row r="1555" spans="8:8">
      <c r="H1555">
        <f t="shared" si="24"/>
        <v>0</v>
      </c>
    </row>
    <row r="1556" spans="8:8">
      <c r="H1556">
        <f t="shared" si="24"/>
        <v>0</v>
      </c>
    </row>
    <row r="1557" spans="8:8">
      <c r="H1557">
        <f t="shared" si="24"/>
        <v>0</v>
      </c>
    </row>
    <row r="1558" spans="8:8">
      <c r="H1558">
        <f t="shared" si="24"/>
        <v>0</v>
      </c>
    </row>
    <row r="1559" spans="8:8">
      <c r="H1559">
        <f t="shared" si="24"/>
        <v>0</v>
      </c>
    </row>
    <row r="1560" spans="8:8">
      <c r="H1560">
        <f t="shared" si="24"/>
        <v>0</v>
      </c>
    </row>
    <row r="1561" spans="8:8">
      <c r="H1561">
        <f t="shared" si="24"/>
        <v>0</v>
      </c>
    </row>
    <row r="1562" spans="8:8">
      <c r="H1562">
        <f t="shared" si="24"/>
        <v>0</v>
      </c>
    </row>
    <row r="1563" spans="8:8">
      <c r="H1563">
        <f t="shared" si="24"/>
        <v>0</v>
      </c>
    </row>
    <row r="1564" spans="8:8">
      <c r="H1564">
        <f t="shared" si="24"/>
        <v>0</v>
      </c>
    </row>
    <row r="1565" spans="8:8">
      <c r="H1565">
        <f t="shared" si="24"/>
        <v>0</v>
      </c>
    </row>
    <row r="1566" spans="8:8">
      <c r="H1566">
        <f t="shared" si="24"/>
        <v>0</v>
      </c>
    </row>
    <row r="1567" spans="8:8">
      <c r="H1567">
        <f t="shared" si="24"/>
        <v>0</v>
      </c>
    </row>
    <row r="1568" spans="8:8">
      <c r="H1568">
        <f t="shared" si="24"/>
        <v>0</v>
      </c>
    </row>
    <row r="1569" spans="8:8">
      <c r="H1569">
        <f t="shared" si="24"/>
        <v>0</v>
      </c>
    </row>
    <row r="1570" spans="8:8">
      <c r="H1570">
        <f t="shared" si="24"/>
        <v>0</v>
      </c>
    </row>
    <row r="1571" spans="8:8">
      <c r="H1571">
        <f t="shared" si="24"/>
        <v>0</v>
      </c>
    </row>
    <row r="1572" spans="8:8">
      <c r="H1572">
        <f t="shared" si="24"/>
        <v>0</v>
      </c>
    </row>
    <row r="1573" spans="8:8">
      <c r="H1573">
        <f t="shared" si="24"/>
        <v>0</v>
      </c>
    </row>
    <row r="1574" spans="8:8">
      <c r="H1574">
        <f t="shared" si="24"/>
        <v>0</v>
      </c>
    </row>
    <row r="1575" spans="8:8">
      <c r="H1575">
        <f t="shared" si="24"/>
        <v>0</v>
      </c>
    </row>
    <row r="1576" spans="8:8">
      <c r="H1576">
        <f t="shared" si="24"/>
        <v>0</v>
      </c>
    </row>
    <row r="1577" spans="8:8">
      <c r="H1577">
        <f t="shared" si="24"/>
        <v>0</v>
      </c>
    </row>
    <row r="1578" spans="8:8">
      <c r="H1578">
        <f t="shared" si="24"/>
        <v>0</v>
      </c>
    </row>
    <row r="1579" spans="8:8">
      <c r="H1579">
        <f t="shared" si="24"/>
        <v>0</v>
      </c>
    </row>
    <row r="1580" spans="8:8">
      <c r="H1580">
        <f t="shared" si="24"/>
        <v>0</v>
      </c>
    </row>
    <row r="1581" spans="8:8">
      <c r="H1581">
        <f t="shared" si="24"/>
        <v>0</v>
      </c>
    </row>
    <row r="1582" spans="8:8">
      <c r="H1582">
        <f t="shared" si="24"/>
        <v>0</v>
      </c>
    </row>
    <row r="1583" spans="8:8">
      <c r="H1583">
        <f t="shared" si="24"/>
        <v>0</v>
      </c>
    </row>
    <row r="1584" spans="8:8">
      <c r="H1584">
        <f t="shared" si="24"/>
        <v>0</v>
      </c>
    </row>
    <row r="1585" spans="8:8">
      <c r="H1585">
        <f t="shared" si="24"/>
        <v>0</v>
      </c>
    </row>
    <row r="1586" spans="8:8">
      <c r="H1586">
        <f t="shared" si="24"/>
        <v>0</v>
      </c>
    </row>
    <row r="1587" spans="8:8">
      <c r="H1587">
        <f t="shared" si="24"/>
        <v>0</v>
      </c>
    </row>
    <row r="1588" spans="8:8">
      <c r="H1588">
        <f t="shared" si="24"/>
        <v>0</v>
      </c>
    </row>
    <row r="1589" spans="8:8">
      <c r="H1589">
        <f t="shared" si="24"/>
        <v>0</v>
      </c>
    </row>
    <row r="1590" spans="8:8">
      <c r="H1590">
        <f t="shared" si="24"/>
        <v>0</v>
      </c>
    </row>
    <row r="1591" spans="8:8">
      <c r="H1591">
        <f t="shared" si="24"/>
        <v>0</v>
      </c>
    </row>
    <row r="1592" spans="8:8">
      <c r="H1592">
        <f t="shared" si="24"/>
        <v>0</v>
      </c>
    </row>
    <row r="1593" spans="8:8">
      <c r="H1593">
        <f t="shared" si="24"/>
        <v>0</v>
      </c>
    </row>
    <row r="1594" spans="8:8">
      <c r="H1594">
        <f t="shared" si="24"/>
        <v>0</v>
      </c>
    </row>
    <row r="1595" spans="8:8">
      <c r="H1595">
        <f t="shared" si="24"/>
        <v>0</v>
      </c>
    </row>
    <row r="1596" spans="8:8">
      <c r="H1596">
        <f t="shared" si="24"/>
        <v>0</v>
      </c>
    </row>
    <row r="1597" spans="8:8">
      <c r="H1597">
        <f t="shared" si="24"/>
        <v>0</v>
      </c>
    </row>
    <row r="1598" spans="8:8">
      <c r="H1598">
        <f t="shared" si="24"/>
        <v>0</v>
      </c>
    </row>
    <row r="1599" spans="8:8">
      <c r="H1599">
        <f t="shared" si="24"/>
        <v>0</v>
      </c>
    </row>
    <row r="1600" spans="8:8">
      <c r="H1600">
        <f t="shared" si="24"/>
        <v>0</v>
      </c>
    </row>
    <row r="1601" spans="8:8">
      <c r="H1601">
        <f t="shared" si="24"/>
        <v>0</v>
      </c>
    </row>
    <row r="1602" spans="8:8">
      <c r="H1602">
        <f t="shared" si="24"/>
        <v>0</v>
      </c>
    </row>
    <row r="1603" spans="8:8">
      <c r="H1603">
        <f t="shared" si="24"/>
        <v>0</v>
      </c>
    </row>
    <row r="1604" spans="8:8">
      <c r="H1604">
        <f t="shared" ref="H1604:H1667" si="25">0.5*F1604</f>
        <v>0</v>
      </c>
    </row>
    <row r="1605" spans="8:8">
      <c r="H1605">
        <f t="shared" si="25"/>
        <v>0</v>
      </c>
    </row>
    <row r="1606" spans="8:8">
      <c r="H1606">
        <f t="shared" si="25"/>
        <v>0</v>
      </c>
    </row>
    <row r="1607" spans="8:8">
      <c r="H1607">
        <f t="shared" si="25"/>
        <v>0</v>
      </c>
    </row>
    <row r="1608" spans="8:8">
      <c r="H1608">
        <f t="shared" si="25"/>
        <v>0</v>
      </c>
    </row>
    <row r="1609" spans="8:8">
      <c r="H1609">
        <f t="shared" si="25"/>
        <v>0</v>
      </c>
    </row>
    <row r="1610" spans="8:8">
      <c r="H1610">
        <f t="shared" si="25"/>
        <v>0</v>
      </c>
    </row>
    <row r="1611" spans="8:8">
      <c r="H1611">
        <f t="shared" si="25"/>
        <v>0</v>
      </c>
    </row>
    <row r="1612" spans="8:8">
      <c r="H1612">
        <f t="shared" si="25"/>
        <v>0</v>
      </c>
    </row>
    <row r="1613" spans="8:8">
      <c r="H1613">
        <f t="shared" si="25"/>
        <v>0</v>
      </c>
    </row>
    <row r="1614" spans="8:8">
      <c r="H1614">
        <f t="shared" si="25"/>
        <v>0</v>
      </c>
    </row>
    <row r="1615" spans="8:8">
      <c r="H1615">
        <f t="shared" si="25"/>
        <v>0</v>
      </c>
    </row>
    <row r="1616" spans="8:8">
      <c r="H1616">
        <f t="shared" si="25"/>
        <v>0</v>
      </c>
    </row>
    <row r="1617" spans="8:8">
      <c r="H1617">
        <f t="shared" si="25"/>
        <v>0</v>
      </c>
    </row>
    <row r="1618" spans="8:8">
      <c r="H1618">
        <f t="shared" si="25"/>
        <v>0</v>
      </c>
    </row>
    <row r="1619" spans="8:8">
      <c r="H1619">
        <f t="shared" si="25"/>
        <v>0</v>
      </c>
    </row>
    <row r="1620" spans="8:8">
      <c r="H1620">
        <f t="shared" si="25"/>
        <v>0</v>
      </c>
    </row>
    <row r="1621" spans="8:8">
      <c r="H1621">
        <f t="shared" si="25"/>
        <v>0</v>
      </c>
    </row>
    <row r="1622" spans="8:8">
      <c r="H1622">
        <f t="shared" si="25"/>
        <v>0</v>
      </c>
    </row>
    <row r="1623" spans="8:8">
      <c r="H1623">
        <f t="shared" si="25"/>
        <v>0</v>
      </c>
    </row>
    <row r="1624" spans="8:8">
      <c r="H1624">
        <f t="shared" si="25"/>
        <v>0</v>
      </c>
    </row>
    <row r="1625" spans="8:8">
      <c r="H1625">
        <f t="shared" si="25"/>
        <v>0</v>
      </c>
    </row>
    <row r="1626" spans="8:8">
      <c r="H1626">
        <f t="shared" si="25"/>
        <v>0</v>
      </c>
    </row>
    <row r="1627" spans="8:8">
      <c r="H1627">
        <f t="shared" si="25"/>
        <v>0</v>
      </c>
    </row>
    <row r="1628" spans="8:8">
      <c r="H1628">
        <f t="shared" si="25"/>
        <v>0</v>
      </c>
    </row>
    <row r="1629" spans="8:8">
      <c r="H1629">
        <f t="shared" si="25"/>
        <v>0</v>
      </c>
    </row>
    <row r="1630" spans="8:8">
      <c r="H1630">
        <f t="shared" si="25"/>
        <v>0</v>
      </c>
    </row>
    <row r="1631" spans="8:8">
      <c r="H1631">
        <f t="shared" si="25"/>
        <v>0</v>
      </c>
    </row>
    <row r="1632" spans="8:8">
      <c r="H1632">
        <f t="shared" si="25"/>
        <v>0</v>
      </c>
    </row>
    <row r="1633" spans="8:8">
      <c r="H1633">
        <f t="shared" si="25"/>
        <v>0</v>
      </c>
    </row>
    <row r="1634" spans="8:8">
      <c r="H1634">
        <f t="shared" si="25"/>
        <v>0</v>
      </c>
    </row>
    <row r="1635" spans="8:8">
      <c r="H1635">
        <f t="shared" si="25"/>
        <v>0</v>
      </c>
    </row>
    <row r="1636" spans="8:8">
      <c r="H1636">
        <f t="shared" si="25"/>
        <v>0</v>
      </c>
    </row>
    <row r="1637" spans="8:8">
      <c r="H1637">
        <f t="shared" si="25"/>
        <v>0</v>
      </c>
    </row>
    <row r="1638" spans="8:8">
      <c r="H1638">
        <f t="shared" si="25"/>
        <v>0</v>
      </c>
    </row>
    <row r="1639" spans="8:8">
      <c r="H1639">
        <f t="shared" si="25"/>
        <v>0</v>
      </c>
    </row>
    <row r="1640" spans="8:8">
      <c r="H1640">
        <f t="shared" si="25"/>
        <v>0</v>
      </c>
    </row>
    <row r="1641" spans="8:8">
      <c r="H1641">
        <f t="shared" si="25"/>
        <v>0</v>
      </c>
    </row>
    <row r="1642" spans="8:8">
      <c r="H1642">
        <f t="shared" si="25"/>
        <v>0</v>
      </c>
    </row>
    <row r="1643" spans="8:8">
      <c r="H1643">
        <f t="shared" si="25"/>
        <v>0</v>
      </c>
    </row>
    <row r="1644" spans="8:8">
      <c r="H1644">
        <f t="shared" si="25"/>
        <v>0</v>
      </c>
    </row>
    <row r="1645" spans="8:8">
      <c r="H1645">
        <f t="shared" si="25"/>
        <v>0</v>
      </c>
    </row>
    <row r="1646" spans="8:8">
      <c r="H1646">
        <f t="shared" si="25"/>
        <v>0</v>
      </c>
    </row>
    <row r="1647" spans="8:8">
      <c r="H1647">
        <f t="shared" si="25"/>
        <v>0</v>
      </c>
    </row>
    <row r="1648" spans="8:8">
      <c r="H1648">
        <f t="shared" si="25"/>
        <v>0</v>
      </c>
    </row>
    <row r="1649" spans="8:8">
      <c r="H1649">
        <f t="shared" si="25"/>
        <v>0</v>
      </c>
    </row>
    <row r="1650" spans="8:8">
      <c r="H1650">
        <f t="shared" si="25"/>
        <v>0</v>
      </c>
    </row>
    <row r="1651" spans="8:8">
      <c r="H1651">
        <f t="shared" si="25"/>
        <v>0</v>
      </c>
    </row>
    <row r="1652" spans="8:8">
      <c r="H1652">
        <f t="shared" si="25"/>
        <v>0</v>
      </c>
    </row>
    <row r="1653" spans="8:8">
      <c r="H1653">
        <f t="shared" si="25"/>
        <v>0</v>
      </c>
    </row>
    <row r="1654" spans="8:8">
      <c r="H1654">
        <f t="shared" si="25"/>
        <v>0</v>
      </c>
    </row>
    <row r="1655" spans="8:8">
      <c r="H1655">
        <f t="shared" si="25"/>
        <v>0</v>
      </c>
    </row>
    <row r="1656" spans="8:8">
      <c r="H1656">
        <f t="shared" si="25"/>
        <v>0</v>
      </c>
    </row>
    <row r="1657" spans="8:8">
      <c r="H1657">
        <f t="shared" si="25"/>
        <v>0</v>
      </c>
    </row>
    <row r="1658" spans="8:8">
      <c r="H1658">
        <f t="shared" si="25"/>
        <v>0</v>
      </c>
    </row>
    <row r="1659" spans="8:8">
      <c r="H1659">
        <f t="shared" si="25"/>
        <v>0</v>
      </c>
    </row>
    <row r="1660" spans="8:8">
      <c r="H1660">
        <f t="shared" si="25"/>
        <v>0</v>
      </c>
    </row>
    <row r="1661" spans="8:8">
      <c r="H1661">
        <f t="shared" si="25"/>
        <v>0</v>
      </c>
    </row>
    <row r="1662" spans="8:8">
      <c r="H1662">
        <f t="shared" si="25"/>
        <v>0</v>
      </c>
    </row>
    <row r="1663" spans="8:8">
      <c r="H1663">
        <f t="shared" si="25"/>
        <v>0</v>
      </c>
    </row>
    <row r="1664" spans="8:8">
      <c r="H1664">
        <f t="shared" si="25"/>
        <v>0</v>
      </c>
    </row>
    <row r="1665" spans="8:8">
      <c r="H1665">
        <f t="shared" si="25"/>
        <v>0</v>
      </c>
    </row>
    <row r="1666" spans="8:8">
      <c r="H1666">
        <f t="shared" si="25"/>
        <v>0</v>
      </c>
    </row>
    <row r="1667" spans="8:8">
      <c r="H1667">
        <f t="shared" si="25"/>
        <v>0</v>
      </c>
    </row>
    <row r="1668" spans="8:8">
      <c r="H1668">
        <f t="shared" ref="H1668:H1731" si="26">0.5*F1668</f>
        <v>0</v>
      </c>
    </row>
    <row r="1669" spans="8:8">
      <c r="H1669">
        <f t="shared" si="26"/>
        <v>0</v>
      </c>
    </row>
    <row r="1670" spans="8:8">
      <c r="H1670">
        <f t="shared" si="26"/>
        <v>0</v>
      </c>
    </row>
    <row r="1671" spans="8:8">
      <c r="H1671">
        <f t="shared" si="26"/>
        <v>0</v>
      </c>
    </row>
    <row r="1672" spans="8:8">
      <c r="H1672">
        <f t="shared" si="26"/>
        <v>0</v>
      </c>
    </row>
    <row r="1673" spans="8:8">
      <c r="H1673">
        <f t="shared" si="26"/>
        <v>0</v>
      </c>
    </row>
    <row r="1674" spans="8:8">
      <c r="H1674">
        <f t="shared" si="26"/>
        <v>0</v>
      </c>
    </row>
    <row r="1675" spans="8:8">
      <c r="H1675">
        <f t="shared" si="26"/>
        <v>0</v>
      </c>
    </row>
    <row r="1676" spans="8:8">
      <c r="H1676">
        <f t="shared" si="26"/>
        <v>0</v>
      </c>
    </row>
    <row r="1677" spans="8:8">
      <c r="H1677">
        <f t="shared" si="26"/>
        <v>0</v>
      </c>
    </row>
    <row r="1678" spans="8:8">
      <c r="H1678">
        <f t="shared" si="26"/>
        <v>0</v>
      </c>
    </row>
    <row r="1679" spans="8:8">
      <c r="H1679">
        <f t="shared" si="26"/>
        <v>0</v>
      </c>
    </row>
    <row r="1680" spans="8:8">
      <c r="H1680">
        <f t="shared" si="26"/>
        <v>0</v>
      </c>
    </row>
    <row r="1681" spans="8:8">
      <c r="H1681">
        <f t="shared" si="26"/>
        <v>0</v>
      </c>
    </row>
    <row r="1682" spans="8:8">
      <c r="H1682">
        <f t="shared" si="26"/>
        <v>0</v>
      </c>
    </row>
    <row r="1683" spans="8:8">
      <c r="H1683">
        <f t="shared" si="26"/>
        <v>0</v>
      </c>
    </row>
    <row r="1684" spans="8:8">
      <c r="H1684">
        <f t="shared" si="26"/>
        <v>0</v>
      </c>
    </row>
    <row r="1685" spans="8:8">
      <c r="H1685">
        <f t="shared" si="26"/>
        <v>0</v>
      </c>
    </row>
    <row r="1686" spans="8:8">
      <c r="H1686">
        <f t="shared" si="26"/>
        <v>0</v>
      </c>
    </row>
    <row r="1687" spans="8:8">
      <c r="H1687">
        <f t="shared" si="26"/>
        <v>0</v>
      </c>
    </row>
    <row r="1688" spans="8:8">
      <c r="H1688">
        <f t="shared" si="26"/>
        <v>0</v>
      </c>
    </row>
    <row r="1689" spans="8:8">
      <c r="H1689">
        <f t="shared" si="26"/>
        <v>0</v>
      </c>
    </row>
    <row r="1690" spans="8:8">
      <c r="H1690">
        <f t="shared" si="26"/>
        <v>0</v>
      </c>
    </row>
    <row r="1691" spans="8:8">
      <c r="H1691">
        <f t="shared" si="26"/>
        <v>0</v>
      </c>
    </row>
    <row r="1692" spans="8:8">
      <c r="H1692">
        <f t="shared" si="26"/>
        <v>0</v>
      </c>
    </row>
    <row r="1693" spans="8:8">
      <c r="H1693">
        <f t="shared" si="26"/>
        <v>0</v>
      </c>
    </row>
    <row r="1694" spans="8:8">
      <c r="H1694">
        <f t="shared" si="26"/>
        <v>0</v>
      </c>
    </row>
    <row r="1695" spans="8:8">
      <c r="H1695">
        <f t="shared" si="26"/>
        <v>0</v>
      </c>
    </row>
    <row r="1696" spans="8:8">
      <c r="H1696">
        <f t="shared" si="26"/>
        <v>0</v>
      </c>
    </row>
    <row r="1697" spans="8:8">
      <c r="H1697">
        <f t="shared" si="26"/>
        <v>0</v>
      </c>
    </row>
    <row r="1698" spans="8:8">
      <c r="H1698">
        <f t="shared" si="26"/>
        <v>0</v>
      </c>
    </row>
    <row r="1699" spans="8:8">
      <c r="H1699">
        <f t="shared" si="26"/>
        <v>0</v>
      </c>
    </row>
    <row r="1700" spans="8:8">
      <c r="H1700">
        <f t="shared" si="26"/>
        <v>0</v>
      </c>
    </row>
    <row r="1701" spans="8:8">
      <c r="H1701">
        <f t="shared" si="26"/>
        <v>0</v>
      </c>
    </row>
    <row r="1702" spans="8:8">
      <c r="H1702">
        <f t="shared" si="26"/>
        <v>0</v>
      </c>
    </row>
    <row r="1703" spans="8:8">
      <c r="H1703">
        <f t="shared" si="26"/>
        <v>0</v>
      </c>
    </row>
    <row r="1704" spans="8:8">
      <c r="H1704">
        <f t="shared" si="26"/>
        <v>0</v>
      </c>
    </row>
    <row r="1705" spans="8:8">
      <c r="H1705">
        <f t="shared" si="26"/>
        <v>0</v>
      </c>
    </row>
    <row r="1706" spans="8:8">
      <c r="H1706">
        <f t="shared" si="26"/>
        <v>0</v>
      </c>
    </row>
    <row r="1707" spans="8:8">
      <c r="H1707">
        <f t="shared" si="26"/>
        <v>0</v>
      </c>
    </row>
    <row r="1708" spans="8:8">
      <c r="H1708">
        <f t="shared" si="26"/>
        <v>0</v>
      </c>
    </row>
    <row r="1709" spans="8:8">
      <c r="H1709">
        <f t="shared" si="26"/>
        <v>0</v>
      </c>
    </row>
    <row r="1710" spans="8:8">
      <c r="H1710">
        <f t="shared" si="26"/>
        <v>0</v>
      </c>
    </row>
    <row r="1711" spans="8:8">
      <c r="H1711">
        <f t="shared" si="26"/>
        <v>0</v>
      </c>
    </row>
    <row r="1712" spans="8:8">
      <c r="H1712">
        <f t="shared" si="26"/>
        <v>0</v>
      </c>
    </row>
    <row r="1713" spans="8:8">
      <c r="H1713">
        <f t="shared" si="26"/>
        <v>0</v>
      </c>
    </row>
    <row r="1714" spans="8:8">
      <c r="H1714">
        <f t="shared" si="26"/>
        <v>0</v>
      </c>
    </row>
    <row r="1715" spans="8:8">
      <c r="H1715">
        <f t="shared" si="26"/>
        <v>0</v>
      </c>
    </row>
    <row r="1716" spans="8:8">
      <c r="H1716">
        <f t="shared" si="26"/>
        <v>0</v>
      </c>
    </row>
    <row r="1717" spans="8:8">
      <c r="H1717">
        <f t="shared" si="26"/>
        <v>0</v>
      </c>
    </row>
    <row r="1718" spans="8:8">
      <c r="H1718">
        <f t="shared" si="26"/>
        <v>0</v>
      </c>
    </row>
    <row r="1719" spans="8:8">
      <c r="H1719">
        <f t="shared" si="26"/>
        <v>0</v>
      </c>
    </row>
    <row r="1720" spans="8:8">
      <c r="H1720">
        <f t="shared" si="26"/>
        <v>0</v>
      </c>
    </row>
    <row r="1721" spans="8:8">
      <c r="H1721">
        <f t="shared" si="26"/>
        <v>0</v>
      </c>
    </row>
    <row r="1722" spans="8:8">
      <c r="H1722">
        <f t="shared" si="26"/>
        <v>0</v>
      </c>
    </row>
    <row r="1723" spans="8:8">
      <c r="H1723">
        <f t="shared" si="26"/>
        <v>0</v>
      </c>
    </row>
    <row r="1724" spans="8:8">
      <c r="H1724">
        <f t="shared" si="26"/>
        <v>0</v>
      </c>
    </row>
    <row r="1725" spans="8:8">
      <c r="H1725">
        <f t="shared" si="26"/>
        <v>0</v>
      </c>
    </row>
    <row r="1726" spans="8:8">
      <c r="H1726">
        <f t="shared" si="26"/>
        <v>0</v>
      </c>
    </row>
    <row r="1727" spans="8:8">
      <c r="H1727">
        <f t="shared" si="26"/>
        <v>0</v>
      </c>
    </row>
    <row r="1728" spans="8:8">
      <c r="H1728">
        <f t="shared" si="26"/>
        <v>0</v>
      </c>
    </row>
    <row r="1729" spans="8:8">
      <c r="H1729">
        <f t="shared" si="26"/>
        <v>0</v>
      </c>
    </row>
    <row r="1730" spans="8:8">
      <c r="H1730">
        <f t="shared" si="26"/>
        <v>0</v>
      </c>
    </row>
    <row r="1731" spans="8:8">
      <c r="H1731">
        <f t="shared" si="26"/>
        <v>0</v>
      </c>
    </row>
    <row r="1732" spans="8:8">
      <c r="H1732">
        <f t="shared" ref="H1732:H1795" si="27">0.5*F1732</f>
        <v>0</v>
      </c>
    </row>
    <row r="1733" spans="8:8">
      <c r="H1733">
        <f t="shared" si="27"/>
        <v>0</v>
      </c>
    </row>
    <row r="1734" spans="8:8">
      <c r="H1734">
        <f t="shared" si="27"/>
        <v>0</v>
      </c>
    </row>
    <row r="1735" spans="8:8">
      <c r="H1735">
        <f t="shared" si="27"/>
        <v>0</v>
      </c>
    </row>
    <row r="1736" spans="8:8">
      <c r="H1736">
        <f t="shared" si="27"/>
        <v>0</v>
      </c>
    </row>
    <row r="1737" spans="8:8">
      <c r="H1737">
        <f t="shared" si="27"/>
        <v>0</v>
      </c>
    </row>
    <row r="1738" spans="8:8">
      <c r="H1738">
        <f t="shared" si="27"/>
        <v>0</v>
      </c>
    </row>
    <row r="1739" spans="8:8">
      <c r="H1739">
        <f t="shared" si="27"/>
        <v>0</v>
      </c>
    </row>
    <row r="1740" spans="8:8">
      <c r="H1740">
        <f t="shared" si="27"/>
        <v>0</v>
      </c>
    </row>
    <row r="1741" spans="8:8">
      <c r="H1741">
        <f t="shared" si="27"/>
        <v>0</v>
      </c>
    </row>
    <row r="1742" spans="8:8">
      <c r="H1742">
        <f t="shared" si="27"/>
        <v>0</v>
      </c>
    </row>
    <row r="1743" spans="8:8">
      <c r="H1743">
        <f t="shared" si="27"/>
        <v>0</v>
      </c>
    </row>
    <row r="1744" spans="8:8">
      <c r="H1744">
        <f t="shared" si="27"/>
        <v>0</v>
      </c>
    </row>
    <row r="1745" spans="8:8">
      <c r="H1745">
        <f t="shared" si="27"/>
        <v>0</v>
      </c>
    </row>
    <row r="1746" spans="8:8">
      <c r="H1746">
        <f t="shared" si="27"/>
        <v>0</v>
      </c>
    </row>
    <row r="1747" spans="8:8">
      <c r="H1747">
        <f t="shared" si="27"/>
        <v>0</v>
      </c>
    </row>
    <row r="1748" spans="8:8">
      <c r="H1748">
        <f t="shared" si="27"/>
        <v>0</v>
      </c>
    </row>
    <row r="1749" spans="8:8">
      <c r="H1749">
        <f t="shared" si="27"/>
        <v>0</v>
      </c>
    </row>
    <row r="1750" spans="8:8">
      <c r="H1750">
        <f t="shared" si="27"/>
        <v>0</v>
      </c>
    </row>
    <row r="1751" spans="8:8">
      <c r="H1751">
        <f t="shared" si="27"/>
        <v>0</v>
      </c>
    </row>
    <row r="1752" spans="8:8">
      <c r="H1752">
        <f t="shared" si="27"/>
        <v>0</v>
      </c>
    </row>
    <row r="1753" spans="8:8">
      <c r="H1753">
        <f t="shared" si="27"/>
        <v>0</v>
      </c>
    </row>
    <row r="1754" spans="8:8">
      <c r="H1754">
        <f t="shared" si="27"/>
        <v>0</v>
      </c>
    </row>
    <row r="1755" spans="8:8">
      <c r="H1755">
        <f t="shared" si="27"/>
        <v>0</v>
      </c>
    </row>
    <row r="1756" spans="8:8">
      <c r="H1756">
        <f t="shared" si="27"/>
        <v>0</v>
      </c>
    </row>
    <row r="1757" spans="8:8">
      <c r="H1757">
        <f t="shared" si="27"/>
        <v>0</v>
      </c>
    </row>
    <row r="1758" spans="8:8">
      <c r="H1758">
        <f t="shared" si="27"/>
        <v>0</v>
      </c>
    </row>
    <row r="1759" spans="8:8">
      <c r="H1759">
        <f t="shared" si="27"/>
        <v>0</v>
      </c>
    </row>
    <row r="1760" spans="8:8">
      <c r="H1760">
        <f t="shared" si="27"/>
        <v>0</v>
      </c>
    </row>
    <row r="1761" spans="8:8">
      <c r="H1761">
        <f t="shared" si="27"/>
        <v>0</v>
      </c>
    </row>
    <row r="1762" spans="8:8">
      <c r="H1762">
        <f t="shared" si="27"/>
        <v>0</v>
      </c>
    </row>
    <row r="1763" spans="8:8">
      <c r="H1763">
        <f t="shared" si="27"/>
        <v>0</v>
      </c>
    </row>
    <row r="1764" spans="8:8">
      <c r="H1764">
        <f t="shared" si="27"/>
        <v>0</v>
      </c>
    </row>
    <row r="1765" spans="8:8">
      <c r="H1765">
        <f t="shared" si="27"/>
        <v>0</v>
      </c>
    </row>
    <row r="1766" spans="8:8">
      <c r="H1766">
        <f t="shared" si="27"/>
        <v>0</v>
      </c>
    </row>
    <row r="1767" spans="8:8">
      <c r="H1767">
        <f t="shared" si="27"/>
        <v>0</v>
      </c>
    </row>
    <row r="1768" spans="8:8">
      <c r="H1768">
        <f t="shared" si="27"/>
        <v>0</v>
      </c>
    </row>
    <row r="1769" spans="8:8">
      <c r="H1769">
        <f t="shared" si="27"/>
        <v>0</v>
      </c>
    </row>
    <row r="1770" spans="8:8">
      <c r="H1770">
        <f t="shared" si="27"/>
        <v>0</v>
      </c>
    </row>
    <row r="1771" spans="8:8">
      <c r="H1771">
        <f t="shared" si="27"/>
        <v>0</v>
      </c>
    </row>
    <row r="1772" spans="8:8">
      <c r="H1772">
        <f t="shared" si="27"/>
        <v>0</v>
      </c>
    </row>
    <row r="1773" spans="8:8">
      <c r="H1773">
        <f t="shared" si="27"/>
        <v>0</v>
      </c>
    </row>
    <row r="1774" spans="8:8">
      <c r="H1774">
        <f t="shared" si="27"/>
        <v>0</v>
      </c>
    </row>
    <row r="1775" spans="8:8">
      <c r="H1775">
        <f t="shared" si="27"/>
        <v>0</v>
      </c>
    </row>
    <row r="1776" spans="8:8">
      <c r="H1776">
        <f t="shared" si="27"/>
        <v>0</v>
      </c>
    </row>
    <row r="1777" spans="8:8">
      <c r="H1777">
        <f t="shared" si="27"/>
        <v>0</v>
      </c>
    </row>
    <row r="1778" spans="8:8">
      <c r="H1778">
        <f t="shared" si="27"/>
        <v>0</v>
      </c>
    </row>
    <row r="1779" spans="8:8">
      <c r="H1779">
        <f t="shared" si="27"/>
        <v>0</v>
      </c>
    </row>
    <row r="1780" spans="8:8">
      <c r="H1780">
        <f t="shared" si="27"/>
        <v>0</v>
      </c>
    </row>
    <row r="1781" spans="8:8">
      <c r="H1781">
        <f t="shared" si="27"/>
        <v>0</v>
      </c>
    </row>
    <row r="1782" spans="8:8">
      <c r="H1782">
        <f t="shared" si="27"/>
        <v>0</v>
      </c>
    </row>
    <row r="1783" spans="8:8">
      <c r="H1783">
        <f t="shared" si="27"/>
        <v>0</v>
      </c>
    </row>
    <row r="1784" spans="8:8">
      <c r="H1784">
        <f t="shared" si="27"/>
        <v>0</v>
      </c>
    </row>
    <row r="1785" spans="8:8">
      <c r="H1785">
        <f t="shared" si="27"/>
        <v>0</v>
      </c>
    </row>
    <row r="1786" spans="8:8">
      <c r="H1786">
        <f t="shared" si="27"/>
        <v>0</v>
      </c>
    </row>
    <row r="1787" spans="8:8">
      <c r="H1787">
        <f t="shared" si="27"/>
        <v>0</v>
      </c>
    </row>
    <row r="1788" spans="8:8">
      <c r="H1788">
        <f t="shared" si="27"/>
        <v>0</v>
      </c>
    </row>
    <row r="1789" spans="8:8">
      <c r="H1789">
        <f t="shared" si="27"/>
        <v>0</v>
      </c>
    </row>
    <row r="1790" spans="8:8">
      <c r="H1790">
        <f t="shared" si="27"/>
        <v>0</v>
      </c>
    </row>
    <row r="1791" spans="8:8">
      <c r="H1791">
        <f t="shared" si="27"/>
        <v>0</v>
      </c>
    </row>
    <row r="1792" spans="8:8">
      <c r="H1792">
        <f t="shared" si="27"/>
        <v>0</v>
      </c>
    </row>
    <row r="1793" spans="8:8">
      <c r="H1793">
        <f t="shared" si="27"/>
        <v>0</v>
      </c>
    </row>
    <row r="1794" spans="8:8">
      <c r="H1794">
        <f t="shared" si="27"/>
        <v>0</v>
      </c>
    </row>
    <row r="1795" spans="8:8">
      <c r="H1795">
        <f t="shared" si="27"/>
        <v>0</v>
      </c>
    </row>
    <row r="1796" spans="8:8">
      <c r="H1796">
        <f t="shared" ref="H1796:H1859" si="28">0.5*F1796</f>
        <v>0</v>
      </c>
    </row>
    <row r="1797" spans="8:8">
      <c r="H1797">
        <f t="shared" si="28"/>
        <v>0</v>
      </c>
    </row>
    <row r="1798" spans="8:8">
      <c r="H1798">
        <f t="shared" si="28"/>
        <v>0</v>
      </c>
    </row>
    <row r="1799" spans="8:8">
      <c r="H1799">
        <f t="shared" si="28"/>
        <v>0</v>
      </c>
    </row>
    <row r="1800" spans="8:8">
      <c r="H1800">
        <f t="shared" si="28"/>
        <v>0</v>
      </c>
    </row>
    <row r="1801" spans="8:8">
      <c r="H1801">
        <f t="shared" si="28"/>
        <v>0</v>
      </c>
    </row>
    <row r="1802" spans="8:8">
      <c r="H1802">
        <f t="shared" si="28"/>
        <v>0</v>
      </c>
    </row>
    <row r="1803" spans="8:8">
      <c r="H1803">
        <f t="shared" si="28"/>
        <v>0</v>
      </c>
    </row>
    <row r="1804" spans="8:8">
      <c r="H1804">
        <f t="shared" si="28"/>
        <v>0</v>
      </c>
    </row>
    <row r="1805" spans="8:8">
      <c r="H1805">
        <f t="shared" si="28"/>
        <v>0</v>
      </c>
    </row>
    <row r="1806" spans="8:8">
      <c r="H1806">
        <f t="shared" si="28"/>
        <v>0</v>
      </c>
    </row>
    <row r="1807" spans="8:8">
      <c r="H1807">
        <f t="shared" si="28"/>
        <v>0</v>
      </c>
    </row>
    <row r="1808" spans="8:8">
      <c r="H1808">
        <f t="shared" si="28"/>
        <v>0</v>
      </c>
    </row>
    <row r="1809" spans="8:8">
      <c r="H1809">
        <f t="shared" si="28"/>
        <v>0</v>
      </c>
    </row>
    <row r="1810" spans="8:8">
      <c r="H1810">
        <f t="shared" si="28"/>
        <v>0</v>
      </c>
    </row>
    <row r="1811" spans="8:8">
      <c r="H1811">
        <f t="shared" si="28"/>
        <v>0</v>
      </c>
    </row>
    <row r="1812" spans="8:8">
      <c r="H1812">
        <f t="shared" si="28"/>
        <v>0</v>
      </c>
    </row>
    <row r="1813" spans="8:8">
      <c r="H1813">
        <f t="shared" si="28"/>
        <v>0</v>
      </c>
    </row>
    <row r="1814" spans="8:8">
      <c r="H1814">
        <f t="shared" si="28"/>
        <v>0</v>
      </c>
    </row>
    <row r="1815" spans="8:8">
      <c r="H1815">
        <f t="shared" si="28"/>
        <v>0</v>
      </c>
    </row>
    <row r="1816" spans="8:8">
      <c r="H1816">
        <f t="shared" si="28"/>
        <v>0</v>
      </c>
    </row>
    <row r="1817" spans="8:8">
      <c r="H1817">
        <f t="shared" si="28"/>
        <v>0</v>
      </c>
    </row>
    <row r="1818" spans="8:8">
      <c r="H1818">
        <f t="shared" si="28"/>
        <v>0</v>
      </c>
    </row>
    <row r="1819" spans="8:8">
      <c r="H1819">
        <f t="shared" si="28"/>
        <v>0</v>
      </c>
    </row>
    <row r="1820" spans="8:8">
      <c r="H1820">
        <f t="shared" si="28"/>
        <v>0</v>
      </c>
    </row>
    <row r="1821" spans="8:8">
      <c r="H1821">
        <f t="shared" si="28"/>
        <v>0</v>
      </c>
    </row>
    <row r="1822" spans="8:8">
      <c r="H1822">
        <f t="shared" si="28"/>
        <v>0</v>
      </c>
    </row>
    <row r="1823" spans="8:8">
      <c r="H1823">
        <f t="shared" si="28"/>
        <v>0</v>
      </c>
    </row>
    <row r="1824" spans="8:8">
      <c r="H1824">
        <f t="shared" si="28"/>
        <v>0</v>
      </c>
    </row>
    <row r="1825" spans="8:8">
      <c r="H1825">
        <f t="shared" si="28"/>
        <v>0</v>
      </c>
    </row>
    <row r="1826" spans="8:8">
      <c r="H1826">
        <f t="shared" si="28"/>
        <v>0</v>
      </c>
    </row>
    <row r="1827" spans="8:8">
      <c r="H1827">
        <f t="shared" si="28"/>
        <v>0</v>
      </c>
    </row>
    <row r="1828" spans="8:8">
      <c r="H1828">
        <f t="shared" si="28"/>
        <v>0</v>
      </c>
    </row>
    <row r="1829" spans="8:8">
      <c r="H1829">
        <f t="shared" si="28"/>
        <v>0</v>
      </c>
    </row>
    <row r="1830" spans="8:8">
      <c r="H1830">
        <f t="shared" si="28"/>
        <v>0</v>
      </c>
    </row>
    <row r="1831" spans="8:8">
      <c r="H1831">
        <f t="shared" si="28"/>
        <v>0</v>
      </c>
    </row>
    <row r="1832" spans="8:8">
      <c r="H1832">
        <f t="shared" si="28"/>
        <v>0</v>
      </c>
    </row>
    <row r="1833" spans="8:8">
      <c r="H1833">
        <f t="shared" si="28"/>
        <v>0</v>
      </c>
    </row>
    <row r="1834" spans="8:8">
      <c r="H1834">
        <f t="shared" si="28"/>
        <v>0</v>
      </c>
    </row>
    <row r="1835" spans="8:8">
      <c r="H1835">
        <f t="shared" si="28"/>
        <v>0</v>
      </c>
    </row>
    <row r="1836" spans="8:8">
      <c r="H1836">
        <f t="shared" si="28"/>
        <v>0</v>
      </c>
    </row>
    <row r="1837" spans="8:8">
      <c r="H1837">
        <f t="shared" si="28"/>
        <v>0</v>
      </c>
    </row>
    <row r="1838" spans="8:8">
      <c r="H1838">
        <f t="shared" si="28"/>
        <v>0</v>
      </c>
    </row>
    <row r="1839" spans="8:8">
      <c r="H1839">
        <f t="shared" si="28"/>
        <v>0</v>
      </c>
    </row>
    <row r="1840" spans="8:8">
      <c r="H1840">
        <f t="shared" si="28"/>
        <v>0</v>
      </c>
    </row>
    <row r="1841" spans="8:8">
      <c r="H1841">
        <f t="shared" si="28"/>
        <v>0</v>
      </c>
    </row>
    <row r="1842" spans="8:8">
      <c r="H1842">
        <f t="shared" si="28"/>
        <v>0</v>
      </c>
    </row>
    <row r="1843" spans="8:8">
      <c r="H1843">
        <f t="shared" si="28"/>
        <v>0</v>
      </c>
    </row>
    <row r="1844" spans="8:8">
      <c r="H1844">
        <f t="shared" si="28"/>
        <v>0</v>
      </c>
    </row>
    <row r="1845" spans="8:8">
      <c r="H1845">
        <f t="shared" si="28"/>
        <v>0</v>
      </c>
    </row>
    <row r="1846" spans="8:8">
      <c r="H1846">
        <f t="shared" si="28"/>
        <v>0</v>
      </c>
    </row>
    <row r="1847" spans="8:8">
      <c r="H1847">
        <f t="shared" si="28"/>
        <v>0</v>
      </c>
    </row>
    <row r="1848" spans="8:8">
      <c r="H1848">
        <f t="shared" si="28"/>
        <v>0</v>
      </c>
    </row>
    <row r="1849" spans="8:8">
      <c r="H1849">
        <f t="shared" si="28"/>
        <v>0</v>
      </c>
    </row>
    <row r="1850" spans="8:8">
      <c r="H1850">
        <f t="shared" si="28"/>
        <v>0</v>
      </c>
    </row>
    <row r="1851" spans="8:8">
      <c r="H1851">
        <f t="shared" si="28"/>
        <v>0</v>
      </c>
    </row>
    <row r="1852" spans="8:8">
      <c r="H1852">
        <f t="shared" si="28"/>
        <v>0</v>
      </c>
    </row>
    <row r="1853" spans="8:8">
      <c r="H1853">
        <f t="shared" si="28"/>
        <v>0</v>
      </c>
    </row>
    <row r="1854" spans="8:8">
      <c r="H1854">
        <f t="shared" si="28"/>
        <v>0</v>
      </c>
    </row>
    <row r="1855" spans="8:8">
      <c r="H1855">
        <f t="shared" si="28"/>
        <v>0</v>
      </c>
    </row>
    <row r="1856" spans="8:8">
      <c r="H1856">
        <f t="shared" si="28"/>
        <v>0</v>
      </c>
    </row>
    <row r="1857" spans="8:8">
      <c r="H1857">
        <f t="shared" si="28"/>
        <v>0</v>
      </c>
    </row>
    <row r="1858" spans="8:8">
      <c r="H1858">
        <f t="shared" si="28"/>
        <v>0</v>
      </c>
    </row>
    <row r="1859" spans="8:8">
      <c r="H1859">
        <f t="shared" si="28"/>
        <v>0</v>
      </c>
    </row>
    <row r="1860" spans="8:8">
      <c r="H1860">
        <f t="shared" ref="H1860:H1923" si="29">0.5*F1860</f>
        <v>0</v>
      </c>
    </row>
    <row r="1861" spans="8:8">
      <c r="H1861">
        <f t="shared" si="29"/>
        <v>0</v>
      </c>
    </row>
    <row r="1862" spans="8:8">
      <c r="H1862">
        <f t="shared" si="29"/>
        <v>0</v>
      </c>
    </row>
    <row r="1863" spans="8:8">
      <c r="H1863">
        <f t="shared" si="29"/>
        <v>0</v>
      </c>
    </row>
    <row r="1864" spans="8:8">
      <c r="H1864">
        <f t="shared" si="29"/>
        <v>0</v>
      </c>
    </row>
    <row r="1865" spans="8:8">
      <c r="H1865">
        <f t="shared" si="29"/>
        <v>0</v>
      </c>
    </row>
    <row r="1866" spans="8:8">
      <c r="H1866">
        <f t="shared" si="29"/>
        <v>0</v>
      </c>
    </row>
    <row r="1867" spans="8:8">
      <c r="H1867">
        <f t="shared" si="29"/>
        <v>0</v>
      </c>
    </row>
    <row r="1868" spans="8:8">
      <c r="H1868">
        <f t="shared" si="29"/>
        <v>0</v>
      </c>
    </row>
    <row r="1869" spans="8:8">
      <c r="H1869">
        <f t="shared" si="29"/>
        <v>0</v>
      </c>
    </row>
    <row r="1870" spans="8:8">
      <c r="H1870">
        <f t="shared" si="29"/>
        <v>0</v>
      </c>
    </row>
    <row r="1871" spans="8:8">
      <c r="H1871">
        <f t="shared" si="29"/>
        <v>0</v>
      </c>
    </row>
    <row r="1872" spans="8:8">
      <c r="H1872">
        <f t="shared" si="29"/>
        <v>0</v>
      </c>
    </row>
    <row r="1873" spans="8:8">
      <c r="H1873">
        <f t="shared" si="29"/>
        <v>0</v>
      </c>
    </row>
    <row r="1874" spans="8:8">
      <c r="H1874">
        <f t="shared" si="29"/>
        <v>0</v>
      </c>
    </row>
    <row r="1875" spans="8:8">
      <c r="H1875">
        <f t="shared" si="29"/>
        <v>0</v>
      </c>
    </row>
    <row r="1876" spans="8:8">
      <c r="H1876">
        <f t="shared" si="29"/>
        <v>0</v>
      </c>
    </row>
    <row r="1877" spans="8:8">
      <c r="H1877">
        <f t="shared" si="29"/>
        <v>0</v>
      </c>
    </row>
    <row r="1878" spans="8:8">
      <c r="H1878">
        <f t="shared" si="29"/>
        <v>0</v>
      </c>
    </row>
    <row r="1879" spans="8:8">
      <c r="H1879">
        <f t="shared" si="29"/>
        <v>0</v>
      </c>
    </row>
    <row r="1880" spans="8:8">
      <c r="H1880">
        <f t="shared" si="29"/>
        <v>0</v>
      </c>
    </row>
    <row r="1881" spans="8:8">
      <c r="H1881">
        <f t="shared" si="29"/>
        <v>0</v>
      </c>
    </row>
    <row r="1882" spans="8:8">
      <c r="H1882">
        <f t="shared" si="29"/>
        <v>0</v>
      </c>
    </row>
    <row r="1883" spans="8:8">
      <c r="H1883">
        <f t="shared" si="29"/>
        <v>0</v>
      </c>
    </row>
    <row r="1884" spans="8:8">
      <c r="H1884">
        <f t="shared" si="29"/>
        <v>0</v>
      </c>
    </row>
    <row r="1885" spans="8:8">
      <c r="H1885">
        <f t="shared" si="29"/>
        <v>0</v>
      </c>
    </row>
    <row r="1886" spans="8:8">
      <c r="H1886">
        <f t="shared" si="29"/>
        <v>0</v>
      </c>
    </row>
    <row r="1887" spans="8:8">
      <c r="H1887">
        <f t="shared" si="29"/>
        <v>0</v>
      </c>
    </row>
    <row r="1888" spans="8:8">
      <c r="H1888">
        <f t="shared" si="29"/>
        <v>0</v>
      </c>
    </row>
    <row r="1889" spans="8:8">
      <c r="H1889">
        <f t="shared" si="29"/>
        <v>0</v>
      </c>
    </row>
    <row r="1890" spans="8:8">
      <c r="H1890">
        <f t="shared" si="29"/>
        <v>0</v>
      </c>
    </row>
    <row r="1891" spans="8:8">
      <c r="H1891">
        <f t="shared" si="29"/>
        <v>0</v>
      </c>
    </row>
    <row r="1892" spans="8:8">
      <c r="H1892">
        <f t="shared" si="29"/>
        <v>0</v>
      </c>
    </row>
    <row r="1893" spans="8:8">
      <c r="H1893">
        <f t="shared" si="29"/>
        <v>0</v>
      </c>
    </row>
    <row r="1894" spans="8:8">
      <c r="H1894">
        <f t="shared" si="29"/>
        <v>0</v>
      </c>
    </row>
    <row r="1895" spans="8:8">
      <c r="H1895">
        <f t="shared" si="29"/>
        <v>0</v>
      </c>
    </row>
    <row r="1896" spans="8:8">
      <c r="H1896">
        <f t="shared" si="29"/>
        <v>0</v>
      </c>
    </row>
    <row r="1897" spans="8:8">
      <c r="H1897">
        <f t="shared" si="29"/>
        <v>0</v>
      </c>
    </row>
    <row r="1898" spans="8:8">
      <c r="H1898">
        <f t="shared" si="29"/>
        <v>0</v>
      </c>
    </row>
    <row r="1899" spans="8:8">
      <c r="H1899">
        <f t="shared" si="29"/>
        <v>0</v>
      </c>
    </row>
    <row r="1900" spans="8:8">
      <c r="H1900">
        <f t="shared" si="29"/>
        <v>0</v>
      </c>
    </row>
    <row r="1901" spans="8:8">
      <c r="H1901">
        <f t="shared" si="29"/>
        <v>0</v>
      </c>
    </row>
    <row r="1902" spans="8:8">
      <c r="H1902">
        <f t="shared" si="29"/>
        <v>0</v>
      </c>
    </row>
    <row r="1903" spans="8:8">
      <c r="H1903">
        <f t="shared" si="29"/>
        <v>0</v>
      </c>
    </row>
    <row r="1904" spans="8:8">
      <c r="H1904">
        <f t="shared" si="29"/>
        <v>0</v>
      </c>
    </row>
    <row r="1905" spans="8:8">
      <c r="H1905">
        <f t="shared" si="29"/>
        <v>0</v>
      </c>
    </row>
    <row r="1906" spans="8:8">
      <c r="H1906">
        <f t="shared" si="29"/>
        <v>0</v>
      </c>
    </row>
    <row r="1907" spans="8:8">
      <c r="H1907">
        <f t="shared" si="29"/>
        <v>0</v>
      </c>
    </row>
    <row r="1908" spans="8:8">
      <c r="H1908">
        <f t="shared" si="29"/>
        <v>0</v>
      </c>
    </row>
    <row r="1909" spans="8:8">
      <c r="H1909">
        <f t="shared" si="29"/>
        <v>0</v>
      </c>
    </row>
    <row r="1910" spans="8:8">
      <c r="H1910">
        <f t="shared" si="29"/>
        <v>0</v>
      </c>
    </row>
    <row r="1911" spans="8:8">
      <c r="H1911">
        <f t="shared" si="29"/>
        <v>0</v>
      </c>
    </row>
    <row r="1912" spans="8:8">
      <c r="H1912">
        <f t="shared" si="29"/>
        <v>0</v>
      </c>
    </row>
    <row r="1913" spans="8:8">
      <c r="H1913">
        <f t="shared" si="29"/>
        <v>0</v>
      </c>
    </row>
    <row r="1914" spans="8:8">
      <c r="H1914">
        <f t="shared" si="29"/>
        <v>0</v>
      </c>
    </row>
    <row r="1915" spans="8:8">
      <c r="H1915">
        <f t="shared" si="29"/>
        <v>0</v>
      </c>
    </row>
    <row r="1916" spans="8:8">
      <c r="H1916">
        <f t="shared" si="29"/>
        <v>0</v>
      </c>
    </row>
    <row r="1917" spans="8:8">
      <c r="H1917">
        <f t="shared" si="29"/>
        <v>0</v>
      </c>
    </row>
    <row r="1918" spans="8:8">
      <c r="H1918">
        <f t="shared" si="29"/>
        <v>0</v>
      </c>
    </row>
    <row r="1919" spans="8:8">
      <c r="H1919">
        <f t="shared" si="29"/>
        <v>0</v>
      </c>
    </row>
    <row r="1920" spans="8:8">
      <c r="H1920">
        <f t="shared" si="29"/>
        <v>0</v>
      </c>
    </row>
    <row r="1921" spans="8:8">
      <c r="H1921">
        <f t="shared" si="29"/>
        <v>0</v>
      </c>
    </row>
    <row r="1922" spans="8:8">
      <c r="H1922">
        <f t="shared" si="29"/>
        <v>0</v>
      </c>
    </row>
    <row r="1923" spans="8:8">
      <c r="H1923">
        <f t="shared" si="29"/>
        <v>0</v>
      </c>
    </row>
    <row r="1924" spans="8:8">
      <c r="H1924">
        <f t="shared" ref="H1924:H1987" si="30">0.5*F1924</f>
        <v>0</v>
      </c>
    </row>
    <row r="1925" spans="8:8">
      <c r="H1925">
        <f t="shared" si="30"/>
        <v>0</v>
      </c>
    </row>
    <row r="1926" spans="8:8">
      <c r="H1926">
        <f t="shared" si="30"/>
        <v>0</v>
      </c>
    </row>
    <row r="1927" spans="8:8">
      <c r="H1927">
        <f t="shared" si="30"/>
        <v>0</v>
      </c>
    </row>
    <row r="1928" spans="8:8">
      <c r="H1928">
        <f t="shared" si="30"/>
        <v>0</v>
      </c>
    </row>
    <row r="1929" spans="8:8">
      <c r="H1929">
        <f t="shared" si="30"/>
        <v>0</v>
      </c>
    </row>
    <row r="1930" spans="8:8">
      <c r="H1930">
        <f t="shared" si="30"/>
        <v>0</v>
      </c>
    </row>
    <row r="1931" spans="8:8">
      <c r="H1931">
        <f t="shared" si="30"/>
        <v>0</v>
      </c>
    </row>
    <row r="1932" spans="8:8">
      <c r="H1932">
        <f t="shared" si="30"/>
        <v>0</v>
      </c>
    </row>
    <row r="1933" spans="8:8">
      <c r="H1933">
        <f t="shared" si="30"/>
        <v>0</v>
      </c>
    </row>
    <row r="1934" spans="8:8">
      <c r="H1934">
        <f t="shared" si="30"/>
        <v>0</v>
      </c>
    </row>
    <row r="1935" spans="8:8">
      <c r="H1935">
        <f t="shared" si="30"/>
        <v>0</v>
      </c>
    </row>
    <row r="1936" spans="8:8">
      <c r="H1936">
        <f t="shared" si="30"/>
        <v>0</v>
      </c>
    </row>
    <row r="1937" spans="8:8">
      <c r="H1937">
        <f t="shared" si="30"/>
        <v>0</v>
      </c>
    </row>
    <row r="1938" spans="8:8">
      <c r="H1938">
        <f t="shared" si="30"/>
        <v>0</v>
      </c>
    </row>
    <row r="1939" spans="8:8">
      <c r="H1939">
        <f t="shared" si="30"/>
        <v>0</v>
      </c>
    </row>
    <row r="1940" spans="8:8">
      <c r="H1940">
        <f t="shared" si="30"/>
        <v>0</v>
      </c>
    </row>
    <row r="1941" spans="8:8">
      <c r="H1941">
        <f t="shared" si="30"/>
        <v>0</v>
      </c>
    </row>
    <row r="1942" spans="8:8">
      <c r="H1942">
        <f t="shared" si="30"/>
        <v>0</v>
      </c>
    </row>
    <row r="1943" spans="8:8">
      <c r="H1943">
        <f t="shared" si="30"/>
        <v>0</v>
      </c>
    </row>
    <row r="1944" spans="8:8">
      <c r="H1944">
        <f t="shared" si="30"/>
        <v>0</v>
      </c>
    </row>
    <row r="1945" spans="8:8">
      <c r="H1945">
        <f t="shared" si="30"/>
        <v>0</v>
      </c>
    </row>
    <row r="1946" spans="8:8">
      <c r="H1946">
        <f t="shared" si="30"/>
        <v>0</v>
      </c>
    </row>
    <row r="1947" spans="8:8">
      <c r="H1947">
        <f t="shared" si="30"/>
        <v>0</v>
      </c>
    </row>
    <row r="1948" spans="8:8">
      <c r="H1948">
        <f t="shared" si="30"/>
        <v>0</v>
      </c>
    </row>
    <row r="1949" spans="8:8">
      <c r="H1949">
        <f t="shared" si="30"/>
        <v>0</v>
      </c>
    </row>
    <row r="1950" spans="8:8">
      <c r="H1950">
        <f t="shared" si="30"/>
        <v>0</v>
      </c>
    </row>
    <row r="1951" spans="8:8">
      <c r="H1951">
        <f t="shared" si="30"/>
        <v>0</v>
      </c>
    </row>
    <row r="1952" spans="8:8">
      <c r="H1952">
        <f t="shared" si="30"/>
        <v>0</v>
      </c>
    </row>
    <row r="1953" spans="8:8">
      <c r="H1953">
        <f t="shared" si="30"/>
        <v>0</v>
      </c>
    </row>
    <row r="1954" spans="8:8">
      <c r="H1954">
        <f t="shared" si="30"/>
        <v>0</v>
      </c>
    </row>
    <row r="1955" spans="8:8">
      <c r="H1955">
        <f t="shared" si="30"/>
        <v>0</v>
      </c>
    </row>
    <row r="1956" spans="8:8">
      <c r="H1956">
        <f t="shared" si="30"/>
        <v>0</v>
      </c>
    </row>
    <row r="1957" spans="8:8">
      <c r="H1957">
        <f t="shared" si="30"/>
        <v>0</v>
      </c>
    </row>
    <row r="1958" spans="8:8">
      <c r="H1958">
        <f t="shared" si="30"/>
        <v>0</v>
      </c>
    </row>
    <row r="1959" spans="8:8">
      <c r="H1959">
        <f t="shared" si="30"/>
        <v>0</v>
      </c>
    </row>
    <row r="1960" spans="8:8">
      <c r="H1960">
        <f t="shared" si="30"/>
        <v>0</v>
      </c>
    </row>
    <row r="1961" spans="8:8">
      <c r="H1961">
        <f t="shared" si="30"/>
        <v>0</v>
      </c>
    </row>
    <row r="1962" spans="8:8">
      <c r="H1962">
        <f t="shared" si="30"/>
        <v>0</v>
      </c>
    </row>
    <row r="1963" spans="8:8">
      <c r="H1963">
        <f t="shared" si="30"/>
        <v>0</v>
      </c>
    </row>
    <row r="1964" spans="8:8">
      <c r="H1964">
        <f t="shared" si="30"/>
        <v>0</v>
      </c>
    </row>
    <row r="1965" spans="8:8">
      <c r="H1965">
        <f t="shared" si="30"/>
        <v>0</v>
      </c>
    </row>
    <row r="1966" spans="8:8">
      <c r="H1966">
        <f t="shared" si="30"/>
        <v>0</v>
      </c>
    </row>
    <row r="1967" spans="8:8">
      <c r="H1967">
        <f t="shared" si="30"/>
        <v>0</v>
      </c>
    </row>
    <row r="1968" spans="8:8">
      <c r="H1968">
        <f t="shared" si="30"/>
        <v>0</v>
      </c>
    </row>
    <row r="1969" spans="8:8">
      <c r="H1969">
        <f t="shared" si="30"/>
        <v>0</v>
      </c>
    </row>
    <row r="1970" spans="8:8">
      <c r="H1970">
        <f t="shared" si="30"/>
        <v>0</v>
      </c>
    </row>
    <row r="1971" spans="8:8">
      <c r="H1971">
        <f t="shared" si="30"/>
        <v>0</v>
      </c>
    </row>
    <row r="1972" spans="8:8">
      <c r="H1972">
        <f t="shared" si="30"/>
        <v>0</v>
      </c>
    </row>
    <row r="1973" spans="8:8">
      <c r="H1973">
        <f t="shared" si="30"/>
        <v>0</v>
      </c>
    </row>
    <row r="1974" spans="8:8">
      <c r="H1974">
        <f t="shared" si="30"/>
        <v>0</v>
      </c>
    </row>
    <row r="1975" spans="8:8">
      <c r="H1975">
        <f t="shared" si="30"/>
        <v>0</v>
      </c>
    </row>
    <row r="1976" spans="8:8">
      <c r="H1976">
        <f t="shared" si="30"/>
        <v>0</v>
      </c>
    </row>
    <row r="1977" spans="8:8">
      <c r="H1977">
        <f t="shared" si="30"/>
        <v>0</v>
      </c>
    </row>
    <row r="1978" spans="8:8">
      <c r="H1978">
        <f t="shared" si="30"/>
        <v>0</v>
      </c>
    </row>
    <row r="1979" spans="8:8">
      <c r="H1979">
        <f t="shared" si="30"/>
        <v>0</v>
      </c>
    </row>
    <row r="1980" spans="8:8">
      <c r="H1980">
        <f t="shared" si="30"/>
        <v>0</v>
      </c>
    </row>
    <row r="1981" spans="8:8">
      <c r="H1981">
        <f t="shared" si="30"/>
        <v>0</v>
      </c>
    </row>
    <row r="1982" spans="8:8">
      <c r="H1982">
        <f t="shared" si="30"/>
        <v>0</v>
      </c>
    </row>
    <row r="1983" spans="8:8">
      <c r="H1983">
        <f t="shared" si="30"/>
        <v>0</v>
      </c>
    </row>
    <row r="1984" spans="8:8">
      <c r="H1984">
        <f t="shared" si="30"/>
        <v>0</v>
      </c>
    </row>
    <row r="1985" spans="8:8">
      <c r="H1985">
        <f t="shared" si="30"/>
        <v>0</v>
      </c>
    </row>
    <row r="1986" spans="8:8">
      <c r="H1986">
        <f t="shared" si="30"/>
        <v>0</v>
      </c>
    </row>
    <row r="1987" spans="8:8">
      <c r="H1987">
        <f t="shared" si="30"/>
        <v>0</v>
      </c>
    </row>
    <row r="1988" spans="8:8">
      <c r="H1988">
        <f t="shared" ref="H1988:H2051" si="31">0.5*F1988</f>
        <v>0</v>
      </c>
    </row>
    <row r="1989" spans="8:8">
      <c r="H1989">
        <f t="shared" si="31"/>
        <v>0</v>
      </c>
    </row>
    <row r="1990" spans="8:8">
      <c r="H1990">
        <f t="shared" si="31"/>
        <v>0</v>
      </c>
    </row>
    <row r="1991" spans="8:8">
      <c r="H1991">
        <f t="shared" si="31"/>
        <v>0</v>
      </c>
    </row>
    <row r="1992" spans="8:8">
      <c r="H1992">
        <f t="shared" si="31"/>
        <v>0</v>
      </c>
    </row>
    <row r="1993" spans="8:8">
      <c r="H1993">
        <f t="shared" si="31"/>
        <v>0</v>
      </c>
    </row>
    <row r="1994" spans="8:8">
      <c r="H1994">
        <f t="shared" si="31"/>
        <v>0</v>
      </c>
    </row>
    <row r="1995" spans="8:8">
      <c r="H1995">
        <f t="shared" si="31"/>
        <v>0</v>
      </c>
    </row>
    <row r="1996" spans="8:8">
      <c r="H1996">
        <f t="shared" si="31"/>
        <v>0</v>
      </c>
    </row>
    <row r="1997" spans="8:8">
      <c r="H1997">
        <f t="shared" si="31"/>
        <v>0</v>
      </c>
    </row>
    <row r="1998" spans="8:8">
      <c r="H1998">
        <f t="shared" si="31"/>
        <v>0</v>
      </c>
    </row>
    <row r="1999" spans="8:8">
      <c r="H1999">
        <f t="shared" si="31"/>
        <v>0</v>
      </c>
    </row>
    <row r="2000" spans="8:8">
      <c r="H2000">
        <f t="shared" si="31"/>
        <v>0</v>
      </c>
    </row>
    <row r="2001" spans="8:8">
      <c r="H2001">
        <f t="shared" si="31"/>
        <v>0</v>
      </c>
    </row>
    <row r="2002" spans="8:8">
      <c r="H2002">
        <f t="shared" si="31"/>
        <v>0</v>
      </c>
    </row>
    <row r="2003" spans="8:8">
      <c r="H2003">
        <f t="shared" si="31"/>
        <v>0</v>
      </c>
    </row>
    <row r="2004" spans="8:8">
      <c r="H2004">
        <f t="shared" si="31"/>
        <v>0</v>
      </c>
    </row>
    <row r="2005" spans="8:8">
      <c r="H2005">
        <f t="shared" si="31"/>
        <v>0</v>
      </c>
    </row>
    <row r="2006" spans="8:8">
      <c r="H2006">
        <f t="shared" si="31"/>
        <v>0</v>
      </c>
    </row>
    <row r="2007" spans="8:8">
      <c r="H2007">
        <f t="shared" si="31"/>
        <v>0</v>
      </c>
    </row>
    <row r="2008" spans="8:8">
      <c r="H2008">
        <f t="shared" si="31"/>
        <v>0</v>
      </c>
    </row>
    <row r="2009" spans="8:8">
      <c r="H2009">
        <f t="shared" si="31"/>
        <v>0</v>
      </c>
    </row>
    <row r="2010" spans="8:8">
      <c r="H2010">
        <f t="shared" si="31"/>
        <v>0</v>
      </c>
    </row>
    <row r="2011" spans="8:8">
      <c r="H2011">
        <f t="shared" si="31"/>
        <v>0</v>
      </c>
    </row>
    <row r="2012" spans="8:8">
      <c r="H2012">
        <f t="shared" si="31"/>
        <v>0</v>
      </c>
    </row>
    <row r="2013" spans="8:8">
      <c r="H2013">
        <f t="shared" si="31"/>
        <v>0</v>
      </c>
    </row>
    <row r="2014" spans="8:8">
      <c r="H2014">
        <f t="shared" si="31"/>
        <v>0</v>
      </c>
    </row>
    <row r="2015" spans="8:8">
      <c r="H2015">
        <f t="shared" si="31"/>
        <v>0</v>
      </c>
    </row>
    <row r="2016" spans="8:8">
      <c r="H2016">
        <f t="shared" si="31"/>
        <v>0</v>
      </c>
    </row>
    <row r="2017" spans="8:8">
      <c r="H2017">
        <f t="shared" si="31"/>
        <v>0</v>
      </c>
    </row>
    <row r="2018" spans="8:8">
      <c r="H2018">
        <f t="shared" si="31"/>
        <v>0</v>
      </c>
    </row>
    <row r="2019" spans="8:8">
      <c r="H2019">
        <f t="shared" si="31"/>
        <v>0</v>
      </c>
    </row>
    <row r="2020" spans="8:8">
      <c r="H2020">
        <f t="shared" si="31"/>
        <v>0</v>
      </c>
    </row>
    <row r="2021" spans="8:8">
      <c r="H2021">
        <f t="shared" si="31"/>
        <v>0</v>
      </c>
    </row>
    <row r="2022" spans="8:8">
      <c r="H2022">
        <f t="shared" si="31"/>
        <v>0</v>
      </c>
    </row>
    <row r="2023" spans="8:8">
      <c r="H2023">
        <f t="shared" si="31"/>
        <v>0</v>
      </c>
    </row>
    <row r="2024" spans="8:8">
      <c r="H2024">
        <f t="shared" si="31"/>
        <v>0</v>
      </c>
    </row>
    <row r="2025" spans="8:8">
      <c r="H2025">
        <f t="shared" si="31"/>
        <v>0</v>
      </c>
    </row>
    <row r="2026" spans="8:8">
      <c r="H2026">
        <f t="shared" si="31"/>
        <v>0</v>
      </c>
    </row>
    <row r="2027" spans="8:8">
      <c r="H2027">
        <f t="shared" si="31"/>
        <v>0</v>
      </c>
    </row>
    <row r="2028" spans="8:8">
      <c r="H2028">
        <f t="shared" si="31"/>
        <v>0</v>
      </c>
    </row>
    <row r="2029" spans="8:8">
      <c r="H2029">
        <f t="shared" si="31"/>
        <v>0</v>
      </c>
    </row>
    <row r="2030" spans="8:8">
      <c r="H2030">
        <f t="shared" si="31"/>
        <v>0</v>
      </c>
    </row>
    <row r="2031" spans="8:8">
      <c r="H2031">
        <f t="shared" si="31"/>
        <v>0</v>
      </c>
    </row>
    <row r="2032" spans="8:8">
      <c r="H2032">
        <f t="shared" si="31"/>
        <v>0</v>
      </c>
    </row>
    <row r="2033" spans="8:8">
      <c r="H2033">
        <f t="shared" si="31"/>
        <v>0</v>
      </c>
    </row>
    <row r="2034" spans="8:8">
      <c r="H2034">
        <f t="shared" si="31"/>
        <v>0</v>
      </c>
    </row>
    <row r="2035" spans="8:8">
      <c r="H2035">
        <f t="shared" si="31"/>
        <v>0</v>
      </c>
    </row>
    <row r="2036" spans="8:8">
      <c r="H2036">
        <f t="shared" si="31"/>
        <v>0</v>
      </c>
    </row>
    <row r="2037" spans="8:8">
      <c r="H2037">
        <f t="shared" si="31"/>
        <v>0</v>
      </c>
    </row>
    <row r="2038" spans="8:8">
      <c r="H2038">
        <f t="shared" si="31"/>
        <v>0</v>
      </c>
    </row>
    <row r="2039" spans="8:8">
      <c r="H2039">
        <f t="shared" si="31"/>
        <v>0</v>
      </c>
    </row>
    <row r="2040" spans="8:8">
      <c r="H2040">
        <f t="shared" si="31"/>
        <v>0</v>
      </c>
    </row>
    <row r="2041" spans="8:8">
      <c r="H2041">
        <f t="shared" si="31"/>
        <v>0</v>
      </c>
    </row>
    <row r="2042" spans="8:8">
      <c r="H2042">
        <f t="shared" si="31"/>
        <v>0</v>
      </c>
    </row>
    <row r="2043" spans="8:8">
      <c r="H2043">
        <f t="shared" si="31"/>
        <v>0</v>
      </c>
    </row>
    <row r="2044" spans="8:8">
      <c r="H2044">
        <f t="shared" si="31"/>
        <v>0</v>
      </c>
    </row>
    <row r="2045" spans="8:8">
      <c r="H2045">
        <f t="shared" si="31"/>
        <v>0</v>
      </c>
    </row>
    <row r="2046" spans="8:8">
      <c r="H2046">
        <f t="shared" si="31"/>
        <v>0</v>
      </c>
    </row>
    <row r="2047" spans="8:8">
      <c r="H2047">
        <f t="shared" si="31"/>
        <v>0</v>
      </c>
    </row>
    <row r="2048" spans="8:8">
      <c r="H2048">
        <f t="shared" si="31"/>
        <v>0</v>
      </c>
    </row>
    <row r="2049" spans="8:8">
      <c r="H2049">
        <f t="shared" si="31"/>
        <v>0</v>
      </c>
    </row>
    <row r="2050" spans="8:8">
      <c r="H2050">
        <f t="shared" si="31"/>
        <v>0</v>
      </c>
    </row>
    <row r="2051" spans="8:8">
      <c r="H2051">
        <f t="shared" si="31"/>
        <v>0</v>
      </c>
    </row>
    <row r="2052" spans="8:8">
      <c r="H2052">
        <f t="shared" ref="H2052:H2115" si="32">0.5*F2052</f>
        <v>0</v>
      </c>
    </row>
    <row r="2053" spans="8:8">
      <c r="H2053">
        <f t="shared" si="32"/>
        <v>0</v>
      </c>
    </row>
    <row r="2054" spans="8:8">
      <c r="H2054">
        <f t="shared" si="32"/>
        <v>0</v>
      </c>
    </row>
    <row r="2055" spans="8:8">
      <c r="H2055">
        <f t="shared" si="32"/>
        <v>0</v>
      </c>
    </row>
    <row r="2056" spans="8:8">
      <c r="H2056">
        <f t="shared" si="32"/>
        <v>0</v>
      </c>
    </row>
    <row r="2057" spans="8:8">
      <c r="H2057">
        <f t="shared" si="32"/>
        <v>0</v>
      </c>
    </row>
    <row r="2058" spans="8:8">
      <c r="H2058">
        <f t="shared" si="32"/>
        <v>0</v>
      </c>
    </row>
    <row r="2059" spans="8:8">
      <c r="H2059">
        <f t="shared" si="32"/>
        <v>0</v>
      </c>
    </row>
    <row r="2060" spans="8:8">
      <c r="H2060">
        <f t="shared" si="32"/>
        <v>0</v>
      </c>
    </row>
    <row r="2061" spans="8:8">
      <c r="H2061">
        <f t="shared" si="32"/>
        <v>0</v>
      </c>
    </row>
    <row r="2062" spans="8:8">
      <c r="H2062">
        <f t="shared" si="32"/>
        <v>0</v>
      </c>
    </row>
    <row r="2063" spans="8:8">
      <c r="H2063">
        <f t="shared" si="32"/>
        <v>0</v>
      </c>
    </row>
    <row r="2064" spans="8:8">
      <c r="H2064">
        <f t="shared" si="32"/>
        <v>0</v>
      </c>
    </row>
    <row r="2065" spans="8:8">
      <c r="H2065">
        <f t="shared" si="32"/>
        <v>0</v>
      </c>
    </row>
    <row r="2066" spans="8:8">
      <c r="H2066">
        <f t="shared" si="32"/>
        <v>0</v>
      </c>
    </row>
    <row r="2067" spans="8:8">
      <c r="H2067">
        <f t="shared" si="32"/>
        <v>0</v>
      </c>
    </row>
    <row r="2068" spans="8:8">
      <c r="H2068">
        <f t="shared" si="32"/>
        <v>0</v>
      </c>
    </row>
    <row r="2069" spans="8:8">
      <c r="H2069">
        <f t="shared" si="32"/>
        <v>0</v>
      </c>
    </row>
    <row r="2070" spans="8:8">
      <c r="H2070">
        <f t="shared" si="32"/>
        <v>0</v>
      </c>
    </row>
    <row r="2071" spans="8:8">
      <c r="H2071">
        <f t="shared" si="32"/>
        <v>0</v>
      </c>
    </row>
    <row r="2072" spans="8:8">
      <c r="H2072">
        <f t="shared" si="32"/>
        <v>0</v>
      </c>
    </row>
    <row r="2073" spans="8:8">
      <c r="H2073">
        <f t="shared" si="32"/>
        <v>0</v>
      </c>
    </row>
    <row r="2074" spans="8:8">
      <c r="H2074">
        <f t="shared" si="32"/>
        <v>0</v>
      </c>
    </row>
    <row r="2075" spans="8:8">
      <c r="H2075">
        <f t="shared" si="32"/>
        <v>0</v>
      </c>
    </row>
    <row r="2076" spans="8:8">
      <c r="H2076">
        <f t="shared" si="32"/>
        <v>0</v>
      </c>
    </row>
    <row r="2077" spans="8:8">
      <c r="H2077">
        <f t="shared" si="32"/>
        <v>0</v>
      </c>
    </row>
    <row r="2078" spans="8:8">
      <c r="H2078">
        <f t="shared" si="32"/>
        <v>0</v>
      </c>
    </row>
    <row r="2079" spans="8:8">
      <c r="H2079">
        <f t="shared" si="32"/>
        <v>0</v>
      </c>
    </row>
    <row r="2080" spans="8:8">
      <c r="H2080">
        <f t="shared" si="32"/>
        <v>0</v>
      </c>
    </row>
    <row r="2081" spans="8:8">
      <c r="H2081">
        <f t="shared" si="32"/>
        <v>0</v>
      </c>
    </row>
    <row r="2082" spans="8:8">
      <c r="H2082">
        <f t="shared" si="32"/>
        <v>0</v>
      </c>
    </row>
    <row r="2083" spans="8:8">
      <c r="H2083">
        <f t="shared" si="32"/>
        <v>0</v>
      </c>
    </row>
    <row r="2084" spans="8:8">
      <c r="H2084">
        <f t="shared" si="32"/>
        <v>0</v>
      </c>
    </row>
    <row r="2085" spans="8:8">
      <c r="H2085">
        <f t="shared" si="32"/>
        <v>0</v>
      </c>
    </row>
    <row r="2086" spans="8:8">
      <c r="H2086">
        <f t="shared" si="32"/>
        <v>0</v>
      </c>
    </row>
    <row r="2087" spans="8:8">
      <c r="H2087">
        <f t="shared" si="32"/>
        <v>0</v>
      </c>
    </row>
    <row r="2088" spans="8:8">
      <c r="H2088">
        <f t="shared" si="32"/>
        <v>0</v>
      </c>
    </row>
    <row r="2089" spans="8:8">
      <c r="H2089">
        <f t="shared" si="32"/>
        <v>0</v>
      </c>
    </row>
    <row r="2090" spans="8:8">
      <c r="H2090">
        <f t="shared" si="32"/>
        <v>0</v>
      </c>
    </row>
    <row r="2091" spans="8:8">
      <c r="H2091">
        <f t="shared" si="32"/>
        <v>0</v>
      </c>
    </row>
    <row r="2092" spans="8:8">
      <c r="H2092">
        <f t="shared" si="32"/>
        <v>0</v>
      </c>
    </row>
    <row r="2093" spans="8:8">
      <c r="H2093">
        <f t="shared" si="32"/>
        <v>0</v>
      </c>
    </row>
    <row r="2094" spans="8:8">
      <c r="H2094">
        <f t="shared" si="32"/>
        <v>0</v>
      </c>
    </row>
    <row r="2095" spans="8:8">
      <c r="H2095">
        <f t="shared" si="32"/>
        <v>0</v>
      </c>
    </row>
    <row r="2096" spans="8:8">
      <c r="H2096">
        <f t="shared" si="32"/>
        <v>0</v>
      </c>
    </row>
    <row r="2097" spans="8:8">
      <c r="H2097">
        <f t="shared" si="32"/>
        <v>0</v>
      </c>
    </row>
    <row r="2098" spans="8:8">
      <c r="H2098">
        <f t="shared" si="32"/>
        <v>0</v>
      </c>
    </row>
    <row r="2099" spans="8:8">
      <c r="H2099">
        <f t="shared" si="32"/>
        <v>0</v>
      </c>
    </row>
    <row r="2100" spans="8:8">
      <c r="H2100">
        <f t="shared" si="32"/>
        <v>0</v>
      </c>
    </row>
    <row r="2101" spans="8:8">
      <c r="H2101">
        <f t="shared" si="32"/>
        <v>0</v>
      </c>
    </row>
    <row r="2102" spans="8:8">
      <c r="H2102">
        <f t="shared" si="32"/>
        <v>0</v>
      </c>
    </row>
    <row r="2103" spans="8:8">
      <c r="H2103">
        <f t="shared" si="32"/>
        <v>0</v>
      </c>
    </row>
    <row r="2104" spans="8:8">
      <c r="H2104">
        <f t="shared" si="32"/>
        <v>0</v>
      </c>
    </row>
    <row r="2105" spans="8:8">
      <c r="H2105">
        <f t="shared" si="32"/>
        <v>0</v>
      </c>
    </row>
    <row r="2106" spans="8:8">
      <c r="H2106">
        <f t="shared" si="32"/>
        <v>0</v>
      </c>
    </row>
    <row r="2107" spans="8:8">
      <c r="H2107">
        <f t="shared" si="32"/>
        <v>0</v>
      </c>
    </row>
    <row r="2108" spans="8:8">
      <c r="H2108">
        <f t="shared" si="32"/>
        <v>0</v>
      </c>
    </row>
    <row r="2109" spans="8:8">
      <c r="H2109">
        <f t="shared" si="32"/>
        <v>0</v>
      </c>
    </row>
    <row r="2110" spans="8:8">
      <c r="H2110">
        <f t="shared" si="32"/>
        <v>0</v>
      </c>
    </row>
    <row r="2111" spans="8:8">
      <c r="H2111">
        <f t="shared" si="32"/>
        <v>0</v>
      </c>
    </row>
    <row r="2112" spans="8:8">
      <c r="H2112">
        <f t="shared" si="32"/>
        <v>0</v>
      </c>
    </row>
    <row r="2113" spans="8:8">
      <c r="H2113">
        <f t="shared" si="32"/>
        <v>0</v>
      </c>
    </row>
    <row r="2114" spans="8:8">
      <c r="H2114">
        <f t="shared" si="32"/>
        <v>0</v>
      </c>
    </row>
    <row r="2115" spans="8:8">
      <c r="H2115">
        <f t="shared" si="32"/>
        <v>0</v>
      </c>
    </row>
    <row r="2116" spans="8:8">
      <c r="H2116">
        <f t="shared" ref="H2116:H2179" si="33">0.5*F2116</f>
        <v>0</v>
      </c>
    </row>
    <row r="2117" spans="8:8">
      <c r="H2117">
        <f t="shared" si="33"/>
        <v>0</v>
      </c>
    </row>
    <row r="2118" spans="8:8">
      <c r="H2118">
        <f t="shared" si="33"/>
        <v>0</v>
      </c>
    </row>
    <row r="2119" spans="8:8">
      <c r="H2119">
        <f t="shared" si="33"/>
        <v>0</v>
      </c>
    </row>
    <row r="2120" spans="8:8">
      <c r="H2120">
        <f t="shared" si="33"/>
        <v>0</v>
      </c>
    </row>
    <row r="2121" spans="8:8">
      <c r="H2121">
        <f t="shared" si="33"/>
        <v>0</v>
      </c>
    </row>
    <row r="2122" spans="8:8">
      <c r="H2122">
        <f t="shared" si="33"/>
        <v>0</v>
      </c>
    </row>
    <row r="2123" spans="8:8">
      <c r="H2123">
        <f t="shared" si="33"/>
        <v>0</v>
      </c>
    </row>
    <row r="2124" spans="8:8">
      <c r="H2124">
        <f t="shared" si="33"/>
        <v>0</v>
      </c>
    </row>
    <row r="2125" spans="8:8">
      <c r="H2125">
        <f t="shared" si="33"/>
        <v>0</v>
      </c>
    </row>
    <row r="2126" spans="8:8">
      <c r="H2126">
        <f t="shared" si="33"/>
        <v>0</v>
      </c>
    </row>
    <row r="2127" spans="8:8">
      <c r="H2127">
        <f t="shared" si="33"/>
        <v>0</v>
      </c>
    </row>
    <row r="2128" spans="8:8">
      <c r="H2128">
        <f t="shared" si="33"/>
        <v>0</v>
      </c>
    </row>
    <row r="2129" spans="8:8">
      <c r="H2129">
        <f t="shared" si="33"/>
        <v>0</v>
      </c>
    </row>
    <row r="2130" spans="8:8">
      <c r="H2130">
        <f t="shared" si="33"/>
        <v>0</v>
      </c>
    </row>
    <row r="2131" spans="8:8">
      <c r="H2131">
        <f t="shared" si="33"/>
        <v>0</v>
      </c>
    </row>
    <row r="2132" spans="8:8">
      <c r="H2132">
        <f t="shared" si="33"/>
        <v>0</v>
      </c>
    </row>
    <row r="2133" spans="8:8">
      <c r="H2133">
        <f t="shared" si="33"/>
        <v>0</v>
      </c>
    </row>
    <row r="2134" spans="8:8">
      <c r="H2134">
        <f t="shared" si="33"/>
        <v>0</v>
      </c>
    </row>
    <row r="2135" spans="8:8">
      <c r="H2135">
        <f t="shared" si="33"/>
        <v>0</v>
      </c>
    </row>
    <row r="2136" spans="8:8">
      <c r="H2136">
        <f t="shared" si="33"/>
        <v>0</v>
      </c>
    </row>
    <row r="2137" spans="8:8">
      <c r="H2137">
        <f t="shared" si="33"/>
        <v>0</v>
      </c>
    </row>
    <row r="2138" spans="8:8">
      <c r="H2138">
        <f t="shared" si="33"/>
        <v>0</v>
      </c>
    </row>
    <row r="2139" spans="8:8">
      <c r="H2139">
        <f t="shared" si="33"/>
        <v>0</v>
      </c>
    </row>
    <row r="2140" spans="8:8">
      <c r="H2140">
        <f t="shared" si="33"/>
        <v>0</v>
      </c>
    </row>
    <row r="2141" spans="8:8">
      <c r="H2141">
        <f t="shared" si="33"/>
        <v>0</v>
      </c>
    </row>
    <row r="2142" spans="8:8">
      <c r="H2142">
        <f t="shared" si="33"/>
        <v>0</v>
      </c>
    </row>
    <row r="2143" spans="8:8">
      <c r="H2143">
        <f t="shared" si="33"/>
        <v>0</v>
      </c>
    </row>
    <row r="2144" spans="8:8">
      <c r="H2144">
        <f t="shared" si="33"/>
        <v>0</v>
      </c>
    </row>
    <row r="2145" spans="8:8">
      <c r="H2145">
        <f t="shared" si="33"/>
        <v>0</v>
      </c>
    </row>
    <row r="2146" spans="8:8">
      <c r="H2146">
        <f t="shared" si="33"/>
        <v>0</v>
      </c>
    </row>
    <row r="2147" spans="8:8">
      <c r="H2147">
        <f t="shared" si="33"/>
        <v>0</v>
      </c>
    </row>
    <row r="2148" spans="8:8">
      <c r="H2148">
        <f t="shared" si="33"/>
        <v>0</v>
      </c>
    </row>
    <row r="2149" spans="8:8">
      <c r="H2149">
        <f t="shared" si="33"/>
        <v>0</v>
      </c>
    </row>
    <row r="2150" spans="8:8">
      <c r="H2150">
        <f t="shared" si="33"/>
        <v>0</v>
      </c>
    </row>
    <row r="2151" spans="8:8">
      <c r="H2151">
        <f t="shared" si="33"/>
        <v>0</v>
      </c>
    </row>
    <row r="2152" spans="8:8">
      <c r="H2152">
        <f t="shared" si="33"/>
        <v>0</v>
      </c>
    </row>
    <row r="2153" spans="8:8">
      <c r="H2153">
        <f t="shared" si="33"/>
        <v>0</v>
      </c>
    </row>
    <row r="2154" spans="8:8">
      <c r="H2154">
        <f t="shared" si="33"/>
        <v>0</v>
      </c>
    </row>
    <row r="2155" spans="8:8">
      <c r="H2155">
        <f t="shared" si="33"/>
        <v>0</v>
      </c>
    </row>
    <row r="2156" spans="8:8">
      <c r="H2156">
        <f t="shared" si="33"/>
        <v>0</v>
      </c>
    </row>
    <row r="2157" spans="8:8">
      <c r="H2157">
        <f t="shared" si="33"/>
        <v>0</v>
      </c>
    </row>
    <row r="2158" spans="8:8">
      <c r="H2158">
        <f t="shared" si="33"/>
        <v>0</v>
      </c>
    </row>
    <row r="2159" spans="8:8">
      <c r="H2159">
        <f t="shared" si="33"/>
        <v>0</v>
      </c>
    </row>
    <row r="2160" spans="8:8">
      <c r="H2160">
        <f t="shared" si="33"/>
        <v>0</v>
      </c>
    </row>
    <row r="2161" spans="8:8">
      <c r="H2161">
        <f t="shared" si="33"/>
        <v>0</v>
      </c>
    </row>
    <row r="2162" spans="8:8">
      <c r="H2162">
        <f t="shared" si="33"/>
        <v>0</v>
      </c>
    </row>
    <row r="2163" spans="8:8">
      <c r="H2163">
        <f t="shared" si="33"/>
        <v>0</v>
      </c>
    </row>
    <row r="2164" spans="8:8">
      <c r="H2164">
        <f t="shared" si="33"/>
        <v>0</v>
      </c>
    </row>
    <row r="2165" spans="8:8">
      <c r="H2165">
        <f t="shared" si="33"/>
        <v>0</v>
      </c>
    </row>
    <row r="2166" spans="8:8">
      <c r="H2166">
        <f t="shared" si="33"/>
        <v>0</v>
      </c>
    </row>
    <row r="2167" spans="8:8">
      <c r="H2167">
        <f t="shared" si="33"/>
        <v>0</v>
      </c>
    </row>
    <row r="2168" spans="8:8">
      <c r="H2168">
        <f t="shared" si="33"/>
        <v>0</v>
      </c>
    </row>
    <row r="2169" spans="8:8">
      <c r="H2169">
        <f t="shared" si="33"/>
        <v>0</v>
      </c>
    </row>
    <row r="2170" spans="8:8">
      <c r="H2170">
        <f t="shared" si="33"/>
        <v>0</v>
      </c>
    </row>
    <row r="2171" spans="8:8">
      <c r="H2171">
        <f t="shared" si="33"/>
        <v>0</v>
      </c>
    </row>
    <row r="2172" spans="8:8">
      <c r="H2172">
        <f t="shared" si="33"/>
        <v>0</v>
      </c>
    </row>
    <row r="2173" spans="8:8">
      <c r="H2173">
        <f t="shared" si="33"/>
        <v>0</v>
      </c>
    </row>
    <row r="2174" spans="8:8">
      <c r="H2174">
        <f t="shared" si="33"/>
        <v>0</v>
      </c>
    </row>
    <row r="2175" spans="8:8">
      <c r="H2175">
        <f t="shared" si="33"/>
        <v>0</v>
      </c>
    </row>
    <row r="2176" spans="8:8">
      <c r="H2176">
        <f t="shared" si="33"/>
        <v>0</v>
      </c>
    </row>
    <row r="2177" spans="8:8">
      <c r="H2177">
        <f t="shared" si="33"/>
        <v>0</v>
      </c>
    </row>
    <row r="2178" spans="8:8">
      <c r="H2178">
        <f t="shared" si="33"/>
        <v>0</v>
      </c>
    </row>
    <row r="2179" spans="8:8">
      <c r="H2179">
        <f t="shared" si="33"/>
        <v>0</v>
      </c>
    </row>
    <row r="2180" spans="8:8">
      <c r="H2180">
        <f t="shared" ref="H2180:H2243" si="34">0.5*F2180</f>
        <v>0</v>
      </c>
    </row>
    <row r="2181" spans="8:8">
      <c r="H2181">
        <f t="shared" si="34"/>
        <v>0</v>
      </c>
    </row>
    <row r="2182" spans="8:8">
      <c r="H2182">
        <f t="shared" si="34"/>
        <v>0</v>
      </c>
    </row>
    <row r="2183" spans="8:8">
      <c r="H2183">
        <f t="shared" si="34"/>
        <v>0</v>
      </c>
    </row>
    <row r="2184" spans="8:8">
      <c r="H2184">
        <f t="shared" si="34"/>
        <v>0</v>
      </c>
    </row>
    <row r="2185" spans="8:8">
      <c r="H2185">
        <f t="shared" si="34"/>
        <v>0</v>
      </c>
    </row>
    <row r="2186" spans="8:8">
      <c r="H2186">
        <f t="shared" si="34"/>
        <v>0</v>
      </c>
    </row>
    <row r="2187" spans="8:8">
      <c r="H2187">
        <f t="shared" si="34"/>
        <v>0</v>
      </c>
    </row>
    <row r="2188" spans="8:8">
      <c r="H2188">
        <f t="shared" si="34"/>
        <v>0</v>
      </c>
    </row>
    <row r="2189" spans="8:8">
      <c r="H2189">
        <f t="shared" si="34"/>
        <v>0</v>
      </c>
    </row>
    <row r="2190" spans="8:8">
      <c r="H2190">
        <f t="shared" si="34"/>
        <v>0</v>
      </c>
    </row>
    <row r="2191" spans="8:8">
      <c r="H2191">
        <f t="shared" si="34"/>
        <v>0</v>
      </c>
    </row>
    <row r="2192" spans="8:8">
      <c r="H2192">
        <f t="shared" si="34"/>
        <v>0</v>
      </c>
    </row>
    <row r="2193" spans="8:8">
      <c r="H2193">
        <f t="shared" si="34"/>
        <v>0</v>
      </c>
    </row>
    <row r="2194" spans="8:8">
      <c r="H2194">
        <f t="shared" si="34"/>
        <v>0</v>
      </c>
    </row>
    <row r="2195" spans="8:8">
      <c r="H2195">
        <f t="shared" si="34"/>
        <v>0</v>
      </c>
    </row>
    <row r="2196" spans="8:8">
      <c r="H2196">
        <f t="shared" si="34"/>
        <v>0</v>
      </c>
    </row>
    <row r="2197" spans="8:8">
      <c r="H2197">
        <f t="shared" si="34"/>
        <v>0</v>
      </c>
    </row>
    <row r="2198" spans="8:8">
      <c r="H2198">
        <f t="shared" si="34"/>
        <v>0</v>
      </c>
    </row>
    <row r="2199" spans="8:8">
      <c r="H2199">
        <f t="shared" si="34"/>
        <v>0</v>
      </c>
    </row>
    <row r="2200" spans="8:8">
      <c r="H2200">
        <f t="shared" si="34"/>
        <v>0</v>
      </c>
    </row>
    <row r="2201" spans="8:8">
      <c r="H2201">
        <f t="shared" si="34"/>
        <v>0</v>
      </c>
    </row>
    <row r="2202" spans="8:8">
      <c r="H2202">
        <f t="shared" si="34"/>
        <v>0</v>
      </c>
    </row>
    <row r="2203" spans="8:8">
      <c r="H2203">
        <f t="shared" si="34"/>
        <v>0</v>
      </c>
    </row>
    <row r="2204" spans="8:8">
      <c r="H2204">
        <f t="shared" si="34"/>
        <v>0</v>
      </c>
    </row>
    <row r="2205" spans="8:8">
      <c r="H2205">
        <f t="shared" si="34"/>
        <v>0</v>
      </c>
    </row>
    <row r="2206" spans="8:8">
      <c r="H2206">
        <f t="shared" si="34"/>
        <v>0</v>
      </c>
    </row>
    <row r="2207" spans="8:8">
      <c r="H2207">
        <f t="shared" si="34"/>
        <v>0</v>
      </c>
    </row>
    <row r="2208" spans="8:8">
      <c r="H2208">
        <f t="shared" si="34"/>
        <v>0</v>
      </c>
    </row>
    <row r="2209" spans="8:8">
      <c r="H2209">
        <f t="shared" si="34"/>
        <v>0</v>
      </c>
    </row>
    <row r="2210" spans="8:8">
      <c r="H2210">
        <f t="shared" si="34"/>
        <v>0</v>
      </c>
    </row>
    <row r="2211" spans="8:8">
      <c r="H2211">
        <f t="shared" si="34"/>
        <v>0</v>
      </c>
    </row>
    <row r="2212" spans="8:8">
      <c r="H2212">
        <f t="shared" si="34"/>
        <v>0</v>
      </c>
    </row>
    <row r="2213" spans="8:8">
      <c r="H2213">
        <f t="shared" si="34"/>
        <v>0</v>
      </c>
    </row>
    <row r="2214" spans="8:8">
      <c r="H2214">
        <f t="shared" si="34"/>
        <v>0</v>
      </c>
    </row>
    <row r="2215" spans="8:8">
      <c r="H2215">
        <f t="shared" si="34"/>
        <v>0</v>
      </c>
    </row>
    <row r="2216" spans="8:8">
      <c r="H2216">
        <f t="shared" si="34"/>
        <v>0</v>
      </c>
    </row>
    <row r="2217" spans="8:8">
      <c r="H2217">
        <f t="shared" si="34"/>
        <v>0</v>
      </c>
    </row>
    <row r="2218" spans="8:8">
      <c r="H2218">
        <f t="shared" si="34"/>
        <v>0</v>
      </c>
    </row>
    <row r="2219" spans="8:8">
      <c r="H2219">
        <f t="shared" si="34"/>
        <v>0</v>
      </c>
    </row>
    <row r="2220" spans="8:8">
      <c r="H2220">
        <f t="shared" si="34"/>
        <v>0</v>
      </c>
    </row>
    <row r="2221" spans="8:8">
      <c r="H2221">
        <f t="shared" si="34"/>
        <v>0</v>
      </c>
    </row>
    <row r="2222" spans="8:8">
      <c r="H2222">
        <f t="shared" si="34"/>
        <v>0</v>
      </c>
    </row>
    <row r="2223" spans="8:8">
      <c r="H2223">
        <f t="shared" si="34"/>
        <v>0</v>
      </c>
    </row>
    <row r="2224" spans="8:8">
      <c r="H2224">
        <f t="shared" si="34"/>
        <v>0</v>
      </c>
    </row>
    <row r="2225" spans="8:8">
      <c r="H2225">
        <f t="shared" si="34"/>
        <v>0</v>
      </c>
    </row>
    <row r="2226" spans="8:8">
      <c r="H2226">
        <f t="shared" si="34"/>
        <v>0</v>
      </c>
    </row>
    <row r="2227" spans="8:8">
      <c r="H2227">
        <f t="shared" si="34"/>
        <v>0</v>
      </c>
    </row>
    <row r="2228" spans="8:8">
      <c r="H2228">
        <f t="shared" si="34"/>
        <v>0</v>
      </c>
    </row>
    <row r="2229" spans="8:8">
      <c r="H2229">
        <f t="shared" si="34"/>
        <v>0</v>
      </c>
    </row>
    <row r="2230" spans="8:8">
      <c r="H2230">
        <f t="shared" si="34"/>
        <v>0</v>
      </c>
    </row>
    <row r="2231" spans="8:8">
      <c r="H2231">
        <f t="shared" si="34"/>
        <v>0</v>
      </c>
    </row>
    <row r="2232" spans="8:8">
      <c r="H2232">
        <f t="shared" si="34"/>
        <v>0</v>
      </c>
    </row>
    <row r="2233" spans="8:8">
      <c r="H2233">
        <f t="shared" si="34"/>
        <v>0</v>
      </c>
    </row>
    <row r="2234" spans="8:8">
      <c r="H2234">
        <f t="shared" si="34"/>
        <v>0</v>
      </c>
    </row>
    <row r="2235" spans="8:8">
      <c r="H2235">
        <f t="shared" si="34"/>
        <v>0</v>
      </c>
    </row>
    <row r="2236" spans="8:8">
      <c r="H2236">
        <f t="shared" si="34"/>
        <v>0</v>
      </c>
    </row>
    <row r="2237" spans="8:8">
      <c r="H2237">
        <f t="shared" si="34"/>
        <v>0</v>
      </c>
    </row>
    <row r="2238" spans="8:8">
      <c r="H2238">
        <f t="shared" si="34"/>
        <v>0</v>
      </c>
    </row>
    <row r="2239" spans="8:8">
      <c r="H2239">
        <f t="shared" si="34"/>
        <v>0</v>
      </c>
    </row>
    <row r="2240" spans="8:8">
      <c r="H2240">
        <f t="shared" si="34"/>
        <v>0</v>
      </c>
    </row>
    <row r="2241" spans="8:8">
      <c r="H2241">
        <f t="shared" si="34"/>
        <v>0</v>
      </c>
    </row>
    <row r="2242" spans="8:8">
      <c r="H2242">
        <f t="shared" si="34"/>
        <v>0</v>
      </c>
    </row>
    <row r="2243" spans="8:8">
      <c r="H2243">
        <f t="shared" si="34"/>
        <v>0</v>
      </c>
    </row>
    <row r="2244" spans="8:8">
      <c r="H2244">
        <f t="shared" ref="H2244:H2307" si="35">0.5*F2244</f>
        <v>0</v>
      </c>
    </row>
    <row r="2245" spans="8:8">
      <c r="H2245">
        <f t="shared" si="35"/>
        <v>0</v>
      </c>
    </row>
    <row r="2246" spans="8:8">
      <c r="H2246">
        <f t="shared" si="35"/>
        <v>0</v>
      </c>
    </row>
    <row r="2247" spans="8:8">
      <c r="H2247">
        <f t="shared" si="35"/>
        <v>0</v>
      </c>
    </row>
    <row r="2248" spans="8:8">
      <c r="H2248">
        <f t="shared" si="35"/>
        <v>0</v>
      </c>
    </row>
    <row r="2249" spans="8:8">
      <c r="H2249">
        <f t="shared" si="35"/>
        <v>0</v>
      </c>
    </row>
    <row r="2250" spans="8:8">
      <c r="H2250">
        <f t="shared" si="35"/>
        <v>0</v>
      </c>
    </row>
    <row r="2251" spans="8:8">
      <c r="H2251">
        <f t="shared" si="35"/>
        <v>0</v>
      </c>
    </row>
    <row r="2252" spans="8:8">
      <c r="H2252">
        <f t="shared" si="35"/>
        <v>0</v>
      </c>
    </row>
    <row r="2253" spans="8:8">
      <c r="H2253">
        <f t="shared" si="35"/>
        <v>0</v>
      </c>
    </row>
    <row r="2254" spans="8:8">
      <c r="H2254">
        <f t="shared" si="35"/>
        <v>0</v>
      </c>
    </row>
    <row r="2255" spans="8:8">
      <c r="H2255">
        <f t="shared" si="35"/>
        <v>0</v>
      </c>
    </row>
    <row r="2256" spans="8:8">
      <c r="H2256">
        <f t="shared" si="35"/>
        <v>0</v>
      </c>
    </row>
    <row r="2257" spans="8:8">
      <c r="H2257">
        <f t="shared" si="35"/>
        <v>0</v>
      </c>
    </row>
    <row r="2258" spans="8:8">
      <c r="H2258">
        <f t="shared" si="35"/>
        <v>0</v>
      </c>
    </row>
    <row r="2259" spans="8:8">
      <c r="H2259">
        <f t="shared" si="35"/>
        <v>0</v>
      </c>
    </row>
    <row r="2260" spans="8:8">
      <c r="H2260">
        <f t="shared" si="35"/>
        <v>0</v>
      </c>
    </row>
    <row r="2261" spans="8:8">
      <c r="H2261">
        <f t="shared" si="35"/>
        <v>0</v>
      </c>
    </row>
    <row r="2262" spans="8:8">
      <c r="H2262">
        <f t="shared" si="35"/>
        <v>0</v>
      </c>
    </row>
    <row r="2263" spans="8:8">
      <c r="H2263">
        <f t="shared" si="35"/>
        <v>0</v>
      </c>
    </row>
    <row r="2264" spans="8:8">
      <c r="H2264">
        <f t="shared" si="35"/>
        <v>0</v>
      </c>
    </row>
    <row r="2265" spans="8:8">
      <c r="H2265">
        <f t="shared" si="35"/>
        <v>0</v>
      </c>
    </row>
    <row r="2266" spans="8:8">
      <c r="H2266">
        <f t="shared" si="35"/>
        <v>0</v>
      </c>
    </row>
    <row r="2267" spans="8:8">
      <c r="H2267">
        <f t="shared" si="35"/>
        <v>0</v>
      </c>
    </row>
    <row r="2268" spans="8:8">
      <c r="H2268">
        <f t="shared" si="35"/>
        <v>0</v>
      </c>
    </row>
    <row r="2269" spans="8:8">
      <c r="H2269">
        <f t="shared" si="35"/>
        <v>0</v>
      </c>
    </row>
    <row r="2270" spans="8:8">
      <c r="H2270">
        <f t="shared" si="35"/>
        <v>0</v>
      </c>
    </row>
    <row r="2271" spans="8:8">
      <c r="H2271">
        <f t="shared" si="35"/>
        <v>0</v>
      </c>
    </row>
    <row r="2272" spans="8:8">
      <c r="H2272">
        <f t="shared" si="35"/>
        <v>0</v>
      </c>
    </row>
    <row r="2273" spans="8:8">
      <c r="H2273">
        <f t="shared" si="35"/>
        <v>0</v>
      </c>
    </row>
    <row r="2274" spans="8:8">
      <c r="H2274">
        <f t="shared" si="35"/>
        <v>0</v>
      </c>
    </row>
    <row r="2275" spans="8:8">
      <c r="H2275">
        <f t="shared" si="35"/>
        <v>0</v>
      </c>
    </row>
    <row r="2276" spans="8:8">
      <c r="H2276">
        <f t="shared" si="35"/>
        <v>0</v>
      </c>
    </row>
    <row r="2277" spans="8:8">
      <c r="H2277">
        <f t="shared" si="35"/>
        <v>0</v>
      </c>
    </row>
    <row r="2278" spans="8:8">
      <c r="H2278">
        <f t="shared" si="35"/>
        <v>0</v>
      </c>
    </row>
    <row r="2279" spans="8:8">
      <c r="H2279">
        <f t="shared" si="35"/>
        <v>0</v>
      </c>
    </row>
    <row r="2280" spans="8:8">
      <c r="H2280">
        <f t="shared" si="35"/>
        <v>0</v>
      </c>
    </row>
    <row r="2281" spans="8:8">
      <c r="H2281">
        <f t="shared" si="35"/>
        <v>0</v>
      </c>
    </row>
    <row r="2282" spans="8:8">
      <c r="H2282">
        <f t="shared" si="35"/>
        <v>0</v>
      </c>
    </row>
    <row r="2283" spans="8:8">
      <c r="H2283">
        <f t="shared" si="35"/>
        <v>0</v>
      </c>
    </row>
    <row r="2284" spans="8:8">
      <c r="H2284">
        <f t="shared" si="35"/>
        <v>0</v>
      </c>
    </row>
    <row r="2285" spans="8:8">
      <c r="H2285">
        <f t="shared" si="35"/>
        <v>0</v>
      </c>
    </row>
    <row r="2286" spans="8:8">
      <c r="H2286">
        <f t="shared" si="35"/>
        <v>0</v>
      </c>
    </row>
    <row r="2287" spans="8:8">
      <c r="H2287">
        <f t="shared" si="35"/>
        <v>0</v>
      </c>
    </row>
    <row r="2288" spans="8:8">
      <c r="H2288">
        <f t="shared" si="35"/>
        <v>0</v>
      </c>
    </row>
    <row r="2289" spans="8:8">
      <c r="H2289">
        <f t="shared" si="35"/>
        <v>0</v>
      </c>
    </row>
    <row r="2290" spans="8:8">
      <c r="H2290">
        <f t="shared" si="35"/>
        <v>0</v>
      </c>
    </row>
    <row r="2291" spans="8:8">
      <c r="H2291">
        <f t="shared" si="35"/>
        <v>0</v>
      </c>
    </row>
    <row r="2292" spans="8:8">
      <c r="H2292">
        <f t="shared" si="35"/>
        <v>0</v>
      </c>
    </row>
    <row r="2293" spans="8:8">
      <c r="H2293">
        <f t="shared" si="35"/>
        <v>0</v>
      </c>
    </row>
    <row r="2294" spans="8:8">
      <c r="H2294">
        <f t="shared" si="35"/>
        <v>0</v>
      </c>
    </row>
    <row r="2295" spans="8:8">
      <c r="H2295">
        <f t="shared" si="35"/>
        <v>0</v>
      </c>
    </row>
    <row r="2296" spans="8:8">
      <c r="H2296">
        <f t="shared" si="35"/>
        <v>0</v>
      </c>
    </row>
    <row r="2297" spans="8:8">
      <c r="H2297">
        <f t="shared" si="35"/>
        <v>0</v>
      </c>
    </row>
    <row r="2298" spans="8:8">
      <c r="H2298">
        <f t="shared" si="35"/>
        <v>0</v>
      </c>
    </row>
    <row r="2299" spans="8:8">
      <c r="H2299">
        <f t="shared" si="35"/>
        <v>0</v>
      </c>
    </row>
    <row r="2300" spans="8:8">
      <c r="H2300">
        <f t="shared" si="35"/>
        <v>0</v>
      </c>
    </row>
    <row r="2301" spans="8:8">
      <c r="H2301">
        <f t="shared" si="35"/>
        <v>0</v>
      </c>
    </row>
    <row r="2302" spans="8:8">
      <c r="H2302">
        <f t="shared" si="35"/>
        <v>0</v>
      </c>
    </row>
    <row r="2303" spans="8:8">
      <c r="H2303">
        <f t="shared" si="35"/>
        <v>0</v>
      </c>
    </row>
    <row r="2304" spans="8:8">
      <c r="H2304">
        <f t="shared" si="35"/>
        <v>0</v>
      </c>
    </row>
    <row r="2305" spans="8:8">
      <c r="H2305">
        <f t="shared" si="35"/>
        <v>0</v>
      </c>
    </row>
    <row r="2306" spans="8:8">
      <c r="H2306">
        <f t="shared" si="35"/>
        <v>0</v>
      </c>
    </row>
    <row r="2307" spans="8:8">
      <c r="H2307">
        <f t="shared" si="35"/>
        <v>0</v>
      </c>
    </row>
    <row r="2308" spans="8:8">
      <c r="H2308">
        <f t="shared" ref="H2308:H2371" si="36">0.5*F2308</f>
        <v>0</v>
      </c>
    </row>
    <row r="2309" spans="8:8">
      <c r="H2309">
        <f t="shared" si="36"/>
        <v>0</v>
      </c>
    </row>
    <row r="2310" spans="8:8">
      <c r="H2310">
        <f t="shared" si="36"/>
        <v>0</v>
      </c>
    </row>
    <row r="2311" spans="8:8">
      <c r="H2311">
        <f t="shared" si="36"/>
        <v>0</v>
      </c>
    </row>
    <row r="2312" spans="8:8">
      <c r="H2312">
        <f t="shared" si="36"/>
        <v>0</v>
      </c>
    </row>
    <row r="2313" spans="8:8">
      <c r="H2313">
        <f t="shared" si="36"/>
        <v>0</v>
      </c>
    </row>
    <row r="2314" spans="8:8">
      <c r="H2314">
        <f t="shared" si="36"/>
        <v>0</v>
      </c>
    </row>
    <row r="2315" spans="8:8">
      <c r="H2315">
        <f t="shared" si="36"/>
        <v>0</v>
      </c>
    </row>
    <row r="2316" spans="8:8">
      <c r="H2316">
        <f t="shared" si="36"/>
        <v>0</v>
      </c>
    </row>
    <row r="2317" spans="8:8">
      <c r="H2317">
        <f t="shared" si="36"/>
        <v>0</v>
      </c>
    </row>
    <row r="2318" spans="8:8">
      <c r="H2318">
        <f t="shared" si="36"/>
        <v>0</v>
      </c>
    </row>
    <row r="2319" spans="8:8">
      <c r="H2319">
        <f t="shared" si="36"/>
        <v>0</v>
      </c>
    </row>
    <row r="2320" spans="8:8">
      <c r="H2320">
        <f t="shared" si="36"/>
        <v>0</v>
      </c>
    </row>
    <row r="2321" spans="8:8">
      <c r="H2321">
        <f t="shared" si="36"/>
        <v>0</v>
      </c>
    </row>
    <row r="2322" spans="8:8">
      <c r="H2322">
        <f t="shared" si="36"/>
        <v>0</v>
      </c>
    </row>
    <row r="2323" spans="8:8">
      <c r="H2323">
        <f t="shared" si="36"/>
        <v>0</v>
      </c>
    </row>
    <row r="2324" spans="8:8">
      <c r="H2324">
        <f t="shared" si="36"/>
        <v>0</v>
      </c>
    </row>
    <row r="2325" spans="8:8">
      <c r="H2325">
        <f t="shared" si="36"/>
        <v>0</v>
      </c>
    </row>
    <row r="2326" spans="8:8">
      <c r="H2326">
        <f t="shared" si="36"/>
        <v>0</v>
      </c>
    </row>
    <row r="2327" spans="8:8">
      <c r="H2327">
        <f t="shared" si="36"/>
        <v>0</v>
      </c>
    </row>
    <row r="2328" spans="8:8">
      <c r="H2328">
        <f t="shared" si="36"/>
        <v>0</v>
      </c>
    </row>
    <row r="2329" spans="8:8">
      <c r="H2329">
        <f t="shared" si="36"/>
        <v>0</v>
      </c>
    </row>
    <row r="2330" spans="8:8">
      <c r="H2330">
        <f t="shared" si="36"/>
        <v>0</v>
      </c>
    </row>
    <row r="2331" spans="8:8">
      <c r="H2331">
        <f t="shared" si="36"/>
        <v>0</v>
      </c>
    </row>
    <row r="2332" spans="8:8">
      <c r="H2332">
        <f t="shared" si="36"/>
        <v>0</v>
      </c>
    </row>
    <row r="2333" spans="8:8">
      <c r="H2333">
        <f t="shared" si="36"/>
        <v>0</v>
      </c>
    </row>
    <row r="2334" spans="8:8">
      <c r="H2334">
        <f t="shared" si="36"/>
        <v>0</v>
      </c>
    </row>
    <row r="2335" spans="8:8">
      <c r="H2335">
        <f t="shared" si="36"/>
        <v>0</v>
      </c>
    </row>
    <row r="2336" spans="8:8">
      <c r="H2336">
        <f t="shared" si="36"/>
        <v>0</v>
      </c>
    </row>
    <row r="2337" spans="8:8">
      <c r="H2337">
        <f t="shared" si="36"/>
        <v>0</v>
      </c>
    </row>
    <row r="2338" spans="8:8">
      <c r="H2338">
        <f t="shared" si="36"/>
        <v>0</v>
      </c>
    </row>
    <row r="2339" spans="8:8">
      <c r="H2339">
        <f t="shared" si="36"/>
        <v>0</v>
      </c>
    </row>
    <row r="2340" spans="8:8">
      <c r="H2340">
        <f t="shared" si="36"/>
        <v>0</v>
      </c>
    </row>
    <row r="2341" spans="8:8">
      <c r="H2341">
        <f t="shared" si="36"/>
        <v>0</v>
      </c>
    </row>
    <row r="2342" spans="8:8">
      <c r="H2342">
        <f t="shared" si="36"/>
        <v>0</v>
      </c>
    </row>
    <row r="2343" spans="8:8">
      <c r="H2343">
        <f t="shared" si="36"/>
        <v>0</v>
      </c>
    </row>
    <row r="2344" spans="8:8">
      <c r="H2344">
        <f t="shared" si="36"/>
        <v>0</v>
      </c>
    </row>
    <row r="2345" spans="8:8">
      <c r="H2345">
        <f t="shared" si="36"/>
        <v>0</v>
      </c>
    </row>
    <row r="2346" spans="8:8">
      <c r="H2346">
        <f t="shared" si="36"/>
        <v>0</v>
      </c>
    </row>
    <row r="2347" spans="8:8">
      <c r="H2347">
        <f t="shared" si="36"/>
        <v>0</v>
      </c>
    </row>
    <row r="2348" spans="8:8">
      <c r="H2348">
        <f t="shared" si="36"/>
        <v>0</v>
      </c>
    </row>
    <row r="2349" spans="8:8">
      <c r="H2349">
        <f t="shared" si="36"/>
        <v>0</v>
      </c>
    </row>
    <row r="2350" spans="8:8">
      <c r="H2350">
        <f t="shared" si="36"/>
        <v>0</v>
      </c>
    </row>
    <row r="2351" spans="8:8">
      <c r="H2351">
        <f t="shared" si="36"/>
        <v>0</v>
      </c>
    </row>
    <row r="2352" spans="8:8">
      <c r="H2352">
        <f t="shared" si="36"/>
        <v>0</v>
      </c>
    </row>
    <row r="2353" spans="8:8">
      <c r="H2353">
        <f t="shared" si="36"/>
        <v>0</v>
      </c>
    </row>
    <row r="2354" spans="8:8">
      <c r="H2354">
        <f t="shared" si="36"/>
        <v>0</v>
      </c>
    </row>
    <row r="2355" spans="8:8">
      <c r="H2355">
        <f t="shared" si="36"/>
        <v>0</v>
      </c>
    </row>
    <row r="2356" spans="8:8">
      <c r="H2356">
        <f t="shared" si="36"/>
        <v>0</v>
      </c>
    </row>
    <row r="2357" spans="8:8">
      <c r="H2357">
        <f t="shared" si="36"/>
        <v>0</v>
      </c>
    </row>
    <row r="2358" spans="8:8">
      <c r="H2358">
        <f t="shared" si="36"/>
        <v>0</v>
      </c>
    </row>
    <row r="2359" spans="8:8">
      <c r="H2359">
        <f t="shared" si="36"/>
        <v>0</v>
      </c>
    </row>
    <row r="2360" spans="8:8">
      <c r="H2360">
        <f t="shared" si="36"/>
        <v>0</v>
      </c>
    </row>
    <row r="2361" spans="8:8">
      <c r="H2361">
        <f t="shared" si="36"/>
        <v>0</v>
      </c>
    </row>
    <row r="2362" spans="8:8">
      <c r="H2362">
        <f t="shared" si="36"/>
        <v>0</v>
      </c>
    </row>
    <row r="2363" spans="8:8">
      <c r="H2363">
        <f t="shared" si="36"/>
        <v>0</v>
      </c>
    </row>
    <row r="2364" spans="8:8">
      <c r="H2364">
        <f t="shared" si="36"/>
        <v>0</v>
      </c>
    </row>
    <row r="2365" spans="8:8">
      <c r="H2365">
        <f t="shared" si="36"/>
        <v>0</v>
      </c>
    </row>
    <row r="2366" spans="8:8">
      <c r="H2366">
        <f t="shared" si="36"/>
        <v>0</v>
      </c>
    </row>
    <row r="2367" spans="8:8">
      <c r="H2367">
        <f t="shared" si="36"/>
        <v>0</v>
      </c>
    </row>
    <row r="2368" spans="8:8">
      <c r="H2368">
        <f t="shared" si="36"/>
        <v>0</v>
      </c>
    </row>
    <row r="2369" spans="8:8">
      <c r="H2369">
        <f t="shared" si="36"/>
        <v>0</v>
      </c>
    </row>
    <row r="2370" spans="8:8">
      <c r="H2370">
        <f t="shared" si="36"/>
        <v>0</v>
      </c>
    </row>
    <row r="2371" spans="8:8">
      <c r="H2371">
        <f t="shared" si="36"/>
        <v>0</v>
      </c>
    </row>
    <row r="2372" spans="8:8">
      <c r="H2372">
        <f t="shared" ref="H2372:H2435" si="37">0.5*F2372</f>
        <v>0</v>
      </c>
    </row>
    <row r="2373" spans="8:8">
      <c r="H2373">
        <f t="shared" si="37"/>
        <v>0</v>
      </c>
    </row>
    <row r="2374" spans="8:8">
      <c r="H2374">
        <f t="shared" si="37"/>
        <v>0</v>
      </c>
    </row>
    <row r="2375" spans="8:8">
      <c r="H2375">
        <f t="shared" si="37"/>
        <v>0</v>
      </c>
    </row>
    <row r="2376" spans="8:8">
      <c r="H2376">
        <f t="shared" si="37"/>
        <v>0</v>
      </c>
    </row>
    <row r="2377" spans="8:8">
      <c r="H2377">
        <f t="shared" si="37"/>
        <v>0</v>
      </c>
    </row>
    <row r="2378" spans="8:8">
      <c r="H2378">
        <f t="shared" si="37"/>
        <v>0</v>
      </c>
    </row>
    <row r="2379" spans="8:8">
      <c r="H2379">
        <f t="shared" si="37"/>
        <v>0</v>
      </c>
    </row>
    <row r="2380" spans="8:8">
      <c r="H2380">
        <f t="shared" si="37"/>
        <v>0</v>
      </c>
    </row>
    <row r="2381" spans="8:8">
      <c r="H2381">
        <f t="shared" si="37"/>
        <v>0</v>
      </c>
    </row>
    <row r="2382" spans="8:8">
      <c r="H2382">
        <f t="shared" si="37"/>
        <v>0</v>
      </c>
    </row>
    <row r="2383" spans="8:8">
      <c r="H2383">
        <f t="shared" si="37"/>
        <v>0</v>
      </c>
    </row>
    <row r="2384" spans="8:8">
      <c r="H2384">
        <f t="shared" si="37"/>
        <v>0</v>
      </c>
    </row>
    <row r="2385" spans="8:8">
      <c r="H2385">
        <f t="shared" si="37"/>
        <v>0</v>
      </c>
    </row>
    <row r="2386" spans="8:8">
      <c r="H2386">
        <f t="shared" si="37"/>
        <v>0</v>
      </c>
    </row>
    <row r="2387" spans="8:8">
      <c r="H2387">
        <f t="shared" si="37"/>
        <v>0</v>
      </c>
    </row>
    <row r="2388" spans="8:8">
      <c r="H2388">
        <f t="shared" si="37"/>
        <v>0</v>
      </c>
    </row>
    <row r="2389" spans="8:8">
      <c r="H2389">
        <f t="shared" si="37"/>
        <v>0</v>
      </c>
    </row>
    <row r="2390" spans="8:8">
      <c r="H2390">
        <f t="shared" si="37"/>
        <v>0</v>
      </c>
    </row>
    <row r="2391" spans="8:8">
      <c r="H2391">
        <f t="shared" si="37"/>
        <v>0</v>
      </c>
    </row>
    <row r="2392" spans="8:8">
      <c r="H2392">
        <f t="shared" si="37"/>
        <v>0</v>
      </c>
    </row>
    <row r="2393" spans="8:8">
      <c r="H2393">
        <f t="shared" si="37"/>
        <v>0</v>
      </c>
    </row>
    <row r="2394" spans="8:8">
      <c r="H2394">
        <f t="shared" si="37"/>
        <v>0</v>
      </c>
    </row>
    <row r="2395" spans="8:8">
      <c r="H2395">
        <f t="shared" si="37"/>
        <v>0</v>
      </c>
    </row>
    <row r="2396" spans="8:8">
      <c r="H2396">
        <f t="shared" si="37"/>
        <v>0</v>
      </c>
    </row>
    <row r="2397" spans="8:8">
      <c r="H2397">
        <f t="shared" si="37"/>
        <v>0</v>
      </c>
    </row>
    <row r="2398" spans="8:8">
      <c r="H2398">
        <f t="shared" si="37"/>
        <v>0</v>
      </c>
    </row>
    <row r="2399" spans="8:8">
      <c r="H2399">
        <f t="shared" si="37"/>
        <v>0</v>
      </c>
    </row>
    <row r="2400" spans="8:8">
      <c r="H2400">
        <f t="shared" si="37"/>
        <v>0</v>
      </c>
    </row>
    <row r="2401" spans="8:8">
      <c r="H2401">
        <f t="shared" si="37"/>
        <v>0</v>
      </c>
    </row>
    <row r="2402" spans="8:8">
      <c r="H2402">
        <f t="shared" si="37"/>
        <v>0</v>
      </c>
    </row>
    <row r="2403" spans="8:8">
      <c r="H2403">
        <f t="shared" si="37"/>
        <v>0</v>
      </c>
    </row>
    <row r="2404" spans="8:8">
      <c r="H2404">
        <f t="shared" si="37"/>
        <v>0</v>
      </c>
    </row>
    <row r="2405" spans="8:8">
      <c r="H2405">
        <f t="shared" si="37"/>
        <v>0</v>
      </c>
    </row>
    <row r="2406" spans="8:8">
      <c r="H2406">
        <f t="shared" si="37"/>
        <v>0</v>
      </c>
    </row>
    <row r="2407" spans="8:8">
      <c r="H2407">
        <f t="shared" si="37"/>
        <v>0</v>
      </c>
    </row>
    <row r="2408" spans="8:8">
      <c r="H2408">
        <f t="shared" si="37"/>
        <v>0</v>
      </c>
    </row>
    <row r="2409" spans="8:8">
      <c r="H2409">
        <f t="shared" si="37"/>
        <v>0</v>
      </c>
    </row>
    <row r="2410" spans="8:8">
      <c r="H2410">
        <f t="shared" si="37"/>
        <v>0</v>
      </c>
    </row>
    <row r="2411" spans="8:8">
      <c r="H2411">
        <f t="shared" si="37"/>
        <v>0</v>
      </c>
    </row>
    <row r="2412" spans="8:8">
      <c r="H2412">
        <f t="shared" si="37"/>
        <v>0</v>
      </c>
    </row>
    <row r="2413" spans="8:8">
      <c r="H2413">
        <f t="shared" si="37"/>
        <v>0</v>
      </c>
    </row>
    <row r="2414" spans="8:8">
      <c r="H2414">
        <f t="shared" si="37"/>
        <v>0</v>
      </c>
    </row>
    <row r="2415" spans="8:8">
      <c r="H2415">
        <f t="shared" si="37"/>
        <v>0</v>
      </c>
    </row>
    <row r="2416" spans="8:8">
      <c r="H2416">
        <f t="shared" si="37"/>
        <v>0</v>
      </c>
    </row>
    <row r="2417" spans="8:8">
      <c r="H2417">
        <f t="shared" si="37"/>
        <v>0</v>
      </c>
    </row>
    <row r="2418" spans="8:8">
      <c r="H2418">
        <f t="shared" si="37"/>
        <v>0</v>
      </c>
    </row>
    <row r="2419" spans="8:8">
      <c r="H2419">
        <f t="shared" si="37"/>
        <v>0</v>
      </c>
    </row>
    <row r="2420" spans="8:8">
      <c r="H2420">
        <f t="shared" si="37"/>
        <v>0</v>
      </c>
    </row>
    <row r="2421" spans="8:8">
      <c r="H2421">
        <f t="shared" si="37"/>
        <v>0</v>
      </c>
    </row>
    <row r="2422" spans="8:8">
      <c r="H2422">
        <f t="shared" si="37"/>
        <v>0</v>
      </c>
    </row>
    <row r="2423" spans="8:8">
      <c r="H2423">
        <f t="shared" si="37"/>
        <v>0</v>
      </c>
    </row>
    <row r="2424" spans="8:8">
      <c r="H2424">
        <f t="shared" si="37"/>
        <v>0</v>
      </c>
    </row>
    <row r="2425" spans="8:8">
      <c r="H2425">
        <f t="shared" si="37"/>
        <v>0</v>
      </c>
    </row>
    <row r="2426" spans="8:8">
      <c r="H2426">
        <f t="shared" si="37"/>
        <v>0</v>
      </c>
    </row>
    <row r="2427" spans="8:8">
      <c r="H2427">
        <f t="shared" si="37"/>
        <v>0</v>
      </c>
    </row>
    <row r="2428" spans="8:8">
      <c r="H2428">
        <f t="shared" si="37"/>
        <v>0</v>
      </c>
    </row>
    <row r="2429" spans="8:8">
      <c r="H2429">
        <f t="shared" si="37"/>
        <v>0</v>
      </c>
    </row>
    <row r="2430" spans="8:8">
      <c r="H2430">
        <f t="shared" si="37"/>
        <v>0</v>
      </c>
    </row>
    <row r="2431" spans="8:8">
      <c r="H2431">
        <f t="shared" si="37"/>
        <v>0</v>
      </c>
    </row>
    <row r="2432" spans="8:8">
      <c r="H2432">
        <f t="shared" si="37"/>
        <v>0</v>
      </c>
    </row>
    <row r="2433" spans="8:8">
      <c r="H2433">
        <f t="shared" si="37"/>
        <v>0</v>
      </c>
    </row>
    <row r="2434" spans="8:8">
      <c r="H2434">
        <f t="shared" si="37"/>
        <v>0</v>
      </c>
    </row>
    <row r="2435" spans="8:8">
      <c r="H2435">
        <f t="shared" si="37"/>
        <v>0</v>
      </c>
    </row>
    <row r="2436" spans="8:8">
      <c r="H2436">
        <f t="shared" ref="H2436:H2499" si="38">0.5*F2436</f>
        <v>0</v>
      </c>
    </row>
    <row r="2437" spans="8:8">
      <c r="H2437">
        <f t="shared" si="38"/>
        <v>0</v>
      </c>
    </row>
    <row r="2438" spans="8:8">
      <c r="H2438">
        <f t="shared" si="38"/>
        <v>0</v>
      </c>
    </row>
    <row r="2439" spans="8:8">
      <c r="H2439">
        <f t="shared" si="38"/>
        <v>0</v>
      </c>
    </row>
    <row r="2440" spans="8:8">
      <c r="H2440">
        <f t="shared" si="38"/>
        <v>0</v>
      </c>
    </row>
    <row r="2441" spans="8:8">
      <c r="H2441">
        <f t="shared" si="38"/>
        <v>0</v>
      </c>
    </row>
    <row r="2442" spans="8:8">
      <c r="H2442">
        <f t="shared" si="38"/>
        <v>0</v>
      </c>
    </row>
    <row r="2443" spans="8:8">
      <c r="H2443">
        <f t="shared" si="38"/>
        <v>0</v>
      </c>
    </row>
    <row r="2444" spans="8:8">
      <c r="H2444">
        <f t="shared" si="38"/>
        <v>0</v>
      </c>
    </row>
    <row r="2445" spans="8:8">
      <c r="H2445">
        <f t="shared" si="38"/>
        <v>0</v>
      </c>
    </row>
    <row r="2446" spans="8:8">
      <c r="H2446">
        <f t="shared" si="38"/>
        <v>0</v>
      </c>
    </row>
    <row r="2447" spans="8:8">
      <c r="H2447">
        <f t="shared" si="38"/>
        <v>0</v>
      </c>
    </row>
    <row r="2448" spans="8:8">
      <c r="H2448">
        <f t="shared" si="38"/>
        <v>0</v>
      </c>
    </row>
    <row r="2449" spans="8:8">
      <c r="H2449">
        <f t="shared" si="38"/>
        <v>0</v>
      </c>
    </row>
    <row r="2450" spans="8:8">
      <c r="H2450">
        <f t="shared" si="38"/>
        <v>0</v>
      </c>
    </row>
    <row r="2451" spans="8:8">
      <c r="H2451">
        <f t="shared" si="38"/>
        <v>0</v>
      </c>
    </row>
    <row r="2452" spans="8:8">
      <c r="H2452">
        <f t="shared" si="38"/>
        <v>0</v>
      </c>
    </row>
    <row r="2453" spans="8:8">
      <c r="H2453">
        <f t="shared" si="38"/>
        <v>0</v>
      </c>
    </row>
    <row r="2454" spans="8:8">
      <c r="H2454">
        <f t="shared" si="38"/>
        <v>0</v>
      </c>
    </row>
    <row r="2455" spans="8:8">
      <c r="H2455">
        <f t="shared" si="38"/>
        <v>0</v>
      </c>
    </row>
    <row r="2456" spans="8:8">
      <c r="H2456">
        <f t="shared" si="38"/>
        <v>0</v>
      </c>
    </row>
    <row r="2457" spans="8:8">
      <c r="H2457">
        <f t="shared" si="38"/>
        <v>0</v>
      </c>
    </row>
    <row r="2458" spans="8:8">
      <c r="H2458">
        <f t="shared" si="38"/>
        <v>0</v>
      </c>
    </row>
    <row r="2459" spans="8:8">
      <c r="H2459">
        <f t="shared" si="38"/>
        <v>0</v>
      </c>
    </row>
    <row r="2460" spans="8:8">
      <c r="H2460">
        <f t="shared" si="38"/>
        <v>0</v>
      </c>
    </row>
    <row r="2461" spans="8:8">
      <c r="H2461">
        <f t="shared" si="38"/>
        <v>0</v>
      </c>
    </row>
    <row r="2462" spans="8:8">
      <c r="H2462">
        <f t="shared" si="38"/>
        <v>0</v>
      </c>
    </row>
    <row r="2463" spans="8:8">
      <c r="H2463">
        <f t="shared" si="38"/>
        <v>0</v>
      </c>
    </row>
    <row r="2464" spans="8:8">
      <c r="H2464">
        <f t="shared" si="38"/>
        <v>0</v>
      </c>
    </row>
    <row r="2465" spans="8:8">
      <c r="H2465">
        <f t="shared" si="38"/>
        <v>0</v>
      </c>
    </row>
    <row r="2466" spans="8:8">
      <c r="H2466">
        <f t="shared" si="38"/>
        <v>0</v>
      </c>
    </row>
    <row r="2467" spans="8:8">
      <c r="H2467">
        <f t="shared" si="38"/>
        <v>0</v>
      </c>
    </row>
    <row r="2468" spans="8:8">
      <c r="H2468">
        <f t="shared" si="38"/>
        <v>0</v>
      </c>
    </row>
    <row r="2469" spans="8:8">
      <c r="H2469">
        <f t="shared" si="38"/>
        <v>0</v>
      </c>
    </row>
    <row r="2470" spans="8:8">
      <c r="H2470">
        <f t="shared" si="38"/>
        <v>0</v>
      </c>
    </row>
    <row r="2471" spans="8:8">
      <c r="H2471">
        <f t="shared" si="38"/>
        <v>0</v>
      </c>
    </row>
    <row r="2472" spans="8:8">
      <c r="H2472">
        <f t="shared" si="38"/>
        <v>0</v>
      </c>
    </row>
    <row r="2473" spans="8:8">
      <c r="H2473">
        <f t="shared" si="38"/>
        <v>0</v>
      </c>
    </row>
    <row r="2474" spans="8:8">
      <c r="H2474">
        <f t="shared" si="38"/>
        <v>0</v>
      </c>
    </row>
    <row r="2475" spans="8:8">
      <c r="H2475">
        <f t="shared" si="38"/>
        <v>0</v>
      </c>
    </row>
    <row r="2476" spans="8:8">
      <c r="H2476">
        <f t="shared" si="38"/>
        <v>0</v>
      </c>
    </row>
    <row r="2477" spans="8:8">
      <c r="H2477">
        <f t="shared" si="38"/>
        <v>0</v>
      </c>
    </row>
    <row r="2478" spans="8:8">
      <c r="H2478">
        <f t="shared" si="38"/>
        <v>0</v>
      </c>
    </row>
    <row r="2479" spans="8:8">
      <c r="H2479">
        <f t="shared" si="38"/>
        <v>0</v>
      </c>
    </row>
    <row r="2480" spans="8:8">
      <c r="H2480">
        <f t="shared" si="38"/>
        <v>0</v>
      </c>
    </row>
    <row r="2481" spans="8:8">
      <c r="H2481">
        <f t="shared" si="38"/>
        <v>0</v>
      </c>
    </row>
    <row r="2482" spans="8:8">
      <c r="H2482">
        <f t="shared" si="38"/>
        <v>0</v>
      </c>
    </row>
    <row r="2483" spans="8:8">
      <c r="H2483">
        <f t="shared" si="38"/>
        <v>0</v>
      </c>
    </row>
    <row r="2484" spans="8:8">
      <c r="H2484">
        <f t="shared" si="38"/>
        <v>0</v>
      </c>
    </row>
    <row r="2485" spans="8:8">
      <c r="H2485">
        <f t="shared" si="38"/>
        <v>0</v>
      </c>
    </row>
    <row r="2486" spans="8:8">
      <c r="H2486">
        <f t="shared" si="38"/>
        <v>0</v>
      </c>
    </row>
    <row r="2487" spans="8:8">
      <c r="H2487">
        <f t="shared" si="38"/>
        <v>0</v>
      </c>
    </row>
    <row r="2488" spans="8:8">
      <c r="H2488">
        <f t="shared" si="38"/>
        <v>0</v>
      </c>
    </row>
    <row r="2489" spans="8:8">
      <c r="H2489">
        <f t="shared" si="38"/>
        <v>0</v>
      </c>
    </row>
    <row r="2490" spans="8:8">
      <c r="H2490">
        <f t="shared" si="38"/>
        <v>0</v>
      </c>
    </row>
    <row r="2491" spans="8:8">
      <c r="H2491">
        <f t="shared" si="38"/>
        <v>0</v>
      </c>
    </row>
    <row r="2492" spans="8:8">
      <c r="H2492">
        <f t="shared" si="38"/>
        <v>0</v>
      </c>
    </row>
    <row r="2493" spans="8:8">
      <c r="H2493">
        <f t="shared" si="38"/>
        <v>0</v>
      </c>
    </row>
    <row r="2494" spans="8:8">
      <c r="H2494">
        <f t="shared" si="38"/>
        <v>0</v>
      </c>
    </row>
    <row r="2495" spans="8:8">
      <c r="H2495">
        <f t="shared" si="38"/>
        <v>0</v>
      </c>
    </row>
    <row r="2496" spans="8:8">
      <c r="H2496">
        <f t="shared" si="38"/>
        <v>0</v>
      </c>
    </row>
    <row r="2497" spans="8:8">
      <c r="H2497">
        <f t="shared" si="38"/>
        <v>0</v>
      </c>
    </row>
    <row r="2498" spans="8:8">
      <c r="H2498">
        <f t="shared" si="38"/>
        <v>0</v>
      </c>
    </row>
    <row r="2499" spans="8:8">
      <c r="H2499">
        <f t="shared" si="38"/>
        <v>0</v>
      </c>
    </row>
    <row r="2500" spans="8:8">
      <c r="H2500">
        <f t="shared" ref="H2500:H2551" si="39">0.5*F2500</f>
        <v>0</v>
      </c>
    </row>
    <row r="2501" spans="8:8">
      <c r="H2501">
        <f t="shared" si="39"/>
        <v>0</v>
      </c>
    </row>
    <row r="2502" spans="8:8">
      <c r="H2502">
        <f t="shared" si="39"/>
        <v>0</v>
      </c>
    </row>
    <row r="2503" spans="8:8">
      <c r="H2503">
        <f t="shared" si="39"/>
        <v>0</v>
      </c>
    </row>
    <row r="2504" spans="8:8">
      <c r="H2504">
        <f t="shared" si="39"/>
        <v>0</v>
      </c>
    </row>
    <row r="2505" spans="8:8">
      <c r="H2505">
        <f t="shared" si="39"/>
        <v>0</v>
      </c>
    </row>
    <row r="2506" spans="8:8">
      <c r="H2506">
        <f t="shared" si="39"/>
        <v>0</v>
      </c>
    </row>
    <row r="2507" spans="8:8">
      <c r="H2507">
        <f t="shared" si="39"/>
        <v>0</v>
      </c>
    </row>
    <row r="2508" spans="8:8">
      <c r="H2508">
        <f t="shared" si="39"/>
        <v>0</v>
      </c>
    </row>
    <row r="2509" spans="8:8">
      <c r="H2509">
        <f t="shared" si="39"/>
        <v>0</v>
      </c>
    </row>
    <row r="2510" spans="8:8">
      <c r="H2510">
        <f t="shared" si="39"/>
        <v>0</v>
      </c>
    </row>
    <row r="2511" spans="8:8">
      <c r="H2511">
        <f t="shared" si="39"/>
        <v>0</v>
      </c>
    </row>
    <row r="2512" spans="8:8">
      <c r="H2512">
        <f t="shared" si="39"/>
        <v>0</v>
      </c>
    </row>
    <row r="2513" spans="8:8">
      <c r="H2513">
        <f t="shared" si="39"/>
        <v>0</v>
      </c>
    </row>
    <row r="2514" spans="8:8">
      <c r="H2514">
        <f t="shared" si="39"/>
        <v>0</v>
      </c>
    </row>
    <row r="2515" spans="8:8">
      <c r="H2515">
        <f t="shared" si="39"/>
        <v>0</v>
      </c>
    </row>
    <row r="2516" spans="8:8">
      <c r="H2516">
        <f t="shared" si="39"/>
        <v>0</v>
      </c>
    </row>
    <row r="2517" spans="8:8">
      <c r="H2517">
        <f t="shared" si="39"/>
        <v>0</v>
      </c>
    </row>
    <row r="2518" spans="8:8">
      <c r="H2518">
        <f t="shared" si="39"/>
        <v>0</v>
      </c>
    </row>
    <row r="2519" spans="8:8">
      <c r="H2519">
        <f t="shared" si="39"/>
        <v>0</v>
      </c>
    </row>
    <row r="2520" spans="8:8">
      <c r="H2520">
        <f t="shared" si="39"/>
        <v>0</v>
      </c>
    </row>
    <row r="2521" spans="8:8">
      <c r="H2521">
        <f t="shared" si="39"/>
        <v>0</v>
      </c>
    </row>
    <row r="2522" spans="8:8">
      <c r="H2522">
        <f t="shared" si="39"/>
        <v>0</v>
      </c>
    </row>
    <row r="2523" spans="8:8">
      <c r="H2523">
        <f t="shared" si="39"/>
        <v>0</v>
      </c>
    </row>
    <row r="2524" spans="8:8">
      <c r="H2524">
        <f t="shared" si="39"/>
        <v>0</v>
      </c>
    </row>
    <row r="2525" spans="8:8">
      <c r="H2525">
        <f t="shared" si="39"/>
        <v>0</v>
      </c>
    </row>
    <row r="2526" spans="8:8">
      <c r="H2526">
        <f t="shared" si="39"/>
        <v>0</v>
      </c>
    </row>
    <row r="2527" spans="8:8">
      <c r="H2527">
        <f t="shared" si="39"/>
        <v>0</v>
      </c>
    </row>
    <row r="2528" spans="8:8">
      <c r="H2528">
        <f t="shared" si="39"/>
        <v>0</v>
      </c>
    </row>
    <row r="2529" spans="8:8">
      <c r="H2529">
        <f t="shared" si="39"/>
        <v>0</v>
      </c>
    </row>
    <row r="2530" spans="8:8">
      <c r="H2530">
        <f t="shared" si="39"/>
        <v>0</v>
      </c>
    </row>
    <row r="2531" spans="8:8">
      <c r="H2531">
        <f t="shared" si="39"/>
        <v>0</v>
      </c>
    </row>
    <row r="2532" spans="8:8">
      <c r="H2532">
        <f t="shared" si="39"/>
        <v>0</v>
      </c>
    </row>
    <row r="2533" spans="8:8">
      <c r="H2533">
        <f t="shared" si="39"/>
        <v>0</v>
      </c>
    </row>
    <row r="2534" spans="8:8">
      <c r="H2534">
        <f t="shared" si="39"/>
        <v>0</v>
      </c>
    </row>
    <row r="2535" spans="8:8">
      <c r="H2535">
        <f t="shared" si="39"/>
        <v>0</v>
      </c>
    </row>
    <row r="2536" spans="8:8">
      <c r="H2536">
        <f t="shared" si="39"/>
        <v>0</v>
      </c>
    </row>
    <row r="2537" spans="8:8">
      <c r="H2537">
        <f t="shared" si="39"/>
        <v>0</v>
      </c>
    </row>
    <row r="2538" spans="8:8">
      <c r="H2538">
        <f t="shared" si="39"/>
        <v>0</v>
      </c>
    </row>
    <row r="2539" spans="8:8">
      <c r="H2539">
        <f t="shared" si="39"/>
        <v>0</v>
      </c>
    </row>
    <row r="2540" spans="8:8">
      <c r="H2540">
        <f t="shared" si="39"/>
        <v>0</v>
      </c>
    </row>
    <row r="2541" spans="8:8">
      <c r="H2541">
        <f t="shared" si="39"/>
        <v>0</v>
      </c>
    </row>
    <row r="2542" spans="8:8">
      <c r="H2542">
        <f t="shared" si="39"/>
        <v>0</v>
      </c>
    </row>
    <row r="2543" spans="8:8">
      <c r="H2543">
        <f t="shared" si="39"/>
        <v>0</v>
      </c>
    </row>
    <row r="2544" spans="8:8">
      <c r="H2544">
        <f t="shared" si="39"/>
        <v>0</v>
      </c>
    </row>
    <row r="2545" spans="8:8">
      <c r="H2545">
        <f t="shared" si="39"/>
        <v>0</v>
      </c>
    </row>
    <row r="2546" spans="8:8">
      <c r="H2546">
        <f t="shared" si="39"/>
        <v>0</v>
      </c>
    </row>
    <row r="2547" spans="8:8">
      <c r="H2547">
        <f t="shared" si="39"/>
        <v>0</v>
      </c>
    </row>
    <row r="2548" spans="8:8">
      <c r="H2548">
        <f t="shared" si="39"/>
        <v>0</v>
      </c>
    </row>
    <row r="2549" spans="8:8">
      <c r="H2549">
        <f t="shared" si="39"/>
        <v>0</v>
      </c>
    </row>
    <row r="2550" spans="8:8">
      <c r="H2550">
        <f t="shared" si="39"/>
        <v>0</v>
      </c>
    </row>
    <row r="2551" spans="8:8">
      <c r="H2551">
        <f t="shared" si="39"/>
        <v>0</v>
      </c>
    </row>
  </sheetData>
  <autoFilter ref="A1:H1090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3"/>
  <sheetViews>
    <sheetView zoomScale="130" zoomScaleNormal="130" workbookViewId="0">
      <selection activeCell="B1" sqref="B1"/>
    </sheetView>
  </sheetViews>
  <sheetFormatPr defaultRowHeight="15"/>
  <sheetData>
    <row r="1" spans="1:27">
      <c r="A1" t="s">
        <v>133</v>
      </c>
      <c r="B1" t="s">
        <v>188</v>
      </c>
      <c r="C1" t="s">
        <v>189</v>
      </c>
      <c r="D1" t="s">
        <v>103</v>
      </c>
      <c r="E1" t="s">
        <v>135</v>
      </c>
      <c r="F1" t="s">
        <v>134</v>
      </c>
      <c r="G1" t="s">
        <v>190</v>
      </c>
      <c r="H1" t="s">
        <v>191</v>
      </c>
      <c r="I1" t="s">
        <v>192</v>
      </c>
      <c r="J1" t="s">
        <v>193</v>
      </c>
      <c r="K1" t="s">
        <v>12</v>
      </c>
      <c r="L1" t="s">
        <v>194</v>
      </c>
      <c r="M1" t="s">
        <v>195</v>
      </c>
      <c r="N1" t="s">
        <v>196</v>
      </c>
      <c r="O1" t="s">
        <v>197</v>
      </c>
      <c r="P1" t="s">
        <v>198</v>
      </c>
      <c r="Q1" t="s">
        <v>199</v>
      </c>
      <c r="R1" t="s">
        <v>200</v>
      </c>
      <c r="S1" t="s">
        <v>201</v>
      </c>
      <c r="T1" t="s">
        <v>202</v>
      </c>
      <c r="U1" t="s">
        <v>203</v>
      </c>
      <c r="V1" t="s">
        <v>204</v>
      </c>
      <c r="W1" t="s">
        <v>205</v>
      </c>
      <c r="X1" t="s">
        <v>206</v>
      </c>
      <c r="Y1" t="s">
        <v>207</v>
      </c>
      <c r="Z1" t="s">
        <v>208</v>
      </c>
      <c r="AA1" t="s">
        <v>209</v>
      </c>
    </row>
    <row r="2" spans="1:27">
      <c r="A2" t="s">
        <v>499</v>
      </c>
      <c r="B2" t="s">
        <v>500</v>
      </c>
      <c r="C2" t="s">
        <v>210</v>
      </c>
      <c r="D2" t="s">
        <v>15</v>
      </c>
      <c r="E2" t="s">
        <v>212</v>
      </c>
      <c r="F2" t="s">
        <v>160</v>
      </c>
      <c r="G2" t="s">
        <v>330</v>
      </c>
      <c r="H2" s="75">
        <v>217179</v>
      </c>
      <c r="I2" s="75">
        <v>28875</v>
      </c>
      <c r="J2" s="75">
        <v>1875244</v>
      </c>
      <c r="K2" s="75">
        <v>2092100</v>
      </c>
      <c r="L2" s="75">
        <v>2500000</v>
      </c>
      <c r="M2" s="75">
        <v>2500000</v>
      </c>
      <c r="N2">
        <v>83.68</v>
      </c>
      <c r="O2">
        <v>83.68</v>
      </c>
      <c r="P2" s="75">
        <v>108098</v>
      </c>
      <c r="Q2" s="75">
        <v>15879</v>
      </c>
      <c r="R2" s="75">
        <v>2494637</v>
      </c>
      <c r="S2" s="75">
        <v>2599535</v>
      </c>
      <c r="T2" s="75">
        <v>2300000</v>
      </c>
      <c r="U2" s="75">
        <v>5000000</v>
      </c>
      <c r="V2">
        <v>113.02</v>
      </c>
      <c r="W2">
        <v>51.99</v>
      </c>
      <c r="X2" s="75">
        <v>21396294</v>
      </c>
      <c r="Y2" s="75">
        <v>28904186</v>
      </c>
      <c r="Z2" s="75">
        <v>50300480</v>
      </c>
      <c r="AA2" s="75">
        <v>412061.53</v>
      </c>
    </row>
    <row r="3" spans="1:27">
      <c r="A3" t="s">
        <v>499</v>
      </c>
      <c r="B3" t="s">
        <v>500</v>
      </c>
      <c r="C3" t="s">
        <v>210</v>
      </c>
      <c r="D3" t="s">
        <v>15</v>
      </c>
      <c r="E3" t="s">
        <v>213</v>
      </c>
      <c r="F3" t="s">
        <v>160</v>
      </c>
      <c r="G3" t="s">
        <v>330</v>
      </c>
      <c r="H3" s="75">
        <v>220149</v>
      </c>
      <c r="I3" s="75">
        <v>27002</v>
      </c>
      <c r="J3" s="75">
        <v>1990929</v>
      </c>
      <c r="K3" s="75">
        <v>2207777</v>
      </c>
      <c r="L3" s="75">
        <v>2500000</v>
      </c>
      <c r="M3" s="75">
        <v>2500000</v>
      </c>
      <c r="N3">
        <v>88.31</v>
      </c>
      <c r="O3">
        <v>88.31</v>
      </c>
      <c r="P3" s="75">
        <v>111591</v>
      </c>
      <c r="Q3" s="75">
        <v>14561</v>
      </c>
      <c r="R3" s="75">
        <v>2679111</v>
      </c>
      <c r="S3" s="75">
        <v>2784486</v>
      </c>
      <c r="T3" s="75">
        <v>2300000</v>
      </c>
      <c r="U3" s="75">
        <v>5000000</v>
      </c>
      <c r="V3">
        <v>121.06</v>
      </c>
      <c r="W3">
        <v>55.69</v>
      </c>
      <c r="X3" s="75">
        <v>22566282</v>
      </c>
      <c r="Y3" s="75">
        <v>30369449</v>
      </c>
      <c r="Z3" s="75">
        <v>52935731</v>
      </c>
      <c r="AA3" s="75">
        <v>433649.51</v>
      </c>
    </row>
    <row r="4" spans="1:27">
      <c r="A4" t="s">
        <v>499</v>
      </c>
      <c r="B4" t="s">
        <v>500</v>
      </c>
      <c r="C4" t="s">
        <v>210</v>
      </c>
      <c r="D4" t="s">
        <v>15</v>
      </c>
      <c r="E4" t="s">
        <v>214</v>
      </c>
      <c r="F4" t="s">
        <v>160</v>
      </c>
      <c r="G4" t="s">
        <v>330</v>
      </c>
      <c r="H4" s="75">
        <v>256167</v>
      </c>
      <c r="I4" s="75">
        <v>34799</v>
      </c>
      <c r="J4" s="75">
        <v>2705179</v>
      </c>
      <c r="K4" s="75">
        <v>2956438</v>
      </c>
      <c r="L4" s="75">
        <v>3300000</v>
      </c>
      <c r="M4" s="75">
        <v>4000000</v>
      </c>
      <c r="N4">
        <v>89.59</v>
      </c>
      <c r="O4">
        <v>73.91</v>
      </c>
      <c r="P4" s="75">
        <v>133933</v>
      </c>
      <c r="Q4" s="75">
        <v>19063</v>
      </c>
      <c r="R4" s="75">
        <v>3648430</v>
      </c>
      <c r="S4" s="75">
        <v>3777165</v>
      </c>
      <c r="T4" s="75">
        <v>3200000</v>
      </c>
      <c r="U4" s="75">
        <v>6600000</v>
      </c>
      <c r="V4">
        <v>118.04</v>
      </c>
      <c r="W4">
        <v>57.23</v>
      </c>
      <c r="X4" s="75">
        <v>27020192</v>
      </c>
      <c r="Y4" s="75">
        <v>37036355</v>
      </c>
      <c r="Z4" s="75">
        <v>64056547</v>
      </c>
      <c r="AA4" s="75">
        <v>524751.23</v>
      </c>
    </row>
    <row r="5" spans="1:27">
      <c r="A5" t="s">
        <v>499</v>
      </c>
      <c r="B5" t="s">
        <v>500</v>
      </c>
      <c r="C5" t="s">
        <v>210</v>
      </c>
      <c r="D5" t="s">
        <v>15</v>
      </c>
      <c r="E5" t="s">
        <v>215</v>
      </c>
      <c r="F5" t="s">
        <v>160</v>
      </c>
      <c r="G5" t="s">
        <v>368</v>
      </c>
      <c r="H5" s="75">
        <v>267197</v>
      </c>
      <c r="I5" s="75">
        <v>34727</v>
      </c>
      <c r="J5" s="75">
        <v>2924572</v>
      </c>
      <c r="K5" s="75">
        <v>3186825</v>
      </c>
      <c r="L5" s="75">
        <v>3300000</v>
      </c>
      <c r="M5" s="75">
        <v>4000000</v>
      </c>
      <c r="N5">
        <v>96.57</v>
      </c>
      <c r="O5">
        <v>79.67</v>
      </c>
      <c r="P5" s="75">
        <v>139150</v>
      </c>
      <c r="Q5" s="75">
        <v>19244</v>
      </c>
      <c r="R5" s="75">
        <v>3926213</v>
      </c>
      <c r="S5" s="75">
        <v>4058378</v>
      </c>
      <c r="T5" s="75">
        <v>3200000</v>
      </c>
      <c r="U5" s="75">
        <v>6600000</v>
      </c>
      <c r="V5">
        <v>126.82</v>
      </c>
      <c r="W5">
        <v>61.49</v>
      </c>
      <c r="X5" s="75">
        <v>28446260</v>
      </c>
      <c r="Y5" s="75">
        <v>38107208</v>
      </c>
      <c r="Z5" s="75">
        <v>66553468</v>
      </c>
      <c r="AA5" s="75">
        <v>545206.01</v>
      </c>
    </row>
    <row r="6" spans="1:27">
      <c r="A6" t="s">
        <v>499</v>
      </c>
      <c r="B6" t="s">
        <v>500</v>
      </c>
      <c r="C6" t="s">
        <v>210</v>
      </c>
      <c r="D6" t="s">
        <v>15</v>
      </c>
      <c r="E6" t="s">
        <v>216</v>
      </c>
      <c r="F6" t="s">
        <v>160</v>
      </c>
      <c r="G6" t="s">
        <v>368</v>
      </c>
      <c r="H6" s="75">
        <v>275581</v>
      </c>
      <c r="I6" s="75">
        <v>36125</v>
      </c>
      <c r="J6" s="75">
        <v>3388966</v>
      </c>
      <c r="K6" s="75">
        <v>3656272</v>
      </c>
      <c r="L6" s="75">
        <v>3300000</v>
      </c>
      <c r="M6" s="75">
        <v>4000000</v>
      </c>
      <c r="N6">
        <v>110.8</v>
      </c>
      <c r="O6">
        <v>91.41</v>
      </c>
      <c r="P6" s="75">
        <v>151066</v>
      </c>
      <c r="Q6" s="75">
        <v>21439</v>
      </c>
      <c r="R6" s="75">
        <v>4641262</v>
      </c>
      <c r="S6" s="75">
        <v>4784180</v>
      </c>
      <c r="T6" s="75">
        <v>3200000</v>
      </c>
      <c r="U6" s="75">
        <v>6600000</v>
      </c>
      <c r="V6">
        <v>149.51</v>
      </c>
      <c r="W6">
        <v>72.489999999999995</v>
      </c>
      <c r="X6" s="75">
        <v>33901141</v>
      </c>
      <c r="Y6" s="75">
        <v>46753300</v>
      </c>
      <c r="Z6" s="75">
        <v>80654441</v>
      </c>
      <c r="AA6" s="75">
        <v>660721.18000000005</v>
      </c>
    </row>
    <row r="7" spans="1:27">
      <c r="A7" t="s">
        <v>499</v>
      </c>
      <c r="B7" t="s">
        <v>500</v>
      </c>
      <c r="C7" t="s">
        <v>210</v>
      </c>
      <c r="D7" t="s">
        <v>15</v>
      </c>
      <c r="E7" t="s">
        <v>217</v>
      </c>
      <c r="F7" t="s">
        <v>160</v>
      </c>
      <c r="G7" t="s">
        <v>368</v>
      </c>
      <c r="H7" s="75">
        <v>264296</v>
      </c>
      <c r="I7" s="75">
        <v>34879</v>
      </c>
      <c r="J7" s="75">
        <v>2774384</v>
      </c>
      <c r="K7" s="75">
        <v>3033753</v>
      </c>
      <c r="L7" s="75">
        <v>3300000</v>
      </c>
      <c r="M7" s="75">
        <v>4000000</v>
      </c>
      <c r="N7">
        <v>91.93</v>
      </c>
      <c r="O7">
        <v>75.84</v>
      </c>
      <c r="P7" s="75">
        <v>137888</v>
      </c>
      <c r="Q7" s="75">
        <v>19474</v>
      </c>
      <c r="R7" s="75">
        <v>3722698</v>
      </c>
      <c r="S7" s="75">
        <v>3855198</v>
      </c>
      <c r="T7" s="75">
        <v>3300000</v>
      </c>
      <c r="U7" s="75">
        <v>6600000</v>
      </c>
      <c r="V7">
        <v>116.82</v>
      </c>
      <c r="W7">
        <v>58.41</v>
      </c>
      <c r="X7" s="75">
        <v>27639257</v>
      </c>
      <c r="Y7" s="75">
        <v>37708371</v>
      </c>
      <c r="Z7" s="75">
        <v>65347628</v>
      </c>
      <c r="AA7" s="75">
        <v>535327.77</v>
      </c>
    </row>
    <row r="8" spans="1:27">
      <c r="A8" t="s">
        <v>499</v>
      </c>
      <c r="B8" t="s">
        <v>500</v>
      </c>
      <c r="C8" t="s">
        <v>210</v>
      </c>
      <c r="D8" t="s">
        <v>15</v>
      </c>
      <c r="E8" t="s">
        <v>218</v>
      </c>
      <c r="F8" t="s">
        <v>160</v>
      </c>
      <c r="G8" t="s">
        <v>211</v>
      </c>
      <c r="H8" s="75">
        <v>155367</v>
      </c>
      <c r="I8" s="75">
        <v>19256</v>
      </c>
      <c r="J8" s="75">
        <v>2001731</v>
      </c>
      <c r="K8" s="75">
        <v>2149015</v>
      </c>
      <c r="L8" s="75">
        <v>3300000</v>
      </c>
      <c r="M8" s="75">
        <v>4000000</v>
      </c>
      <c r="N8">
        <v>65.12</v>
      </c>
      <c r="O8">
        <v>53.73</v>
      </c>
      <c r="P8" s="75">
        <v>87598</v>
      </c>
      <c r="Q8" s="75">
        <v>12386</v>
      </c>
      <c r="R8" s="75">
        <v>2671990</v>
      </c>
      <c r="S8" s="75">
        <v>2754767</v>
      </c>
      <c r="T8" s="75">
        <v>6600000</v>
      </c>
      <c r="U8" s="75">
        <v>6600000</v>
      </c>
      <c r="V8">
        <v>41.74</v>
      </c>
      <c r="W8">
        <v>41.74</v>
      </c>
      <c r="X8" s="75">
        <v>18299134</v>
      </c>
      <c r="Y8" s="75">
        <v>26065007</v>
      </c>
      <c r="Z8" s="75">
        <v>44364141</v>
      </c>
      <c r="AA8" s="75">
        <v>363431.04</v>
      </c>
    </row>
    <row r="9" spans="1:27">
      <c r="A9" t="s">
        <v>499</v>
      </c>
      <c r="B9" t="s">
        <v>500</v>
      </c>
      <c r="C9" t="s">
        <v>210</v>
      </c>
      <c r="D9" t="s">
        <v>15</v>
      </c>
      <c r="E9" t="s">
        <v>219</v>
      </c>
      <c r="F9" t="s">
        <v>160</v>
      </c>
      <c r="G9" t="s">
        <v>211</v>
      </c>
      <c r="H9" s="75">
        <v>176462</v>
      </c>
      <c r="I9" s="75">
        <v>24504</v>
      </c>
      <c r="J9" s="75">
        <v>2131857</v>
      </c>
      <c r="K9" s="75">
        <v>2302813</v>
      </c>
      <c r="L9" s="75">
        <v>3300000</v>
      </c>
      <c r="M9" s="75">
        <v>4000000</v>
      </c>
      <c r="N9">
        <v>69.78</v>
      </c>
      <c r="O9">
        <v>57.57</v>
      </c>
      <c r="P9" s="75">
        <v>97270</v>
      </c>
      <c r="Q9" s="75">
        <v>14901</v>
      </c>
      <c r="R9" s="75">
        <v>2857403</v>
      </c>
      <c r="S9" s="75">
        <v>2952581</v>
      </c>
      <c r="T9" s="75">
        <v>6600000</v>
      </c>
      <c r="U9" s="75">
        <v>6600000</v>
      </c>
      <c r="V9">
        <v>44.74</v>
      </c>
      <c r="W9">
        <v>44.74</v>
      </c>
      <c r="X9" s="75">
        <v>20330921</v>
      </c>
      <c r="Y9" s="75">
        <v>29089100</v>
      </c>
      <c r="Z9" s="75">
        <v>49218682</v>
      </c>
      <c r="AA9" s="75">
        <v>403199.44</v>
      </c>
    </row>
    <row r="10" spans="1:27">
      <c r="A10" t="s">
        <v>499</v>
      </c>
      <c r="B10" t="s">
        <v>500</v>
      </c>
      <c r="C10" t="s">
        <v>210</v>
      </c>
      <c r="D10" t="s">
        <v>15</v>
      </c>
      <c r="E10" t="s">
        <v>220</v>
      </c>
      <c r="F10" t="s">
        <v>160</v>
      </c>
      <c r="G10" t="s">
        <v>211</v>
      </c>
      <c r="H10" s="75">
        <v>177888</v>
      </c>
      <c r="I10" s="75">
        <v>24310</v>
      </c>
      <c r="J10" s="75">
        <v>2238958</v>
      </c>
      <c r="K10" s="75">
        <v>2411283</v>
      </c>
      <c r="L10" s="75">
        <v>3300000</v>
      </c>
      <c r="M10" s="75">
        <v>4000000</v>
      </c>
      <c r="N10">
        <v>73.069999999999993</v>
      </c>
      <c r="O10">
        <v>60.28</v>
      </c>
      <c r="P10" s="75">
        <v>99372</v>
      </c>
      <c r="Q10" s="75">
        <v>15103</v>
      </c>
      <c r="R10" s="75">
        <v>3033047</v>
      </c>
      <c r="S10" s="75">
        <v>3130502</v>
      </c>
      <c r="T10" s="75">
        <v>6600000</v>
      </c>
      <c r="U10" s="75">
        <v>6600000</v>
      </c>
      <c r="V10">
        <v>47.43</v>
      </c>
      <c r="W10">
        <v>47.43</v>
      </c>
      <c r="X10" s="75">
        <v>20839739</v>
      </c>
      <c r="Y10" s="75">
        <v>29101494</v>
      </c>
      <c r="Z10" s="75">
        <v>49941233</v>
      </c>
      <c r="AA10" s="75">
        <v>409118.58</v>
      </c>
    </row>
    <row r="11" spans="1:27">
      <c r="A11" t="s">
        <v>499</v>
      </c>
      <c r="B11" t="s">
        <v>500</v>
      </c>
      <c r="C11" t="s">
        <v>210</v>
      </c>
      <c r="D11" t="s">
        <v>15</v>
      </c>
      <c r="E11" t="s">
        <v>221</v>
      </c>
      <c r="F11" t="s">
        <v>160</v>
      </c>
      <c r="G11" t="s">
        <v>211</v>
      </c>
      <c r="H11" s="75">
        <v>173863</v>
      </c>
      <c r="I11" s="75">
        <v>23948</v>
      </c>
      <c r="J11" s="75">
        <v>2228714</v>
      </c>
      <c r="K11" s="75">
        <v>2398830</v>
      </c>
      <c r="L11" s="75">
        <v>3300000</v>
      </c>
      <c r="M11" s="75">
        <v>4000000</v>
      </c>
      <c r="N11">
        <v>72.69</v>
      </c>
      <c r="O11">
        <v>59.97</v>
      </c>
      <c r="P11" s="75">
        <v>98776</v>
      </c>
      <c r="Q11" s="75">
        <v>14869</v>
      </c>
      <c r="R11" s="75">
        <v>3019333</v>
      </c>
      <c r="S11" s="75">
        <v>3116025</v>
      </c>
      <c r="T11" s="75">
        <v>6600000</v>
      </c>
      <c r="U11" s="75">
        <v>6600000</v>
      </c>
      <c r="V11">
        <v>47.21</v>
      </c>
      <c r="W11">
        <v>47.21</v>
      </c>
      <c r="X11" s="75">
        <v>20361554</v>
      </c>
      <c r="Y11" s="75">
        <v>28712277</v>
      </c>
      <c r="Z11" s="75">
        <v>49073831</v>
      </c>
      <c r="AA11" s="75">
        <v>402012.82</v>
      </c>
    </row>
    <row r="12" spans="1:27">
      <c r="A12" t="s">
        <v>499</v>
      </c>
      <c r="B12" t="s">
        <v>500</v>
      </c>
      <c r="C12" t="s">
        <v>210</v>
      </c>
      <c r="D12" t="s">
        <v>15</v>
      </c>
      <c r="E12" t="s">
        <v>343</v>
      </c>
      <c r="F12" t="s">
        <v>160</v>
      </c>
      <c r="H12" s="75">
        <v>34792</v>
      </c>
      <c r="I12">
        <v>0</v>
      </c>
      <c r="J12" s="75">
        <v>597203</v>
      </c>
      <c r="K12" s="75">
        <v>627602</v>
      </c>
      <c r="P12" s="75">
        <v>19369</v>
      </c>
      <c r="Q12">
        <v>0</v>
      </c>
      <c r="R12" s="75">
        <v>876462</v>
      </c>
      <c r="S12" s="75">
        <v>893741</v>
      </c>
      <c r="X12" s="75">
        <v>4788587</v>
      </c>
      <c r="Y12" s="75">
        <v>7079221</v>
      </c>
      <c r="Z12" s="75">
        <v>11867808</v>
      </c>
      <c r="AA12" s="75">
        <v>97221.08</v>
      </c>
    </row>
    <row r="13" spans="1:27">
      <c r="A13" t="s">
        <v>499</v>
      </c>
      <c r="B13" t="s">
        <v>500</v>
      </c>
      <c r="C13" t="s">
        <v>210</v>
      </c>
      <c r="D13" t="s">
        <v>15</v>
      </c>
      <c r="E13" t="s">
        <v>344</v>
      </c>
      <c r="F13" t="s">
        <v>160</v>
      </c>
      <c r="H13" s="75">
        <v>33215</v>
      </c>
      <c r="I13">
        <v>0</v>
      </c>
      <c r="J13" s="75">
        <v>493012</v>
      </c>
      <c r="K13" s="75">
        <v>521333</v>
      </c>
      <c r="P13" s="75">
        <v>18020</v>
      </c>
      <c r="Q13">
        <v>0</v>
      </c>
      <c r="R13" s="75">
        <v>693958</v>
      </c>
      <c r="S13" s="75">
        <v>709766</v>
      </c>
      <c r="X13" s="75">
        <v>4482457</v>
      </c>
      <c r="Y13" s="75">
        <v>6539462</v>
      </c>
      <c r="Z13" s="75">
        <v>11021919</v>
      </c>
      <c r="AA13" s="75">
        <v>90291.56</v>
      </c>
    </row>
    <row r="14" spans="1:27">
      <c r="A14" t="s">
        <v>499</v>
      </c>
      <c r="B14" t="s">
        <v>500</v>
      </c>
      <c r="C14" t="s">
        <v>210</v>
      </c>
      <c r="D14" t="s">
        <v>15</v>
      </c>
      <c r="E14" t="s">
        <v>257</v>
      </c>
      <c r="F14" t="s">
        <v>174</v>
      </c>
      <c r="G14" t="s">
        <v>211</v>
      </c>
      <c r="J14" s="75">
        <v>665007</v>
      </c>
      <c r="K14" s="75">
        <v>665007</v>
      </c>
      <c r="L14" s="75">
        <v>1000000</v>
      </c>
      <c r="M14" s="75">
        <v>1000000</v>
      </c>
      <c r="N14">
        <v>66.5</v>
      </c>
      <c r="O14">
        <v>66.5</v>
      </c>
      <c r="R14" s="75">
        <v>832256</v>
      </c>
      <c r="S14" s="75">
        <v>832256</v>
      </c>
      <c r="T14" s="75">
        <v>1000000</v>
      </c>
      <c r="U14" s="75">
        <v>1000000</v>
      </c>
      <c r="V14">
        <v>83.23</v>
      </c>
      <c r="W14">
        <v>83.23</v>
      </c>
    </row>
    <row r="15" spans="1:27">
      <c r="A15" t="s">
        <v>499</v>
      </c>
      <c r="B15" t="s">
        <v>500</v>
      </c>
      <c r="C15" t="s">
        <v>210</v>
      </c>
      <c r="D15" t="s">
        <v>15</v>
      </c>
      <c r="E15" t="s">
        <v>222</v>
      </c>
      <c r="F15" t="s">
        <v>174</v>
      </c>
      <c r="G15" t="s">
        <v>211</v>
      </c>
      <c r="J15" s="75">
        <v>224214</v>
      </c>
      <c r="K15" s="75">
        <v>224214</v>
      </c>
      <c r="L15" s="75">
        <v>1000000</v>
      </c>
      <c r="M15" s="75">
        <v>1000000</v>
      </c>
      <c r="N15">
        <v>22.42</v>
      </c>
      <c r="O15">
        <v>22.42</v>
      </c>
      <c r="R15" s="75">
        <v>350092</v>
      </c>
      <c r="S15" s="75">
        <v>350092</v>
      </c>
      <c r="T15" s="75">
        <v>1000000</v>
      </c>
      <c r="U15" s="75">
        <v>1000000</v>
      </c>
      <c r="V15">
        <v>35.01</v>
      </c>
      <c r="W15">
        <v>35.01</v>
      </c>
    </row>
    <row r="16" spans="1:27">
      <c r="A16" t="s">
        <v>499</v>
      </c>
      <c r="B16" t="s">
        <v>500</v>
      </c>
      <c r="C16" t="s">
        <v>210</v>
      </c>
      <c r="D16" t="s">
        <v>15</v>
      </c>
      <c r="E16" t="s">
        <v>223</v>
      </c>
      <c r="F16" t="s">
        <v>174</v>
      </c>
      <c r="G16" t="s">
        <v>211</v>
      </c>
      <c r="J16" s="75">
        <v>383994</v>
      </c>
      <c r="K16" s="75">
        <v>383994</v>
      </c>
      <c r="L16" s="75">
        <v>1000000</v>
      </c>
      <c r="M16" s="75">
        <v>1000000</v>
      </c>
      <c r="N16">
        <v>38.4</v>
      </c>
      <c r="O16">
        <v>38.4</v>
      </c>
      <c r="R16" s="75">
        <v>522685</v>
      </c>
      <c r="S16" s="75">
        <v>522685</v>
      </c>
      <c r="T16" s="75">
        <v>1000000</v>
      </c>
      <c r="U16" s="75">
        <v>1000000</v>
      </c>
      <c r="V16">
        <v>52.27</v>
      </c>
      <c r="W16">
        <v>52.27</v>
      </c>
    </row>
    <row r="17" spans="1:27">
      <c r="A17" t="s">
        <v>499</v>
      </c>
      <c r="B17" t="s">
        <v>500</v>
      </c>
      <c r="C17" t="s">
        <v>210</v>
      </c>
      <c r="D17" t="s">
        <v>25</v>
      </c>
      <c r="E17" t="s">
        <v>224</v>
      </c>
      <c r="F17" t="s">
        <v>160</v>
      </c>
      <c r="G17" t="s">
        <v>211</v>
      </c>
      <c r="H17" s="75">
        <v>103124</v>
      </c>
      <c r="I17" s="75">
        <v>10036</v>
      </c>
      <c r="J17" s="75">
        <v>1463609</v>
      </c>
      <c r="K17" s="75">
        <v>1570197</v>
      </c>
      <c r="L17" s="75">
        <v>2300000</v>
      </c>
      <c r="M17" s="75">
        <v>2600000</v>
      </c>
      <c r="N17">
        <v>68.27</v>
      </c>
      <c r="O17">
        <v>60.39</v>
      </c>
      <c r="P17" s="75">
        <v>54854</v>
      </c>
      <c r="Q17" s="75">
        <v>5175</v>
      </c>
      <c r="R17" s="75">
        <v>1818528</v>
      </c>
      <c r="S17" s="75">
        <v>1870229</v>
      </c>
      <c r="T17" s="75">
        <v>2200000</v>
      </c>
      <c r="U17" s="75">
        <v>4600000</v>
      </c>
      <c r="V17">
        <v>85.01</v>
      </c>
      <c r="W17">
        <v>40.659999999999997</v>
      </c>
      <c r="X17" s="75">
        <v>9677145</v>
      </c>
      <c r="Y17" s="75">
        <v>15255874</v>
      </c>
      <c r="Z17" s="75">
        <v>24408575</v>
      </c>
      <c r="AA17" s="75">
        <v>199955.05</v>
      </c>
    </row>
    <row r="18" spans="1:27">
      <c r="A18" t="s">
        <v>499</v>
      </c>
      <c r="B18" t="s">
        <v>500</v>
      </c>
      <c r="C18" t="s">
        <v>210</v>
      </c>
      <c r="D18" t="s">
        <v>25</v>
      </c>
      <c r="E18" t="s">
        <v>225</v>
      </c>
      <c r="F18" t="s">
        <v>160</v>
      </c>
      <c r="G18" t="s">
        <v>211</v>
      </c>
      <c r="H18" s="75">
        <v>110254</v>
      </c>
      <c r="I18" s="75">
        <v>10778</v>
      </c>
      <c r="J18" s="75">
        <v>1469883</v>
      </c>
      <c r="K18" s="75">
        <v>1584620</v>
      </c>
      <c r="L18" s="75">
        <v>2300000</v>
      </c>
      <c r="M18" s="75">
        <v>2600000</v>
      </c>
      <c r="N18">
        <v>68.900000000000006</v>
      </c>
      <c r="O18">
        <v>60.95</v>
      </c>
      <c r="P18" s="75">
        <v>53664</v>
      </c>
      <c r="Q18" s="75">
        <v>4885</v>
      </c>
      <c r="R18" s="75">
        <v>1809404</v>
      </c>
      <c r="S18" s="75">
        <v>1860164</v>
      </c>
      <c r="T18" s="75">
        <v>2200000</v>
      </c>
      <c r="U18" s="75">
        <v>4600000</v>
      </c>
      <c r="V18">
        <v>84.55</v>
      </c>
      <c r="W18">
        <v>40.44</v>
      </c>
      <c r="X18" s="75">
        <v>10110021</v>
      </c>
      <c r="Y18" s="75">
        <v>16451137</v>
      </c>
      <c r="Z18" s="75">
        <v>26355828</v>
      </c>
      <c r="AA18" s="75">
        <v>215906.94</v>
      </c>
    </row>
    <row r="19" spans="1:27">
      <c r="A19" t="s">
        <v>499</v>
      </c>
      <c r="B19" t="s">
        <v>500</v>
      </c>
      <c r="C19" t="s">
        <v>210</v>
      </c>
      <c r="D19" t="s">
        <v>25</v>
      </c>
      <c r="E19" t="s">
        <v>226</v>
      </c>
      <c r="F19" t="s">
        <v>160</v>
      </c>
      <c r="G19" t="s">
        <v>211</v>
      </c>
      <c r="H19" s="75">
        <v>101747</v>
      </c>
      <c r="I19" s="75">
        <v>11962</v>
      </c>
      <c r="J19" s="75">
        <v>1472282</v>
      </c>
      <c r="K19" s="75">
        <v>1580068</v>
      </c>
      <c r="L19" s="75">
        <v>2300000</v>
      </c>
      <c r="M19" s="75">
        <v>2600000</v>
      </c>
      <c r="N19">
        <v>68.7</v>
      </c>
      <c r="O19">
        <v>60.77</v>
      </c>
      <c r="P19" s="75">
        <v>50780</v>
      </c>
      <c r="Q19" s="75">
        <v>6470</v>
      </c>
      <c r="R19" s="75">
        <v>1813821</v>
      </c>
      <c r="S19" s="75">
        <v>1863475</v>
      </c>
      <c r="T19" s="75">
        <v>2300000</v>
      </c>
      <c r="U19" s="75">
        <v>4600000</v>
      </c>
      <c r="V19">
        <v>81.02</v>
      </c>
      <c r="W19">
        <v>40.51</v>
      </c>
      <c r="X19" s="75">
        <v>9785648</v>
      </c>
      <c r="Y19" s="75">
        <v>15776347</v>
      </c>
      <c r="Z19" s="75">
        <v>25040949</v>
      </c>
      <c r="AA19" s="75">
        <v>205135.45</v>
      </c>
    </row>
    <row r="20" spans="1:27">
      <c r="A20" t="s">
        <v>499</v>
      </c>
      <c r="B20" t="s">
        <v>500</v>
      </c>
      <c r="C20" t="s">
        <v>210</v>
      </c>
      <c r="D20" t="s">
        <v>25</v>
      </c>
      <c r="E20" t="s">
        <v>227</v>
      </c>
      <c r="F20" t="s">
        <v>160</v>
      </c>
      <c r="G20" t="s">
        <v>211</v>
      </c>
      <c r="H20" s="75">
        <v>109961</v>
      </c>
      <c r="I20" s="75">
        <v>11157</v>
      </c>
      <c r="J20" s="75">
        <v>1788005</v>
      </c>
      <c r="K20" s="75">
        <v>1902898</v>
      </c>
      <c r="L20" s="75">
        <v>2300000</v>
      </c>
      <c r="M20" s="75">
        <v>2600000</v>
      </c>
      <c r="N20">
        <v>82.73</v>
      </c>
      <c r="O20">
        <v>73.19</v>
      </c>
      <c r="P20" s="75">
        <v>55195</v>
      </c>
      <c r="Q20" s="75">
        <v>5440</v>
      </c>
      <c r="R20" s="75">
        <v>2242563</v>
      </c>
      <c r="S20" s="75">
        <v>2294846</v>
      </c>
      <c r="T20" s="75">
        <v>4600000</v>
      </c>
      <c r="U20" s="75">
        <v>4600000</v>
      </c>
      <c r="V20">
        <v>49.89</v>
      </c>
      <c r="W20">
        <v>49.89</v>
      </c>
      <c r="X20" s="75">
        <v>11138963</v>
      </c>
      <c r="Y20" s="75">
        <v>17277400</v>
      </c>
      <c r="Z20" s="75">
        <v>28416363</v>
      </c>
      <c r="AA20" s="75">
        <v>232786.85</v>
      </c>
    </row>
    <row r="21" spans="1:27">
      <c r="A21" t="s">
        <v>499</v>
      </c>
      <c r="B21" t="s">
        <v>500</v>
      </c>
      <c r="C21" t="s">
        <v>210</v>
      </c>
      <c r="D21" t="s">
        <v>25</v>
      </c>
      <c r="E21" t="s">
        <v>333</v>
      </c>
      <c r="F21" t="s">
        <v>174</v>
      </c>
      <c r="J21" s="75">
        <v>775147</v>
      </c>
      <c r="K21" s="75">
        <v>775147</v>
      </c>
      <c r="R21" s="75">
        <v>970096</v>
      </c>
      <c r="S21" s="75">
        <v>970096</v>
      </c>
    </row>
    <row r="22" spans="1:27">
      <c r="A22" t="s">
        <v>499</v>
      </c>
      <c r="B22" t="s">
        <v>500</v>
      </c>
      <c r="C22" t="s">
        <v>210</v>
      </c>
      <c r="D22" t="s">
        <v>25</v>
      </c>
      <c r="E22" t="s">
        <v>334</v>
      </c>
      <c r="F22" t="s">
        <v>174</v>
      </c>
      <c r="J22" s="75">
        <v>268609</v>
      </c>
      <c r="K22" s="75">
        <v>268609</v>
      </c>
      <c r="R22" s="75">
        <v>336164</v>
      </c>
      <c r="S22" s="75">
        <v>336164</v>
      </c>
    </row>
    <row r="23" spans="1:27">
      <c r="A23" t="s">
        <v>499</v>
      </c>
      <c r="B23" t="s">
        <v>500</v>
      </c>
      <c r="C23" t="s">
        <v>210</v>
      </c>
      <c r="D23" t="s">
        <v>25</v>
      </c>
      <c r="E23" t="s">
        <v>335</v>
      </c>
      <c r="F23" t="s">
        <v>174</v>
      </c>
      <c r="J23" s="75">
        <v>1265620</v>
      </c>
      <c r="K23" s="75">
        <v>1265620</v>
      </c>
      <c r="R23" s="75">
        <v>1583922</v>
      </c>
      <c r="S23" s="75">
        <v>1583922</v>
      </c>
    </row>
    <row r="24" spans="1:27">
      <c r="A24" t="s">
        <v>499</v>
      </c>
      <c r="B24" t="s">
        <v>500</v>
      </c>
      <c r="C24" t="s">
        <v>210</v>
      </c>
      <c r="D24" t="s">
        <v>30</v>
      </c>
      <c r="E24" t="s">
        <v>228</v>
      </c>
      <c r="F24" t="s">
        <v>160</v>
      </c>
      <c r="G24" t="s">
        <v>211</v>
      </c>
      <c r="H24" s="75">
        <v>100899</v>
      </c>
      <c r="I24" s="75">
        <v>3771</v>
      </c>
      <c r="J24" s="75">
        <v>1131577</v>
      </c>
      <c r="K24" s="75">
        <v>1229631</v>
      </c>
      <c r="L24" s="75">
        <v>2500000</v>
      </c>
      <c r="M24" s="75">
        <v>2500000</v>
      </c>
      <c r="N24">
        <v>49.19</v>
      </c>
      <c r="O24">
        <v>49.19</v>
      </c>
      <c r="P24" s="75">
        <v>38281</v>
      </c>
      <c r="Q24" s="75">
        <v>1910</v>
      </c>
      <c r="R24" s="75">
        <v>1455783</v>
      </c>
      <c r="S24" s="75">
        <v>1495417</v>
      </c>
      <c r="T24" s="75">
        <v>2400000</v>
      </c>
      <c r="U24" s="75">
        <v>5000000</v>
      </c>
      <c r="V24">
        <v>62.31</v>
      </c>
      <c r="W24">
        <v>29.91</v>
      </c>
      <c r="X24" s="75">
        <v>5137505</v>
      </c>
      <c r="Y24" s="75">
        <v>8439064</v>
      </c>
      <c r="Z24" s="75">
        <v>13335792</v>
      </c>
      <c r="AA24" s="75">
        <v>109246.81</v>
      </c>
    </row>
    <row r="25" spans="1:27">
      <c r="A25" t="s">
        <v>499</v>
      </c>
      <c r="B25" t="s">
        <v>500</v>
      </c>
      <c r="C25" t="s">
        <v>210</v>
      </c>
      <c r="D25" t="s">
        <v>30</v>
      </c>
      <c r="E25" t="s">
        <v>229</v>
      </c>
      <c r="F25" t="s">
        <v>160</v>
      </c>
      <c r="G25" t="s">
        <v>211</v>
      </c>
      <c r="H25" s="75">
        <v>104194</v>
      </c>
      <c r="I25" s="75">
        <v>4271</v>
      </c>
      <c r="J25" s="75">
        <v>1522303</v>
      </c>
      <c r="K25" s="75">
        <v>1622395</v>
      </c>
      <c r="L25" s="75">
        <v>2500000</v>
      </c>
      <c r="M25" s="75">
        <v>2500000</v>
      </c>
      <c r="N25">
        <v>64.900000000000006</v>
      </c>
      <c r="O25">
        <v>64.900000000000006</v>
      </c>
      <c r="P25" s="75">
        <v>39505</v>
      </c>
      <c r="Q25" s="75">
        <v>2359</v>
      </c>
      <c r="R25" s="75">
        <v>2020559</v>
      </c>
      <c r="S25" s="75">
        <v>2061631</v>
      </c>
      <c r="T25" s="75">
        <v>2400000</v>
      </c>
      <c r="U25" s="75">
        <v>5000000</v>
      </c>
      <c r="V25">
        <v>85.9</v>
      </c>
      <c r="W25">
        <v>41.23</v>
      </c>
      <c r="X25" s="75">
        <v>6041020</v>
      </c>
      <c r="Y25" s="75">
        <v>9030572</v>
      </c>
      <c r="Z25" s="75">
        <v>14707177</v>
      </c>
      <c r="AA25" s="75">
        <v>120481.19</v>
      </c>
    </row>
    <row r="26" spans="1:27">
      <c r="A26" t="s">
        <v>499</v>
      </c>
      <c r="B26" t="s">
        <v>500</v>
      </c>
      <c r="C26" t="s">
        <v>210</v>
      </c>
      <c r="D26" t="s">
        <v>30</v>
      </c>
      <c r="E26" t="s">
        <v>230</v>
      </c>
      <c r="F26" t="s">
        <v>160</v>
      </c>
      <c r="G26" t="s">
        <v>330</v>
      </c>
      <c r="H26" s="75">
        <v>107254</v>
      </c>
      <c r="I26" s="75">
        <v>5707</v>
      </c>
      <c r="J26" s="75">
        <v>2278355</v>
      </c>
      <c r="K26" s="75">
        <v>2378245</v>
      </c>
      <c r="L26" s="75">
        <v>3500000</v>
      </c>
      <c r="M26" s="75">
        <v>4000000</v>
      </c>
      <c r="N26">
        <v>67.95</v>
      </c>
      <c r="O26">
        <v>59.46</v>
      </c>
      <c r="P26" s="75">
        <v>45373</v>
      </c>
      <c r="Q26" s="75">
        <v>3264</v>
      </c>
      <c r="R26" s="75">
        <v>2966047</v>
      </c>
      <c r="S26" s="75">
        <v>3012427</v>
      </c>
      <c r="T26" s="75">
        <v>3300000</v>
      </c>
      <c r="U26" s="75">
        <v>7000000</v>
      </c>
      <c r="V26">
        <v>91.29</v>
      </c>
      <c r="W26">
        <v>43.03</v>
      </c>
      <c r="X26" s="75">
        <v>7173928</v>
      </c>
      <c r="Y26" s="75">
        <v>12277456</v>
      </c>
      <c r="Z26" s="75">
        <v>19206196</v>
      </c>
      <c r="AA26" s="75">
        <v>157337.16</v>
      </c>
    </row>
    <row r="27" spans="1:27">
      <c r="A27" t="s">
        <v>499</v>
      </c>
      <c r="B27" t="s">
        <v>500</v>
      </c>
      <c r="C27" t="s">
        <v>210</v>
      </c>
      <c r="D27" t="s">
        <v>30</v>
      </c>
      <c r="E27" t="s">
        <v>231</v>
      </c>
      <c r="F27" t="s">
        <v>160</v>
      </c>
      <c r="G27" t="s">
        <v>330</v>
      </c>
      <c r="H27" s="75">
        <v>137000</v>
      </c>
      <c r="I27" s="75">
        <v>5926</v>
      </c>
      <c r="J27" s="75">
        <v>2334401</v>
      </c>
      <c r="K27" s="75">
        <v>2464651</v>
      </c>
      <c r="L27" s="75">
        <v>3500000</v>
      </c>
      <c r="M27" s="75">
        <v>4000000</v>
      </c>
      <c r="N27">
        <v>70.42</v>
      </c>
      <c r="O27">
        <v>61.62</v>
      </c>
      <c r="P27" s="75">
        <v>54116</v>
      </c>
      <c r="Q27" s="75">
        <v>3397</v>
      </c>
      <c r="R27" s="75">
        <v>3029835</v>
      </c>
      <c r="S27" s="75">
        <v>3085766</v>
      </c>
      <c r="T27" s="75">
        <v>3300000</v>
      </c>
      <c r="U27" s="75">
        <v>7000000</v>
      </c>
      <c r="V27">
        <v>93.51</v>
      </c>
      <c r="W27">
        <v>44.08</v>
      </c>
      <c r="X27" s="75">
        <v>8026927</v>
      </c>
      <c r="Y27" s="75">
        <v>12346177</v>
      </c>
      <c r="Z27" s="75">
        <v>19995753</v>
      </c>
      <c r="AA27" s="75">
        <v>163805.21</v>
      </c>
    </row>
    <row r="28" spans="1:27">
      <c r="A28" t="s">
        <v>499</v>
      </c>
      <c r="B28" t="s">
        <v>500</v>
      </c>
      <c r="C28" t="s">
        <v>210</v>
      </c>
      <c r="D28" t="s">
        <v>30</v>
      </c>
      <c r="E28" t="s">
        <v>232</v>
      </c>
      <c r="F28" t="s">
        <v>160</v>
      </c>
      <c r="G28" t="s">
        <v>211</v>
      </c>
      <c r="H28" s="75">
        <v>115927</v>
      </c>
      <c r="I28" s="75">
        <v>5220</v>
      </c>
      <c r="J28" s="75">
        <v>2295470</v>
      </c>
      <c r="K28" s="75">
        <v>2403065</v>
      </c>
      <c r="L28" s="75">
        <v>3400000</v>
      </c>
      <c r="M28" s="75">
        <v>4000000</v>
      </c>
      <c r="N28">
        <v>70.680000000000007</v>
      </c>
      <c r="O28">
        <v>60.08</v>
      </c>
      <c r="P28" s="75">
        <v>47620</v>
      </c>
      <c r="Q28" s="75">
        <v>3122</v>
      </c>
      <c r="R28" s="75">
        <v>2981093</v>
      </c>
      <c r="S28" s="75">
        <v>3029300</v>
      </c>
      <c r="T28" s="75">
        <v>3400000</v>
      </c>
      <c r="U28" s="75">
        <v>6800000</v>
      </c>
      <c r="V28">
        <v>89.1</v>
      </c>
      <c r="W28">
        <v>44.55</v>
      </c>
      <c r="X28" s="75">
        <v>7442906</v>
      </c>
      <c r="Y28" s="75">
        <v>12041667</v>
      </c>
      <c r="Z28" s="75">
        <v>19237638</v>
      </c>
      <c r="AA28" s="75">
        <v>157594.73000000001</v>
      </c>
    </row>
    <row r="29" spans="1:27">
      <c r="A29" t="s">
        <v>499</v>
      </c>
      <c r="B29" t="s">
        <v>500</v>
      </c>
      <c r="C29" t="s">
        <v>210</v>
      </c>
      <c r="D29" t="s">
        <v>30</v>
      </c>
      <c r="E29" t="s">
        <v>233</v>
      </c>
      <c r="F29" t="s">
        <v>160</v>
      </c>
      <c r="G29" t="s">
        <v>211</v>
      </c>
      <c r="H29" s="75">
        <v>111217</v>
      </c>
      <c r="I29" s="75">
        <v>5186</v>
      </c>
      <c r="J29" s="75">
        <v>2562412</v>
      </c>
      <c r="K29" s="75">
        <v>2665682</v>
      </c>
      <c r="L29" s="75">
        <v>3400000</v>
      </c>
      <c r="M29" s="75">
        <v>4000000</v>
      </c>
      <c r="N29">
        <v>78.400000000000006</v>
      </c>
      <c r="O29">
        <v>66.64</v>
      </c>
      <c r="P29" s="75">
        <v>45842</v>
      </c>
      <c r="Q29" s="75">
        <v>3294</v>
      </c>
      <c r="R29" s="75">
        <v>3400621</v>
      </c>
      <c r="S29" s="75">
        <v>3447549</v>
      </c>
      <c r="T29" s="75">
        <v>6800000</v>
      </c>
      <c r="U29" s="75">
        <v>6800000</v>
      </c>
      <c r="V29">
        <v>50.7</v>
      </c>
      <c r="W29">
        <v>50.7</v>
      </c>
      <c r="X29" s="75">
        <v>7460217</v>
      </c>
      <c r="Y29" s="75">
        <v>12077708</v>
      </c>
      <c r="Z29" s="75">
        <v>19409705</v>
      </c>
      <c r="AA29" s="75">
        <v>159004.29999999999</v>
      </c>
    </row>
    <row r="30" spans="1:27">
      <c r="A30" t="s">
        <v>499</v>
      </c>
      <c r="B30" t="s">
        <v>500</v>
      </c>
      <c r="C30" t="s">
        <v>210</v>
      </c>
      <c r="D30" t="s">
        <v>30</v>
      </c>
      <c r="E30" t="s">
        <v>254</v>
      </c>
      <c r="F30" t="s">
        <v>160</v>
      </c>
      <c r="G30" t="s">
        <v>211</v>
      </c>
      <c r="H30" s="75">
        <v>123051</v>
      </c>
      <c r="I30" s="75">
        <v>5905</v>
      </c>
      <c r="J30" s="75">
        <v>2647169</v>
      </c>
      <c r="K30" s="75">
        <v>2763591</v>
      </c>
      <c r="L30" s="75">
        <v>3400000</v>
      </c>
      <c r="M30" s="75">
        <v>4000000</v>
      </c>
      <c r="N30">
        <v>81.28</v>
      </c>
      <c r="O30">
        <v>69.09</v>
      </c>
      <c r="P30" s="75">
        <v>49723</v>
      </c>
      <c r="Q30" s="75">
        <v>3525</v>
      </c>
      <c r="R30" s="75">
        <v>3503276</v>
      </c>
      <c r="S30" s="75">
        <v>3554199</v>
      </c>
      <c r="T30" s="75">
        <v>6800000</v>
      </c>
      <c r="U30" s="75">
        <v>6800000</v>
      </c>
      <c r="V30">
        <v>52.27</v>
      </c>
      <c r="W30">
        <v>52.27</v>
      </c>
      <c r="X30" s="75">
        <v>8088308</v>
      </c>
      <c r="Y30" s="75">
        <v>12180890</v>
      </c>
      <c r="Z30" s="75">
        <v>19834187</v>
      </c>
      <c r="AA30" s="75">
        <v>162481.66</v>
      </c>
    </row>
    <row r="31" spans="1:27">
      <c r="A31" t="s">
        <v>499</v>
      </c>
      <c r="B31" t="s">
        <v>500</v>
      </c>
      <c r="C31" t="s">
        <v>210</v>
      </c>
      <c r="D31" t="s">
        <v>30</v>
      </c>
      <c r="E31" t="s">
        <v>255</v>
      </c>
      <c r="F31" t="s">
        <v>160</v>
      </c>
      <c r="G31" t="s">
        <v>211</v>
      </c>
      <c r="H31" s="75">
        <v>123212</v>
      </c>
      <c r="I31" s="75">
        <v>5848</v>
      </c>
      <c r="J31" s="75">
        <v>2726049</v>
      </c>
      <c r="K31" s="75">
        <v>2842152</v>
      </c>
      <c r="L31" s="75">
        <v>3400000</v>
      </c>
      <c r="M31" s="75">
        <v>4000000</v>
      </c>
      <c r="N31">
        <v>83.59</v>
      </c>
      <c r="O31">
        <v>71.05</v>
      </c>
      <c r="P31" s="75">
        <v>49302</v>
      </c>
      <c r="Q31" s="75">
        <v>3476</v>
      </c>
      <c r="R31" s="75">
        <v>3604434</v>
      </c>
      <c r="S31" s="75">
        <v>3654418</v>
      </c>
      <c r="T31" s="75">
        <v>6800000</v>
      </c>
      <c r="U31" s="75">
        <v>6800000</v>
      </c>
      <c r="V31">
        <v>53.74</v>
      </c>
      <c r="W31">
        <v>53.74</v>
      </c>
      <c r="X31" s="75">
        <v>8042053</v>
      </c>
      <c r="Y31" s="75">
        <v>12994669</v>
      </c>
      <c r="Z31" s="75">
        <v>20679722</v>
      </c>
      <c r="AA31" s="75">
        <v>169408.28</v>
      </c>
    </row>
    <row r="32" spans="1:27">
      <c r="A32" t="s">
        <v>499</v>
      </c>
      <c r="B32" t="s">
        <v>500</v>
      </c>
      <c r="C32" t="s">
        <v>210</v>
      </c>
      <c r="D32" t="s">
        <v>30</v>
      </c>
      <c r="E32" t="s">
        <v>331</v>
      </c>
      <c r="F32" t="s">
        <v>160</v>
      </c>
      <c r="H32" s="75">
        <v>3624</v>
      </c>
      <c r="I32">
        <v>0</v>
      </c>
      <c r="J32" s="75">
        <v>145349</v>
      </c>
      <c r="K32" s="75">
        <v>148460</v>
      </c>
      <c r="P32" s="75">
        <v>1964</v>
      </c>
      <c r="Q32">
        <v>0</v>
      </c>
      <c r="R32" s="75">
        <v>191861</v>
      </c>
      <c r="S32" s="75">
        <v>193738</v>
      </c>
      <c r="X32" s="75">
        <v>239465</v>
      </c>
      <c r="Y32" s="75">
        <v>307600</v>
      </c>
      <c r="Z32" s="75">
        <v>543923</v>
      </c>
      <c r="AA32" s="75">
        <v>4455.82</v>
      </c>
    </row>
    <row r="33" spans="8:27"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06"/>
  <sheetViews>
    <sheetView workbookViewId="0">
      <selection sqref="A1:M1206"/>
    </sheetView>
  </sheetViews>
  <sheetFormatPr defaultRowHeight="15"/>
  <cols>
    <col min="1" max="1" width="5" bestFit="1" customWidth="1"/>
    <col min="2" max="2" width="17.7109375" customWidth="1"/>
    <col min="3" max="3" width="11.7109375" customWidth="1"/>
    <col min="4" max="4" width="13.28515625" bestFit="1" customWidth="1"/>
    <col min="5" max="5" width="17.5703125" bestFit="1" customWidth="1"/>
    <col min="6" max="6" width="11" bestFit="1" customWidth="1"/>
    <col min="7" max="8" width="7.85546875" bestFit="1" customWidth="1"/>
    <col min="9" max="9" width="11.140625" bestFit="1" customWidth="1"/>
    <col min="10" max="11" width="7.85546875" bestFit="1" customWidth="1"/>
    <col min="12" max="12" width="8" bestFit="1" customWidth="1"/>
    <col min="13" max="13" width="11.140625" bestFit="1" customWidth="1"/>
  </cols>
  <sheetData>
    <row r="1" spans="1:13">
      <c r="A1" t="s">
        <v>0</v>
      </c>
      <c r="B1" t="s">
        <v>480</v>
      </c>
      <c r="C1" t="s">
        <v>481</v>
      </c>
      <c r="D1" t="s">
        <v>98</v>
      </c>
      <c r="E1" t="s">
        <v>482</v>
      </c>
      <c r="F1" t="s">
        <v>100</v>
      </c>
      <c r="G1" t="s">
        <v>483</v>
      </c>
      <c r="H1" t="s">
        <v>484</v>
      </c>
      <c r="I1" t="s">
        <v>101</v>
      </c>
      <c r="J1" t="s">
        <v>485</v>
      </c>
      <c r="K1" t="s">
        <v>486</v>
      </c>
      <c r="L1" t="s">
        <v>99</v>
      </c>
      <c r="M1" t="s">
        <v>102</v>
      </c>
    </row>
    <row r="2" spans="1:13">
      <c r="A2">
        <v>1</v>
      </c>
      <c r="B2" s="331">
        <v>46162.875</v>
      </c>
      <c r="C2" t="s">
        <v>1111</v>
      </c>
      <c r="D2" t="s">
        <v>1111</v>
      </c>
      <c r="E2" t="s">
        <v>4</v>
      </c>
      <c r="F2">
        <v>860216</v>
      </c>
      <c r="G2">
        <v>6704</v>
      </c>
      <c r="H2">
        <v>0</v>
      </c>
      <c r="I2">
        <v>866920</v>
      </c>
      <c r="J2">
        <v>13413</v>
      </c>
      <c r="K2">
        <v>0</v>
      </c>
      <c r="L2">
        <v>506096</v>
      </c>
      <c r="M2">
        <v>519509</v>
      </c>
    </row>
    <row r="3" spans="1:13">
      <c r="A3">
        <v>2</v>
      </c>
      <c r="B3" s="331">
        <v>46162.875</v>
      </c>
      <c r="C3" t="s">
        <v>105</v>
      </c>
      <c r="D3" t="s">
        <v>105</v>
      </c>
      <c r="E3" t="s">
        <v>4</v>
      </c>
      <c r="F3">
        <v>2471695</v>
      </c>
      <c r="G3">
        <v>27238</v>
      </c>
      <c r="H3">
        <v>169</v>
      </c>
      <c r="I3">
        <v>2499102</v>
      </c>
      <c r="J3">
        <v>53403</v>
      </c>
      <c r="K3">
        <v>282</v>
      </c>
      <c r="L3">
        <v>1462542</v>
      </c>
      <c r="M3">
        <v>1516227</v>
      </c>
    </row>
    <row r="4" spans="1:13">
      <c r="A4">
        <v>3</v>
      </c>
      <c r="B4" s="331">
        <v>46162.875</v>
      </c>
      <c r="C4" t="s">
        <v>346</v>
      </c>
      <c r="D4" t="s">
        <v>346</v>
      </c>
      <c r="E4" t="s">
        <v>4</v>
      </c>
      <c r="F4">
        <v>2443942</v>
      </c>
      <c r="G4">
        <v>30231</v>
      </c>
      <c r="H4">
        <v>0</v>
      </c>
      <c r="I4">
        <v>2474173</v>
      </c>
      <c r="J4">
        <v>53203</v>
      </c>
      <c r="K4">
        <v>0</v>
      </c>
      <c r="L4">
        <v>1401706</v>
      </c>
      <c r="M4">
        <v>1454909</v>
      </c>
    </row>
    <row r="5" spans="1:13">
      <c r="A5">
        <v>4</v>
      </c>
      <c r="B5" s="331">
        <v>46162.875</v>
      </c>
      <c r="C5" t="s">
        <v>131</v>
      </c>
      <c r="D5" t="s">
        <v>131</v>
      </c>
      <c r="E5" t="s">
        <v>4</v>
      </c>
      <c r="F5">
        <v>3862391</v>
      </c>
      <c r="G5">
        <v>29671</v>
      </c>
      <c r="H5">
        <v>20</v>
      </c>
      <c r="I5">
        <v>3892082</v>
      </c>
      <c r="J5">
        <v>60724</v>
      </c>
      <c r="K5">
        <v>101</v>
      </c>
      <c r="L5">
        <v>2295687</v>
      </c>
      <c r="M5">
        <v>2356512</v>
      </c>
    </row>
    <row r="6" spans="1:13">
      <c r="A6">
        <v>5</v>
      </c>
      <c r="B6" s="331">
        <v>46162.875</v>
      </c>
      <c r="C6" t="s">
        <v>26</v>
      </c>
      <c r="D6" t="s">
        <v>26</v>
      </c>
      <c r="E6" t="s">
        <v>4</v>
      </c>
      <c r="F6">
        <v>1896173</v>
      </c>
      <c r="G6">
        <v>25308</v>
      </c>
      <c r="H6">
        <v>177</v>
      </c>
      <c r="I6">
        <v>1921658</v>
      </c>
      <c r="J6">
        <v>55719</v>
      </c>
      <c r="K6">
        <v>270</v>
      </c>
      <c r="L6">
        <v>1139599</v>
      </c>
      <c r="M6">
        <v>1195588</v>
      </c>
    </row>
    <row r="7" spans="1:13">
      <c r="A7">
        <v>6</v>
      </c>
      <c r="B7" s="331">
        <v>46162.875</v>
      </c>
      <c r="C7" t="s">
        <v>21</v>
      </c>
      <c r="D7" t="s">
        <v>21</v>
      </c>
      <c r="E7" t="s">
        <v>4</v>
      </c>
      <c r="F7">
        <v>5698230</v>
      </c>
      <c r="G7">
        <v>57017</v>
      </c>
      <c r="H7">
        <v>635</v>
      </c>
      <c r="I7">
        <v>5755882</v>
      </c>
      <c r="J7">
        <v>107781</v>
      </c>
      <c r="K7">
        <v>1158</v>
      </c>
      <c r="L7">
        <v>3283092</v>
      </c>
      <c r="M7">
        <v>3392031</v>
      </c>
    </row>
    <row r="8" spans="1:13">
      <c r="A8">
        <v>7</v>
      </c>
      <c r="B8" s="331">
        <v>46162.875</v>
      </c>
      <c r="C8" t="s">
        <v>1067</v>
      </c>
      <c r="D8" t="s">
        <v>1067</v>
      </c>
      <c r="E8" t="s">
        <v>4</v>
      </c>
      <c r="F8">
        <v>611633</v>
      </c>
      <c r="G8">
        <v>10635</v>
      </c>
      <c r="H8">
        <v>0</v>
      </c>
      <c r="I8">
        <v>622268</v>
      </c>
      <c r="J8">
        <v>21837</v>
      </c>
      <c r="K8">
        <v>0</v>
      </c>
      <c r="L8">
        <v>371753</v>
      </c>
      <c r="M8">
        <v>393590</v>
      </c>
    </row>
    <row r="9" spans="1:13">
      <c r="A9">
        <v>8</v>
      </c>
      <c r="B9" s="331">
        <v>46162.875</v>
      </c>
      <c r="C9" t="s">
        <v>19</v>
      </c>
      <c r="D9" t="s">
        <v>19</v>
      </c>
      <c r="E9" t="s">
        <v>4</v>
      </c>
      <c r="F9">
        <v>5453761</v>
      </c>
      <c r="G9">
        <v>58473</v>
      </c>
      <c r="H9">
        <v>631</v>
      </c>
      <c r="I9">
        <v>5512865</v>
      </c>
      <c r="J9">
        <v>117116</v>
      </c>
      <c r="K9">
        <v>1166</v>
      </c>
      <c r="L9">
        <v>3145146</v>
      </c>
      <c r="M9">
        <v>3263428</v>
      </c>
    </row>
    <row r="10" spans="1:13">
      <c r="A10">
        <v>9</v>
      </c>
      <c r="B10" s="331">
        <v>46162.875</v>
      </c>
      <c r="C10" t="s">
        <v>336</v>
      </c>
      <c r="D10" t="s">
        <v>336</v>
      </c>
      <c r="E10" t="s">
        <v>4</v>
      </c>
      <c r="F10">
        <v>723249</v>
      </c>
      <c r="G10">
        <v>3749</v>
      </c>
      <c r="H10">
        <v>0</v>
      </c>
      <c r="I10">
        <v>726998</v>
      </c>
      <c r="J10">
        <v>5308</v>
      </c>
      <c r="K10">
        <v>0</v>
      </c>
      <c r="L10">
        <v>429498</v>
      </c>
      <c r="M10">
        <v>434806</v>
      </c>
    </row>
    <row r="11" spans="1:13">
      <c r="A11">
        <v>11</v>
      </c>
      <c r="B11" s="331">
        <v>46162.875</v>
      </c>
      <c r="C11" t="s">
        <v>345</v>
      </c>
      <c r="D11" t="s">
        <v>345</v>
      </c>
      <c r="E11" t="s">
        <v>4</v>
      </c>
      <c r="F11">
        <v>2014652</v>
      </c>
      <c r="G11">
        <v>27899</v>
      </c>
      <c r="H11">
        <v>0</v>
      </c>
      <c r="I11">
        <v>2042551</v>
      </c>
      <c r="J11">
        <v>46596</v>
      </c>
      <c r="K11">
        <v>0</v>
      </c>
      <c r="L11">
        <v>1138330</v>
      </c>
      <c r="M11">
        <v>1184926</v>
      </c>
    </row>
    <row r="12" spans="1:13">
      <c r="A12">
        <v>12</v>
      </c>
      <c r="B12" s="331">
        <v>46162.875</v>
      </c>
      <c r="C12" t="s">
        <v>581</v>
      </c>
      <c r="D12" t="s">
        <v>581</v>
      </c>
      <c r="E12" t="s">
        <v>372</v>
      </c>
      <c r="L12">
        <v>517494</v>
      </c>
      <c r="M12">
        <v>517494</v>
      </c>
    </row>
    <row r="13" spans="1:13">
      <c r="A13">
        <v>13</v>
      </c>
      <c r="B13" s="331">
        <v>46162.875</v>
      </c>
      <c r="C13" t="s">
        <v>583</v>
      </c>
      <c r="D13" t="s">
        <v>583</v>
      </c>
      <c r="E13" t="s">
        <v>372</v>
      </c>
      <c r="L13">
        <v>521843</v>
      </c>
      <c r="M13">
        <v>521843</v>
      </c>
    </row>
    <row r="14" spans="1:13">
      <c r="A14">
        <v>14</v>
      </c>
      <c r="B14" s="331">
        <v>46162.875</v>
      </c>
      <c r="C14" t="s">
        <v>1125</v>
      </c>
      <c r="D14" t="s">
        <v>1125</v>
      </c>
      <c r="E14" t="s">
        <v>372</v>
      </c>
      <c r="L14">
        <v>630512</v>
      </c>
      <c r="M14">
        <v>630512</v>
      </c>
    </row>
    <row r="15" spans="1:13">
      <c r="A15">
        <v>15</v>
      </c>
      <c r="B15" s="331">
        <v>46162.875</v>
      </c>
      <c r="C15" t="s">
        <v>348</v>
      </c>
      <c r="D15" t="s">
        <v>348</v>
      </c>
      <c r="E15" t="s">
        <v>372</v>
      </c>
      <c r="L15">
        <v>614525</v>
      </c>
      <c r="M15">
        <v>614525</v>
      </c>
    </row>
    <row r="16" spans="1:13">
      <c r="A16">
        <v>16</v>
      </c>
      <c r="B16" s="331">
        <v>46162.875</v>
      </c>
      <c r="C16" t="s">
        <v>33</v>
      </c>
      <c r="D16" t="s">
        <v>33</v>
      </c>
      <c r="E16" t="s">
        <v>4</v>
      </c>
      <c r="F16">
        <v>3676301</v>
      </c>
      <c r="G16">
        <v>27598</v>
      </c>
      <c r="H16">
        <v>29</v>
      </c>
      <c r="I16">
        <v>3703928</v>
      </c>
      <c r="J16">
        <v>53664</v>
      </c>
      <c r="K16">
        <v>117</v>
      </c>
      <c r="L16">
        <v>2188935</v>
      </c>
      <c r="M16">
        <v>2242716</v>
      </c>
    </row>
    <row r="17" spans="1:13">
      <c r="A17">
        <v>18</v>
      </c>
      <c r="B17" s="331">
        <v>46162.875</v>
      </c>
      <c r="C17" t="s">
        <v>22</v>
      </c>
      <c r="D17" t="s">
        <v>22</v>
      </c>
      <c r="E17" t="s">
        <v>4</v>
      </c>
      <c r="F17">
        <v>2847351</v>
      </c>
      <c r="G17">
        <v>36556</v>
      </c>
      <c r="H17">
        <v>363</v>
      </c>
      <c r="I17">
        <v>2884270</v>
      </c>
      <c r="J17">
        <v>64106</v>
      </c>
      <c r="K17">
        <v>615</v>
      </c>
      <c r="L17">
        <v>1619353</v>
      </c>
      <c r="M17">
        <v>1684074</v>
      </c>
    </row>
    <row r="18" spans="1:13">
      <c r="A18">
        <v>19</v>
      </c>
      <c r="B18" s="331">
        <v>46162.875</v>
      </c>
      <c r="C18" t="s">
        <v>20</v>
      </c>
      <c r="D18" t="s">
        <v>20</v>
      </c>
      <c r="E18" t="s">
        <v>4</v>
      </c>
      <c r="F18">
        <v>6080990</v>
      </c>
      <c r="G18">
        <v>62147</v>
      </c>
      <c r="H18">
        <v>731</v>
      </c>
      <c r="I18">
        <v>6143868</v>
      </c>
      <c r="J18">
        <v>123422</v>
      </c>
      <c r="K18">
        <v>1328</v>
      </c>
      <c r="L18">
        <v>3464923</v>
      </c>
      <c r="M18">
        <v>3589673</v>
      </c>
    </row>
    <row r="19" spans="1:13">
      <c r="A19">
        <v>20</v>
      </c>
      <c r="B19" s="331">
        <v>46162.875</v>
      </c>
      <c r="C19" t="s">
        <v>16</v>
      </c>
      <c r="D19" t="s">
        <v>16</v>
      </c>
      <c r="E19" t="s">
        <v>4</v>
      </c>
      <c r="F19">
        <v>3291044</v>
      </c>
      <c r="G19">
        <v>43863</v>
      </c>
      <c r="H19">
        <v>530</v>
      </c>
      <c r="I19">
        <v>3335437</v>
      </c>
      <c r="J19">
        <v>107924</v>
      </c>
      <c r="K19">
        <v>998</v>
      </c>
      <c r="L19">
        <v>1907372</v>
      </c>
      <c r="M19">
        <v>2016294</v>
      </c>
    </row>
    <row r="20" spans="1:13">
      <c r="A20">
        <v>21</v>
      </c>
      <c r="B20" s="331">
        <v>46162.875</v>
      </c>
      <c r="C20" t="s">
        <v>896</v>
      </c>
      <c r="D20" t="s">
        <v>896</v>
      </c>
      <c r="E20" t="s">
        <v>372</v>
      </c>
      <c r="L20">
        <v>774290</v>
      </c>
      <c r="M20">
        <v>774290</v>
      </c>
    </row>
    <row r="21" spans="1:13">
      <c r="A21">
        <v>22</v>
      </c>
      <c r="B21" s="331">
        <v>46162.875</v>
      </c>
      <c r="C21" t="s">
        <v>689</v>
      </c>
      <c r="D21" t="s">
        <v>689</v>
      </c>
      <c r="E21" t="s">
        <v>4</v>
      </c>
      <c r="F21">
        <v>1920361</v>
      </c>
      <c r="G21">
        <v>16631</v>
      </c>
      <c r="H21">
        <v>0</v>
      </c>
      <c r="I21">
        <v>1936992</v>
      </c>
      <c r="J21">
        <v>31440</v>
      </c>
      <c r="K21">
        <v>0</v>
      </c>
      <c r="L21">
        <v>1123606</v>
      </c>
      <c r="M21">
        <v>1155046</v>
      </c>
    </row>
    <row r="22" spans="1:13">
      <c r="A22">
        <v>23</v>
      </c>
      <c r="B22" s="331">
        <v>46162.875</v>
      </c>
      <c r="C22" t="s">
        <v>29</v>
      </c>
      <c r="D22" t="s">
        <v>29</v>
      </c>
      <c r="E22" t="s">
        <v>4</v>
      </c>
      <c r="F22">
        <v>2268873</v>
      </c>
      <c r="G22">
        <v>24013</v>
      </c>
      <c r="H22">
        <v>17</v>
      </c>
      <c r="I22">
        <v>2292903</v>
      </c>
      <c r="J22">
        <v>78095</v>
      </c>
      <c r="K22">
        <v>98</v>
      </c>
      <c r="L22">
        <v>1361967</v>
      </c>
      <c r="M22">
        <v>1440160</v>
      </c>
    </row>
    <row r="23" spans="1:13">
      <c r="A23">
        <v>24</v>
      </c>
      <c r="B23" s="331">
        <v>46162.875</v>
      </c>
      <c r="C23" t="s">
        <v>108</v>
      </c>
      <c r="D23" t="s">
        <v>108</v>
      </c>
      <c r="E23" t="s">
        <v>4</v>
      </c>
      <c r="F23">
        <v>4454244</v>
      </c>
      <c r="G23">
        <v>49751</v>
      </c>
      <c r="H23">
        <v>663</v>
      </c>
      <c r="I23">
        <v>4504658</v>
      </c>
      <c r="J23">
        <v>95987</v>
      </c>
      <c r="K23">
        <v>1185</v>
      </c>
      <c r="L23">
        <v>2567066</v>
      </c>
      <c r="M23">
        <v>2664238</v>
      </c>
    </row>
    <row r="24" spans="1:13">
      <c r="A24">
        <v>25</v>
      </c>
      <c r="B24" s="331">
        <v>46162.875</v>
      </c>
      <c r="C24" t="s">
        <v>34</v>
      </c>
      <c r="D24" t="s">
        <v>34</v>
      </c>
      <c r="E24" t="s">
        <v>4</v>
      </c>
      <c r="F24">
        <v>3804736</v>
      </c>
      <c r="G24">
        <v>29481</v>
      </c>
      <c r="H24">
        <v>20</v>
      </c>
      <c r="I24">
        <v>3834237</v>
      </c>
      <c r="J24">
        <v>64554</v>
      </c>
      <c r="K24">
        <v>86</v>
      </c>
      <c r="L24">
        <v>2275649</v>
      </c>
      <c r="M24">
        <v>2340289</v>
      </c>
    </row>
    <row r="25" spans="1:13">
      <c r="A25">
        <v>26</v>
      </c>
      <c r="B25" s="331">
        <v>46162.875</v>
      </c>
      <c r="C25" t="s">
        <v>24</v>
      </c>
      <c r="D25" t="s">
        <v>24</v>
      </c>
      <c r="E25" t="s">
        <v>4</v>
      </c>
      <c r="F25">
        <v>1875782</v>
      </c>
      <c r="G25">
        <v>27876</v>
      </c>
      <c r="H25">
        <v>159</v>
      </c>
      <c r="I25">
        <v>1903817</v>
      </c>
      <c r="J25">
        <v>56779</v>
      </c>
      <c r="K25">
        <v>222</v>
      </c>
      <c r="L25">
        <v>1122039</v>
      </c>
      <c r="M25">
        <v>1179040</v>
      </c>
    </row>
    <row r="26" spans="1:13">
      <c r="A26">
        <v>27</v>
      </c>
      <c r="B26" s="331">
        <v>46162.875</v>
      </c>
      <c r="C26" t="s">
        <v>691</v>
      </c>
      <c r="D26" t="s">
        <v>691</v>
      </c>
      <c r="E26" t="s">
        <v>4</v>
      </c>
      <c r="F26">
        <v>1596003</v>
      </c>
      <c r="G26">
        <v>15188</v>
      </c>
      <c r="H26">
        <v>0</v>
      </c>
      <c r="I26">
        <v>1611191</v>
      </c>
      <c r="J26">
        <v>29931</v>
      </c>
      <c r="K26">
        <v>0</v>
      </c>
      <c r="L26">
        <v>943208</v>
      </c>
      <c r="M26">
        <v>973139</v>
      </c>
    </row>
    <row r="27" spans="1:13">
      <c r="A27">
        <v>28</v>
      </c>
      <c r="B27" s="331">
        <v>46162.875</v>
      </c>
      <c r="C27" t="s">
        <v>350</v>
      </c>
      <c r="D27" t="s">
        <v>350</v>
      </c>
      <c r="E27" t="s">
        <v>372</v>
      </c>
      <c r="L27">
        <v>609537</v>
      </c>
      <c r="M27">
        <v>609537</v>
      </c>
    </row>
    <row r="28" spans="1:13">
      <c r="A28">
        <v>29</v>
      </c>
      <c r="B28" s="331">
        <v>46162.875</v>
      </c>
      <c r="C28" t="s">
        <v>1080</v>
      </c>
      <c r="D28" t="s">
        <v>1080</v>
      </c>
      <c r="E28" t="s">
        <v>372</v>
      </c>
      <c r="L28">
        <v>679629</v>
      </c>
      <c r="M28">
        <v>679629</v>
      </c>
    </row>
    <row r="29" spans="1:13">
      <c r="A29">
        <v>30</v>
      </c>
      <c r="B29" s="331">
        <v>46162.875</v>
      </c>
      <c r="C29" t="s">
        <v>894</v>
      </c>
      <c r="D29" t="s">
        <v>894</v>
      </c>
      <c r="E29" t="s">
        <v>372</v>
      </c>
      <c r="L29">
        <v>774259</v>
      </c>
      <c r="M29">
        <v>774259</v>
      </c>
    </row>
    <row r="30" spans="1:13">
      <c r="A30">
        <v>31</v>
      </c>
      <c r="B30" s="331">
        <v>46162.875</v>
      </c>
      <c r="C30" t="s">
        <v>349</v>
      </c>
      <c r="D30" t="s">
        <v>349</v>
      </c>
      <c r="E30" t="s">
        <v>372</v>
      </c>
      <c r="L30">
        <v>599924</v>
      </c>
      <c r="M30">
        <v>599924</v>
      </c>
    </row>
    <row r="31" spans="1:13">
      <c r="A31">
        <v>32</v>
      </c>
      <c r="B31" s="331">
        <v>46162.875</v>
      </c>
      <c r="C31" t="s">
        <v>582</v>
      </c>
      <c r="D31" t="s">
        <v>582</v>
      </c>
      <c r="E31" t="s">
        <v>372</v>
      </c>
      <c r="L31">
        <v>520947</v>
      </c>
      <c r="M31">
        <v>520947</v>
      </c>
    </row>
    <row r="32" spans="1:13">
      <c r="A32">
        <v>33</v>
      </c>
      <c r="B32" s="331">
        <v>46162.875</v>
      </c>
      <c r="C32" t="s">
        <v>18</v>
      </c>
      <c r="D32" t="s">
        <v>18</v>
      </c>
      <c r="E32" t="s">
        <v>4</v>
      </c>
      <c r="F32">
        <v>5719133</v>
      </c>
      <c r="G32">
        <v>61601</v>
      </c>
      <c r="H32">
        <v>719</v>
      </c>
      <c r="I32">
        <v>5781453</v>
      </c>
      <c r="J32">
        <v>127304</v>
      </c>
      <c r="K32">
        <v>1351</v>
      </c>
      <c r="L32">
        <v>3301131</v>
      </c>
      <c r="M32">
        <v>3429786</v>
      </c>
    </row>
    <row r="33" spans="1:13">
      <c r="A33">
        <v>35</v>
      </c>
      <c r="B33" s="331">
        <v>46162.875</v>
      </c>
      <c r="C33" t="s">
        <v>1112</v>
      </c>
      <c r="D33" t="s">
        <v>1112</v>
      </c>
      <c r="E33" t="s">
        <v>4</v>
      </c>
      <c r="F33">
        <v>865228</v>
      </c>
      <c r="G33">
        <v>6702</v>
      </c>
      <c r="H33">
        <v>0</v>
      </c>
      <c r="I33">
        <v>871930</v>
      </c>
      <c r="J33">
        <v>13397</v>
      </c>
      <c r="K33">
        <v>0</v>
      </c>
      <c r="L33">
        <v>509156</v>
      </c>
      <c r="M33">
        <v>522553</v>
      </c>
    </row>
    <row r="34" spans="1:13">
      <c r="A34">
        <v>36</v>
      </c>
      <c r="B34" s="331">
        <v>46162.875</v>
      </c>
      <c r="C34" t="s">
        <v>690</v>
      </c>
      <c r="D34" t="s">
        <v>690</v>
      </c>
      <c r="E34" t="s">
        <v>4</v>
      </c>
      <c r="F34">
        <v>1599567</v>
      </c>
      <c r="G34">
        <v>14964</v>
      </c>
      <c r="H34">
        <v>0</v>
      </c>
      <c r="I34">
        <v>1614531</v>
      </c>
      <c r="J34">
        <v>29722</v>
      </c>
      <c r="K34">
        <v>0</v>
      </c>
      <c r="L34">
        <v>945893</v>
      </c>
      <c r="M34">
        <v>975615</v>
      </c>
    </row>
    <row r="35" spans="1:13">
      <c r="A35">
        <v>37</v>
      </c>
      <c r="B35" s="331">
        <v>46162.875</v>
      </c>
      <c r="C35" t="s">
        <v>17</v>
      </c>
      <c r="D35" t="s">
        <v>17</v>
      </c>
      <c r="E35" t="s">
        <v>4</v>
      </c>
      <c r="F35">
        <v>3682540</v>
      </c>
      <c r="G35">
        <v>47313</v>
      </c>
      <c r="H35">
        <v>505</v>
      </c>
      <c r="I35">
        <v>3730358</v>
      </c>
      <c r="J35">
        <v>109828</v>
      </c>
      <c r="K35">
        <v>990</v>
      </c>
      <c r="L35">
        <v>2114496</v>
      </c>
      <c r="M35">
        <v>2225314</v>
      </c>
    </row>
    <row r="36" spans="1:13">
      <c r="A36">
        <v>38</v>
      </c>
      <c r="B36" s="331">
        <v>46162.875</v>
      </c>
      <c r="C36" t="s">
        <v>132</v>
      </c>
      <c r="D36" t="s">
        <v>132</v>
      </c>
      <c r="E36" t="s">
        <v>4</v>
      </c>
      <c r="F36">
        <v>3865562</v>
      </c>
      <c r="G36">
        <v>29327</v>
      </c>
      <c r="H36">
        <v>23</v>
      </c>
      <c r="I36">
        <v>3894912</v>
      </c>
      <c r="J36">
        <v>59537</v>
      </c>
      <c r="K36">
        <v>86</v>
      </c>
      <c r="L36">
        <v>2295516</v>
      </c>
      <c r="M36">
        <v>2355139</v>
      </c>
    </row>
    <row r="37" spans="1:13">
      <c r="A37">
        <v>39</v>
      </c>
      <c r="B37" s="331">
        <v>46162.875</v>
      </c>
      <c r="C37" t="s">
        <v>106</v>
      </c>
      <c r="D37" t="s">
        <v>106</v>
      </c>
      <c r="E37" t="s">
        <v>4</v>
      </c>
      <c r="F37">
        <v>2971286</v>
      </c>
      <c r="G37">
        <v>39577</v>
      </c>
      <c r="H37">
        <v>467</v>
      </c>
      <c r="I37">
        <v>3011330</v>
      </c>
      <c r="J37">
        <v>70614</v>
      </c>
      <c r="K37">
        <v>828</v>
      </c>
      <c r="L37">
        <v>1687981</v>
      </c>
      <c r="M37">
        <v>1759423</v>
      </c>
    </row>
    <row r="38" spans="1:13">
      <c r="A38">
        <v>40</v>
      </c>
      <c r="B38" s="331">
        <v>46162.875</v>
      </c>
      <c r="C38" t="s">
        <v>1133</v>
      </c>
      <c r="D38" t="s">
        <v>1133</v>
      </c>
      <c r="E38" t="s">
        <v>4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</row>
    <row r="39" spans="1:13">
      <c r="A39">
        <v>41</v>
      </c>
      <c r="B39" s="331">
        <v>46162.875</v>
      </c>
      <c r="C39" t="s">
        <v>893</v>
      </c>
      <c r="D39" t="s">
        <v>893</v>
      </c>
      <c r="E39" t="s">
        <v>372</v>
      </c>
      <c r="L39">
        <v>783083</v>
      </c>
      <c r="M39">
        <v>783083</v>
      </c>
    </row>
    <row r="40" spans="1:13">
      <c r="A40">
        <v>42</v>
      </c>
      <c r="B40" s="331">
        <v>46162.875</v>
      </c>
      <c r="C40" t="s">
        <v>107</v>
      </c>
      <c r="D40" t="s">
        <v>107</v>
      </c>
      <c r="E40" t="s">
        <v>4</v>
      </c>
      <c r="F40">
        <v>4489680</v>
      </c>
      <c r="G40">
        <v>50774</v>
      </c>
      <c r="H40">
        <v>612</v>
      </c>
      <c r="I40">
        <v>4541066</v>
      </c>
      <c r="J40">
        <v>97853</v>
      </c>
      <c r="K40">
        <v>1074</v>
      </c>
      <c r="L40">
        <v>2586765</v>
      </c>
      <c r="M40">
        <v>2685692</v>
      </c>
    </row>
    <row r="41" spans="1:13">
      <c r="A41">
        <v>43</v>
      </c>
      <c r="B41" s="331">
        <v>46162.875</v>
      </c>
      <c r="C41" t="s">
        <v>1081</v>
      </c>
      <c r="D41" t="s">
        <v>1081</v>
      </c>
      <c r="E41" t="s">
        <v>372</v>
      </c>
      <c r="L41">
        <v>643631</v>
      </c>
      <c r="M41">
        <v>643631</v>
      </c>
    </row>
    <row r="42" spans="1:13">
      <c r="A42">
        <v>44</v>
      </c>
      <c r="B42" s="331">
        <v>46162.875</v>
      </c>
      <c r="C42" t="s">
        <v>31</v>
      </c>
      <c r="D42" t="s">
        <v>31</v>
      </c>
      <c r="E42" t="s">
        <v>4</v>
      </c>
      <c r="F42">
        <v>2902956</v>
      </c>
      <c r="G42">
        <v>24234</v>
      </c>
      <c r="H42">
        <v>24</v>
      </c>
      <c r="I42">
        <v>2927214</v>
      </c>
      <c r="J42">
        <v>72178</v>
      </c>
      <c r="K42">
        <v>89</v>
      </c>
      <c r="L42">
        <v>1651277</v>
      </c>
      <c r="M42">
        <v>1723544</v>
      </c>
    </row>
    <row r="43" spans="1:13">
      <c r="A43">
        <v>45</v>
      </c>
      <c r="B43" s="331">
        <v>46162.875</v>
      </c>
      <c r="C43" t="s">
        <v>32</v>
      </c>
      <c r="D43" t="s">
        <v>32</v>
      </c>
      <c r="E43" t="s">
        <v>4</v>
      </c>
      <c r="F43">
        <v>3589710</v>
      </c>
      <c r="G43">
        <v>27687</v>
      </c>
      <c r="H43">
        <v>24</v>
      </c>
      <c r="I43">
        <v>3617421</v>
      </c>
      <c r="J43">
        <v>58298</v>
      </c>
      <c r="K43">
        <v>96</v>
      </c>
      <c r="L43">
        <v>2134970</v>
      </c>
      <c r="M43">
        <v>2193364</v>
      </c>
    </row>
    <row r="44" spans="1:13">
      <c r="A44">
        <v>46</v>
      </c>
      <c r="B44" s="331">
        <v>46162.875</v>
      </c>
      <c r="C44" t="s">
        <v>580</v>
      </c>
      <c r="D44" t="s">
        <v>580</v>
      </c>
      <c r="E44" t="s">
        <v>372</v>
      </c>
      <c r="L44">
        <v>550720</v>
      </c>
      <c r="M44">
        <v>550720</v>
      </c>
    </row>
    <row r="45" spans="1:13">
      <c r="A45">
        <v>47</v>
      </c>
      <c r="B45" s="331">
        <v>46162.875</v>
      </c>
      <c r="C45" t="s">
        <v>895</v>
      </c>
      <c r="D45" t="s">
        <v>895</v>
      </c>
      <c r="E45" t="s">
        <v>372</v>
      </c>
      <c r="L45">
        <v>775133</v>
      </c>
      <c r="M45">
        <v>775133</v>
      </c>
    </row>
    <row r="46" spans="1:13">
      <c r="A46">
        <v>48</v>
      </c>
      <c r="B46" s="331">
        <v>46162.875</v>
      </c>
      <c r="C46" t="s">
        <v>1068</v>
      </c>
      <c r="D46" t="s">
        <v>1068</v>
      </c>
      <c r="E46" t="s">
        <v>4</v>
      </c>
      <c r="F46">
        <v>612810</v>
      </c>
      <c r="G46">
        <v>10683</v>
      </c>
      <c r="H46">
        <v>0</v>
      </c>
      <c r="I46">
        <v>623493</v>
      </c>
      <c r="J46">
        <v>21946</v>
      </c>
      <c r="K46">
        <v>0</v>
      </c>
      <c r="L46">
        <v>372233</v>
      </c>
      <c r="M46">
        <v>394179</v>
      </c>
    </row>
    <row r="47" spans="1:13">
      <c r="A47">
        <v>49</v>
      </c>
      <c r="B47" s="331">
        <v>46162.875</v>
      </c>
      <c r="C47" t="s">
        <v>27</v>
      </c>
      <c r="D47" t="s">
        <v>27</v>
      </c>
      <c r="E47" t="s">
        <v>4</v>
      </c>
      <c r="F47">
        <v>1810898</v>
      </c>
      <c r="G47">
        <v>25290</v>
      </c>
      <c r="H47">
        <v>159</v>
      </c>
      <c r="I47">
        <v>1836347</v>
      </c>
      <c r="J47">
        <v>52708</v>
      </c>
      <c r="K47">
        <v>272</v>
      </c>
      <c r="L47">
        <v>1085415</v>
      </c>
      <c r="M47">
        <v>1138395</v>
      </c>
    </row>
    <row r="48" spans="1:13">
      <c r="A48">
        <v>50</v>
      </c>
      <c r="B48" s="331">
        <v>46162.875</v>
      </c>
      <c r="C48" t="s">
        <v>35</v>
      </c>
      <c r="D48" t="s">
        <v>35</v>
      </c>
      <c r="E48" t="s">
        <v>4</v>
      </c>
      <c r="F48">
        <v>3924353</v>
      </c>
      <c r="G48">
        <v>28082</v>
      </c>
      <c r="H48">
        <v>21</v>
      </c>
      <c r="I48">
        <v>3952456</v>
      </c>
      <c r="J48">
        <v>56133</v>
      </c>
      <c r="K48">
        <v>88</v>
      </c>
      <c r="L48">
        <v>2332341</v>
      </c>
      <c r="M48">
        <v>2388562</v>
      </c>
    </row>
    <row r="49" spans="1:13">
      <c r="A49">
        <v>51</v>
      </c>
      <c r="B49" s="331">
        <v>46162.873611111114</v>
      </c>
      <c r="C49" t="s">
        <v>16</v>
      </c>
      <c r="D49" t="s">
        <v>16</v>
      </c>
      <c r="E49" t="s">
        <v>4</v>
      </c>
      <c r="F49">
        <v>3291363</v>
      </c>
      <c r="G49">
        <v>43806</v>
      </c>
      <c r="H49">
        <v>511</v>
      </c>
      <c r="I49">
        <v>3335680</v>
      </c>
      <c r="J49">
        <v>107865</v>
      </c>
      <c r="K49">
        <v>984</v>
      </c>
      <c r="L49">
        <v>1907594</v>
      </c>
      <c r="M49">
        <v>2016443</v>
      </c>
    </row>
    <row r="50" spans="1:13">
      <c r="A50">
        <v>52</v>
      </c>
      <c r="B50" s="331">
        <v>46162.873611111114</v>
      </c>
      <c r="C50" t="s">
        <v>31</v>
      </c>
      <c r="D50" t="s">
        <v>31</v>
      </c>
      <c r="E50" t="s">
        <v>4</v>
      </c>
      <c r="F50">
        <v>2903779</v>
      </c>
      <c r="G50">
        <v>24273</v>
      </c>
      <c r="H50">
        <v>23</v>
      </c>
      <c r="I50">
        <v>2928075</v>
      </c>
      <c r="J50">
        <v>72167</v>
      </c>
      <c r="K50">
        <v>87</v>
      </c>
      <c r="L50">
        <v>1651589</v>
      </c>
      <c r="M50">
        <v>1723843</v>
      </c>
    </row>
    <row r="51" spans="1:13">
      <c r="A51">
        <v>53</v>
      </c>
      <c r="B51" s="331">
        <v>46162.873611111114</v>
      </c>
      <c r="C51" t="s">
        <v>131</v>
      </c>
      <c r="D51" t="s">
        <v>131</v>
      </c>
      <c r="E51" t="s">
        <v>4</v>
      </c>
      <c r="F51">
        <v>3863447</v>
      </c>
      <c r="G51">
        <v>29543</v>
      </c>
      <c r="H51">
        <v>20</v>
      </c>
      <c r="I51">
        <v>3893010</v>
      </c>
      <c r="J51">
        <v>60581</v>
      </c>
      <c r="K51">
        <v>102</v>
      </c>
      <c r="L51">
        <v>2296211</v>
      </c>
      <c r="M51">
        <v>2356894</v>
      </c>
    </row>
    <row r="52" spans="1:13">
      <c r="A52">
        <v>54</v>
      </c>
      <c r="B52" s="331">
        <v>46162.873611111114</v>
      </c>
      <c r="C52" t="s">
        <v>19</v>
      </c>
      <c r="D52" t="s">
        <v>19</v>
      </c>
      <c r="E52" t="s">
        <v>4</v>
      </c>
      <c r="F52">
        <v>5454309</v>
      </c>
      <c r="G52">
        <v>58501</v>
      </c>
      <c r="H52">
        <v>649</v>
      </c>
      <c r="I52">
        <v>5513459</v>
      </c>
      <c r="J52">
        <v>117043</v>
      </c>
      <c r="K52">
        <v>1175</v>
      </c>
      <c r="L52">
        <v>3145466</v>
      </c>
      <c r="M52">
        <v>3263684</v>
      </c>
    </row>
    <row r="53" spans="1:13">
      <c r="A53">
        <v>55</v>
      </c>
      <c r="B53" s="331">
        <v>46162.873611111114</v>
      </c>
      <c r="C53" t="s">
        <v>106</v>
      </c>
      <c r="D53" t="s">
        <v>106</v>
      </c>
      <c r="E53" t="s">
        <v>4</v>
      </c>
      <c r="F53">
        <v>2971438</v>
      </c>
      <c r="G53">
        <v>39595</v>
      </c>
      <c r="H53">
        <v>449</v>
      </c>
      <c r="I53">
        <v>3011482</v>
      </c>
      <c r="J53">
        <v>70460</v>
      </c>
      <c r="K53">
        <v>823</v>
      </c>
      <c r="L53">
        <v>1688140</v>
      </c>
      <c r="M53">
        <v>1759423</v>
      </c>
    </row>
    <row r="54" spans="1:13">
      <c r="A54">
        <v>56</v>
      </c>
      <c r="B54" s="331">
        <v>46162.873611111114</v>
      </c>
      <c r="C54" t="s">
        <v>33</v>
      </c>
      <c r="D54" t="s">
        <v>33</v>
      </c>
      <c r="E54" t="s">
        <v>4</v>
      </c>
      <c r="F54">
        <v>3676754</v>
      </c>
      <c r="G54">
        <v>27506</v>
      </c>
      <c r="H54">
        <v>28</v>
      </c>
      <c r="I54">
        <v>3704288</v>
      </c>
      <c r="J54">
        <v>53563</v>
      </c>
      <c r="K54">
        <v>117</v>
      </c>
      <c r="L54">
        <v>2189112</v>
      </c>
      <c r="M54">
        <v>2242792</v>
      </c>
    </row>
    <row r="55" spans="1:13">
      <c r="A55">
        <v>57</v>
      </c>
      <c r="B55" s="331">
        <v>46162.873611111114</v>
      </c>
      <c r="C55" t="s">
        <v>27</v>
      </c>
      <c r="D55" t="s">
        <v>27</v>
      </c>
      <c r="E55" t="s">
        <v>4</v>
      </c>
      <c r="F55">
        <v>1811342</v>
      </c>
      <c r="G55">
        <v>25202</v>
      </c>
      <c r="H55">
        <v>159</v>
      </c>
      <c r="I55">
        <v>1836703</v>
      </c>
      <c r="J55">
        <v>52614</v>
      </c>
      <c r="K55">
        <v>271</v>
      </c>
      <c r="L55">
        <v>1085578</v>
      </c>
      <c r="M55">
        <v>1138463</v>
      </c>
    </row>
    <row r="56" spans="1:13">
      <c r="A56">
        <v>58</v>
      </c>
      <c r="B56" s="331">
        <v>46162.873611111114</v>
      </c>
      <c r="C56" t="s">
        <v>336</v>
      </c>
      <c r="D56" t="s">
        <v>336</v>
      </c>
      <c r="E56" t="s">
        <v>4</v>
      </c>
      <c r="F56">
        <v>723461</v>
      </c>
      <c r="G56">
        <v>3723</v>
      </c>
      <c r="H56">
        <v>0</v>
      </c>
      <c r="I56">
        <v>727184</v>
      </c>
      <c r="J56">
        <v>5284</v>
      </c>
      <c r="K56">
        <v>0</v>
      </c>
      <c r="L56">
        <v>429597</v>
      </c>
      <c r="M56">
        <v>434881</v>
      </c>
    </row>
    <row r="57" spans="1:13">
      <c r="A57">
        <v>59</v>
      </c>
      <c r="B57" s="331">
        <v>46162.873611111114</v>
      </c>
      <c r="C57" t="s">
        <v>1068</v>
      </c>
      <c r="D57" t="s">
        <v>1068</v>
      </c>
      <c r="E57" t="s">
        <v>4</v>
      </c>
      <c r="F57">
        <v>612980</v>
      </c>
      <c r="G57">
        <v>10596</v>
      </c>
      <c r="H57">
        <v>0</v>
      </c>
      <c r="I57">
        <v>623576</v>
      </c>
      <c r="J57">
        <v>21878</v>
      </c>
      <c r="K57">
        <v>0</v>
      </c>
      <c r="L57">
        <v>372286</v>
      </c>
      <c r="M57">
        <v>394164</v>
      </c>
    </row>
    <row r="58" spans="1:13">
      <c r="A58">
        <v>61</v>
      </c>
      <c r="B58" s="331">
        <v>46162.873611111114</v>
      </c>
      <c r="C58" t="s">
        <v>26</v>
      </c>
      <c r="D58" t="s">
        <v>26</v>
      </c>
      <c r="E58" t="s">
        <v>4</v>
      </c>
      <c r="F58">
        <v>1896552</v>
      </c>
      <c r="G58">
        <v>25337</v>
      </c>
      <c r="H58">
        <v>176</v>
      </c>
      <c r="I58">
        <v>1922065</v>
      </c>
      <c r="J58">
        <v>55741</v>
      </c>
      <c r="K58">
        <v>273</v>
      </c>
      <c r="L58">
        <v>1139814</v>
      </c>
      <c r="M58">
        <v>1195828</v>
      </c>
    </row>
    <row r="59" spans="1:13">
      <c r="A59">
        <v>62</v>
      </c>
      <c r="B59" s="331">
        <v>46162.873611111114</v>
      </c>
      <c r="C59" t="s">
        <v>107</v>
      </c>
      <c r="D59" t="s">
        <v>107</v>
      </c>
      <c r="E59" t="s">
        <v>4</v>
      </c>
      <c r="F59">
        <v>4490011</v>
      </c>
      <c r="G59">
        <v>50713</v>
      </c>
      <c r="H59">
        <v>628</v>
      </c>
      <c r="I59">
        <v>4541352</v>
      </c>
      <c r="J59">
        <v>97875</v>
      </c>
      <c r="K59">
        <v>1104</v>
      </c>
      <c r="L59">
        <v>2586983</v>
      </c>
      <c r="M59">
        <v>2685962</v>
      </c>
    </row>
    <row r="60" spans="1:13">
      <c r="A60">
        <v>63</v>
      </c>
      <c r="B60" s="331">
        <v>46162.873611111114</v>
      </c>
      <c r="C60" t="s">
        <v>34</v>
      </c>
      <c r="D60" t="s">
        <v>34</v>
      </c>
      <c r="E60" t="s">
        <v>4</v>
      </c>
      <c r="F60">
        <v>3805393</v>
      </c>
      <c r="G60">
        <v>29364</v>
      </c>
      <c r="H60">
        <v>20</v>
      </c>
      <c r="I60">
        <v>3834777</v>
      </c>
      <c r="J60">
        <v>64424</v>
      </c>
      <c r="K60">
        <v>86</v>
      </c>
      <c r="L60">
        <v>2276035</v>
      </c>
      <c r="M60">
        <v>2340545</v>
      </c>
    </row>
    <row r="61" spans="1:13">
      <c r="A61">
        <v>64</v>
      </c>
      <c r="B61" s="331">
        <v>46162.873611111114</v>
      </c>
      <c r="C61" t="s">
        <v>346</v>
      </c>
      <c r="D61" t="s">
        <v>346</v>
      </c>
      <c r="E61" t="s">
        <v>4</v>
      </c>
      <c r="F61">
        <v>2444129</v>
      </c>
      <c r="G61">
        <v>30129</v>
      </c>
      <c r="H61">
        <v>0</v>
      </c>
      <c r="I61">
        <v>2474258</v>
      </c>
      <c r="J61">
        <v>53066</v>
      </c>
      <c r="K61">
        <v>0</v>
      </c>
      <c r="L61">
        <v>1401909</v>
      </c>
      <c r="M61">
        <v>1454975</v>
      </c>
    </row>
    <row r="62" spans="1:13">
      <c r="A62">
        <v>65</v>
      </c>
      <c r="B62" s="331">
        <v>46162.873611111114</v>
      </c>
      <c r="C62" t="s">
        <v>21</v>
      </c>
      <c r="D62" t="s">
        <v>21</v>
      </c>
      <c r="E62" t="s">
        <v>4</v>
      </c>
      <c r="F62">
        <v>5698632</v>
      </c>
      <c r="G62">
        <v>56899</v>
      </c>
      <c r="H62">
        <v>643</v>
      </c>
      <c r="I62">
        <v>5756174</v>
      </c>
      <c r="J62">
        <v>107576</v>
      </c>
      <c r="K62">
        <v>1173</v>
      </c>
      <c r="L62">
        <v>3283418</v>
      </c>
      <c r="M62">
        <v>3392167</v>
      </c>
    </row>
    <row r="63" spans="1:13">
      <c r="A63">
        <v>66</v>
      </c>
      <c r="B63" s="331">
        <v>46162.873611111114</v>
      </c>
      <c r="C63" t="s">
        <v>1133</v>
      </c>
      <c r="D63" t="s">
        <v>1133</v>
      </c>
      <c r="E63" t="s">
        <v>4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</row>
    <row r="64" spans="1:13">
      <c r="A64">
        <v>67</v>
      </c>
      <c r="B64" s="331">
        <v>46162.873611111114</v>
      </c>
      <c r="C64" t="s">
        <v>1067</v>
      </c>
      <c r="D64" t="s">
        <v>1067</v>
      </c>
      <c r="E64" t="s">
        <v>4</v>
      </c>
      <c r="F64">
        <v>611769</v>
      </c>
      <c r="G64">
        <v>10613</v>
      </c>
      <c r="H64">
        <v>0</v>
      </c>
      <c r="I64">
        <v>622382</v>
      </c>
      <c r="J64">
        <v>21773</v>
      </c>
      <c r="K64">
        <v>0</v>
      </c>
      <c r="L64">
        <v>371827</v>
      </c>
      <c r="M64">
        <v>393600</v>
      </c>
    </row>
    <row r="65" spans="1:13">
      <c r="A65">
        <v>68</v>
      </c>
      <c r="B65" s="331">
        <v>46162.873611111114</v>
      </c>
      <c r="C65" t="s">
        <v>29</v>
      </c>
      <c r="D65" t="s">
        <v>29</v>
      </c>
      <c r="E65" t="s">
        <v>4</v>
      </c>
      <c r="F65">
        <v>2269203</v>
      </c>
      <c r="G65">
        <v>23975</v>
      </c>
      <c r="H65">
        <v>18</v>
      </c>
      <c r="I65">
        <v>2293196</v>
      </c>
      <c r="J65">
        <v>78028</v>
      </c>
      <c r="K65">
        <v>98</v>
      </c>
      <c r="L65">
        <v>1362178</v>
      </c>
      <c r="M65">
        <v>1440304</v>
      </c>
    </row>
    <row r="66" spans="1:13">
      <c r="A66">
        <v>69</v>
      </c>
      <c r="B66" s="331">
        <v>46162.873611111114</v>
      </c>
      <c r="C66" t="s">
        <v>108</v>
      </c>
      <c r="D66" t="s">
        <v>108</v>
      </c>
      <c r="E66" t="s">
        <v>4</v>
      </c>
      <c r="F66">
        <v>4454628</v>
      </c>
      <c r="G66">
        <v>49594</v>
      </c>
      <c r="H66">
        <v>668</v>
      </c>
      <c r="I66">
        <v>4504890</v>
      </c>
      <c r="J66">
        <v>95814</v>
      </c>
      <c r="K66">
        <v>1189</v>
      </c>
      <c r="L66">
        <v>2567379</v>
      </c>
      <c r="M66">
        <v>2664382</v>
      </c>
    </row>
    <row r="67" spans="1:13">
      <c r="A67">
        <v>70</v>
      </c>
      <c r="B67" s="331">
        <v>46162.873611111114</v>
      </c>
      <c r="C67" t="s">
        <v>132</v>
      </c>
      <c r="D67" t="s">
        <v>132</v>
      </c>
      <c r="E67" t="s">
        <v>4</v>
      </c>
      <c r="F67">
        <v>3866140</v>
      </c>
      <c r="G67">
        <v>29378</v>
      </c>
      <c r="H67">
        <v>23</v>
      </c>
      <c r="I67">
        <v>3895541</v>
      </c>
      <c r="J67">
        <v>59577</v>
      </c>
      <c r="K67">
        <v>86</v>
      </c>
      <c r="L67">
        <v>2295717</v>
      </c>
      <c r="M67">
        <v>2355380</v>
      </c>
    </row>
    <row r="68" spans="1:13">
      <c r="A68">
        <v>72</v>
      </c>
      <c r="B68" s="331">
        <v>46162.873611111114</v>
      </c>
      <c r="C68" t="s">
        <v>18</v>
      </c>
      <c r="D68" t="s">
        <v>18</v>
      </c>
      <c r="E68" t="s">
        <v>4</v>
      </c>
      <c r="F68">
        <v>5719532</v>
      </c>
      <c r="G68">
        <v>61472</v>
      </c>
      <c r="H68">
        <v>719</v>
      </c>
      <c r="I68">
        <v>5781723</v>
      </c>
      <c r="J68">
        <v>127093</v>
      </c>
      <c r="K68">
        <v>1354</v>
      </c>
      <c r="L68">
        <v>3301634</v>
      </c>
      <c r="M68">
        <v>3430081</v>
      </c>
    </row>
    <row r="69" spans="1:13">
      <c r="A69">
        <v>73</v>
      </c>
      <c r="B69" s="331">
        <v>46162.873611111114</v>
      </c>
      <c r="C69" t="s">
        <v>689</v>
      </c>
      <c r="D69" t="s">
        <v>689</v>
      </c>
      <c r="E69" t="s">
        <v>4</v>
      </c>
      <c r="F69">
        <v>1920399</v>
      </c>
      <c r="G69">
        <v>16742</v>
      </c>
      <c r="H69">
        <v>0</v>
      </c>
      <c r="I69">
        <v>1937141</v>
      </c>
      <c r="J69">
        <v>31513</v>
      </c>
      <c r="K69">
        <v>0</v>
      </c>
      <c r="L69">
        <v>1123613</v>
      </c>
      <c r="M69">
        <v>1155126</v>
      </c>
    </row>
    <row r="70" spans="1:13">
      <c r="A70">
        <v>74</v>
      </c>
      <c r="B70" s="331">
        <v>46162.873611111114</v>
      </c>
      <c r="C70" t="s">
        <v>17</v>
      </c>
      <c r="D70" t="s">
        <v>17</v>
      </c>
      <c r="E70" t="s">
        <v>4</v>
      </c>
      <c r="F70">
        <v>3682591</v>
      </c>
      <c r="G70">
        <v>47289</v>
      </c>
      <c r="H70">
        <v>507</v>
      </c>
      <c r="I70">
        <v>3730387</v>
      </c>
      <c r="J70">
        <v>109718</v>
      </c>
      <c r="K70">
        <v>998</v>
      </c>
      <c r="L70">
        <v>2114635</v>
      </c>
      <c r="M70">
        <v>2225351</v>
      </c>
    </row>
    <row r="71" spans="1:13">
      <c r="A71">
        <v>75</v>
      </c>
      <c r="B71" s="331">
        <v>46162.873611111114</v>
      </c>
      <c r="C71" t="s">
        <v>22</v>
      </c>
      <c r="D71" t="s">
        <v>22</v>
      </c>
      <c r="E71" t="s">
        <v>4</v>
      </c>
      <c r="F71">
        <v>2847453</v>
      </c>
      <c r="G71">
        <v>36685</v>
      </c>
      <c r="H71">
        <v>385</v>
      </c>
      <c r="I71">
        <v>2884523</v>
      </c>
      <c r="J71">
        <v>64150</v>
      </c>
      <c r="K71">
        <v>643</v>
      </c>
      <c r="L71">
        <v>1619403</v>
      </c>
      <c r="M71">
        <v>1684196</v>
      </c>
    </row>
    <row r="72" spans="1:13">
      <c r="A72">
        <v>76</v>
      </c>
      <c r="B72" s="331">
        <v>46162.873611111114</v>
      </c>
      <c r="C72" t="s">
        <v>1112</v>
      </c>
      <c r="D72" t="s">
        <v>1112</v>
      </c>
      <c r="E72" t="s">
        <v>4</v>
      </c>
      <c r="F72">
        <v>865541</v>
      </c>
      <c r="G72">
        <v>6755</v>
      </c>
      <c r="H72">
        <v>0</v>
      </c>
      <c r="I72">
        <v>872296</v>
      </c>
      <c r="J72">
        <v>13439</v>
      </c>
      <c r="K72">
        <v>0</v>
      </c>
      <c r="L72">
        <v>509293</v>
      </c>
      <c r="M72">
        <v>522732</v>
      </c>
    </row>
    <row r="73" spans="1:13">
      <c r="A73">
        <v>77</v>
      </c>
      <c r="B73" s="331">
        <v>46162.873611111114</v>
      </c>
      <c r="C73" t="s">
        <v>690</v>
      </c>
      <c r="D73" t="s">
        <v>690</v>
      </c>
      <c r="E73" t="s">
        <v>4</v>
      </c>
      <c r="F73">
        <v>1599897</v>
      </c>
      <c r="G73">
        <v>14902</v>
      </c>
      <c r="H73">
        <v>0</v>
      </c>
      <c r="I73">
        <v>1614799</v>
      </c>
      <c r="J73">
        <v>29680</v>
      </c>
      <c r="K73">
        <v>0</v>
      </c>
      <c r="L73">
        <v>946113</v>
      </c>
      <c r="M73">
        <v>975793</v>
      </c>
    </row>
    <row r="74" spans="1:13">
      <c r="A74">
        <v>78</v>
      </c>
      <c r="B74" s="331">
        <v>46162.873611111114</v>
      </c>
      <c r="C74" t="s">
        <v>20</v>
      </c>
      <c r="D74" t="s">
        <v>20</v>
      </c>
      <c r="E74" t="s">
        <v>4</v>
      </c>
      <c r="F74">
        <v>6081300</v>
      </c>
      <c r="G74">
        <v>62181</v>
      </c>
      <c r="H74">
        <v>713</v>
      </c>
      <c r="I74">
        <v>6144194</v>
      </c>
      <c r="J74">
        <v>123391</v>
      </c>
      <c r="K74">
        <v>1307</v>
      </c>
      <c r="L74">
        <v>3465370</v>
      </c>
      <c r="M74">
        <v>3590068</v>
      </c>
    </row>
    <row r="75" spans="1:13">
      <c r="A75">
        <v>79</v>
      </c>
      <c r="B75" s="331">
        <v>46162.873611111114</v>
      </c>
      <c r="C75" t="s">
        <v>35</v>
      </c>
      <c r="D75" t="s">
        <v>35</v>
      </c>
      <c r="E75" t="s">
        <v>4</v>
      </c>
      <c r="F75">
        <v>3924742</v>
      </c>
      <c r="G75">
        <v>28092</v>
      </c>
      <c r="H75">
        <v>20</v>
      </c>
      <c r="I75">
        <v>3952854</v>
      </c>
      <c r="J75">
        <v>56168</v>
      </c>
      <c r="K75">
        <v>86</v>
      </c>
      <c r="L75">
        <v>2332521</v>
      </c>
      <c r="M75">
        <v>2388775</v>
      </c>
    </row>
    <row r="76" spans="1:13">
      <c r="A76">
        <v>80</v>
      </c>
      <c r="B76" s="331">
        <v>46162.873611111114</v>
      </c>
      <c r="C76" t="s">
        <v>1111</v>
      </c>
      <c r="D76" t="s">
        <v>1111</v>
      </c>
      <c r="E76" t="s">
        <v>4</v>
      </c>
      <c r="F76">
        <v>860326</v>
      </c>
      <c r="G76">
        <v>6684</v>
      </c>
      <c r="H76">
        <v>0</v>
      </c>
      <c r="I76">
        <v>867010</v>
      </c>
      <c r="J76">
        <v>13420</v>
      </c>
      <c r="K76">
        <v>0</v>
      </c>
      <c r="L76">
        <v>506164</v>
      </c>
      <c r="M76">
        <v>519584</v>
      </c>
    </row>
    <row r="77" spans="1:13">
      <c r="A77">
        <v>81</v>
      </c>
      <c r="B77" s="331">
        <v>46162.873611111114</v>
      </c>
      <c r="C77" t="s">
        <v>32</v>
      </c>
      <c r="D77" t="s">
        <v>32</v>
      </c>
      <c r="E77" t="s">
        <v>4</v>
      </c>
      <c r="F77">
        <v>3590462</v>
      </c>
      <c r="G77">
        <v>27605</v>
      </c>
      <c r="H77">
        <v>25</v>
      </c>
      <c r="I77">
        <v>3618092</v>
      </c>
      <c r="J77">
        <v>58176</v>
      </c>
      <c r="K77">
        <v>95</v>
      </c>
      <c r="L77">
        <v>2135286</v>
      </c>
      <c r="M77">
        <v>2193557</v>
      </c>
    </row>
    <row r="78" spans="1:13">
      <c r="A78">
        <v>83</v>
      </c>
      <c r="B78" s="331">
        <v>46162.873611111114</v>
      </c>
      <c r="C78" t="s">
        <v>345</v>
      </c>
      <c r="D78" t="s">
        <v>345</v>
      </c>
      <c r="E78" t="s">
        <v>4</v>
      </c>
      <c r="F78">
        <v>2014808</v>
      </c>
      <c r="G78">
        <v>27793</v>
      </c>
      <c r="H78">
        <v>0</v>
      </c>
      <c r="I78">
        <v>2042601</v>
      </c>
      <c r="J78">
        <v>46480</v>
      </c>
      <c r="K78">
        <v>0</v>
      </c>
      <c r="L78">
        <v>1138440</v>
      </c>
      <c r="M78">
        <v>1184920</v>
      </c>
    </row>
    <row r="79" spans="1:13">
      <c r="A79">
        <v>84</v>
      </c>
      <c r="B79" s="331">
        <v>46162.873611111114</v>
      </c>
      <c r="C79" t="s">
        <v>24</v>
      </c>
      <c r="D79" t="s">
        <v>24</v>
      </c>
      <c r="E79" t="s">
        <v>4</v>
      </c>
      <c r="F79">
        <v>1876219</v>
      </c>
      <c r="G79">
        <v>27749</v>
      </c>
      <c r="H79">
        <v>164</v>
      </c>
      <c r="I79">
        <v>1904132</v>
      </c>
      <c r="J79">
        <v>56655</v>
      </c>
      <c r="K79">
        <v>229</v>
      </c>
      <c r="L79">
        <v>1122216</v>
      </c>
      <c r="M79">
        <v>1179100</v>
      </c>
    </row>
    <row r="80" spans="1:13">
      <c r="A80">
        <v>85</v>
      </c>
      <c r="B80" s="331">
        <v>46162.873611111114</v>
      </c>
      <c r="C80" t="s">
        <v>105</v>
      </c>
      <c r="D80" t="s">
        <v>105</v>
      </c>
      <c r="E80" t="s">
        <v>4</v>
      </c>
      <c r="F80">
        <v>2472413</v>
      </c>
      <c r="G80">
        <v>27251</v>
      </c>
      <c r="H80">
        <v>170</v>
      </c>
      <c r="I80">
        <v>2499834</v>
      </c>
      <c r="J80">
        <v>53355</v>
      </c>
      <c r="K80">
        <v>285</v>
      </c>
      <c r="L80">
        <v>1462936</v>
      </c>
      <c r="M80">
        <v>1516576</v>
      </c>
    </row>
    <row r="81" spans="1:13">
      <c r="A81">
        <v>86</v>
      </c>
      <c r="B81" s="331">
        <v>46162.873611111114</v>
      </c>
      <c r="C81" t="s">
        <v>691</v>
      </c>
      <c r="D81" t="s">
        <v>691</v>
      </c>
      <c r="E81" t="s">
        <v>4</v>
      </c>
      <c r="F81">
        <v>1596259</v>
      </c>
      <c r="G81">
        <v>15218</v>
      </c>
      <c r="H81">
        <v>0</v>
      </c>
      <c r="I81">
        <v>1611477</v>
      </c>
      <c r="J81">
        <v>29964</v>
      </c>
      <c r="K81">
        <v>0</v>
      </c>
      <c r="L81">
        <v>943397</v>
      </c>
      <c r="M81">
        <v>973361</v>
      </c>
    </row>
    <row r="82" spans="1:13">
      <c r="A82">
        <v>87</v>
      </c>
      <c r="B82" s="331">
        <v>46162.87222222222</v>
      </c>
      <c r="C82" t="s">
        <v>691</v>
      </c>
      <c r="D82" t="s">
        <v>691</v>
      </c>
      <c r="E82" t="s">
        <v>4</v>
      </c>
      <c r="F82">
        <v>1596665</v>
      </c>
      <c r="G82">
        <v>15200</v>
      </c>
      <c r="H82">
        <v>0</v>
      </c>
      <c r="I82">
        <v>1611865</v>
      </c>
      <c r="J82">
        <v>29882</v>
      </c>
      <c r="K82">
        <v>0</v>
      </c>
      <c r="L82">
        <v>943621</v>
      </c>
      <c r="M82">
        <v>973503</v>
      </c>
    </row>
    <row r="83" spans="1:13">
      <c r="A83">
        <v>88</v>
      </c>
      <c r="B83" s="331">
        <v>46162.87222222222</v>
      </c>
      <c r="C83" t="s">
        <v>690</v>
      </c>
      <c r="D83" t="s">
        <v>690</v>
      </c>
      <c r="E83" t="s">
        <v>4</v>
      </c>
      <c r="F83">
        <v>1600199</v>
      </c>
      <c r="G83">
        <v>14895</v>
      </c>
      <c r="H83">
        <v>0</v>
      </c>
      <c r="I83">
        <v>1615094</v>
      </c>
      <c r="J83">
        <v>29650</v>
      </c>
      <c r="K83">
        <v>0</v>
      </c>
      <c r="L83">
        <v>946292</v>
      </c>
      <c r="M83">
        <v>975942</v>
      </c>
    </row>
    <row r="84" spans="1:13">
      <c r="A84">
        <v>89</v>
      </c>
      <c r="B84" s="331">
        <v>46162.87222222222</v>
      </c>
      <c r="C84" t="s">
        <v>345</v>
      </c>
      <c r="D84" t="s">
        <v>345</v>
      </c>
      <c r="E84" t="s">
        <v>4</v>
      </c>
      <c r="F84">
        <v>2015175</v>
      </c>
      <c r="G84">
        <v>27861</v>
      </c>
      <c r="H84">
        <v>0</v>
      </c>
      <c r="I84">
        <v>2043036</v>
      </c>
      <c r="J84">
        <v>46418</v>
      </c>
      <c r="K84">
        <v>0</v>
      </c>
      <c r="L84">
        <v>1138640</v>
      </c>
      <c r="M84">
        <v>1185058</v>
      </c>
    </row>
    <row r="85" spans="1:13">
      <c r="A85">
        <v>91</v>
      </c>
      <c r="B85" s="331">
        <v>46162.87222222222</v>
      </c>
      <c r="C85" t="s">
        <v>1068</v>
      </c>
      <c r="D85" t="s">
        <v>1068</v>
      </c>
      <c r="E85" t="s">
        <v>4</v>
      </c>
      <c r="F85">
        <v>613287</v>
      </c>
      <c r="G85">
        <v>10515</v>
      </c>
      <c r="H85">
        <v>0</v>
      </c>
      <c r="I85">
        <v>623802</v>
      </c>
      <c r="J85">
        <v>21797</v>
      </c>
      <c r="K85">
        <v>0</v>
      </c>
      <c r="L85">
        <v>372438</v>
      </c>
      <c r="M85">
        <v>394235</v>
      </c>
    </row>
    <row r="86" spans="1:13">
      <c r="A86">
        <v>92</v>
      </c>
      <c r="B86" s="331">
        <v>46162.87222222222</v>
      </c>
      <c r="C86" t="s">
        <v>106</v>
      </c>
      <c r="D86" t="s">
        <v>106</v>
      </c>
      <c r="E86" t="s">
        <v>4</v>
      </c>
      <c r="F86">
        <v>2971813</v>
      </c>
      <c r="G86">
        <v>39492</v>
      </c>
      <c r="H86">
        <v>440</v>
      </c>
      <c r="I86">
        <v>3011745</v>
      </c>
      <c r="J86">
        <v>70280</v>
      </c>
      <c r="K86">
        <v>809</v>
      </c>
      <c r="L86">
        <v>1688416</v>
      </c>
      <c r="M86">
        <v>1759505</v>
      </c>
    </row>
    <row r="87" spans="1:13">
      <c r="A87">
        <v>93</v>
      </c>
      <c r="B87" s="331">
        <v>46162.87222222222</v>
      </c>
      <c r="C87" t="s">
        <v>16</v>
      </c>
      <c r="D87" t="s">
        <v>16</v>
      </c>
      <c r="E87" t="s">
        <v>4</v>
      </c>
      <c r="F87">
        <v>3291510</v>
      </c>
      <c r="G87">
        <v>43789</v>
      </c>
      <c r="H87">
        <v>504</v>
      </c>
      <c r="I87">
        <v>3335803</v>
      </c>
      <c r="J87">
        <v>107708</v>
      </c>
      <c r="K87">
        <v>974</v>
      </c>
      <c r="L87">
        <v>1907843</v>
      </c>
      <c r="M87">
        <v>2016525</v>
      </c>
    </row>
    <row r="88" spans="1:13">
      <c r="A88">
        <v>94</v>
      </c>
      <c r="B88" s="331">
        <v>46162.87222222222</v>
      </c>
      <c r="C88" t="s">
        <v>35</v>
      </c>
      <c r="D88" t="s">
        <v>35</v>
      </c>
      <c r="E88" t="s">
        <v>4</v>
      </c>
      <c r="F88">
        <v>3925119</v>
      </c>
      <c r="G88">
        <v>28186</v>
      </c>
      <c r="H88">
        <v>20</v>
      </c>
      <c r="I88">
        <v>3953325</v>
      </c>
      <c r="J88">
        <v>56266</v>
      </c>
      <c r="K88">
        <v>86</v>
      </c>
      <c r="L88">
        <v>2332687</v>
      </c>
      <c r="M88">
        <v>2389039</v>
      </c>
    </row>
    <row r="89" spans="1:13">
      <c r="A89">
        <v>96</v>
      </c>
      <c r="B89" s="331">
        <v>46162.87222222222</v>
      </c>
      <c r="C89" t="s">
        <v>29</v>
      </c>
      <c r="D89" t="s">
        <v>29</v>
      </c>
      <c r="E89" t="s">
        <v>4</v>
      </c>
      <c r="F89">
        <v>2269314</v>
      </c>
      <c r="G89">
        <v>23916</v>
      </c>
      <c r="H89">
        <v>20</v>
      </c>
      <c r="I89">
        <v>2293250</v>
      </c>
      <c r="J89">
        <v>78021</v>
      </c>
      <c r="K89">
        <v>98</v>
      </c>
      <c r="L89">
        <v>1362212</v>
      </c>
      <c r="M89">
        <v>1440331</v>
      </c>
    </row>
    <row r="90" spans="1:13">
      <c r="A90">
        <v>97</v>
      </c>
      <c r="B90" s="331">
        <v>46162.87222222222</v>
      </c>
      <c r="C90" t="s">
        <v>31</v>
      </c>
      <c r="D90" t="s">
        <v>31</v>
      </c>
      <c r="E90" t="s">
        <v>4</v>
      </c>
      <c r="F90">
        <v>2904309</v>
      </c>
      <c r="G90">
        <v>24247</v>
      </c>
      <c r="H90">
        <v>23</v>
      </c>
      <c r="I90">
        <v>2928579</v>
      </c>
      <c r="J90">
        <v>72143</v>
      </c>
      <c r="K90">
        <v>87</v>
      </c>
      <c r="L90">
        <v>1651857</v>
      </c>
      <c r="M90">
        <v>1724087</v>
      </c>
    </row>
    <row r="91" spans="1:13">
      <c r="A91">
        <v>98</v>
      </c>
      <c r="B91" s="331">
        <v>46162.87222222222</v>
      </c>
      <c r="C91" t="s">
        <v>131</v>
      </c>
      <c r="D91" t="s">
        <v>131</v>
      </c>
      <c r="E91" t="s">
        <v>4</v>
      </c>
      <c r="F91">
        <v>3864161</v>
      </c>
      <c r="G91">
        <v>29654</v>
      </c>
      <c r="H91">
        <v>22</v>
      </c>
      <c r="I91">
        <v>3893837</v>
      </c>
      <c r="J91">
        <v>60612</v>
      </c>
      <c r="K91">
        <v>103</v>
      </c>
      <c r="L91">
        <v>2296552</v>
      </c>
      <c r="M91">
        <v>2357267</v>
      </c>
    </row>
    <row r="92" spans="1:13">
      <c r="A92">
        <v>99</v>
      </c>
      <c r="B92" s="331">
        <v>46162.87222222222</v>
      </c>
      <c r="C92" t="s">
        <v>108</v>
      </c>
      <c r="D92" t="s">
        <v>108</v>
      </c>
      <c r="E92" t="s">
        <v>4</v>
      </c>
      <c r="F92">
        <v>4455327</v>
      </c>
      <c r="G92">
        <v>49669</v>
      </c>
      <c r="H92">
        <v>683</v>
      </c>
      <c r="I92">
        <v>4505679</v>
      </c>
      <c r="J92">
        <v>95797</v>
      </c>
      <c r="K92">
        <v>1194</v>
      </c>
      <c r="L92">
        <v>2567792</v>
      </c>
      <c r="M92">
        <v>2664783</v>
      </c>
    </row>
    <row r="93" spans="1:13">
      <c r="A93">
        <v>100</v>
      </c>
      <c r="B93" s="331">
        <v>46162.87222222222</v>
      </c>
      <c r="C93" t="s">
        <v>18</v>
      </c>
      <c r="D93" t="s">
        <v>18</v>
      </c>
      <c r="E93" t="s">
        <v>4</v>
      </c>
      <c r="F93">
        <v>5720131</v>
      </c>
      <c r="G93">
        <v>61341</v>
      </c>
      <c r="H93">
        <v>727</v>
      </c>
      <c r="I93">
        <v>5782199</v>
      </c>
      <c r="J93">
        <v>126905</v>
      </c>
      <c r="K93">
        <v>1346</v>
      </c>
      <c r="L93">
        <v>3302037</v>
      </c>
      <c r="M93">
        <v>3430288</v>
      </c>
    </row>
    <row r="94" spans="1:13">
      <c r="A94">
        <v>101</v>
      </c>
      <c r="B94" s="331">
        <v>46162.87222222222</v>
      </c>
      <c r="C94" t="s">
        <v>346</v>
      </c>
      <c r="D94" t="s">
        <v>346</v>
      </c>
      <c r="E94" t="s">
        <v>4</v>
      </c>
      <c r="F94">
        <v>2444286</v>
      </c>
      <c r="G94">
        <v>30150</v>
      </c>
      <c r="H94">
        <v>0</v>
      </c>
      <c r="I94">
        <v>2474436</v>
      </c>
      <c r="J94">
        <v>53074</v>
      </c>
      <c r="K94">
        <v>0</v>
      </c>
      <c r="L94">
        <v>1402005</v>
      </c>
      <c r="M94">
        <v>1455079</v>
      </c>
    </row>
    <row r="95" spans="1:13">
      <c r="A95">
        <v>102</v>
      </c>
      <c r="B95" s="331">
        <v>46162.87222222222</v>
      </c>
      <c r="C95" t="s">
        <v>1133</v>
      </c>
      <c r="D95" t="s">
        <v>1133</v>
      </c>
      <c r="E95" t="s">
        <v>4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>
      <c r="A96">
        <v>103</v>
      </c>
      <c r="B96" s="331">
        <v>46162.87222222222</v>
      </c>
      <c r="C96" t="s">
        <v>1067</v>
      </c>
      <c r="D96" t="s">
        <v>1067</v>
      </c>
      <c r="E96" t="s">
        <v>4</v>
      </c>
      <c r="F96">
        <v>612035</v>
      </c>
      <c r="G96">
        <v>10621</v>
      </c>
      <c r="H96">
        <v>0</v>
      </c>
      <c r="I96">
        <v>622656</v>
      </c>
      <c r="J96">
        <v>21760</v>
      </c>
      <c r="K96">
        <v>0</v>
      </c>
      <c r="L96">
        <v>371953</v>
      </c>
      <c r="M96">
        <v>393713</v>
      </c>
    </row>
    <row r="97" spans="1:13">
      <c r="A97">
        <v>104</v>
      </c>
      <c r="B97" s="331">
        <v>46162.87222222222</v>
      </c>
      <c r="C97" t="s">
        <v>689</v>
      </c>
      <c r="D97" t="s">
        <v>689</v>
      </c>
      <c r="E97" t="s">
        <v>4</v>
      </c>
      <c r="F97">
        <v>1920755</v>
      </c>
      <c r="G97">
        <v>16745</v>
      </c>
      <c r="H97">
        <v>0</v>
      </c>
      <c r="I97">
        <v>1937500</v>
      </c>
      <c r="J97">
        <v>31484</v>
      </c>
      <c r="K97">
        <v>0</v>
      </c>
      <c r="L97">
        <v>1123791</v>
      </c>
      <c r="M97">
        <v>1155275</v>
      </c>
    </row>
    <row r="98" spans="1:13">
      <c r="A98">
        <v>105</v>
      </c>
      <c r="B98" s="331">
        <v>46162.87222222222</v>
      </c>
      <c r="C98" t="s">
        <v>1112</v>
      </c>
      <c r="D98" t="s">
        <v>1112</v>
      </c>
      <c r="E98" t="s">
        <v>4</v>
      </c>
      <c r="F98">
        <v>865487</v>
      </c>
      <c r="G98">
        <v>6733</v>
      </c>
      <c r="H98">
        <v>0</v>
      </c>
      <c r="I98">
        <v>872220</v>
      </c>
      <c r="J98">
        <v>13392</v>
      </c>
      <c r="K98">
        <v>0</v>
      </c>
      <c r="L98">
        <v>509264</v>
      </c>
      <c r="M98">
        <v>522656</v>
      </c>
    </row>
    <row r="99" spans="1:13">
      <c r="A99">
        <v>106</v>
      </c>
      <c r="B99" s="331">
        <v>46162.87222222222</v>
      </c>
      <c r="C99" t="s">
        <v>1111</v>
      </c>
      <c r="D99" t="s">
        <v>1111</v>
      </c>
      <c r="E99" t="s">
        <v>4</v>
      </c>
      <c r="F99">
        <v>860735</v>
      </c>
      <c r="G99">
        <v>6667</v>
      </c>
      <c r="H99">
        <v>0</v>
      </c>
      <c r="I99">
        <v>867402</v>
      </c>
      <c r="J99">
        <v>13396</v>
      </c>
      <c r="K99">
        <v>0</v>
      </c>
      <c r="L99">
        <v>506361</v>
      </c>
      <c r="M99">
        <v>519757</v>
      </c>
    </row>
    <row r="100" spans="1:13">
      <c r="A100">
        <v>107</v>
      </c>
      <c r="B100" s="331">
        <v>46162.87222222222</v>
      </c>
      <c r="C100" t="s">
        <v>24</v>
      </c>
      <c r="D100" t="s">
        <v>24</v>
      </c>
      <c r="E100" t="s">
        <v>4</v>
      </c>
      <c r="F100">
        <v>1876661</v>
      </c>
      <c r="G100">
        <v>27875</v>
      </c>
      <c r="H100">
        <v>166</v>
      </c>
      <c r="I100">
        <v>1904702</v>
      </c>
      <c r="J100">
        <v>56727</v>
      </c>
      <c r="K100">
        <v>229</v>
      </c>
      <c r="L100">
        <v>1122339</v>
      </c>
      <c r="M100">
        <v>1179295</v>
      </c>
    </row>
    <row r="101" spans="1:13">
      <c r="A101">
        <v>108</v>
      </c>
      <c r="B101" s="331">
        <v>46162.87222222222</v>
      </c>
      <c r="C101" t="s">
        <v>132</v>
      </c>
      <c r="D101" t="s">
        <v>132</v>
      </c>
      <c r="E101" t="s">
        <v>4</v>
      </c>
      <c r="F101">
        <v>3866785</v>
      </c>
      <c r="G101">
        <v>29126</v>
      </c>
      <c r="H101">
        <v>23</v>
      </c>
      <c r="I101">
        <v>3895934</v>
      </c>
      <c r="J101">
        <v>59462</v>
      </c>
      <c r="K101">
        <v>85</v>
      </c>
      <c r="L101">
        <v>2296029</v>
      </c>
      <c r="M101">
        <v>2355576</v>
      </c>
    </row>
    <row r="102" spans="1:13">
      <c r="A102">
        <v>110</v>
      </c>
      <c r="B102" s="331">
        <v>46162.87222222222</v>
      </c>
      <c r="C102" t="s">
        <v>22</v>
      </c>
      <c r="D102" t="s">
        <v>22</v>
      </c>
      <c r="E102" t="s">
        <v>4</v>
      </c>
      <c r="F102">
        <v>2847726</v>
      </c>
      <c r="G102">
        <v>36584</v>
      </c>
      <c r="H102">
        <v>389</v>
      </c>
      <c r="I102">
        <v>2884699</v>
      </c>
      <c r="J102">
        <v>64018</v>
      </c>
      <c r="K102">
        <v>646</v>
      </c>
      <c r="L102">
        <v>1619639</v>
      </c>
      <c r="M102">
        <v>1684303</v>
      </c>
    </row>
    <row r="103" spans="1:13">
      <c r="A103">
        <v>111</v>
      </c>
      <c r="B103" s="331">
        <v>46162.87222222222</v>
      </c>
      <c r="C103" t="s">
        <v>17</v>
      </c>
      <c r="D103" t="s">
        <v>17</v>
      </c>
      <c r="E103" t="s">
        <v>4</v>
      </c>
      <c r="F103">
        <v>3682914</v>
      </c>
      <c r="G103">
        <v>47202</v>
      </c>
      <c r="H103">
        <v>494</v>
      </c>
      <c r="I103">
        <v>3730610</v>
      </c>
      <c r="J103">
        <v>109618</v>
      </c>
      <c r="K103">
        <v>984</v>
      </c>
      <c r="L103">
        <v>2114918</v>
      </c>
      <c r="M103">
        <v>2225520</v>
      </c>
    </row>
    <row r="104" spans="1:13">
      <c r="A104">
        <v>112</v>
      </c>
      <c r="B104" s="331">
        <v>46162.87222222222</v>
      </c>
      <c r="C104" t="s">
        <v>107</v>
      </c>
      <c r="D104" t="s">
        <v>107</v>
      </c>
      <c r="E104" t="s">
        <v>4</v>
      </c>
      <c r="F104">
        <v>4490318</v>
      </c>
      <c r="G104">
        <v>50743</v>
      </c>
      <c r="H104">
        <v>642</v>
      </c>
      <c r="I104">
        <v>4541703</v>
      </c>
      <c r="J104">
        <v>97777</v>
      </c>
      <c r="K104">
        <v>1117</v>
      </c>
      <c r="L104">
        <v>2587197</v>
      </c>
      <c r="M104">
        <v>2686091</v>
      </c>
    </row>
    <row r="105" spans="1:13">
      <c r="A105">
        <v>113</v>
      </c>
      <c r="B105" s="331">
        <v>46162.87222222222</v>
      </c>
      <c r="C105" t="s">
        <v>105</v>
      </c>
      <c r="D105" t="s">
        <v>105</v>
      </c>
      <c r="E105" t="s">
        <v>4</v>
      </c>
      <c r="F105">
        <v>2473153</v>
      </c>
      <c r="G105">
        <v>27138</v>
      </c>
      <c r="H105">
        <v>172</v>
      </c>
      <c r="I105">
        <v>2500463</v>
      </c>
      <c r="J105">
        <v>53154</v>
      </c>
      <c r="K105">
        <v>283</v>
      </c>
      <c r="L105">
        <v>1463299</v>
      </c>
      <c r="M105">
        <v>1516736</v>
      </c>
    </row>
    <row r="106" spans="1:13">
      <c r="A106">
        <v>114</v>
      </c>
      <c r="B106" s="331">
        <v>46162.87222222222</v>
      </c>
      <c r="C106" t="s">
        <v>33</v>
      </c>
      <c r="D106" t="s">
        <v>33</v>
      </c>
      <c r="E106" t="s">
        <v>4</v>
      </c>
      <c r="F106">
        <v>3677298</v>
      </c>
      <c r="G106">
        <v>27558</v>
      </c>
      <c r="H106">
        <v>28</v>
      </c>
      <c r="I106">
        <v>3704884</v>
      </c>
      <c r="J106">
        <v>53663</v>
      </c>
      <c r="K106">
        <v>116</v>
      </c>
      <c r="L106">
        <v>2189349</v>
      </c>
      <c r="M106">
        <v>2243128</v>
      </c>
    </row>
    <row r="107" spans="1:13">
      <c r="A107">
        <v>115</v>
      </c>
      <c r="B107" s="331">
        <v>46162.87222222222</v>
      </c>
      <c r="C107" t="s">
        <v>19</v>
      </c>
      <c r="D107" t="s">
        <v>19</v>
      </c>
      <c r="E107" t="s">
        <v>4</v>
      </c>
      <c r="F107">
        <v>5454970</v>
      </c>
      <c r="G107">
        <v>58460</v>
      </c>
      <c r="H107">
        <v>664</v>
      </c>
      <c r="I107">
        <v>5514094</v>
      </c>
      <c r="J107">
        <v>116978</v>
      </c>
      <c r="K107">
        <v>1205</v>
      </c>
      <c r="L107">
        <v>3145939</v>
      </c>
      <c r="M107">
        <v>3264122</v>
      </c>
    </row>
    <row r="108" spans="1:13">
      <c r="A108">
        <v>116</v>
      </c>
      <c r="B108" s="331">
        <v>46162.87222222222</v>
      </c>
      <c r="C108" t="s">
        <v>32</v>
      </c>
      <c r="D108" t="s">
        <v>32</v>
      </c>
      <c r="E108" t="s">
        <v>4</v>
      </c>
      <c r="F108">
        <v>3591072</v>
      </c>
      <c r="G108">
        <v>27436</v>
      </c>
      <c r="H108">
        <v>25</v>
      </c>
      <c r="I108">
        <v>3618533</v>
      </c>
      <c r="J108">
        <v>57955</v>
      </c>
      <c r="K108">
        <v>94</v>
      </c>
      <c r="L108">
        <v>2135516</v>
      </c>
      <c r="M108">
        <v>2193565</v>
      </c>
    </row>
    <row r="109" spans="1:13">
      <c r="A109">
        <v>117</v>
      </c>
      <c r="B109" s="331">
        <v>46162.87222222222</v>
      </c>
      <c r="C109" t="s">
        <v>336</v>
      </c>
      <c r="D109" t="s">
        <v>336</v>
      </c>
      <c r="E109" t="s">
        <v>4</v>
      </c>
      <c r="F109">
        <v>723591</v>
      </c>
      <c r="G109">
        <v>3735</v>
      </c>
      <c r="H109">
        <v>0</v>
      </c>
      <c r="I109">
        <v>727326</v>
      </c>
      <c r="J109">
        <v>5272</v>
      </c>
      <c r="K109">
        <v>0</v>
      </c>
      <c r="L109">
        <v>429669</v>
      </c>
      <c r="M109">
        <v>434941</v>
      </c>
    </row>
    <row r="110" spans="1:13">
      <c r="A110">
        <v>118</v>
      </c>
      <c r="B110" s="331">
        <v>46162.87222222222</v>
      </c>
      <c r="C110" t="s">
        <v>20</v>
      </c>
      <c r="D110" t="s">
        <v>20</v>
      </c>
      <c r="E110" t="s">
        <v>4</v>
      </c>
      <c r="F110">
        <v>6081557</v>
      </c>
      <c r="G110">
        <v>62205</v>
      </c>
      <c r="H110">
        <v>718</v>
      </c>
      <c r="I110">
        <v>6144480</v>
      </c>
      <c r="J110">
        <v>123289</v>
      </c>
      <c r="K110">
        <v>1315</v>
      </c>
      <c r="L110">
        <v>3465666</v>
      </c>
      <c r="M110">
        <v>3590270</v>
      </c>
    </row>
    <row r="111" spans="1:13">
      <c r="A111">
        <v>119</v>
      </c>
      <c r="B111" s="331">
        <v>46162.87222222222</v>
      </c>
      <c r="C111" t="s">
        <v>26</v>
      </c>
      <c r="D111" t="s">
        <v>26</v>
      </c>
      <c r="E111" t="s">
        <v>4</v>
      </c>
      <c r="F111">
        <v>1896989</v>
      </c>
      <c r="G111">
        <v>25327</v>
      </c>
      <c r="H111">
        <v>166</v>
      </c>
      <c r="I111">
        <v>1922482</v>
      </c>
      <c r="J111">
        <v>55774</v>
      </c>
      <c r="K111">
        <v>262</v>
      </c>
      <c r="L111">
        <v>1140019</v>
      </c>
      <c r="M111">
        <v>1196055</v>
      </c>
    </row>
    <row r="112" spans="1:13">
      <c r="A112">
        <v>120</v>
      </c>
      <c r="B112" s="331">
        <v>46162.87222222222</v>
      </c>
      <c r="C112" t="s">
        <v>21</v>
      </c>
      <c r="D112" t="s">
        <v>21</v>
      </c>
      <c r="E112" t="s">
        <v>4</v>
      </c>
      <c r="F112">
        <v>5699315</v>
      </c>
      <c r="G112">
        <v>56814</v>
      </c>
      <c r="H112">
        <v>651</v>
      </c>
      <c r="I112">
        <v>5756780</v>
      </c>
      <c r="J112">
        <v>107334</v>
      </c>
      <c r="K112">
        <v>1179</v>
      </c>
      <c r="L112">
        <v>3283957</v>
      </c>
      <c r="M112">
        <v>3392470</v>
      </c>
    </row>
    <row r="113" spans="1:13">
      <c r="A113">
        <v>121</v>
      </c>
      <c r="B113" s="331">
        <v>46162.87222222222</v>
      </c>
      <c r="C113" t="s">
        <v>34</v>
      </c>
      <c r="D113" t="s">
        <v>34</v>
      </c>
      <c r="E113" t="s">
        <v>4</v>
      </c>
      <c r="F113">
        <v>3805991</v>
      </c>
      <c r="G113">
        <v>29331</v>
      </c>
      <c r="H113">
        <v>21</v>
      </c>
      <c r="I113">
        <v>3835343</v>
      </c>
      <c r="J113">
        <v>64407</v>
      </c>
      <c r="K113">
        <v>85</v>
      </c>
      <c r="L113">
        <v>2276267</v>
      </c>
      <c r="M113">
        <v>2340759</v>
      </c>
    </row>
    <row r="114" spans="1:13">
      <c r="A114">
        <v>122</v>
      </c>
      <c r="B114" s="331">
        <v>46162.87222222222</v>
      </c>
      <c r="C114" t="s">
        <v>27</v>
      </c>
      <c r="D114" t="s">
        <v>27</v>
      </c>
      <c r="E114" t="s">
        <v>4</v>
      </c>
      <c r="F114">
        <v>1811829</v>
      </c>
      <c r="G114">
        <v>25250</v>
      </c>
      <c r="H114">
        <v>165</v>
      </c>
      <c r="I114">
        <v>1837244</v>
      </c>
      <c r="J114">
        <v>52689</v>
      </c>
      <c r="K114">
        <v>276</v>
      </c>
      <c r="L114">
        <v>1085798</v>
      </c>
      <c r="M114">
        <v>1138763</v>
      </c>
    </row>
    <row r="115" spans="1:13">
      <c r="A115">
        <v>123</v>
      </c>
      <c r="B115" s="331">
        <v>46162.871527777781</v>
      </c>
      <c r="C115" t="s">
        <v>1125</v>
      </c>
      <c r="D115" t="s">
        <v>1125</v>
      </c>
      <c r="E115" t="s">
        <v>372</v>
      </c>
      <c r="L115">
        <v>630754</v>
      </c>
      <c r="M115">
        <v>630754</v>
      </c>
    </row>
    <row r="116" spans="1:13">
      <c r="A116">
        <v>124</v>
      </c>
      <c r="B116" s="331">
        <v>46162.871527777781</v>
      </c>
      <c r="C116" t="s">
        <v>893</v>
      </c>
      <c r="D116" t="s">
        <v>893</v>
      </c>
      <c r="E116" t="s">
        <v>372</v>
      </c>
      <c r="L116">
        <v>783363</v>
      </c>
      <c r="M116">
        <v>783363</v>
      </c>
    </row>
    <row r="117" spans="1:13">
      <c r="A117">
        <v>125</v>
      </c>
      <c r="B117" s="331">
        <v>46162.871527777781</v>
      </c>
      <c r="C117" t="s">
        <v>580</v>
      </c>
      <c r="D117" t="s">
        <v>580</v>
      </c>
      <c r="E117" t="s">
        <v>372</v>
      </c>
      <c r="L117">
        <v>550738</v>
      </c>
      <c r="M117">
        <v>550738</v>
      </c>
    </row>
    <row r="118" spans="1:13">
      <c r="A118">
        <v>126</v>
      </c>
      <c r="B118" s="331">
        <v>46162.871527777781</v>
      </c>
      <c r="C118" t="s">
        <v>583</v>
      </c>
      <c r="D118" t="s">
        <v>583</v>
      </c>
      <c r="E118" t="s">
        <v>372</v>
      </c>
      <c r="L118">
        <v>521919</v>
      </c>
      <c r="M118">
        <v>521919</v>
      </c>
    </row>
    <row r="119" spans="1:13">
      <c r="A119">
        <v>127</v>
      </c>
      <c r="B119" s="331">
        <v>46162.871527777781</v>
      </c>
      <c r="C119" t="s">
        <v>349</v>
      </c>
      <c r="D119" t="s">
        <v>349</v>
      </c>
      <c r="E119" t="s">
        <v>372</v>
      </c>
      <c r="L119">
        <v>600469</v>
      </c>
      <c r="M119">
        <v>600469</v>
      </c>
    </row>
    <row r="120" spans="1:13">
      <c r="A120">
        <v>128</v>
      </c>
      <c r="B120" s="331">
        <v>46162.871527777781</v>
      </c>
      <c r="C120" t="s">
        <v>348</v>
      </c>
      <c r="D120" t="s">
        <v>348</v>
      </c>
      <c r="E120" t="s">
        <v>372</v>
      </c>
      <c r="L120">
        <v>614888</v>
      </c>
      <c r="M120">
        <v>614888</v>
      </c>
    </row>
    <row r="121" spans="1:13">
      <c r="A121">
        <v>129</v>
      </c>
      <c r="B121" s="331">
        <v>46162.871527777781</v>
      </c>
      <c r="C121" t="s">
        <v>894</v>
      </c>
      <c r="D121" t="s">
        <v>894</v>
      </c>
      <c r="E121" t="s">
        <v>372</v>
      </c>
      <c r="L121">
        <v>774546</v>
      </c>
      <c r="M121">
        <v>774546</v>
      </c>
    </row>
    <row r="122" spans="1:13">
      <c r="A122">
        <v>130</v>
      </c>
      <c r="B122" s="331">
        <v>46162.871527777781</v>
      </c>
      <c r="C122" t="s">
        <v>582</v>
      </c>
      <c r="D122" t="s">
        <v>582</v>
      </c>
      <c r="E122" t="s">
        <v>372</v>
      </c>
      <c r="L122">
        <v>521107</v>
      </c>
      <c r="M122">
        <v>521107</v>
      </c>
    </row>
    <row r="123" spans="1:13">
      <c r="A123">
        <v>131</v>
      </c>
      <c r="B123" s="331">
        <v>46162.871527777781</v>
      </c>
      <c r="C123" t="s">
        <v>896</v>
      </c>
      <c r="D123" t="s">
        <v>896</v>
      </c>
      <c r="E123" t="s">
        <v>372</v>
      </c>
      <c r="L123">
        <v>774798</v>
      </c>
      <c r="M123">
        <v>774798</v>
      </c>
    </row>
    <row r="124" spans="1:13">
      <c r="A124">
        <v>132</v>
      </c>
      <c r="B124" s="331">
        <v>46162.871527777781</v>
      </c>
      <c r="C124" t="s">
        <v>895</v>
      </c>
      <c r="D124" t="s">
        <v>895</v>
      </c>
      <c r="E124" t="s">
        <v>372</v>
      </c>
      <c r="L124">
        <v>775372</v>
      </c>
      <c r="M124">
        <v>775372</v>
      </c>
    </row>
    <row r="125" spans="1:13">
      <c r="A125">
        <v>133</v>
      </c>
      <c r="B125" s="331">
        <v>46162.871527777781</v>
      </c>
      <c r="C125" t="s">
        <v>581</v>
      </c>
      <c r="D125" t="s">
        <v>581</v>
      </c>
      <c r="E125" t="s">
        <v>372</v>
      </c>
      <c r="L125">
        <v>517816</v>
      </c>
      <c r="M125">
        <v>517816</v>
      </c>
    </row>
    <row r="126" spans="1:13">
      <c r="A126">
        <v>134</v>
      </c>
      <c r="B126" s="331">
        <v>46162.871527777781</v>
      </c>
      <c r="C126" t="s">
        <v>1081</v>
      </c>
      <c r="D126" t="s">
        <v>1081</v>
      </c>
      <c r="E126" t="s">
        <v>372</v>
      </c>
      <c r="L126">
        <v>644021</v>
      </c>
      <c r="M126">
        <v>644021</v>
      </c>
    </row>
    <row r="127" spans="1:13">
      <c r="A127">
        <v>135</v>
      </c>
      <c r="B127" s="331">
        <v>46162.871527777781</v>
      </c>
      <c r="C127" t="s">
        <v>350</v>
      </c>
      <c r="D127" t="s">
        <v>350</v>
      </c>
      <c r="E127" t="s">
        <v>372</v>
      </c>
      <c r="L127">
        <v>609778</v>
      </c>
      <c r="M127">
        <v>609778</v>
      </c>
    </row>
    <row r="128" spans="1:13">
      <c r="A128">
        <v>136</v>
      </c>
      <c r="B128" s="331">
        <v>46162.871527777781</v>
      </c>
      <c r="C128" t="s">
        <v>1080</v>
      </c>
      <c r="D128" t="s">
        <v>1080</v>
      </c>
      <c r="E128" t="s">
        <v>372</v>
      </c>
      <c r="L128">
        <v>679996</v>
      </c>
      <c r="M128">
        <v>679996</v>
      </c>
    </row>
    <row r="129" spans="1:13">
      <c r="A129">
        <v>137</v>
      </c>
      <c r="B129" s="331">
        <v>46162.870833333334</v>
      </c>
      <c r="C129" t="s">
        <v>336</v>
      </c>
      <c r="D129" t="s">
        <v>336</v>
      </c>
      <c r="E129" t="s">
        <v>4</v>
      </c>
      <c r="F129">
        <v>723898</v>
      </c>
      <c r="G129">
        <v>3701</v>
      </c>
      <c r="H129">
        <v>0</v>
      </c>
      <c r="I129">
        <v>727599</v>
      </c>
      <c r="J129">
        <v>5247</v>
      </c>
      <c r="K129">
        <v>0</v>
      </c>
      <c r="L129">
        <v>429807</v>
      </c>
      <c r="M129">
        <v>435054</v>
      </c>
    </row>
    <row r="130" spans="1:13">
      <c r="A130">
        <v>138</v>
      </c>
      <c r="B130" s="331">
        <v>46162.870833333334</v>
      </c>
      <c r="C130" t="s">
        <v>17</v>
      </c>
      <c r="D130" t="s">
        <v>17</v>
      </c>
      <c r="E130" t="s">
        <v>4</v>
      </c>
      <c r="F130">
        <v>3683683</v>
      </c>
      <c r="G130">
        <v>47126</v>
      </c>
      <c r="H130">
        <v>494</v>
      </c>
      <c r="I130">
        <v>3731303</v>
      </c>
      <c r="J130">
        <v>109419</v>
      </c>
      <c r="K130">
        <v>982</v>
      </c>
      <c r="L130">
        <v>2115353</v>
      </c>
      <c r="M130">
        <v>2225754</v>
      </c>
    </row>
    <row r="131" spans="1:13">
      <c r="A131">
        <v>139</v>
      </c>
      <c r="B131" s="331">
        <v>46162.870833333334</v>
      </c>
      <c r="C131" t="s">
        <v>29</v>
      </c>
      <c r="D131" t="s">
        <v>29</v>
      </c>
      <c r="E131" t="s">
        <v>4</v>
      </c>
      <c r="F131">
        <v>2269529</v>
      </c>
      <c r="G131">
        <v>23915</v>
      </c>
      <c r="H131">
        <v>20</v>
      </c>
      <c r="I131">
        <v>2293464</v>
      </c>
      <c r="J131">
        <v>78012</v>
      </c>
      <c r="K131">
        <v>100</v>
      </c>
      <c r="L131">
        <v>1362311</v>
      </c>
      <c r="M131">
        <v>1440423</v>
      </c>
    </row>
    <row r="132" spans="1:13">
      <c r="A132">
        <v>140</v>
      </c>
      <c r="B132" s="331">
        <v>46162.870833333334</v>
      </c>
      <c r="C132" t="s">
        <v>34</v>
      </c>
      <c r="D132" t="s">
        <v>34</v>
      </c>
      <c r="E132" t="s">
        <v>4</v>
      </c>
      <c r="F132">
        <v>3806876</v>
      </c>
      <c r="G132">
        <v>29185</v>
      </c>
      <c r="H132">
        <v>21</v>
      </c>
      <c r="I132">
        <v>3836082</v>
      </c>
      <c r="J132">
        <v>64241</v>
      </c>
      <c r="K132">
        <v>89</v>
      </c>
      <c r="L132">
        <v>2276697</v>
      </c>
      <c r="M132">
        <v>2341027</v>
      </c>
    </row>
    <row r="133" spans="1:13">
      <c r="A133">
        <v>141</v>
      </c>
      <c r="B133" s="331">
        <v>46162.870833333334</v>
      </c>
      <c r="C133" t="s">
        <v>18</v>
      </c>
      <c r="D133" t="s">
        <v>18</v>
      </c>
      <c r="E133" t="s">
        <v>4</v>
      </c>
      <c r="F133">
        <v>5721063</v>
      </c>
      <c r="G133">
        <v>61315</v>
      </c>
      <c r="H133">
        <v>741</v>
      </c>
      <c r="I133">
        <v>5783119</v>
      </c>
      <c r="J133">
        <v>126763</v>
      </c>
      <c r="K133">
        <v>1346</v>
      </c>
      <c r="L133">
        <v>3302681</v>
      </c>
      <c r="M133">
        <v>3430790</v>
      </c>
    </row>
    <row r="134" spans="1:13">
      <c r="A134">
        <v>142</v>
      </c>
      <c r="B134" s="331">
        <v>46162.870833333334</v>
      </c>
      <c r="C134" t="s">
        <v>16</v>
      </c>
      <c r="D134" t="s">
        <v>16</v>
      </c>
      <c r="E134" t="s">
        <v>4</v>
      </c>
      <c r="F134">
        <v>3292429</v>
      </c>
      <c r="G134">
        <v>43666</v>
      </c>
      <c r="H134">
        <v>516</v>
      </c>
      <c r="I134">
        <v>3336611</v>
      </c>
      <c r="J134">
        <v>107477</v>
      </c>
      <c r="K134">
        <v>988</v>
      </c>
      <c r="L134">
        <v>1908424</v>
      </c>
      <c r="M134">
        <v>2016889</v>
      </c>
    </row>
    <row r="135" spans="1:13">
      <c r="A135">
        <v>143</v>
      </c>
      <c r="B135" s="331">
        <v>46162.870833333334</v>
      </c>
      <c r="C135" t="s">
        <v>105</v>
      </c>
      <c r="D135" t="s">
        <v>105</v>
      </c>
      <c r="E135" t="s">
        <v>4</v>
      </c>
      <c r="F135">
        <v>2473256</v>
      </c>
      <c r="G135">
        <v>27067</v>
      </c>
      <c r="H135">
        <v>161</v>
      </c>
      <c r="I135">
        <v>2500484</v>
      </c>
      <c r="J135">
        <v>53181</v>
      </c>
      <c r="K135">
        <v>272</v>
      </c>
      <c r="L135">
        <v>1463379</v>
      </c>
      <c r="M135">
        <v>1516832</v>
      </c>
    </row>
    <row r="136" spans="1:13">
      <c r="A136">
        <v>144</v>
      </c>
      <c r="B136" s="331">
        <v>46162.870833333334</v>
      </c>
      <c r="C136" t="s">
        <v>21</v>
      </c>
      <c r="D136" t="s">
        <v>21</v>
      </c>
      <c r="E136" t="s">
        <v>4</v>
      </c>
      <c r="F136">
        <v>5700369</v>
      </c>
      <c r="G136">
        <v>56606</v>
      </c>
      <c r="H136">
        <v>631</v>
      </c>
      <c r="I136">
        <v>5757606</v>
      </c>
      <c r="J136">
        <v>107071</v>
      </c>
      <c r="K136">
        <v>1148</v>
      </c>
      <c r="L136">
        <v>3284632</v>
      </c>
      <c r="M136">
        <v>3392851</v>
      </c>
    </row>
    <row r="137" spans="1:13">
      <c r="A137">
        <v>145</v>
      </c>
      <c r="B137" s="331">
        <v>46162.870833333334</v>
      </c>
      <c r="C137" t="s">
        <v>690</v>
      </c>
      <c r="D137" t="s">
        <v>690</v>
      </c>
      <c r="E137" t="s">
        <v>4</v>
      </c>
      <c r="F137">
        <v>1600434</v>
      </c>
      <c r="G137">
        <v>14974</v>
      </c>
      <c r="H137">
        <v>0</v>
      </c>
      <c r="I137">
        <v>1615408</v>
      </c>
      <c r="J137">
        <v>29665</v>
      </c>
      <c r="K137">
        <v>0</v>
      </c>
      <c r="L137">
        <v>946360</v>
      </c>
      <c r="M137">
        <v>976025</v>
      </c>
    </row>
    <row r="138" spans="1:13">
      <c r="A138">
        <v>146</v>
      </c>
      <c r="B138" s="331">
        <v>46162.870833333334</v>
      </c>
      <c r="C138" t="s">
        <v>107</v>
      </c>
      <c r="D138" t="s">
        <v>107</v>
      </c>
      <c r="E138" t="s">
        <v>4</v>
      </c>
      <c r="F138">
        <v>4491476</v>
      </c>
      <c r="G138">
        <v>50721</v>
      </c>
      <c r="H138">
        <v>628</v>
      </c>
      <c r="I138">
        <v>4542825</v>
      </c>
      <c r="J138">
        <v>97636</v>
      </c>
      <c r="K138">
        <v>1111</v>
      </c>
      <c r="L138">
        <v>2587868</v>
      </c>
      <c r="M138">
        <v>2686615</v>
      </c>
    </row>
    <row r="139" spans="1:13">
      <c r="A139">
        <v>147</v>
      </c>
      <c r="B139" s="331">
        <v>46162.870833333334</v>
      </c>
      <c r="C139" t="s">
        <v>33</v>
      </c>
      <c r="D139" t="s">
        <v>33</v>
      </c>
      <c r="E139" t="s">
        <v>4</v>
      </c>
      <c r="F139">
        <v>3678076</v>
      </c>
      <c r="G139">
        <v>27457</v>
      </c>
      <c r="H139">
        <v>27</v>
      </c>
      <c r="I139">
        <v>3705560</v>
      </c>
      <c r="J139">
        <v>53570</v>
      </c>
      <c r="K139">
        <v>115</v>
      </c>
      <c r="L139">
        <v>2189724</v>
      </c>
      <c r="M139">
        <v>2243409</v>
      </c>
    </row>
    <row r="140" spans="1:13">
      <c r="A140">
        <v>148</v>
      </c>
      <c r="B140" s="331">
        <v>46162.870833333334</v>
      </c>
      <c r="C140" t="s">
        <v>345</v>
      </c>
      <c r="D140" t="s">
        <v>345</v>
      </c>
      <c r="E140" t="s">
        <v>4</v>
      </c>
      <c r="F140">
        <v>2015910</v>
      </c>
      <c r="G140">
        <v>27786</v>
      </c>
      <c r="H140">
        <v>0</v>
      </c>
      <c r="I140">
        <v>2043696</v>
      </c>
      <c r="J140">
        <v>46303</v>
      </c>
      <c r="K140">
        <v>0</v>
      </c>
      <c r="L140">
        <v>1139058</v>
      </c>
      <c r="M140">
        <v>1185361</v>
      </c>
    </row>
    <row r="141" spans="1:13">
      <c r="A141">
        <v>149</v>
      </c>
      <c r="B141" s="331">
        <v>46162.870833333334</v>
      </c>
      <c r="C141" t="s">
        <v>24</v>
      </c>
      <c r="D141" t="s">
        <v>24</v>
      </c>
      <c r="E141" t="s">
        <v>4</v>
      </c>
      <c r="F141">
        <v>1877114</v>
      </c>
      <c r="G141">
        <v>27707</v>
      </c>
      <c r="H141">
        <v>162</v>
      </c>
      <c r="I141">
        <v>1904983</v>
      </c>
      <c r="J141">
        <v>56616</v>
      </c>
      <c r="K141">
        <v>223</v>
      </c>
      <c r="L141">
        <v>1122570</v>
      </c>
      <c r="M141">
        <v>1179409</v>
      </c>
    </row>
    <row r="142" spans="1:13">
      <c r="A142">
        <v>150</v>
      </c>
      <c r="B142" s="331">
        <v>46162.870833333334</v>
      </c>
      <c r="C142" t="s">
        <v>31</v>
      </c>
      <c r="D142" t="s">
        <v>31</v>
      </c>
      <c r="E142" t="s">
        <v>4</v>
      </c>
      <c r="F142">
        <v>2904726</v>
      </c>
      <c r="G142">
        <v>24269</v>
      </c>
      <c r="H142">
        <v>24</v>
      </c>
      <c r="I142">
        <v>2929019</v>
      </c>
      <c r="J142">
        <v>72165</v>
      </c>
      <c r="K142">
        <v>89</v>
      </c>
      <c r="L142">
        <v>1652057</v>
      </c>
      <c r="M142">
        <v>1724311</v>
      </c>
    </row>
    <row r="143" spans="1:13">
      <c r="A143">
        <v>151</v>
      </c>
      <c r="B143" s="331">
        <v>46162.870833333334</v>
      </c>
      <c r="C143" t="s">
        <v>35</v>
      </c>
      <c r="D143" t="s">
        <v>35</v>
      </c>
      <c r="E143" t="s">
        <v>4</v>
      </c>
      <c r="F143">
        <v>3925843</v>
      </c>
      <c r="G143">
        <v>28083</v>
      </c>
      <c r="H143">
        <v>22</v>
      </c>
      <c r="I143">
        <v>3953948</v>
      </c>
      <c r="J143">
        <v>56201</v>
      </c>
      <c r="K143">
        <v>88</v>
      </c>
      <c r="L143">
        <v>2333019</v>
      </c>
      <c r="M143">
        <v>2389308</v>
      </c>
    </row>
    <row r="144" spans="1:13">
      <c r="A144">
        <v>152</v>
      </c>
      <c r="B144" s="331">
        <v>46162.870833333334</v>
      </c>
      <c r="C144" t="s">
        <v>1067</v>
      </c>
      <c r="D144" t="s">
        <v>1067</v>
      </c>
      <c r="E144" t="s">
        <v>4</v>
      </c>
      <c r="F144">
        <v>612215</v>
      </c>
      <c r="G144">
        <v>10531</v>
      </c>
      <c r="H144">
        <v>0</v>
      </c>
      <c r="I144">
        <v>622746</v>
      </c>
      <c r="J144">
        <v>21681</v>
      </c>
      <c r="K144">
        <v>0</v>
      </c>
      <c r="L144">
        <v>372061</v>
      </c>
      <c r="M144">
        <v>393742</v>
      </c>
    </row>
    <row r="145" spans="1:13">
      <c r="A145">
        <v>153</v>
      </c>
      <c r="B145" s="331">
        <v>46162.870833333334</v>
      </c>
      <c r="C145" t="s">
        <v>26</v>
      </c>
      <c r="D145" t="s">
        <v>26</v>
      </c>
      <c r="E145" t="s">
        <v>4</v>
      </c>
      <c r="F145">
        <v>1897468</v>
      </c>
      <c r="G145">
        <v>25165</v>
      </c>
      <c r="H145">
        <v>174</v>
      </c>
      <c r="I145">
        <v>1922807</v>
      </c>
      <c r="J145">
        <v>55563</v>
      </c>
      <c r="K145">
        <v>267</v>
      </c>
      <c r="L145">
        <v>1140281</v>
      </c>
      <c r="M145">
        <v>1196111</v>
      </c>
    </row>
    <row r="146" spans="1:13">
      <c r="A146">
        <v>154</v>
      </c>
      <c r="B146" s="331">
        <v>46162.870833333334</v>
      </c>
      <c r="C146" t="s">
        <v>108</v>
      </c>
      <c r="D146" t="s">
        <v>108</v>
      </c>
      <c r="E146" t="s">
        <v>4</v>
      </c>
      <c r="F146">
        <v>4456196</v>
      </c>
      <c r="G146">
        <v>49635</v>
      </c>
      <c r="H146">
        <v>649</v>
      </c>
      <c r="I146">
        <v>4506480</v>
      </c>
      <c r="J146">
        <v>95744</v>
      </c>
      <c r="K146">
        <v>1161</v>
      </c>
      <c r="L146">
        <v>2568408</v>
      </c>
      <c r="M146">
        <v>2665313</v>
      </c>
    </row>
    <row r="147" spans="1:13">
      <c r="A147">
        <v>155</v>
      </c>
      <c r="B147" s="331">
        <v>46162.870833333334</v>
      </c>
      <c r="C147" t="s">
        <v>132</v>
      </c>
      <c r="D147" t="s">
        <v>132</v>
      </c>
      <c r="E147" t="s">
        <v>4</v>
      </c>
      <c r="F147">
        <v>3867433</v>
      </c>
      <c r="G147">
        <v>28999</v>
      </c>
      <c r="H147">
        <v>21</v>
      </c>
      <c r="I147">
        <v>3896453</v>
      </c>
      <c r="J147">
        <v>59326</v>
      </c>
      <c r="K147">
        <v>86</v>
      </c>
      <c r="L147">
        <v>2296323</v>
      </c>
      <c r="M147">
        <v>2355735</v>
      </c>
    </row>
    <row r="148" spans="1:13">
      <c r="A148">
        <v>156</v>
      </c>
      <c r="B148" s="331">
        <v>46162.870833333334</v>
      </c>
      <c r="C148" t="s">
        <v>689</v>
      </c>
      <c r="D148" t="s">
        <v>689</v>
      </c>
      <c r="E148" t="s">
        <v>4</v>
      </c>
      <c r="F148">
        <v>1920574</v>
      </c>
      <c r="G148">
        <v>16761</v>
      </c>
      <c r="H148">
        <v>0</v>
      </c>
      <c r="I148">
        <v>1937335</v>
      </c>
      <c r="J148">
        <v>31445</v>
      </c>
      <c r="K148">
        <v>0</v>
      </c>
      <c r="L148">
        <v>1123764</v>
      </c>
      <c r="M148">
        <v>1155209</v>
      </c>
    </row>
    <row r="149" spans="1:13">
      <c r="A149">
        <v>157</v>
      </c>
      <c r="B149" s="331">
        <v>46162.870833333334</v>
      </c>
      <c r="C149" t="s">
        <v>346</v>
      </c>
      <c r="D149" t="s">
        <v>346</v>
      </c>
      <c r="E149" t="s">
        <v>4</v>
      </c>
      <c r="F149">
        <v>2445081</v>
      </c>
      <c r="G149">
        <v>30110</v>
      </c>
      <c r="H149">
        <v>0</v>
      </c>
      <c r="I149">
        <v>2475191</v>
      </c>
      <c r="J149">
        <v>52979</v>
      </c>
      <c r="K149">
        <v>0</v>
      </c>
      <c r="L149">
        <v>1402472</v>
      </c>
      <c r="M149">
        <v>1455451</v>
      </c>
    </row>
    <row r="150" spans="1:13">
      <c r="A150">
        <v>158</v>
      </c>
      <c r="B150" s="331">
        <v>46162.870833333334</v>
      </c>
      <c r="C150" t="s">
        <v>1111</v>
      </c>
      <c r="D150" t="s">
        <v>1111</v>
      </c>
      <c r="E150" t="s">
        <v>4</v>
      </c>
      <c r="F150">
        <v>860487</v>
      </c>
      <c r="G150">
        <v>6662</v>
      </c>
      <c r="H150">
        <v>0</v>
      </c>
      <c r="I150">
        <v>867149</v>
      </c>
      <c r="J150">
        <v>13398</v>
      </c>
      <c r="K150">
        <v>0</v>
      </c>
      <c r="L150">
        <v>506289</v>
      </c>
      <c r="M150">
        <v>519687</v>
      </c>
    </row>
    <row r="151" spans="1:13">
      <c r="A151">
        <v>159</v>
      </c>
      <c r="B151" s="331">
        <v>46162.870833333334</v>
      </c>
      <c r="C151" t="s">
        <v>22</v>
      </c>
      <c r="D151" t="s">
        <v>22</v>
      </c>
      <c r="E151" t="s">
        <v>4</v>
      </c>
      <c r="F151">
        <v>2848412</v>
      </c>
      <c r="G151">
        <v>36500</v>
      </c>
      <c r="H151">
        <v>373</v>
      </c>
      <c r="I151">
        <v>2885285</v>
      </c>
      <c r="J151">
        <v>63819</v>
      </c>
      <c r="K151">
        <v>635</v>
      </c>
      <c r="L151">
        <v>1620013</v>
      </c>
      <c r="M151">
        <v>1684467</v>
      </c>
    </row>
    <row r="152" spans="1:13">
      <c r="A152">
        <v>160</v>
      </c>
      <c r="B152" s="331">
        <v>46162.870833333334</v>
      </c>
      <c r="C152" t="s">
        <v>691</v>
      </c>
      <c r="D152" t="s">
        <v>691</v>
      </c>
      <c r="E152" t="s">
        <v>4</v>
      </c>
      <c r="F152">
        <v>1596415</v>
      </c>
      <c r="G152">
        <v>15318</v>
      </c>
      <c r="H152">
        <v>0</v>
      </c>
      <c r="I152">
        <v>1611733</v>
      </c>
      <c r="J152">
        <v>29916</v>
      </c>
      <c r="K152">
        <v>0</v>
      </c>
      <c r="L152">
        <v>943545</v>
      </c>
      <c r="M152">
        <v>973461</v>
      </c>
    </row>
    <row r="153" spans="1:13">
      <c r="A153">
        <v>161</v>
      </c>
      <c r="B153" s="331">
        <v>46162.870833333334</v>
      </c>
      <c r="C153" t="s">
        <v>1112</v>
      </c>
      <c r="D153" t="s">
        <v>1112</v>
      </c>
      <c r="E153" t="s">
        <v>4</v>
      </c>
      <c r="F153">
        <v>865604</v>
      </c>
      <c r="G153">
        <v>6692</v>
      </c>
      <c r="H153">
        <v>0</v>
      </c>
      <c r="I153">
        <v>872296</v>
      </c>
      <c r="J153">
        <v>13350</v>
      </c>
      <c r="K153">
        <v>0</v>
      </c>
      <c r="L153">
        <v>509385</v>
      </c>
      <c r="M153">
        <v>522735</v>
      </c>
    </row>
    <row r="154" spans="1:13">
      <c r="A154">
        <v>162</v>
      </c>
      <c r="B154" s="331">
        <v>46162.870833333334</v>
      </c>
      <c r="C154" t="s">
        <v>131</v>
      </c>
      <c r="D154" t="s">
        <v>131</v>
      </c>
      <c r="E154" t="s">
        <v>4</v>
      </c>
      <c r="F154">
        <v>3864620</v>
      </c>
      <c r="G154">
        <v>29521</v>
      </c>
      <c r="H154">
        <v>22</v>
      </c>
      <c r="I154">
        <v>3894163</v>
      </c>
      <c r="J154">
        <v>60478</v>
      </c>
      <c r="K154">
        <v>105</v>
      </c>
      <c r="L154">
        <v>2296676</v>
      </c>
      <c r="M154">
        <v>2357259</v>
      </c>
    </row>
    <row r="155" spans="1:13">
      <c r="A155">
        <v>163</v>
      </c>
      <c r="B155" s="331">
        <v>46162.870833333334</v>
      </c>
      <c r="C155" t="s">
        <v>20</v>
      </c>
      <c r="D155" t="s">
        <v>20</v>
      </c>
      <c r="E155" t="s">
        <v>4</v>
      </c>
      <c r="F155">
        <v>6082887</v>
      </c>
      <c r="G155">
        <v>62052</v>
      </c>
      <c r="H155">
        <v>730</v>
      </c>
      <c r="I155">
        <v>6145669</v>
      </c>
      <c r="J155">
        <v>123164</v>
      </c>
      <c r="K155">
        <v>1337</v>
      </c>
      <c r="L155">
        <v>3466297</v>
      </c>
      <c r="M155">
        <v>3590798</v>
      </c>
    </row>
    <row r="156" spans="1:13">
      <c r="A156">
        <v>164</v>
      </c>
      <c r="B156" s="331">
        <v>46162.870833333334</v>
      </c>
      <c r="C156" t="s">
        <v>32</v>
      </c>
      <c r="D156" t="s">
        <v>32</v>
      </c>
      <c r="E156" t="s">
        <v>4</v>
      </c>
      <c r="F156">
        <v>3591435</v>
      </c>
      <c r="G156">
        <v>27370</v>
      </c>
      <c r="H156">
        <v>25</v>
      </c>
      <c r="I156">
        <v>3618830</v>
      </c>
      <c r="J156">
        <v>57905</v>
      </c>
      <c r="K156">
        <v>95</v>
      </c>
      <c r="L156">
        <v>2135759</v>
      </c>
      <c r="M156">
        <v>2193759</v>
      </c>
    </row>
    <row r="157" spans="1:13">
      <c r="A157">
        <v>167</v>
      </c>
      <c r="B157" s="331">
        <v>46162.870833333334</v>
      </c>
      <c r="C157" t="s">
        <v>1133</v>
      </c>
      <c r="D157" t="s">
        <v>1133</v>
      </c>
      <c r="E157" t="s">
        <v>4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</row>
    <row r="158" spans="1:13">
      <c r="A158">
        <v>169</v>
      </c>
      <c r="B158" s="331">
        <v>46162.870833333334</v>
      </c>
      <c r="C158" t="s">
        <v>106</v>
      </c>
      <c r="D158" t="s">
        <v>106</v>
      </c>
      <c r="E158" t="s">
        <v>4</v>
      </c>
      <c r="F158">
        <v>2972257</v>
      </c>
      <c r="G158">
        <v>39612</v>
      </c>
      <c r="H158">
        <v>435</v>
      </c>
      <c r="I158">
        <v>3012304</v>
      </c>
      <c r="J158">
        <v>70403</v>
      </c>
      <c r="K158">
        <v>798</v>
      </c>
      <c r="L158">
        <v>1688720</v>
      </c>
      <c r="M158">
        <v>1759921</v>
      </c>
    </row>
    <row r="159" spans="1:13">
      <c r="A159">
        <v>170</v>
      </c>
      <c r="B159" s="331">
        <v>46162.870833333334</v>
      </c>
      <c r="C159" t="s">
        <v>27</v>
      </c>
      <c r="D159" t="s">
        <v>27</v>
      </c>
      <c r="E159" t="s">
        <v>4</v>
      </c>
      <c r="F159">
        <v>1811970</v>
      </c>
      <c r="G159">
        <v>25108</v>
      </c>
      <c r="H159">
        <v>161</v>
      </c>
      <c r="I159">
        <v>1837239</v>
      </c>
      <c r="J159">
        <v>52546</v>
      </c>
      <c r="K159">
        <v>270</v>
      </c>
      <c r="L159">
        <v>1085958</v>
      </c>
      <c r="M159">
        <v>1138774</v>
      </c>
    </row>
    <row r="160" spans="1:13">
      <c r="A160">
        <v>171</v>
      </c>
      <c r="B160" s="331">
        <v>46162.870833333334</v>
      </c>
      <c r="C160" t="s">
        <v>19</v>
      </c>
      <c r="D160" t="s">
        <v>19</v>
      </c>
      <c r="E160" t="s">
        <v>4</v>
      </c>
      <c r="F160">
        <v>5455864</v>
      </c>
      <c r="G160">
        <v>58352</v>
      </c>
      <c r="H160">
        <v>669</v>
      </c>
      <c r="I160">
        <v>5514885</v>
      </c>
      <c r="J160">
        <v>116780</v>
      </c>
      <c r="K160">
        <v>1206</v>
      </c>
      <c r="L160">
        <v>3146553</v>
      </c>
      <c r="M160">
        <v>3264539</v>
      </c>
    </row>
    <row r="161" spans="1:13">
      <c r="A161">
        <v>172</v>
      </c>
      <c r="B161" s="331">
        <v>46162.870833333334</v>
      </c>
      <c r="C161" t="s">
        <v>1068</v>
      </c>
      <c r="D161" t="s">
        <v>1068</v>
      </c>
      <c r="E161" t="s">
        <v>4</v>
      </c>
      <c r="F161">
        <v>613275</v>
      </c>
      <c r="G161">
        <v>10564</v>
      </c>
      <c r="H161">
        <v>0</v>
      </c>
      <c r="I161">
        <v>623839</v>
      </c>
      <c r="J161">
        <v>21806</v>
      </c>
      <c r="K161">
        <v>0</v>
      </c>
      <c r="L161">
        <v>372475</v>
      </c>
      <c r="M161">
        <v>394281</v>
      </c>
    </row>
    <row r="162" spans="1:13">
      <c r="A162">
        <v>173</v>
      </c>
      <c r="B162" s="331">
        <v>46162.869444444441</v>
      </c>
      <c r="C162" t="s">
        <v>34</v>
      </c>
      <c r="D162" t="s">
        <v>34</v>
      </c>
      <c r="E162" t="s">
        <v>4</v>
      </c>
      <c r="F162">
        <v>3807532</v>
      </c>
      <c r="G162">
        <v>29222</v>
      </c>
      <c r="H162">
        <v>22</v>
      </c>
      <c r="I162">
        <v>3836776</v>
      </c>
      <c r="J162">
        <v>64266</v>
      </c>
      <c r="K162">
        <v>92</v>
      </c>
      <c r="L162">
        <v>2276994</v>
      </c>
      <c r="M162">
        <v>2341352</v>
      </c>
    </row>
    <row r="163" spans="1:13">
      <c r="A163">
        <v>174</v>
      </c>
      <c r="B163" s="331">
        <v>46162.869444444441</v>
      </c>
      <c r="C163" t="s">
        <v>346</v>
      </c>
      <c r="D163" t="s">
        <v>346</v>
      </c>
      <c r="E163" t="s">
        <v>4</v>
      </c>
      <c r="F163">
        <v>2445524</v>
      </c>
      <c r="G163">
        <v>30152</v>
      </c>
      <c r="H163">
        <v>0</v>
      </c>
      <c r="I163">
        <v>2475676</v>
      </c>
      <c r="J163">
        <v>52981</v>
      </c>
      <c r="K163">
        <v>0</v>
      </c>
      <c r="L163">
        <v>1402759</v>
      </c>
      <c r="M163">
        <v>1455740</v>
      </c>
    </row>
    <row r="164" spans="1:13">
      <c r="A164">
        <v>175</v>
      </c>
      <c r="B164" s="331">
        <v>46162.869444444441</v>
      </c>
      <c r="C164" t="s">
        <v>1111</v>
      </c>
      <c r="D164" t="s">
        <v>1111</v>
      </c>
      <c r="E164" t="s">
        <v>4</v>
      </c>
      <c r="F164">
        <v>860571</v>
      </c>
      <c r="G164">
        <v>6712</v>
      </c>
      <c r="H164">
        <v>0</v>
      </c>
      <c r="I164">
        <v>867283</v>
      </c>
      <c r="J164">
        <v>13390</v>
      </c>
      <c r="K164">
        <v>0</v>
      </c>
      <c r="L164">
        <v>506320</v>
      </c>
      <c r="M164">
        <v>519710</v>
      </c>
    </row>
    <row r="165" spans="1:13">
      <c r="A165">
        <v>176</v>
      </c>
      <c r="B165" s="331">
        <v>46162.869444444441</v>
      </c>
      <c r="C165" t="s">
        <v>336</v>
      </c>
      <c r="D165" t="s">
        <v>336</v>
      </c>
      <c r="E165" t="s">
        <v>4</v>
      </c>
      <c r="F165">
        <v>724019</v>
      </c>
      <c r="G165">
        <v>3692</v>
      </c>
      <c r="H165">
        <v>0</v>
      </c>
      <c r="I165">
        <v>727711</v>
      </c>
      <c r="J165">
        <v>5250</v>
      </c>
      <c r="K165">
        <v>0</v>
      </c>
      <c r="L165">
        <v>429842</v>
      </c>
      <c r="M165">
        <v>435092</v>
      </c>
    </row>
    <row r="166" spans="1:13">
      <c r="A166">
        <v>178</v>
      </c>
      <c r="B166" s="331">
        <v>46162.869444444441</v>
      </c>
      <c r="C166" t="s">
        <v>1112</v>
      </c>
      <c r="D166" t="s">
        <v>1112</v>
      </c>
      <c r="E166" t="s">
        <v>4</v>
      </c>
      <c r="F166">
        <v>865473</v>
      </c>
      <c r="G166">
        <v>6743</v>
      </c>
      <c r="H166">
        <v>0</v>
      </c>
      <c r="I166">
        <v>872216</v>
      </c>
      <c r="J166">
        <v>13402</v>
      </c>
      <c r="K166">
        <v>0</v>
      </c>
      <c r="L166">
        <v>509288</v>
      </c>
      <c r="M166">
        <v>522690</v>
      </c>
    </row>
    <row r="167" spans="1:13">
      <c r="A167">
        <v>179</v>
      </c>
      <c r="B167" s="331">
        <v>46162.869444444441</v>
      </c>
      <c r="C167" t="s">
        <v>32</v>
      </c>
      <c r="D167" t="s">
        <v>32</v>
      </c>
      <c r="E167" t="s">
        <v>4</v>
      </c>
      <c r="F167">
        <v>3591864</v>
      </c>
      <c r="G167">
        <v>27401</v>
      </c>
      <c r="H167">
        <v>26</v>
      </c>
      <c r="I167">
        <v>3619291</v>
      </c>
      <c r="J167">
        <v>57875</v>
      </c>
      <c r="K167">
        <v>97</v>
      </c>
      <c r="L167">
        <v>2135960</v>
      </c>
      <c r="M167">
        <v>2193932</v>
      </c>
    </row>
    <row r="168" spans="1:13">
      <c r="A168">
        <v>180</v>
      </c>
      <c r="B168" s="331">
        <v>46162.869444444441</v>
      </c>
      <c r="C168" t="s">
        <v>345</v>
      </c>
      <c r="D168" t="s">
        <v>345</v>
      </c>
      <c r="E168" t="s">
        <v>4</v>
      </c>
      <c r="F168">
        <v>2016562</v>
      </c>
      <c r="G168">
        <v>27712</v>
      </c>
      <c r="H168">
        <v>0</v>
      </c>
      <c r="I168">
        <v>2044274</v>
      </c>
      <c r="J168">
        <v>46216</v>
      </c>
      <c r="K168">
        <v>0</v>
      </c>
      <c r="L168">
        <v>1139427</v>
      </c>
      <c r="M168">
        <v>1185643</v>
      </c>
    </row>
    <row r="169" spans="1:13">
      <c r="A169">
        <v>181</v>
      </c>
      <c r="B169" s="331">
        <v>46162.869444444441</v>
      </c>
      <c r="C169" t="s">
        <v>21</v>
      </c>
      <c r="D169" t="s">
        <v>21</v>
      </c>
      <c r="E169" t="s">
        <v>4</v>
      </c>
      <c r="F169">
        <v>5700897</v>
      </c>
      <c r="G169">
        <v>56851</v>
      </c>
      <c r="H169">
        <v>638</v>
      </c>
      <c r="I169">
        <v>5758386</v>
      </c>
      <c r="J169">
        <v>107165</v>
      </c>
      <c r="K169">
        <v>1154</v>
      </c>
      <c r="L169">
        <v>3284947</v>
      </c>
      <c r="M169">
        <v>3393266</v>
      </c>
    </row>
    <row r="170" spans="1:13">
      <c r="A170">
        <v>182</v>
      </c>
      <c r="B170" s="331">
        <v>46162.869444444441</v>
      </c>
      <c r="C170" t="s">
        <v>107</v>
      </c>
      <c r="D170" t="s">
        <v>107</v>
      </c>
      <c r="E170" t="s">
        <v>4</v>
      </c>
      <c r="F170">
        <v>4492501</v>
      </c>
      <c r="G170">
        <v>50654</v>
      </c>
      <c r="H170">
        <v>636</v>
      </c>
      <c r="I170">
        <v>4543791</v>
      </c>
      <c r="J170">
        <v>97512</v>
      </c>
      <c r="K170">
        <v>1116</v>
      </c>
      <c r="L170">
        <v>2588480</v>
      </c>
      <c r="M170">
        <v>2687108</v>
      </c>
    </row>
    <row r="171" spans="1:13">
      <c r="A171">
        <v>183</v>
      </c>
      <c r="B171" s="331">
        <v>46162.869444444441</v>
      </c>
      <c r="C171" t="s">
        <v>31</v>
      </c>
      <c r="D171" t="s">
        <v>31</v>
      </c>
      <c r="E171" t="s">
        <v>4</v>
      </c>
      <c r="F171">
        <v>2905366</v>
      </c>
      <c r="G171">
        <v>24127</v>
      </c>
      <c r="H171">
        <v>26</v>
      </c>
      <c r="I171">
        <v>2929519</v>
      </c>
      <c r="J171">
        <v>72007</v>
      </c>
      <c r="K171">
        <v>90</v>
      </c>
      <c r="L171">
        <v>1652272</v>
      </c>
      <c r="M171">
        <v>1724369</v>
      </c>
    </row>
    <row r="172" spans="1:13">
      <c r="A172">
        <v>184</v>
      </c>
      <c r="B172" s="331">
        <v>46162.869444444441</v>
      </c>
      <c r="C172" t="s">
        <v>1068</v>
      </c>
      <c r="D172" t="s">
        <v>1068</v>
      </c>
      <c r="E172" t="s">
        <v>4</v>
      </c>
      <c r="F172">
        <v>613478</v>
      </c>
      <c r="G172">
        <v>10623</v>
      </c>
      <c r="H172">
        <v>0</v>
      </c>
      <c r="I172">
        <v>624101</v>
      </c>
      <c r="J172">
        <v>21794</v>
      </c>
      <c r="K172">
        <v>0</v>
      </c>
      <c r="L172">
        <v>372572</v>
      </c>
      <c r="M172">
        <v>394366</v>
      </c>
    </row>
    <row r="173" spans="1:13">
      <c r="A173">
        <v>186</v>
      </c>
      <c r="B173" s="331">
        <v>46162.869444444441</v>
      </c>
      <c r="C173" t="s">
        <v>131</v>
      </c>
      <c r="D173" t="s">
        <v>131</v>
      </c>
      <c r="E173" t="s">
        <v>4</v>
      </c>
      <c r="F173">
        <v>3865169</v>
      </c>
      <c r="G173">
        <v>29459</v>
      </c>
      <c r="H173">
        <v>22</v>
      </c>
      <c r="I173">
        <v>3894650</v>
      </c>
      <c r="J173">
        <v>60463</v>
      </c>
      <c r="K173">
        <v>105</v>
      </c>
      <c r="L173">
        <v>2296966</v>
      </c>
      <c r="M173">
        <v>2357534</v>
      </c>
    </row>
    <row r="174" spans="1:13">
      <c r="A174">
        <v>187</v>
      </c>
      <c r="B174" s="331">
        <v>46162.869444444441</v>
      </c>
      <c r="C174" t="s">
        <v>17</v>
      </c>
      <c r="D174" t="s">
        <v>17</v>
      </c>
      <c r="E174" t="s">
        <v>4</v>
      </c>
      <c r="F174">
        <v>3684530</v>
      </c>
      <c r="G174">
        <v>47099</v>
      </c>
      <c r="H174">
        <v>494</v>
      </c>
      <c r="I174">
        <v>3732123</v>
      </c>
      <c r="J174">
        <v>109340</v>
      </c>
      <c r="K174">
        <v>976</v>
      </c>
      <c r="L174">
        <v>2115839</v>
      </c>
      <c r="M174">
        <v>2226155</v>
      </c>
    </row>
    <row r="175" spans="1:13">
      <c r="A175">
        <v>188</v>
      </c>
      <c r="B175" s="331">
        <v>46162.869444444441</v>
      </c>
      <c r="C175" t="s">
        <v>106</v>
      </c>
      <c r="D175" t="s">
        <v>106</v>
      </c>
      <c r="E175" t="s">
        <v>4</v>
      </c>
      <c r="F175">
        <v>2972863</v>
      </c>
      <c r="G175">
        <v>39605</v>
      </c>
      <c r="H175">
        <v>451</v>
      </c>
      <c r="I175">
        <v>3012919</v>
      </c>
      <c r="J175">
        <v>70361</v>
      </c>
      <c r="K175">
        <v>819</v>
      </c>
      <c r="L175">
        <v>1689178</v>
      </c>
      <c r="M175">
        <v>1760358</v>
      </c>
    </row>
    <row r="176" spans="1:13">
      <c r="A176">
        <v>189</v>
      </c>
      <c r="B176" s="331">
        <v>46162.869444444441</v>
      </c>
      <c r="C176" t="s">
        <v>1067</v>
      </c>
      <c r="D176" t="s">
        <v>1067</v>
      </c>
      <c r="E176" t="s">
        <v>4</v>
      </c>
      <c r="F176">
        <v>612555</v>
      </c>
      <c r="G176">
        <v>10570</v>
      </c>
      <c r="H176">
        <v>0</v>
      </c>
      <c r="I176">
        <v>623125</v>
      </c>
      <c r="J176">
        <v>21652</v>
      </c>
      <c r="K176">
        <v>0</v>
      </c>
      <c r="L176">
        <v>372172</v>
      </c>
      <c r="M176">
        <v>393824</v>
      </c>
    </row>
    <row r="177" spans="1:13">
      <c r="A177">
        <v>190</v>
      </c>
      <c r="B177" s="331">
        <v>46162.869444444441</v>
      </c>
      <c r="C177" t="s">
        <v>22</v>
      </c>
      <c r="D177" t="s">
        <v>22</v>
      </c>
      <c r="E177" t="s">
        <v>4</v>
      </c>
      <c r="F177">
        <v>2848694</v>
      </c>
      <c r="G177">
        <v>36559</v>
      </c>
      <c r="H177">
        <v>368</v>
      </c>
      <c r="I177">
        <v>2885621</v>
      </c>
      <c r="J177">
        <v>63858</v>
      </c>
      <c r="K177">
        <v>625</v>
      </c>
      <c r="L177">
        <v>1620215</v>
      </c>
      <c r="M177">
        <v>1684698</v>
      </c>
    </row>
    <row r="178" spans="1:13">
      <c r="A178">
        <v>191</v>
      </c>
      <c r="B178" s="331">
        <v>46162.869444444441</v>
      </c>
      <c r="C178" t="s">
        <v>689</v>
      </c>
      <c r="D178" t="s">
        <v>689</v>
      </c>
      <c r="E178" t="s">
        <v>4</v>
      </c>
      <c r="F178">
        <v>1920868</v>
      </c>
      <c r="G178">
        <v>16764</v>
      </c>
      <c r="H178">
        <v>0</v>
      </c>
      <c r="I178">
        <v>1937632</v>
      </c>
      <c r="J178">
        <v>31359</v>
      </c>
      <c r="K178">
        <v>0</v>
      </c>
      <c r="L178">
        <v>1123937</v>
      </c>
      <c r="M178">
        <v>1155296</v>
      </c>
    </row>
    <row r="179" spans="1:13">
      <c r="A179">
        <v>192</v>
      </c>
      <c r="B179" s="331">
        <v>46162.869444444441</v>
      </c>
      <c r="C179" t="s">
        <v>1133</v>
      </c>
      <c r="D179" t="s">
        <v>1133</v>
      </c>
      <c r="E179" t="s">
        <v>4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</row>
    <row r="180" spans="1:13">
      <c r="A180">
        <v>193</v>
      </c>
      <c r="B180" s="331">
        <v>46162.869444444441</v>
      </c>
      <c r="C180" t="s">
        <v>26</v>
      </c>
      <c r="D180" t="s">
        <v>26</v>
      </c>
      <c r="E180" t="s">
        <v>4</v>
      </c>
      <c r="F180">
        <v>1897706</v>
      </c>
      <c r="G180">
        <v>25256</v>
      </c>
      <c r="H180">
        <v>169</v>
      </c>
      <c r="I180">
        <v>1923131</v>
      </c>
      <c r="J180">
        <v>55643</v>
      </c>
      <c r="K180">
        <v>259</v>
      </c>
      <c r="L180">
        <v>1140346</v>
      </c>
      <c r="M180">
        <v>1196248</v>
      </c>
    </row>
    <row r="181" spans="1:13">
      <c r="A181">
        <v>194</v>
      </c>
      <c r="B181" s="331">
        <v>46162.869444444441</v>
      </c>
      <c r="C181" t="s">
        <v>108</v>
      </c>
      <c r="D181" t="s">
        <v>108</v>
      </c>
      <c r="E181" t="s">
        <v>4</v>
      </c>
      <c r="F181">
        <v>4456697</v>
      </c>
      <c r="G181">
        <v>49589</v>
      </c>
      <c r="H181">
        <v>653</v>
      </c>
      <c r="I181">
        <v>4506939</v>
      </c>
      <c r="J181">
        <v>95701</v>
      </c>
      <c r="K181">
        <v>1165</v>
      </c>
      <c r="L181">
        <v>2568844</v>
      </c>
      <c r="M181">
        <v>2665710</v>
      </c>
    </row>
    <row r="182" spans="1:13">
      <c r="A182">
        <v>195</v>
      </c>
      <c r="B182" s="331">
        <v>46162.869444444441</v>
      </c>
      <c r="C182" t="s">
        <v>105</v>
      </c>
      <c r="D182" t="s">
        <v>105</v>
      </c>
      <c r="E182" t="s">
        <v>4</v>
      </c>
      <c r="F182">
        <v>2473710</v>
      </c>
      <c r="G182">
        <v>27115</v>
      </c>
      <c r="H182">
        <v>167</v>
      </c>
      <c r="I182">
        <v>2500992</v>
      </c>
      <c r="J182">
        <v>53213</v>
      </c>
      <c r="K182">
        <v>279</v>
      </c>
      <c r="L182">
        <v>1463576</v>
      </c>
      <c r="M182">
        <v>1517068</v>
      </c>
    </row>
    <row r="183" spans="1:13">
      <c r="A183">
        <v>196</v>
      </c>
      <c r="B183" s="331">
        <v>46162.869444444441</v>
      </c>
      <c r="C183" t="s">
        <v>20</v>
      </c>
      <c r="D183" t="s">
        <v>20</v>
      </c>
      <c r="E183" t="s">
        <v>4</v>
      </c>
      <c r="F183">
        <v>6084181</v>
      </c>
      <c r="G183">
        <v>62055</v>
      </c>
      <c r="H183">
        <v>741</v>
      </c>
      <c r="I183">
        <v>6146977</v>
      </c>
      <c r="J183">
        <v>123131</v>
      </c>
      <c r="K183">
        <v>1332</v>
      </c>
      <c r="L183">
        <v>3467009</v>
      </c>
      <c r="M183">
        <v>3591472</v>
      </c>
    </row>
    <row r="184" spans="1:13">
      <c r="A184">
        <v>197</v>
      </c>
      <c r="B184" s="331">
        <v>46162.869444444441</v>
      </c>
      <c r="C184" t="s">
        <v>132</v>
      </c>
      <c r="D184" t="s">
        <v>132</v>
      </c>
      <c r="E184" t="s">
        <v>4</v>
      </c>
      <c r="F184">
        <v>3867981</v>
      </c>
      <c r="G184">
        <v>29056</v>
      </c>
      <c r="H184">
        <v>22</v>
      </c>
      <c r="I184">
        <v>3897059</v>
      </c>
      <c r="J184">
        <v>59369</v>
      </c>
      <c r="K184">
        <v>89</v>
      </c>
      <c r="L184">
        <v>2296540</v>
      </c>
      <c r="M184">
        <v>2355998</v>
      </c>
    </row>
    <row r="185" spans="1:13">
      <c r="A185">
        <v>198</v>
      </c>
      <c r="B185" s="331">
        <v>46162.869444444441</v>
      </c>
      <c r="C185" t="s">
        <v>18</v>
      </c>
      <c r="D185" t="s">
        <v>18</v>
      </c>
      <c r="E185" t="s">
        <v>4</v>
      </c>
      <c r="F185">
        <v>5721648</v>
      </c>
      <c r="G185">
        <v>61602</v>
      </c>
      <c r="H185">
        <v>729</v>
      </c>
      <c r="I185">
        <v>5783979</v>
      </c>
      <c r="J185">
        <v>126914</v>
      </c>
      <c r="K185">
        <v>1327</v>
      </c>
      <c r="L185">
        <v>3303156</v>
      </c>
      <c r="M185">
        <v>3431397</v>
      </c>
    </row>
    <row r="186" spans="1:13">
      <c r="A186">
        <v>199</v>
      </c>
      <c r="B186" s="331">
        <v>46162.869444444441</v>
      </c>
      <c r="C186" t="s">
        <v>690</v>
      </c>
      <c r="D186" t="s">
        <v>690</v>
      </c>
      <c r="E186" t="s">
        <v>4</v>
      </c>
      <c r="F186">
        <v>1600579</v>
      </c>
      <c r="G186">
        <v>14949</v>
      </c>
      <c r="H186">
        <v>0</v>
      </c>
      <c r="I186">
        <v>1615528</v>
      </c>
      <c r="J186">
        <v>29614</v>
      </c>
      <c r="K186">
        <v>0</v>
      </c>
      <c r="L186">
        <v>946447</v>
      </c>
      <c r="M186">
        <v>976061</v>
      </c>
    </row>
    <row r="187" spans="1:13">
      <c r="A187">
        <v>200</v>
      </c>
      <c r="B187" s="331">
        <v>46162.869444444441</v>
      </c>
      <c r="C187" t="s">
        <v>691</v>
      </c>
      <c r="D187" t="s">
        <v>691</v>
      </c>
      <c r="E187" t="s">
        <v>4</v>
      </c>
      <c r="F187">
        <v>1596756</v>
      </c>
      <c r="G187">
        <v>15285</v>
      </c>
      <c r="H187">
        <v>0</v>
      </c>
      <c r="I187">
        <v>1612041</v>
      </c>
      <c r="J187">
        <v>29830</v>
      </c>
      <c r="K187">
        <v>0</v>
      </c>
      <c r="L187">
        <v>943711</v>
      </c>
      <c r="M187">
        <v>973541</v>
      </c>
    </row>
    <row r="188" spans="1:13">
      <c r="A188">
        <v>201</v>
      </c>
      <c r="B188" s="331">
        <v>46162.869444444441</v>
      </c>
      <c r="C188" t="s">
        <v>33</v>
      </c>
      <c r="D188" t="s">
        <v>33</v>
      </c>
      <c r="E188" t="s">
        <v>4</v>
      </c>
      <c r="F188">
        <v>3678706</v>
      </c>
      <c r="G188">
        <v>27445</v>
      </c>
      <c r="H188">
        <v>27</v>
      </c>
      <c r="I188">
        <v>3706178</v>
      </c>
      <c r="J188">
        <v>53522</v>
      </c>
      <c r="K188">
        <v>114</v>
      </c>
      <c r="L188">
        <v>2189976</v>
      </c>
      <c r="M188">
        <v>2243612</v>
      </c>
    </row>
    <row r="189" spans="1:13">
      <c r="A189">
        <v>202</v>
      </c>
      <c r="B189" s="331">
        <v>46162.869444444441</v>
      </c>
      <c r="C189" t="s">
        <v>24</v>
      </c>
      <c r="D189" t="s">
        <v>24</v>
      </c>
      <c r="E189" t="s">
        <v>4</v>
      </c>
      <c r="F189">
        <v>1877497</v>
      </c>
      <c r="G189">
        <v>27689</v>
      </c>
      <c r="H189">
        <v>160</v>
      </c>
      <c r="I189">
        <v>1905346</v>
      </c>
      <c r="J189">
        <v>56682</v>
      </c>
      <c r="K189">
        <v>228</v>
      </c>
      <c r="L189">
        <v>1122730</v>
      </c>
      <c r="M189">
        <v>1179640</v>
      </c>
    </row>
    <row r="190" spans="1:13">
      <c r="A190">
        <v>203</v>
      </c>
      <c r="B190" s="331">
        <v>46162.869444444441</v>
      </c>
      <c r="C190" t="s">
        <v>29</v>
      </c>
      <c r="D190" t="s">
        <v>29</v>
      </c>
      <c r="E190" t="s">
        <v>4</v>
      </c>
      <c r="F190">
        <v>2269729</v>
      </c>
      <c r="G190">
        <v>23831</v>
      </c>
      <c r="H190">
        <v>19</v>
      </c>
      <c r="I190">
        <v>2293579</v>
      </c>
      <c r="J190">
        <v>77861</v>
      </c>
      <c r="K190">
        <v>102</v>
      </c>
      <c r="L190">
        <v>1362432</v>
      </c>
      <c r="M190">
        <v>1440395</v>
      </c>
    </row>
    <row r="191" spans="1:13">
      <c r="A191">
        <v>204</v>
      </c>
      <c r="B191" s="331">
        <v>46162.869444444441</v>
      </c>
      <c r="C191" t="s">
        <v>16</v>
      </c>
      <c r="D191" t="s">
        <v>16</v>
      </c>
      <c r="E191" t="s">
        <v>4</v>
      </c>
      <c r="F191">
        <v>3293037</v>
      </c>
      <c r="G191">
        <v>43675</v>
      </c>
      <c r="H191">
        <v>509</v>
      </c>
      <c r="I191">
        <v>3337221</v>
      </c>
      <c r="J191">
        <v>107513</v>
      </c>
      <c r="K191">
        <v>992</v>
      </c>
      <c r="L191">
        <v>1908754</v>
      </c>
      <c r="M191">
        <v>2017259</v>
      </c>
    </row>
    <row r="192" spans="1:13">
      <c r="A192">
        <v>205</v>
      </c>
      <c r="B192" s="331">
        <v>46162.869444444441</v>
      </c>
      <c r="C192" t="s">
        <v>19</v>
      </c>
      <c r="D192" t="s">
        <v>19</v>
      </c>
      <c r="E192" t="s">
        <v>4</v>
      </c>
      <c r="F192">
        <v>5456508</v>
      </c>
      <c r="G192">
        <v>58450</v>
      </c>
      <c r="H192">
        <v>660</v>
      </c>
      <c r="I192">
        <v>5515618</v>
      </c>
      <c r="J192">
        <v>116863</v>
      </c>
      <c r="K192">
        <v>1201</v>
      </c>
      <c r="L192">
        <v>3147026</v>
      </c>
      <c r="M192">
        <v>3265090</v>
      </c>
    </row>
    <row r="193" spans="1:13">
      <c r="A193">
        <v>207</v>
      </c>
      <c r="B193" s="331">
        <v>46162.869444444441</v>
      </c>
      <c r="C193" t="s">
        <v>27</v>
      </c>
      <c r="D193" t="s">
        <v>27</v>
      </c>
      <c r="E193" t="s">
        <v>4</v>
      </c>
      <c r="F193">
        <v>1812318</v>
      </c>
      <c r="G193">
        <v>25251</v>
      </c>
      <c r="H193">
        <v>163</v>
      </c>
      <c r="I193">
        <v>1837732</v>
      </c>
      <c r="J193">
        <v>52621</v>
      </c>
      <c r="K193">
        <v>277</v>
      </c>
      <c r="L193">
        <v>1086086</v>
      </c>
      <c r="M193">
        <v>1138984</v>
      </c>
    </row>
    <row r="194" spans="1:13">
      <c r="A194">
        <v>208</v>
      </c>
      <c r="B194" s="331">
        <v>46162.869444444441</v>
      </c>
      <c r="C194" t="s">
        <v>35</v>
      </c>
      <c r="D194" t="s">
        <v>35</v>
      </c>
      <c r="E194" t="s">
        <v>4</v>
      </c>
      <c r="F194">
        <v>3926340</v>
      </c>
      <c r="G194">
        <v>27971</v>
      </c>
      <c r="H194">
        <v>23</v>
      </c>
      <c r="I194">
        <v>3954334</v>
      </c>
      <c r="J194">
        <v>56060</v>
      </c>
      <c r="K194">
        <v>89</v>
      </c>
      <c r="L194">
        <v>2333339</v>
      </c>
      <c r="M194">
        <v>2389488</v>
      </c>
    </row>
    <row r="195" spans="1:13">
      <c r="A195">
        <v>209</v>
      </c>
      <c r="B195" s="331">
        <v>46162.868055555555</v>
      </c>
      <c r="C195" t="s">
        <v>581</v>
      </c>
      <c r="D195" t="s">
        <v>581</v>
      </c>
      <c r="E195" t="s">
        <v>372</v>
      </c>
      <c r="L195">
        <v>518122</v>
      </c>
      <c r="M195">
        <v>518122</v>
      </c>
    </row>
    <row r="196" spans="1:13">
      <c r="A196">
        <v>210</v>
      </c>
      <c r="B196" s="331">
        <v>46162.868055555555</v>
      </c>
      <c r="C196" t="s">
        <v>580</v>
      </c>
      <c r="D196" t="s">
        <v>580</v>
      </c>
      <c r="E196" t="s">
        <v>372</v>
      </c>
      <c r="L196">
        <v>550875</v>
      </c>
      <c r="M196">
        <v>550875</v>
      </c>
    </row>
    <row r="197" spans="1:13">
      <c r="A197">
        <v>211</v>
      </c>
      <c r="B197" s="331">
        <v>46162.868055555555</v>
      </c>
      <c r="C197" t="s">
        <v>1080</v>
      </c>
      <c r="D197" t="s">
        <v>1080</v>
      </c>
      <c r="E197" t="s">
        <v>372</v>
      </c>
      <c r="L197">
        <v>680312</v>
      </c>
      <c r="M197">
        <v>680312</v>
      </c>
    </row>
    <row r="198" spans="1:13">
      <c r="A198">
        <v>212</v>
      </c>
      <c r="B198" s="331">
        <v>46162.868055555555</v>
      </c>
      <c r="C198" t="s">
        <v>1125</v>
      </c>
      <c r="D198" t="s">
        <v>1125</v>
      </c>
      <c r="E198" t="s">
        <v>372</v>
      </c>
      <c r="L198">
        <v>630989</v>
      </c>
      <c r="M198">
        <v>630989</v>
      </c>
    </row>
    <row r="199" spans="1:13">
      <c r="A199">
        <v>213</v>
      </c>
      <c r="B199" s="331">
        <v>46162.868055555555</v>
      </c>
      <c r="C199" t="s">
        <v>1081</v>
      </c>
      <c r="D199" t="s">
        <v>1081</v>
      </c>
      <c r="E199" t="s">
        <v>372</v>
      </c>
      <c r="L199">
        <v>644187</v>
      </c>
      <c r="M199">
        <v>644187</v>
      </c>
    </row>
    <row r="200" spans="1:13">
      <c r="A200">
        <v>214</v>
      </c>
      <c r="B200" s="331">
        <v>46162.868055555555</v>
      </c>
      <c r="C200" t="s">
        <v>893</v>
      </c>
      <c r="D200" t="s">
        <v>893</v>
      </c>
      <c r="E200" t="s">
        <v>372</v>
      </c>
      <c r="L200">
        <v>783976</v>
      </c>
      <c r="M200">
        <v>783976</v>
      </c>
    </row>
    <row r="201" spans="1:13">
      <c r="A201">
        <v>215</v>
      </c>
      <c r="B201" s="331">
        <v>46162.868055555555</v>
      </c>
      <c r="C201" t="s">
        <v>132</v>
      </c>
      <c r="D201" t="s">
        <v>132</v>
      </c>
      <c r="E201" t="s">
        <v>4</v>
      </c>
      <c r="F201">
        <v>3868666</v>
      </c>
      <c r="G201">
        <v>29082</v>
      </c>
      <c r="H201">
        <v>22</v>
      </c>
      <c r="I201">
        <v>3897770</v>
      </c>
      <c r="J201">
        <v>59361</v>
      </c>
      <c r="K201">
        <v>88</v>
      </c>
      <c r="L201">
        <v>2296829</v>
      </c>
      <c r="M201">
        <v>2356278</v>
      </c>
    </row>
    <row r="202" spans="1:13">
      <c r="A202">
        <v>216</v>
      </c>
      <c r="B202" s="331">
        <v>46162.868055555555</v>
      </c>
      <c r="C202" t="s">
        <v>105</v>
      </c>
      <c r="D202" t="s">
        <v>105</v>
      </c>
      <c r="E202" t="s">
        <v>4</v>
      </c>
      <c r="F202">
        <v>2474408</v>
      </c>
      <c r="G202">
        <v>27140</v>
      </c>
      <c r="H202">
        <v>183</v>
      </c>
      <c r="I202">
        <v>2501731</v>
      </c>
      <c r="J202">
        <v>53245</v>
      </c>
      <c r="K202">
        <v>296</v>
      </c>
      <c r="L202">
        <v>1463869</v>
      </c>
      <c r="M202">
        <v>1517410</v>
      </c>
    </row>
    <row r="203" spans="1:13">
      <c r="A203">
        <v>217</v>
      </c>
      <c r="B203" s="331">
        <v>46162.868055555555</v>
      </c>
      <c r="C203" t="s">
        <v>107</v>
      </c>
      <c r="D203" t="s">
        <v>107</v>
      </c>
      <c r="E203" t="s">
        <v>4</v>
      </c>
      <c r="F203">
        <v>4492875</v>
      </c>
      <c r="G203">
        <v>50665</v>
      </c>
      <c r="H203">
        <v>632</v>
      </c>
      <c r="I203">
        <v>4544172</v>
      </c>
      <c r="J203">
        <v>97491</v>
      </c>
      <c r="K203">
        <v>1110</v>
      </c>
      <c r="L203">
        <v>2588852</v>
      </c>
      <c r="M203">
        <v>2687453</v>
      </c>
    </row>
    <row r="204" spans="1:13">
      <c r="A204">
        <v>218</v>
      </c>
      <c r="B204" s="331">
        <v>46162.868055555555</v>
      </c>
      <c r="C204" t="s">
        <v>21</v>
      </c>
      <c r="D204" t="s">
        <v>21</v>
      </c>
      <c r="E204" t="s">
        <v>4</v>
      </c>
      <c r="F204">
        <v>5701808</v>
      </c>
      <c r="G204">
        <v>56795</v>
      </c>
      <c r="H204">
        <v>655</v>
      </c>
      <c r="I204">
        <v>5759258</v>
      </c>
      <c r="J204">
        <v>106964</v>
      </c>
      <c r="K204">
        <v>1172</v>
      </c>
      <c r="L204">
        <v>3285519</v>
      </c>
      <c r="M204">
        <v>3393655</v>
      </c>
    </row>
    <row r="205" spans="1:13">
      <c r="A205">
        <v>219</v>
      </c>
      <c r="B205" s="331">
        <v>46162.868055555555</v>
      </c>
      <c r="C205" t="s">
        <v>19</v>
      </c>
      <c r="D205" t="s">
        <v>19</v>
      </c>
      <c r="E205" t="s">
        <v>4</v>
      </c>
      <c r="F205">
        <v>5457237</v>
      </c>
      <c r="G205">
        <v>58255</v>
      </c>
      <c r="H205">
        <v>653</v>
      </c>
      <c r="I205">
        <v>5516145</v>
      </c>
      <c r="J205">
        <v>116593</v>
      </c>
      <c r="K205">
        <v>1191</v>
      </c>
      <c r="L205">
        <v>3147547</v>
      </c>
      <c r="M205">
        <v>3265331</v>
      </c>
    </row>
    <row r="206" spans="1:13">
      <c r="A206">
        <v>220</v>
      </c>
      <c r="B206" s="331">
        <v>46162.868055555555</v>
      </c>
      <c r="C206" t="s">
        <v>1111</v>
      </c>
      <c r="D206" t="s">
        <v>1111</v>
      </c>
      <c r="E206" t="s">
        <v>4</v>
      </c>
      <c r="F206">
        <v>860364</v>
      </c>
      <c r="G206">
        <v>6723</v>
      </c>
      <c r="H206">
        <v>0</v>
      </c>
      <c r="I206">
        <v>867087</v>
      </c>
      <c r="J206">
        <v>13382</v>
      </c>
      <c r="K206">
        <v>0</v>
      </c>
      <c r="L206">
        <v>506186</v>
      </c>
      <c r="M206">
        <v>519568</v>
      </c>
    </row>
    <row r="207" spans="1:13">
      <c r="A207">
        <v>221</v>
      </c>
      <c r="B207" s="331">
        <v>46162.868055555555</v>
      </c>
      <c r="C207" t="s">
        <v>33</v>
      </c>
      <c r="D207" t="s">
        <v>33</v>
      </c>
      <c r="E207" t="s">
        <v>4</v>
      </c>
      <c r="F207">
        <v>3679371</v>
      </c>
      <c r="G207">
        <v>27420</v>
      </c>
      <c r="H207">
        <v>28</v>
      </c>
      <c r="I207">
        <v>3706819</v>
      </c>
      <c r="J207">
        <v>53425</v>
      </c>
      <c r="K207">
        <v>115</v>
      </c>
      <c r="L207">
        <v>2190311</v>
      </c>
      <c r="M207">
        <v>2243851</v>
      </c>
    </row>
    <row r="208" spans="1:13">
      <c r="A208">
        <v>222</v>
      </c>
      <c r="B208" s="331">
        <v>46162.868055555555</v>
      </c>
      <c r="C208" t="s">
        <v>1068</v>
      </c>
      <c r="D208" t="s">
        <v>1068</v>
      </c>
      <c r="E208" t="s">
        <v>4</v>
      </c>
      <c r="F208">
        <v>613662</v>
      </c>
      <c r="G208">
        <v>10516</v>
      </c>
      <c r="H208">
        <v>0</v>
      </c>
      <c r="I208">
        <v>624178</v>
      </c>
      <c r="J208">
        <v>21704</v>
      </c>
      <c r="K208">
        <v>0</v>
      </c>
      <c r="L208">
        <v>372632</v>
      </c>
      <c r="M208">
        <v>394336</v>
      </c>
    </row>
    <row r="209" spans="1:13">
      <c r="A209">
        <v>223</v>
      </c>
      <c r="B209" s="331">
        <v>46162.868055555555</v>
      </c>
      <c r="C209" t="s">
        <v>583</v>
      </c>
      <c r="D209" t="s">
        <v>583</v>
      </c>
      <c r="E209" t="s">
        <v>372</v>
      </c>
      <c r="L209">
        <v>522092</v>
      </c>
      <c r="M209">
        <v>522092</v>
      </c>
    </row>
    <row r="210" spans="1:13">
      <c r="A210">
        <v>224</v>
      </c>
      <c r="B210" s="331">
        <v>46162.868055555555</v>
      </c>
      <c r="C210" t="s">
        <v>16</v>
      </c>
      <c r="D210" t="s">
        <v>16</v>
      </c>
      <c r="E210" t="s">
        <v>4</v>
      </c>
      <c r="F210">
        <v>3293348</v>
      </c>
      <c r="G210">
        <v>43767</v>
      </c>
      <c r="H210">
        <v>499</v>
      </c>
      <c r="I210">
        <v>3337614</v>
      </c>
      <c r="J210">
        <v>107483</v>
      </c>
      <c r="K210">
        <v>984</v>
      </c>
      <c r="L210">
        <v>1909008</v>
      </c>
      <c r="M210">
        <v>2017475</v>
      </c>
    </row>
    <row r="211" spans="1:13">
      <c r="A211">
        <v>225</v>
      </c>
      <c r="B211" s="331">
        <v>46162.868055555555</v>
      </c>
      <c r="C211" t="s">
        <v>348</v>
      </c>
      <c r="D211" t="s">
        <v>348</v>
      </c>
      <c r="E211" t="s">
        <v>372</v>
      </c>
      <c r="L211">
        <v>615554</v>
      </c>
      <c r="M211">
        <v>615554</v>
      </c>
    </row>
    <row r="212" spans="1:13">
      <c r="A212">
        <v>226</v>
      </c>
      <c r="B212" s="331">
        <v>46162.868055555555</v>
      </c>
      <c r="C212" t="s">
        <v>26</v>
      </c>
      <c r="D212" t="s">
        <v>26</v>
      </c>
      <c r="E212" t="s">
        <v>4</v>
      </c>
      <c r="F212">
        <v>1898044</v>
      </c>
      <c r="G212">
        <v>25285</v>
      </c>
      <c r="H212">
        <v>176</v>
      </c>
      <c r="I212">
        <v>1923505</v>
      </c>
      <c r="J212">
        <v>55743</v>
      </c>
      <c r="K212">
        <v>269</v>
      </c>
      <c r="L212">
        <v>1140459</v>
      </c>
      <c r="M212">
        <v>1196471</v>
      </c>
    </row>
    <row r="213" spans="1:13">
      <c r="A213">
        <v>227</v>
      </c>
      <c r="B213" s="331">
        <v>46162.868055555555</v>
      </c>
      <c r="C213" t="s">
        <v>31</v>
      </c>
      <c r="D213" t="s">
        <v>31</v>
      </c>
      <c r="E213" t="s">
        <v>4</v>
      </c>
      <c r="F213">
        <v>2906030</v>
      </c>
      <c r="G213">
        <v>24012</v>
      </c>
      <c r="H213">
        <v>25</v>
      </c>
      <c r="I213">
        <v>2930067</v>
      </c>
      <c r="J213">
        <v>71872</v>
      </c>
      <c r="K213">
        <v>90</v>
      </c>
      <c r="L213">
        <v>1652605</v>
      </c>
      <c r="M213">
        <v>1724567</v>
      </c>
    </row>
    <row r="214" spans="1:13">
      <c r="A214">
        <v>228</v>
      </c>
      <c r="B214" s="331">
        <v>46162.868055555555</v>
      </c>
      <c r="C214" t="s">
        <v>24</v>
      </c>
      <c r="D214" t="s">
        <v>24</v>
      </c>
      <c r="E214" t="s">
        <v>4</v>
      </c>
      <c r="F214">
        <v>1877708</v>
      </c>
      <c r="G214">
        <v>27835</v>
      </c>
      <c r="H214">
        <v>162</v>
      </c>
      <c r="I214">
        <v>1905705</v>
      </c>
      <c r="J214">
        <v>56772</v>
      </c>
      <c r="K214">
        <v>231</v>
      </c>
      <c r="L214">
        <v>1122754</v>
      </c>
      <c r="M214">
        <v>1179757</v>
      </c>
    </row>
    <row r="215" spans="1:13">
      <c r="A215">
        <v>229</v>
      </c>
      <c r="B215" s="331">
        <v>46162.868055555555</v>
      </c>
      <c r="C215" t="s">
        <v>18</v>
      </c>
      <c r="D215" t="s">
        <v>18</v>
      </c>
      <c r="E215" t="s">
        <v>4</v>
      </c>
      <c r="F215">
        <v>5722242</v>
      </c>
      <c r="G215">
        <v>61514</v>
      </c>
      <c r="H215">
        <v>713</v>
      </c>
      <c r="I215">
        <v>5784469</v>
      </c>
      <c r="J215">
        <v>126689</v>
      </c>
      <c r="K215">
        <v>1317</v>
      </c>
      <c r="L215">
        <v>3303630</v>
      </c>
      <c r="M215">
        <v>3431636</v>
      </c>
    </row>
    <row r="216" spans="1:13">
      <c r="A216">
        <v>230</v>
      </c>
      <c r="B216" s="331">
        <v>46162.868055555555</v>
      </c>
      <c r="C216" t="s">
        <v>34</v>
      </c>
      <c r="D216" t="s">
        <v>34</v>
      </c>
      <c r="E216" t="s">
        <v>4</v>
      </c>
      <c r="F216">
        <v>3808221</v>
      </c>
      <c r="G216">
        <v>29115</v>
      </c>
      <c r="H216">
        <v>22</v>
      </c>
      <c r="I216">
        <v>3837358</v>
      </c>
      <c r="J216">
        <v>64148</v>
      </c>
      <c r="K216">
        <v>93</v>
      </c>
      <c r="L216">
        <v>2277261</v>
      </c>
      <c r="M216">
        <v>2341502</v>
      </c>
    </row>
    <row r="217" spans="1:13">
      <c r="A217">
        <v>231</v>
      </c>
      <c r="B217" s="331">
        <v>46162.868055555555</v>
      </c>
      <c r="C217" t="s">
        <v>106</v>
      </c>
      <c r="D217" t="s">
        <v>106</v>
      </c>
      <c r="E217" t="s">
        <v>4</v>
      </c>
      <c r="F217">
        <v>2973374</v>
      </c>
      <c r="G217">
        <v>39574</v>
      </c>
      <c r="H217">
        <v>443</v>
      </c>
      <c r="I217">
        <v>3013391</v>
      </c>
      <c r="J217">
        <v>70307</v>
      </c>
      <c r="K217">
        <v>817</v>
      </c>
      <c r="L217">
        <v>1689482</v>
      </c>
      <c r="M217">
        <v>1760606</v>
      </c>
    </row>
    <row r="218" spans="1:13">
      <c r="A218">
        <v>232</v>
      </c>
      <c r="B218" s="331">
        <v>46162.868055555555</v>
      </c>
      <c r="C218" t="s">
        <v>346</v>
      </c>
      <c r="D218" t="s">
        <v>346</v>
      </c>
      <c r="E218" t="s">
        <v>4</v>
      </c>
      <c r="F218">
        <v>2445780</v>
      </c>
      <c r="G218">
        <v>30023</v>
      </c>
      <c r="H218">
        <v>0</v>
      </c>
      <c r="I218">
        <v>2475803</v>
      </c>
      <c r="J218">
        <v>52793</v>
      </c>
      <c r="K218">
        <v>0</v>
      </c>
      <c r="L218">
        <v>1403009</v>
      </c>
      <c r="M218">
        <v>1455802</v>
      </c>
    </row>
    <row r="219" spans="1:13">
      <c r="A219">
        <v>233</v>
      </c>
      <c r="B219" s="331">
        <v>46162.868055555555</v>
      </c>
      <c r="C219" t="s">
        <v>1133</v>
      </c>
      <c r="D219" t="s">
        <v>1133</v>
      </c>
      <c r="E219" t="s">
        <v>4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</row>
    <row r="220" spans="1:13">
      <c r="A220">
        <v>234</v>
      </c>
      <c r="B220" s="331">
        <v>46162.868055555555</v>
      </c>
      <c r="C220" t="s">
        <v>35</v>
      </c>
      <c r="D220" t="s">
        <v>35</v>
      </c>
      <c r="E220" t="s">
        <v>4</v>
      </c>
      <c r="F220">
        <v>3926983</v>
      </c>
      <c r="G220">
        <v>27818</v>
      </c>
      <c r="H220">
        <v>22</v>
      </c>
      <c r="I220">
        <v>3954823</v>
      </c>
      <c r="J220">
        <v>55845</v>
      </c>
      <c r="K220">
        <v>89</v>
      </c>
      <c r="L220">
        <v>2333594</v>
      </c>
      <c r="M220">
        <v>2389528</v>
      </c>
    </row>
    <row r="221" spans="1:13">
      <c r="A221">
        <v>235</v>
      </c>
      <c r="B221" s="331">
        <v>46162.868055555555</v>
      </c>
      <c r="C221" t="s">
        <v>32</v>
      </c>
      <c r="D221" t="s">
        <v>32</v>
      </c>
      <c r="E221" t="s">
        <v>4</v>
      </c>
      <c r="F221">
        <v>3592418</v>
      </c>
      <c r="G221">
        <v>27419</v>
      </c>
      <c r="H221">
        <v>26</v>
      </c>
      <c r="I221">
        <v>3619863</v>
      </c>
      <c r="J221">
        <v>57826</v>
      </c>
      <c r="K221">
        <v>96</v>
      </c>
      <c r="L221">
        <v>2136144</v>
      </c>
      <c r="M221">
        <v>2194066</v>
      </c>
    </row>
    <row r="222" spans="1:13">
      <c r="A222">
        <v>236</v>
      </c>
      <c r="B222" s="331">
        <v>46162.868055555555</v>
      </c>
      <c r="C222" t="s">
        <v>582</v>
      </c>
      <c r="D222" t="s">
        <v>582</v>
      </c>
      <c r="E222" t="s">
        <v>372</v>
      </c>
      <c r="L222">
        <v>521224</v>
      </c>
      <c r="M222">
        <v>521224</v>
      </c>
    </row>
    <row r="223" spans="1:13">
      <c r="A223">
        <v>237</v>
      </c>
      <c r="B223" s="331">
        <v>46162.868055555555</v>
      </c>
      <c r="C223" t="s">
        <v>350</v>
      </c>
      <c r="D223" t="s">
        <v>350</v>
      </c>
      <c r="E223" t="s">
        <v>372</v>
      </c>
      <c r="L223">
        <v>610202</v>
      </c>
      <c r="M223">
        <v>610202</v>
      </c>
    </row>
    <row r="224" spans="1:13">
      <c r="A224">
        <v>238</v>
      </c>
      <c r="B224" s="331">
        <v>46162.868055555555</v>
      </c>
      <c r="C224" t="s">
        <v>349</v>
      </c>
      <c r="D224" t="s">
        <v>349</v>
      </c>
      <c r="E224" t="s">
        <v>372</v>
      </c>
      <c r="L224">
        <v>600785</v>
      </c>
      <c r="M224">
        <v>600785</v>
      </c>
    </row>
    <row r="225" spans="1:13">
      <c r="A225">
        <v>239</v>
      </c>
      <c r="B225" s="331">
        <v>46162.868055555555</v>
      </c>
      <c r="C225" t="s">
        <v>108</v>
      </c>
      <c r="D225" t="s">
        <v>108</v>
      </c>
      <c r="E225" t="s">
        <v>4</v>
      </c>
      <c r="F225">
        <v>4457159</v>
      </c>
      <c r="G225">
        <v>49793</v>
      </c>
      <c r="H225">
        <v>633</v>
      </c>
      <c r="I225">
        <v>4507585</v>
      </c>
      <c r="J225">
        <v>95740</v>
      </c>
      <c r="K225">
        <v>1151</v>
      </c>
      <c r="L225">
        <v>2569256</v>
      </c>
      <c r="M225">
        <v>2666147</v>
      </c>
    </row>
    <row r="226" spans="1:13">
      <c r="A226">
        <v>240</v>
      </c>
      <c r="B226" s="331">
        <v>46162.868055555555</v>
      </c>
      <c r="C226" t="s">
        <v>1112</v>
      </c>
      <c r="D226" t="s">
        <v>1112</v>
      </c>
      <c r="E226" t="s">
        <v>4</v>
      </c>
      <c r="F226">
        <v>865373</v>
      </c>
      <c r="G226">
        <v>6750</v>
      </c>
      <c r="H226">
        <v>0</v>
      </c>
      <c r="I226">
        <v>872123</v>
      </c>
      <c r="J226">
        <v>13390</v>
      </c>
      <c r="K226">
        <v>0</v>
      </c>
      <c r="L226">
        <v>509296</v>
      </c>
      <c r="M226">
        <v>522686</v>
      </c>
    </row>
    <row r="227" spans="1:13">
      <c r="A227">
        <v>241</v>
      </c>
      <c r="B227" s="331">
        <v>46162.868055555555</v>
      </c>
      <c r="C227" t="s">
        <v>22</v>
      </c>
      <c r="D227" t="s">
        <v>22</v>
      </c>
      <c r="E227" t="s">
        <v>4</v>
      </c>
      <c r="F227">
        <v>2849396</v>
      </c>
      <c r="G227">
        <v>36520</v>
      </c>
      <c r="H227">
        <v>374</v>
      </c>
      <c r="I227">
        <v>2886290</v>
      </c>
      <c r="J227">
        <v>63748</v>
      </c>
      <c r="K227">
        <v>631</v>
      </c>
      <c r="L227">
        <v>1620498</v>
      </c>
      <c r="M227">
        <v>1684877</v>
      </c>
    </row>
    <row r="228" spans="1:13">
      <c r="A228">
        <v>243</v>
      </c>
      <c r="B228" s="331">
        <v>46162.868055555555</v>
      </c>
      <c r="C228" t="s">
        <v>17</v>
      </c>
      <c r="D228" t="s">
        <v>17</v>
      </c>
      <c r="E228" t="s">
        <v>4</v>
      </c>
      <c r="F228">
        <v>3684796</v>
      </c>
      <c r="G228">
        <v>47209</v>
      </c>
      <c r="H228">
        <v>506</v>
      </c>
      <c r="I228">
        <v>3732511</v>
      </c>
      <c r="J228">
        <v>109298</v>
      </c>
      <c r="K228">
        <v>993</v>
      </c>
      <c r="L228">
        <v>2116054</v>
      </c>
      <c r="M228">
        <v>2226345</v>
      </c>
    </row>
    <row r="229" spans="1:13">
      <c r="A229">
        <v>244</v>
      </c>
      <c r="B229" s="331">
        <v>46162.868055555555</v>
      </c>
      <c r="C229" t="s">
        <v>690</v>
      </c>
      <c r="D229" t="s">
        <v>690</v>
      </c>
      <c r="E229" t="s">
        <v>4</v>
      </c>
      <c r="F229">
        <v>1600737</v>
      </c>
      <c r="G229">
        <v>14913</v>
      </c>
      <c r="H229">
        <v>0</v>
      </c>
      <c r="I229">
        <v>1615650</v>
      </c>
      <c r="J229">
        <v>29551</v>
      </c>
      <c r="K229">
        <v>0</v>
      </c>
      <c r="L229">
        <v>946459</v>
      </c>
      <c r="M229">
        <v>976010</v>
      </c>
    </row>
    <row r="230" spans="1:13">
      <c r="A230">
        <v>245</v>
      </c>
      <c r="B230" s="331">
        <v>46162.868055555555</v>
      </c>
      <c r="C230" t="s">
        <v>20</v>
      </c>
      <c r="D230" t="s">
        <v>20</v>
      </c>
      <c r="E230" t="s">
        <v>4</v>
      </c>
      <c r="F230">
        <v>6085418</v>
      </c>
      <c r="G230">
        <v>62061</v>
      </c>
      <c r="H230">
        <v>756</v>
      </c>
      <c r="I230">
        <v>6148235</v>
      </c>
      <c r="J230">
        <v>123021</v>
      </c>
      <c r="K230">
        <v>1351</v>
      </c>
      <c r="L230">
        <v>3467684</v>
      </c>
      <c r="M230">
        <v>3592056</v>
      </c>
    </row>
    <row r="231" spans="1:13">
      <c r="A231">
        <v>246</v>
      </c>
      <c r="B231" s="331">
        <v>46162.868055555555</v>
      </c>
      <c r="C231" t="s">
        <v>691</v>
      </c>
      <c r="D231" t="s">
        <v>691</v>
      </c>
      <c r="E231" t="s">
        <v>4</v>
      </c>
      <c r="F231">
        <v>1597254</v>
      </c>
      <c r="G231">
        <v>15227</v>
      </c>
      <c r="H231">
        <v>0</v>
      </c>
      <c r="I231">
        <v>1612481</v>
      </c>
      <c r="J231">
        <v>29810</v>
      </c>
      <c r="K231">
        <v>0</v>
      </c>
      <c r="L231">
        <v>943950</v>
      </c>
      <c r="M231">
        <v>973760</v>
      </c>
    </row>
    <row r="232" spans="1:13">
      <c r="A232">
        <v>247</v>
      </c>
      <c r="B232" s="331">
        <v>46162.868055555555</v>
      </c>
      <c r="C232" t="s">
        <v>29</v>
      </c>
      <c r="D232" t="s">
        <v>29</v>
      </c>
      <c r="E232" t="s">
        <v>4</v>
      </c>
      <c r="F232">
        <v>2270307</v>
      </c>
      <c r="G232">
        <v>23840</v>
      </c>
      <c r="H232">
        <v>20</v>
      </c>
      <c r="I232">
        <v>2294167</v>
      </c>
      <c r="J232">
        <v>77841</v>
      </c>
      <c r="K232">
        <v>101</v>
      </c>
      <c r="L232">
        <v>1362630</v>
      </c>
      <c r="M232">
        <v>1440572</v>
      </c>
    </row>
    <row r="233" spans="1:13">
      <c r="A233">
        <v>248</v>
      </c>
      <c r="B233" s="331">
        <v>46162.868055555555</v>
      </c>
      <c r="C233" t="s">
        <v>1067</v>
      </c>
      <c r="D233" t="s">
        <v>1067</v>
      </c>
      <c r="E233" t="s">
        <v>4</v>
      </c>
      <c r="F233">
        <v>612577</v>
      </c>
      <c r="G233">
        <v>10591</v>
      </c>
      <c r="H233">
        <v>0</v>
      </c>
      <c r="I233">
        <v>623168</v>
      </c>
      <c r="J233">
        <v>21669</v>
      </c>
      <c r="K233">
        <v>0</v>
      </c>
      <c r="L233">
        <v>372188</v>
      </c>
      <c r="M233">
        <v>393857</v>
      </c>
    </row>
    <row r="234" spans="1:13">
      <c r="A234">
        <v>249</v>
      </c>
      <c r="B234" s="331">
        <v>46162.868055555555</v>
      </c>
      <c r="C234" t="s">
        <v>345</v>
      </c>
      <c r="D234" t="s">
        <v>345</v>
      </c>
      <c r="E234" t="s">
        <v>4</v>
      </c>
      <c r="F234">
        <v>2016737</v>
      </c>
      <c r="G234">
        <v>27703</v>
      </c>
      <c r="H234">
        <v>0</v>
      </c>
      <c r="I234">
        <v>2044440</v>
      </c>
      <c r="J234">
        <v>46124</v>
      </c>
      <c r="K234">
        <v>0</v>
      </c>
      <c r="L234">
        <v>1139605</v>
      </c>
      <c r="M234">
        <v>1185729</v>
      </c>
    </row>
    <row r="235" spans="1:13">
      <c r="A235">
        <v>250</v>
      </c>
      <c r="B235" s="331">
        <v>46162.868055555555</v>
      </c>
      <c r="C235" t="s">
        <v>336</v>
      </c>
      <c r="D235" t="s">
        <v>336</v>
      </c>
      <c r="E235" t="s">
        <v>4</v>
      </c>
      <c r="F235">
        <v>724182</v>
      </c>
      <c r="G235">
        <v>3693</v>
      </c>
      <c r="H235">
        <v>0</v>
      </c>
      <c r="I235">
        <v>727875</v>
      </c>
      <c r="J235">
        <v>5251</v>
      </c>
      <c r="K235">
        <v>0</v>
      </c>
      <c r="L235">
        <v>429925</v>
      </c>
      <c r="M235">
        <v>435176</v>
      </c>
    </row>
    <row r="236" spans="1:13">
      <c r="A236">
        <v>252</v>
      </c>
      <c r="B236" s="331">
        <v>46162.868055555555</v>
      </c>
      <c r="C236" t="s">
        <v>131</v>
      </c>
      <c r="D236" t="s">
        <v>131</v>
      </c>
      <c r="E236" t="s">
        <v>4</v>
      </c>
      <c r="F236">
        <v>3865538</v>
      </c>
      <c r="G236">
        <v>29538</v>
      </c>
      <c r="H236">
        <v>21</v>
      </c>
      <c r="I236">
        <v>3895097</v>
      </c>
      <c r="J236">
        <v>60544</v>
      </c>
      <c r="K236">
        <v>105</v>
      </c>
      <c r="L236">
        <v>2297064</v>
      </c>
      <c r="M236">
        <v>2357713</v>
      </c>
    </row>
    <row r="237" spans="1:13">
      <c r="A237">
        <v>253</v>
      </c>
      <c r="B237" s="331">
        <v>46162.868055555555</v>
      </c>
      <c r="C237" t="s">
        <v>689</v>
      </c>
      <c r="D237" t="s">
        <v>689</v>
      </c>
      <c r="E237" t="s">
        <v>4</v>
      </c>
      <c r="F237">
        <v>1920536</v>
      </c>
      <c r="G237">
        <v>16736</v>
      </c>
      <c r="H237">
        <v>0</v>
      </c>
      <c r="I237">
        <v>1937272</v>
      </c>
      <c r="J237">
        <v>31303</v>
      </c>
      <c r="K237">
        <v>0</v>
      </c>
      <c r="L237">
        <v>1123887</v>
      </c>
      <c r="M237">
        <v>1155190</v>
      </c>
    </row>
    <row r="238" spans="1:13">
      <c r="A238">
        <v>254</v>
      </c>
      <c r="B238" s="331">
        <v>46162.868055555555</v>
      </c>
      <c r="C238" t="s">
        <v>896</v>
      </c>
      <c r="D238" t="s">
        <v>896</v>
      </c>
      <c r="E238" t="s">
        <v>372</v>
      </c>
      <c r="L238">
        <v>775151</v>
      </c>
      <c r="M238">
        <v>775151</v>
      </c>
    </row>
    <row r="239" spans="1:13">
      <c r="A239">
        <v>255</v>
      </c>
      <c r="B239" s="331">
        <v>46162.868055555555</v>
      </c>
      <c r="C239" t="s">
        <v>894</v>
      </c>
      <c r="D239" t="s">
        <v>894</v>
      </c>
      <c r="E239" t="s">
        <v>372</v>
      </c>
      <c r="L239">
        <v>775309</v>
      </c>
      <c r="M239">
        <v>775309</v>
      </c>
    </row>
    <row r="240" spans="1:13">
      <c r="A240">
        <v>256</v>
      </c>
      <c r="B240" s="331">
        <v>46162.868055555555</v>
      </c>
      <c r="C240" t="s">
        <v>895</v>
      </c>
      <c r="D240" t="s">
        <v>895</v>
      </c>
      <c r="E240" t="s">
        <v>372</v>
      </c>
      <c r="L240">
        <v>775893</v>
      </c>
      <c r="M240">
        <v>775893</v>
      </c>
    </row>
    <row r="241" spans="1:13">
      <c r="A241">
        <v>258</v>
      </c>
      <c r="B241" s="331">
        <v>46162.868055555555</v>
      </c>
      <c r="C241" t="s">
        <v>27</v>
      </c>
      <c r="D241" t="s">
        <v>27</v>
      </c>
      <c r="E241" t="s">
        <v>4</v>
      </c>
      <c r="F241">
        <v>1812894</v>
      </c>
      <c r="G241">
        <v>25231</v>
      </c>
      <c r="H241">
        <v>160</v>
      </c>
      <c r="I241">
        <v>1838285</v>
      </c>
      <c r="J241">
        <v>52619</v>
      </c>
      <c r="K241">
        <v>277</v>
      </c>
      <c r="L241">
        <v>1086395</v>
      </c>
      <c r="M241">
        <v>1139291</v>
      </c>
    </row>
    <row r="242" spans="1:13">
      <c r="A242">
        <v>260</v>
      </c>
      <c r="B242" s="331">
        <v>46162.866666666669</v>
      </c>
      <c r="C242" t="s">
        <v>131</v>
      </c>
      <c r="D242" t="s">
        <v>131</v>
      </c>
      <c r="E242" t="s">
        <v>4</v>
      </c>
      <c r="F242">
        <v>3865919</v>
      </c>
      <c r="G242">
        <v>29490</v>
      </c>
      <c r="H242">
        <v>21</v>
      </c>
      <c r="I242">
        <v>3895430</v>
      </c>
      <c r="J242">
        <v>60483</v>
      </c>
      <c r="K242">
        <v>104</v>
      </c>
      <c r="L242">
        <v>2297223</v>
      </c>
      <c r="M242">
        <v>2357810</v>
      </c>
    </row>
    <row r="243" spans="1:13">
      <c r="A243">
        <v>261</v>
      </c>
      <c r="B243" s="331">
        <v>46162.866666666669</v>
      </c>
      <c r="C243" t="s">
        <v>35</v>
      </c>
      <c r="D243" t="s">
        <v>35</v>
      </c>
      <c r="E243" t="s">
        <v>4</v>
      </c>
      <c r="F243">
        <v>3927527</v>
      </c>
      <c r="G243">
        <v>27902</v>
      </c>
      <c r="H243">
        <v>23</v>
      </c>
      <c r="I243">
        <v>3955452</v>
      </c>
      <c r="J243">
        <v>55892</v>
      </c>
      <c r="K243">
        <v>89</v>
      </c>
      <c r="L243">
        <v>2333792</v>
      </c>
      <c r="M243">
        <v>2389773</v>
      </c>
    </row>
    <row r="244" spans="1:13">
      <c r="A244">
        <v>262</v>
      </c>
      <c r="B244" s="331">
        <v>46162.866666666669</v>
      </c>
      <c r="C244" t="s">
        <v>21</v>
      </c>
      <c r="D244" t="s">
        <v>21</v>
      </c>
      <c r="E244" t="s">
        <v>4</v>
      </c>
      <c r="F244">
        <v>5702611</v>
      </c>
      <c r="G244">
        <v>56725</v>
      </c>
      <c r="H244">
        <v>650</v>
      </c>
      <c r="I244">
        <v>5759986</v>
      </c>
      <c r="J244">
        <v>106860</v>
      </c>
      <c r="K244">
        <v>1169</v>
      </c>
      <c r="L244">
        <v>3286049</v>
      </c>
      <c r="M244">
        <v>3394078</v>
      </c>
    </row>
    <row r="245" spans="1:13">
      <c r="A245">
        <v>263</v>
      </c>
      <c r="B245" s="331">
        <v>46162.866666666669</v>
      </c>
      <c r="C245" t="s">
        <v>690</v>
      </c>
      <c r="D245" t="s">
        <v>690</v>
      </c>
      <c r="E245" t="s">
        <v>4</v>
      </c>
      <c r="F245">
        <v>1601141</v>
      </c>
      <c r="G245">
        <v>15059</v>
      </c>
      <c r="H245">
        <v>0</v>
      </c>
      <c r="I245">
        <v>1616200</v>
      </c>
      <c r="J245">
        <v>29635</v>
      </c>
      <c r="K245">
        <v>0</v>
      </c>
      <c r="L245">
        <v>946721</v>
      </c>
      <c r="M245">
        <v>976356</v>
      </c>
    </row>
    <row r="246" spans="1:13">
      <c r="A246">
        <v>264</v>
      </c>
      <c r="B246" s="331">
        <v>46162.866666666669</v>
      </c>
      <c r="C246" t="s">
        <v>345</v>
      </c>
      <c r="D246" t="s">
        <v>345</v>
      </c>
      <c r="E246" t="s">
        <v>4</v>
      </c>
      <c r="F246">
        <v>2017398</v>
      </c>
      <c r="G246">
        <v>27597</v>
      </c>
      <c r="H246">
        <v>0</v>
      </c>
      <c r="I246">
        <v>2044995</v>
      </c>
      <c r="J246">
        <v>45950</v>
      </c>
      <c r="K246">
        <v>0</v>
      </c>
      <c r="L246">
        <v>1139986</v>
      </c>
      <c r="M246">
        <v>1185936</v>
      </c>
    </row>
    <row r="247" spans="1:13">
      <c r="A247">
        <v>265</v>
      </c>
      <c r="B247" s="331">
        <v>46162.866666666669</v>
      </c>
      <c r="C247" t="s">
        <v>1111</v>
      </c>
      <c r="D247" t="s">
        <v>1111</v>
      </c>
      <c r="E247" t="s">
        <v>4</v>
      </c>
      <c r="F247">
        <v>860505</v>
      </c>
      <c r="G247">
        <v>6719</v>
      </c>
      <c r="H247">
        <v>0</v>
      </c>
      <c r="I247">
        <v>867224</v>
      </c>
      <c r="J247">
        <v>13330</v>
      </c>
      <c r="K247">
        <v>0</v>
      </c>
      <c r="L247">
        <v>506243</v>
      </c>
      <c r="M247">
        <v>519573</v>
      </c>
    </row>
    <row r="248" spans="1:13">
      <c r="A248">
        <v>266</v>
      </c>
      <c r="B248" s="331">
        <v>46162.866666666669</v>
      </c>
      <c r="C248" t="s">
        <v>16</v>
      </c>
      <c r="D248" t="s">
        <v>16</v>
      </c>
      <c r="E248" t="s">
        <v>4</v>
      </c>
      <c r="F248">
        <v>3294125</v>
      </c>
      <c r="G248">
        <v>43711</v>
      </c>
      <c r="H248">
        <v>504</v>
      </c>
      <c r="I248">
        <v>3338340</v>
      </c>
      <c r="J248">
        <v>107299</v>
      </c>
      <c r="K248">
        <v>987</v>
      </c>
      <c r="L248">
        <v>1909375</v>
      </c>
      <c r="M248">
        <v>2017661</v>
      </c>
    </row>
    <row r="249" spans="1:13">
      <c r="A249">
        <v>267</v>
      </c>
      <c r="B249" s="331">
        <v>46162.866666666669</v>
      </c>
      <c r="C249" t="s">
        <v>24</v>
      </c>
      <c r="D249" t="s">
        <v>24</v>
      </c>
      <c r="E249" t="s">
        <v>4</v>
      </c>
      <c r="F249">
        <v>1877868</v>
      </c>
      <c r="G249">
        <v>27903</v>
      </c>
      <c r="H249">
        <v>164</v>
      </c>
      <c r="I249">
        <v>1905935</v>
      </c>
      <c r="J249">
        <v>56836</v>
      </c>
      <c r="K249">
        <v>234</v>
      </c>
      <c r="L249">
        <v>1122819</v>
      </c>
      <c r="M249">
        <v>1179889</v>
      </c>
    </row>
    <row r="250" spans="1:13">
      <c r="A250">
        <v>268</v>
      </c>
      <c r="B250" s="331">
        <v>46162.866666666669</v>
      </c>
      <c r="C250" t="s">
        <v>26</v>
      </c>
      <c r="D250" t="s">
        <v>26</v>
      </c>
      <c r="E250" t="s">
        <v>4</v>
      </c>
      <c r="F250">
        <v>1898222</v>
      </c>
      <c r="G250">
        <v>25230</v>
      </c>
      <c r="H250">
        <v>169</v>
      </c>
      <c r="I250">
        <v>1923621</v>
      </c>
      <c r="J250">
        <v>55636</v>
      </c>
      <c r="K250">
        <v>269</v>
      </c>
      <c r="L250">
        <v>1140589</v>
      </c>
      <c r="M250">
        <v>1196494</v>
      </c>
    </row>
    <row r="251" spans="1:13">
      <c r="A251">
        <v>269</v>
      </c>
      <c r="B251" s="331">
        <v>46162.866666666669</v>
      </c>
      <c r="C251" t="s">
        <v>132</v>
      </c>
      <c r="D251" t="s">
        <v>132</v>
      </c>
      <c r="E251" t="s">
        <v>4</v>
      </c>
      <c r="F251">
        <v>3868956</v>
      </c>
      <c r="G251">
        <v>29211</v>
      </c>
      <c r="H251">
        <v>22</v>
      </c>
      <c r="I251">
        <v>3898189</v>
      </c>
      <c r="J251">
        <v>59470</v>
      </c>
      <c r="K251">
        <v>86</v>
      </c>
      <c r="L251">
        <v>2296993</v>
      </c>
      <c r="M251">
        <v>2356549</v>
      </c>
    </row>
    <row r="252" spans="1:13">
      <c r="A252">
        <v>270</v>
      </c>
      <c r="B252" s="331">
        <v>46162.866666666669</v>
      </c>
      <c r="C252" t="s">
        <v>105</v>
      </c>
      <c r="D252" t="s">
        <v>105</v>
      </c>
      <c r="E252" t="s">
        <v>4</v>
      </c>
      <c r="F252">
        <v>2474947</v>
      </c>
      <c r="G252">
        <v>27053</v>
      </c>
      <c r="H252">
        <v>179</v>
      </c>
      <c r="I252">
        <v>2502179</v>
      </c>
      <c r="J252">
        <v>53101</v>
      </c>
      <c r="K252">
        <v>295</v>
      </c>
      <c r="L252">
        <v>1464096</v>
      </c>
      <c r="M252">
        <v>1517492</v>
      </c>
    </row>
    <row r="253" spans="1:13">
      <c r="A253">
        <v>271</v>
      </c>
      <c r="B253" s="331">
        <v>46162.866666666669</v>
      </c>
      <c r="C253" t="s">
        <v>18</v>
      </c>
      <c r="D253" t="s">
        <v>18</v>
      </c>
      <c r="E253" t="s">
        <v>4</v>
      </c>
      <c r="F253">
        <v>5723073</v>
      </c>
      <c r="G253">
        <v>61377</v>
      </c>
      <c r="H253">
        <v>733</v>
      </c>
      <c r="I253">
        <v>5785183</v>
      </c>
      <c r="J253">
        <v>126409</v>
      </c>
      <c r="K253">
        <v>1333</v>
      </c>
      <c r="L253">
        <v>3304107</v>
      </c>
      <c r="M253">
        <v>3431849</v>
      </c>
    </row>
    <row r="254" spans="1:13">
      <c r="A254">
        <v>272</v>
      </c>
      <c r="B254" s="331">
        <v>46162.866666666669</v>
      </c>
      <c r="C254" t="s">
        <v>20</v>
      </c>
      <c r="D254" t="s">
        <v>20</v>
      </c>
      <c r="E254" t="s">
        <v>4</v>
      </c>
      <c r="F254">
        <v>6086968</v>
      </c>
      <c r="G254">
        <v>61818</v>
      </c>
      <c r="H254">
        <v>753</v>
      </c>
      <c r="I254">
        <v>6149539</v>
      </c>
      <c r="J254">
        <v>122762</v>
      </c>
      <c r="K254">
        <v>1354</v>
      </c>
      <c r="L254">
        <v>3468472</v>
      </c>
      <c r="M254">
        <v>3592588</v>
      </c>
    </row>
    <row r="255" spans="1:13">
      <c r="A255">
        <v>274</v>
      </c>
      <c r="B255" s="331">
        <v>46162.866666666669</v>
      </c>
      <c r="C255" t="s">
        <v>33</v>
      </c>
      <c r="D255" t="s">
        <v>33</v>
      </c>
      <c r="E255" t="s">
        <v>4</v>
      </c>
      <c r="F255">
        <v>3680030</v>
      </c>
      <c r="G255">
        <v>27465</v>
      </c>
      <c r="H255">
        <v>26</v>
      </c>
      <c r="I255">
        <v>3707521</v>
      </c>
      <c r="J255">
        <v>53480</v>
      </c>
      <c r="K255">
        <v>116</v>
      </c>
      <c r="L255">
        <v>2190560</v>
      </c>
      <c r="M255">
        <v>2244156</v>
      </c>
    </row>
    <row r="256" spans="1:13">
      <c r="A256">
        <v>275</v>
      </c>
      <c r="B256" s="331">
        <v>46162.866666666669</v>
      </c>
      <c r="C256" t="s">
        <v>689</v>
      </c>
      <c r="D256" t="s">
        <v>689</v>
      </c>
      <c r="E256" t="s">
        <v>4</v>
      </c>
      <c r="F256">
        <v>1920689</v>
      </c>
      <c r="G256">
        <v>16801</v>
      </c>
      <c r="H256">
        <v>0</v>
      </c>
      <c r="I256">
        <v>1937490</v>
      </c>
      <c r="J256">
        <v>31307</v>
      </c>
      <c r="K256">
        <v>0</v>
      </c>
      <c r="L256">
        <v>1123926</v>
      </c>
      <c r="M256">
        <v>1155233</v>
      </c>
    </row>
    <row r="257" spans="1:13">
      <c r="A257">
        <v>276</v>
      </c>
      <c r="B257" s="331">
        <v>46162.866666666669</v>
      </c>
      <c r="C257" t="s">
        <v>691</v>
      </c>
      <c r="D257" t="s">
        <v>691</v>
      </c>
      <c r="E257" t="s">
        <v>4</v>
      </c>
      <c r="F257">
        <v>1597253</v>
      </c>
      <c r="G257">
        <v>15198</v>
      </c>
      <c r="H257">
        <v>0</v>
      </c>
      <c r="I257">
        <v>1612451</v>
      </c>
      <c r="J257">
        <v>29741</v>
      </c>
      <c r="K257">
        <v>0</v>
      </c>
      <c r="L257">
        <v>944052</v>
      </c>
      <c r="M257">
        <v>973793</v>
      </c>
    </row>
    <row r="258" spans="1:13">
      <c r="A258">
        <v>277</v>
      </c>
      <c r="B258" s="331">
        <v>46162.866666666669</v>
      </c>
      <c r="C258" t="s">
        <v>27</v>
      </c>
      <c r="D258" t="s">
        <v>27</v>
      </c>
      <c r="E258" t="s">
        <v>4</v>
      </c>
      <c r="F258">
        <v>1813425</v>
      </c>
      <c r="G258">
        <v>25288</v>
      </c>
      <c r="H258">
        <v>172</v>
      </c>
      <c r="I258">
        <v>1838885</v>
      </c>
      <c r="J258">
        <v>52647</v>
      </c>
      <c r="K258">
        <v>291</v>
      </c>
      <c r="L258">
        <v>1086613</v>
      </c>
      <c r="M258">
        <v>1139551</v>
      </c>
    </row>
    <row r="259" spans="1:13">
      <c r="A259">
        <v>278</v>
      </c>
      <c r="B259" s="331">
        <v>46162.866666666669</v>
      </c>
      <c r="C259" t="s">
        <v>17</v>
      </c>
      <c r="D259" t="s">
        <v>17</v>
      </c>
      <c r="E259" t="s">
        <v>4</v>
      </c>
      <c r="F259">
        <v>3685345</v>
      </c>
      <c r="G259">
        <v>47029</v>
      </c>
      <c r="H259">
        <v>521</v>
      </c>
      <c r="I259">
        <v>3732895</v>
      </c>
      <c r="J259">
        <v>109191</v>
      </c>
      <c r="K259">
        <v>1009</v>
      </c>
      <c r="L259">
        <v>2116343</v>
      </c>
      <c r="M259">
        <v>2226543</v>
      </c>
    </row>
    <row r="260" spans="1:13">
      <c r="A260">
        <v>280</v>
      </c>
      <c r="B260" s="331">
        <v>46162.866666666669</v>
      </c>
      <c r="C260" t="s">
        <v>336</v>
      </c>
      <c r="D260" t="s">
        <v>336</v>
      </c>
      <c r="E260" t="s">
        <v>4</v>
      </c>
      <c r="F260">
        <v>724323</v>
      </c>
      <c r="G260">
        <v>3727</v>
      </c>
      <c r="H260">
        <v>0</v>
      </c>
      <c r="I260">
        <v>728050</v>
      </c>
      <c r="J260">
        <v>5297</v>
      </c>
      <c r="K260">
        <v>0</v>
      </c>
      <c r="L260">
        <v>429983</v>
      </c>
      <c r="M260">
        <v>435280</v>
      </c>
    </row>
    <row r="261" spans="1:13">
      <c r="A261">
        <v>281</v>
      </c>
      <c r="B261" s="331">
        <v>46162.866666666669</v>
      </c>
      <c r="C261" t="s">
        <v>31</v>
      </c>
      <c r="D261" t="s">
        <v>31</v>
      </c>
      <c r="E261" t="s">
        <v>4</v>
      </c>
      <c r="F261">
        <v>2906189</v>
      </c>
      <c r="G261">
        <v>24113</v>
      </c>
      <c r="H261">
        <v>26</v>
      </c>
      <c r="I261">
        <v>2930328</v>
      </c>
      <c r="J261">
        <v>71951</v>
      </c>
      <c r="K261">
        <v>89</v>
      </c>
      <c r="L261">
        <v>1652640</v>
      </c>
      <c r="M261">
        <v>1724680</v>
      </c>
    </row>
    <row r="262" spans="1:13">
      <c r="A262">
        <v>282</v>
      </c>
      <c r="B262" s="331">
        <v>46162.866666666669</v>
      </c>
      <c r="C262" t="s">
        <v>22</v>
      </c>
      <c r="D262" t="s">
        <v>22</v>
      </c>
      <c r="E262" t="s">
        <v>4</v>
      </c>
      <c r="F262">
        <v>2850325</v>
      </c>
      <c r="G262">
        <v>36435</v>
      </c>
      <c r="H262">
        <v>388</v>
      </c>
      <c r="I262">
        <v>2887148</v>
      </c>
      <c r="J262">
        <v>63584</v>
      </c>
      <c r="K262">
        <v>648</v>
      </c>
      <c r="L262">
        <v>1620946</v>
      </c>
      <c r="M262">
        <v>1685178</v>
      </c>
    </row>
    <row r="263" spans="1:13">
      <c r="A263">
        <v>283</v>
      </c>
      <c r="B263" s="331">
        <v>46162.866666666669</v>
      </c>
      <c r="C263" t="s">
        <v>107</v>
      </c>
      <c r="D263" t="s">
        <v>107</v>
      </c>
      <c r="E263" t="s">
        <v>4</v>
      </c>
      <c r="F263">
        <v>4493266</v>
      </c>
      <c r="G263">
        <v>50520</v>
      </c>
      <c r="H263">
        <v>636</v>
      </c>
      <c r="I263">
        <v>4544422</v>
      </c>
      <c r="J263">
        <v>97332</v>
      </c>
      <c r="K263">
        <v>1112</v>
      </c>
      <c r="L263">
        <v>2589174</v>
      </c>
      <c r="M263">
        <v>2687618</v>
      </c>
    </row>
    <row r="264" spans="1:13">
      <c r="A264">
        <v>284</v>
      </c>
      <c r="B264" s="331">
        <v>46162.866666666669</v>
      </c>
      <c r="C264" t="s">
        <v>108</v>
      </c>
      <c r="D264" t="s">
        <v>108</v>
      </c>
      <c r="E264" t="s">
        <v>4</v>
      </c>
      <c r="F264">
        <v>4457640</v>
      </c>
      <c r="G264">
        <v>49692</v>
      </c>
      <c r="H264">
        <v>629</v>
      </c>
      <c r="I264">
        <v>4507961</v>
      </c>
      <c r="J264">
        <v>95569</v>
      </c>
      <c r="K264">
        <v>1150</v>
      </c>
      <c r="L264">
        <v>2569568</v>
      </c>
      <c r="M264">
        <v>2666287</v>
      </c>
    </row>
    <row r="265" spans="1:13">
      <c r="A265">
        <v>285</v>
      </c>
      <c r="B265" s="331">
        <v>46162.866666666669</v>
      </c>
      <c r="C265" t="s">
        <v>1112</v>
      </c>
      <c r="D265" t="s">
        <v>1112</v>
      </c>
      <c r="E265" t="s">
        <v>4</v>
      </c>
      <c r="F265">
        <v>865415</v>
      </c>
      <c r="G265">
        <v>6716</v>
      </c>
      <c r="H265">
        <v>0</v>
      </c>
      <c r="I265">
        <v>872131</v>
      </c>
      <c r="J265">
        <v>13356</v>
      </c>
      <c r="K265">
        <v>0</v>
      </c>
      <c r="L265">
        <v>509341</v>
      </c>
      <c r="M265">
        <v>522697</v>
      </c>
    </row>
    <row r="266" spans="1:13">
      <c r="A266">
        <v>286</v>
      </c>
      <c r="B266" s="331">
        <v>46162.866666666669</v>
      </c>
      <c r="C266" t="s">
        <v>32</v>
      </c>
      <c r="D266" t="s">
        <v>32</v>
      </c>
      <c r="E266" t="s">
        <v>4</v>
      </c>
      <c r="F266">
        <v>3592991</v>
      </c>
      <c r="G266">
        <v>27533</v>
      </c>
      <c r="H266">
        <v>24</v>
      </c>
      <c r="I266">
        <v>3620548</v>
      </c>
      <c r="J266">
        <v>57964</v>
      </c>
      <c r="K266">
        <v>93</v>
      </c>
      <c r="L266">
        <v>2136324</v>
      </c>
      <c r="M266">
        <v>2194381</v>
      </c>
    </row>
    <row r="267" spans="1:13">
      <c r="A267">
        <v>287</v>
      </c>
      <c r="B267" s="331">
        <v>46162.866666666669</v>
      </c>
      <c r="C267" t="s">
        <v>1068</v>
      </c>
      <c r="D267" t="s">
        <v>1068</v>
      </c>
      <c r="E267" t="s">
        <v>4</v>
      </c>
      <c r="F267">
        <v>613783</v>
      </c>
      <c r="G267">
        <v>10576</v>
      </c>
      <c r="H267">
        <v>0</v>
      </c>
      <c r="I267">
        <v>624359</v>
      </c>
      <c r="J267">
        <v>21753</v>
      </c>
      <c r="K267">
        <v>0</v>
      </c>
      <c r="L267">
        <v>372691</v>
      </c>
      <c r="M267">
        <v>394444</v>
      </c>
    </row>
    <row r="268" spans="1:13">
      <c r="A268">
        <v>288</v>
      </c>
      <c r="B268" s="331">
        <v>46162.866666666669</v>
      </c>
      <c r="C268" t="s">
        <v>29</v>
      </c>
      <c r="D268" t="s">
        <v>29</v>
      </c>
      <c r="E268" t="s">
        <v>4</v>
      </c>
      <c r="F268">
        <v>2270673</v>
      </c>
      <c r="G268">
        <v>23821</v>
      </c>
      <c r="H268">
        <v>21</v>
      </c>
      <c r="I268">
        <v>2294515</v>
      </c>
      <c r="J268">
        <v>77761</v>
      </c>
      <c r="K268">
        <v>100</v>
      </c>
      <c r="L268">
        <v>1362808</v>
      </c>
      <c r="M268">
        <v>1440669</v>
      </c>
    </row>
    <row r="269" spans="1:13">
      <c r="A269">
        <v>289</v>
      </c>
      <c r="B269" s="331">
        <v>46162.866666666669</v>
      </c>
      <c r="C269" t="s">
        <v>34</v>
      </c>
      <c r="D269" t="s">
        <v>34</v>
      </c>
      <c r="E269" t="s">
        <v>4</v>
      </c>
      <c r="F269">
        <v>3808733</v>
      </c>
      <c r="G269">
        <v>29224</v>
      </c>
      <c r="H269">
        <v>22</v>
      </c>
      <c r="I269">
        <v>3837979</v>
      </c>
      <c r="J269">
        <v>64231</v>
      </c>
      <c r="K269">
        <v>91</v>
      </c>
      <c r="L269">
        <v>2277502</v>
      </c>
      <c r="M269">
        <v>2341824</v>
      </c>
    </row>
    <row r="270" spans="1:13">
      <c r="A270">
        <v>290</v>
      </c>
      <c r="B270" s="331">
        <v>46162.866666666669</v>
      </c>
      <c r="C270" t="s">
        <v>106</v>
      </c>
      <c r="D270" t="s">
        <v>106</v>
      </c>
      <c r="E270" t="s">
        <v>4</v>
      </c>
      <c r="F270">
        <v>2973745</v>
      </c>
      <c r="G270">
        <v>39566</v>
      </c>
      <c r="H270">
        <v>454</v>
      </c>
      <c r="I270">
        <v>3013765</v>
      </c>
      <c r="J270">
        <v>70161</v>
      </c>
      <c r="K270">
        <v>832</v>
      </c>
      <c r="L270">
        <v>1689749</v>
      </c>
      <c r="M270">
        <v>1760742</v>
      </c>
    </row>
    <row r="271" spans="1:13">
      <c r="A271">
        <v>291</v>
      </c>
      <c r="B271" s="331">
        <v>46162.866666666669</v>
      </c>
      <c r="C271" t="s">
        <v>1133</v>
      </c>
      <c r="D271" t="s">
        <v>1133</v>
      </c>
      <c r="E271" t="s">
        <v>4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</row>
    <row r="272" spans="1:13">
      <c r="A272">
        <v>292</v>
      </c>
      <c r="B272" s="331">
        <v>46162.866666666669</v>
      </c>
      <c r="C272" t="s">
        <v>1067</v>
      </c>
      <c r="D272" t="s">
        <v>1067</v>
      </c>
      <c r="E272" t="s">
        <v>4</v>
      </c>
      <c r="F272">
        <v>612699</v>
      </c>
      <c r="G272">
        <v>10648</v>
      </c>
      <c r="H272">
        <v>0</v>
      </c>
      <c r="I272">
        <v>623347</v>
      </c>
      <c r="J272">
        <v>21721</v>
      </c>
      <c r="K272">
        <v>0</v>
      </c>
      <c r="L272">
        <v>372244</v>
      </c>
      <c r="M272">
        <v>393965</v>
      </c>
    </row>
    <row r="273" spans="1:13">
      <c r="A273">
        <v>293</v>
      </c>
      <c r="B273" s="331">
        <v>46162.866666666669</v>
      </c>
      <c r="C273" t="s">
        <v>346</v>
      </c>
      <c r="D273" t="s">
        <v>346</v>
      </c>
      <c r="E273" t="s">
        <v>4</v>
      </c>
      <c r="F273">
        <v>2446190</v>
      </c>
      <c r="G273">
        <v>29957</v>
      </c>
      <c r="H273">
        <v>0</v>
      </c>
      <c r="I273">
        <v>2476147</v>
      </c>
      <c r="J273">
        <v>52686</v>
      </c>
      <c r="K273">
        <v>0</v>
      </c>
      <c r="L273">
        <v>1403336</v>
      </c>
      <c r="M273">
        <v>1456022</v>
      </c>
    </row>
    <row r="274" spans="1:13">
      <c r="A274">
        <v>294</v>
      </c>
      <c r="B274" s="331">
        <v>46162.866666666669</v>
      </c>
      <c r="C274" t="s">
        <v>19</v>
      </c>
      <c r="D274" t="s">
        <v>19</v>
      </c>
      <c r="E274" t="s">
        <v>4</v>
      </c>
      <c r="F274">
        <v>5457992</v>
      </c>
      <c r="G274">
        <v>58304</v>
      </c>
      <c r="H274">
        <v>655</v>
      </c>
      <c r="I274">
        <v>5516951</v>
      </c>
      <c r="J274">
        <v>116502</v>
      </c>
      <c r="K274">
        <v>1197</v>
      </c>
      <c r="L274">
        <v>3147989</v>
      </c>
      <c r="M274">
        <v>3265688</v>
      </c>
    </row>
    <row r="275" spans="1:13">
      <c r="A275">
        <v>295</v>
      </c>
      <c r="B275" s="331">
        <v>46162.865277777775</v>
      </c>
      <c r="C275" t="s">
        <v>26</v>
      </c>
      <c r="D275" t="s">
        <v>26</v>
      </c>
      <c r="E275" t="s">
        <v>4</v>
      </c>
      <c r="F275">
        <v>1898746</v>
      </c>
      <c r="G275">
        <v>25208</v>
      </c>
      <c r="H275">
        <v>161</v>
      </c>
      <c r="I275">
        <v>1924115</v>
      </c>
      <c r="J275">
        <v>55591</v>
      </c>
      <c r="K275">
        <v>264</v>
      </c>
      <c r="L275">
        <v>1140871</v>
      </c>
      <c r="M275">
        <v>1196726</v>
      </c>
    </row>
    <row r="276" spans="1:13">
      <c r="A276">
        <v>296</v>
      </c>
      <c r="B276" s="331">
        <v>46162.865277777775</v>
      </c>
      <c r="C276" t="s">
        <v>106</v>
      </c>
      <c r="D276" t="s">
        <v>106</v>
      </c>
      <c r="E276" t="s">
        <v>4</v>
      </c>
      <c r="F276">
        <v>2974066</v>
      </c>
      <c r="G276">
        <v>39557</v>
      </c>
      <c r="H276">
        <v>444</v>
      </c>
      <c r="I276">
        <v>3014067</v>
      </c>
      <c r="J276">
        <v>70116</v>
      </c>
      <c r="K276">
        <v>823</v>
      </c>
      <c r="L276">
        <v>1690012</v>
      </c>
      <c r="M276">
        <v>1760951</v>
      </c>
    </row>
    <row r="277" spans="1:13">
      <c r="A277">
        <v>297</v>
      </c>
      <c r="B277" s="331">
        <v>46162.865277777775</v>
      </c>
      <c r="C277" t="s">
        <v>1133</v>
      </c>
      <c r="D277" t="s">
        <v>1133</v>
      </c>
      <c r="E277" t="s">
        <v>4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</row>
    <row r="278" spans="1:13">
      <c r="A278">
        <v>298</v>
      </c>
      <c r="B278" s="331">
        <v>46162.865277777775</v>
      </c>
      <c r="C278" t="s">
        <v>21</v>
      </c>
      <c r="D278" t="s">
        <v>21</v>
      </c>
      <c r="E278" t="s">
        <v>4</v>
      </c>
      <c r="F278">
        <v>5703485</v>
      </c>
      <c r="G278">
        <v>56426</v>
      </c>
      <c r="H278">
        <v>647</v>
      </c>
      <c r="I278">
        <v>5760558</v>
      </c>
      <c r="J278">
        <v>106562</v>
      </c>
      <c r="K278">
        <v>1170</v>
      </c>
      <c r="L278">
        <v>3286597</v>
      </c>
      <c r="M278">
        <v>3394329</v>
      </c>
    </row>
    <row r="279" spans="1:13">
      <c r="A279">
        <v>299</v>
      </c>
      <c r="B279" s="331">
        <v>46162.865277777775</v>
      </c>
      <c r="C279" t="s">
        <v>34</v>
      </c>
      <c r="D279" t="s">
        <v>34</v>
      </c>
      <c r="E279" t="s">
        <v>4</v>
      </c>
      <c r="F279">
        <v>3809389</v>
      </c>
      <c r="G279">
        <v>29159</v>
      </c>
      <c r="H279">
        <v>21</v>
      </c>
      <c r="I279">
        <v>3838569</v>
      </c>
      <c r="J279">
        <v>64133</v>
      </c>
      <c r="K279">
        <v>90</v>
      </c>
      <c r="L279">
        <v>2277746</v>
      </c>
      <c r="M279">
        <v>2341969</v>
      </c>
    </row>
    <row r="280" spans="1:13">
      <c r="A280">
        <v>300</v>
      </c>
      <c r="B280" s="331">
        <v>46162.865277777775</v>
      </c>
      <c r="C280" t="s">
        <v>31</v>
      </c>
      <c r="D280" t="s">
        <v>31</v>
      </c>
      <c r="E280" t="s">
        <v>4</v>
      </c>
      <c r="F280">
        <v>2906588</v>
      </c>
      <c r="G280">
        <v>24155</v>
      </c>
      <c r="H280">
        <v>25</v>
      </c>
      <c r="I280">
        <v>2930768</v>
      </c>
      <c r="J280">
        <v>71886</v>
      </c>
      <c r="K280">
        <v>89</v>
      </c>
      <c r="L280">
        <v>1652821</v>
      </c>
      <c r="M280">
        <v>1724796</v>
      </c>
    </row>
    <row r="281" spans="1:13">
      <c r="A281">
        <v>301</v>
      </c>
      <c r="B281" s="331">
        <v>46162.865277777775</v>
      </c>
      <c r="C281" t="s">
        <v>105</v>
      </c>
      <c r="D281" t="s">
        <v>105</v>
      </c>
      <c r="E281" t="s">
        <v>4</v>
      </c>
      <c r="F281">
        <v>2475316</v>
      </c>
      <c r="G281">
        <v>27045</v>
      </c>
      <c r="H281">
        <v>189</v>
      </c>
      <c r="I281">
        <v>2502550</v>
      </c>
      <c r="J281">
        <v>53049</v>
      </c>
      <c r="K281">
        <v>298</v>
      </c>
      <c r="L281">
        <v>1464319</v>
      </c>
      <c r="M281">
        <v>1517666</v>
      </c>
    </row>
    <row r="282" spans="1:13">
      <c r="A282">
        <v>302</v>
      </c>
      <c r="B282" s="331">
        <v>46162.865277777775</v>
      </c>
      <c r="C282" t="s">
        <v>35</v>
      </c>
      <c r="D282" t="s">
        <v>35</v>
      </c>
      <c r="E282" t="s">
        <v>4</v>
      </c>
      <c r="F282">
        <v>3927886</v>
      </c>
      <c r="G282">
        <v>27872</v>
      </c>
      <c r="H282">
        <v>22</v>
      </c>
      <c r="I282">
        <v>3955780</v>
      </c>
      <c r="J282">
        <v>55872</v>
      </c>
      <c r="K282">
        <v>87</v>
      </c>
      <c r="L282">
        <v>2334033</v>
      </c>
      <c r="M282">
        <v>2389992</v>
      </c>
    </row>
    <row r="283" spans="1:13">
      <c r="A283">
        <v>303</v>
      </c>
      <c r="B283" s="331">
        <v>46162.865277777775</v>
      </c>
      <c r="C283" t="s">
        <v>19</v>
      </c>
      <c r="D283" t="s">
        <v>19</v>
      </c>
      <c r="E283" t="s">
        <v>4</v>
      </c>
      <c r="F283">
        <v>5458720</v>
      </c>
      <c r="G283">
        <v>58130</v>
      </c>
      <c r="H283">
        <v>663</v>
      </c>
      <c r="I283">
        <v>5517513</v>
      </c>
      <c r="J283">
        <v>116306</v>
      </c>
      <c r="K283">
        <v>1199</v>
      </c>
      <c r="L283">
        <v>3148409</v>
      </c>
      <c r="M283">
        <v>3265914</v>
      </c>
    </row>
    <row r="284" spans="1:13">
      <c r="A284">
        <v>304</v>
      </c>
      <c r="B284" s="331">
        <v>46162.865277777775</v>
      </c>
      <c r="C284" t="s">
        <v>1067</v>
      </c>
      <c r="D284" t="s">
        <v>1067</v>
      </c>
      <c r="E284" t="s">
        <v>4</v>
      </c>
      <c r="F284">
        <v>613024</v>
      </c>
      <c r="G284">
        <v>10579</v>
      </c>
      <c r="H284">
        <v>0</v>
      </c>
      <c r="I284">
        <v>623603</v>
      </c>
      <c r="J284">
        <v>21662</v>
      </c>
      <c r="K284">
        <v>0</v>
      </c>
      <c r="L284">
        <v>372393</v>
      </c>
      <c r="M284">
        <v>394055</v>
      </c>
    </row>
    <row r="285" spans="1:13">
      <c r="A285">
        <v>305</v>
      </c>
      <c r="B285" s="331">
        <v>46162.865277777775</v>
      </c>
      <c r="C285" t="s">
        <v>20</v>
      </c>
      <c r="D285" t="s">
        <v>20</v>
      </c>
      <c r="E285" t="s">
        <v>4</v>
      </c>
      <c r="F285">
        <v>6087809</v>
      </c>
      <c r="G285">
        <v>61806</v>
      </c>
      <c r="H285">
        <v>759</v>
      </c>
      <c r="I285">
        <v>6150374</v>
      </c>
      <c r="J285">
        <v>122622</v>
      </c>
      <c r="K285">
        <v>1354</v>
      </c>
      <c r="L285">
        <v>3469003</v>
      </c>
      <c r="M285">
        <v>3592979</v>
      </c>
    </row>
    <row r="286" spans="1:13">
      <c r="A286">
        <v>306</v>
      </c>
      <c r="B286" s="331">
        <v>46162.865277777775</v>
      </c>
      <c r="C286" t="s">
        <v>691</v>
      </c>
      <c r="D286" t="s">
        <v>691</v>
      </c>
      <c r="E286" t="s">
        <v>4</v>
      </c>
      <c r="F286">
        <v>1597539</v>
      </c>
      <c r="G286">
        <v>15359</v>
      </c>
      <c r="H286">
        <v>0</v>
      </c>
      <c r="I286">
        <v>1612898</v>
      </c>
      <c r="J286">
        <v>29843</v>
      </c>
      <c r="K286">
        <v>0</v>
      </c>
      <c r="L286">
        <v>944200</v>
      </c>
      <c r="M286">
        <v>974043</v>
      </c>
    </row>
    <row r="287" spans="1:13">
      <c r="A287">
        <v>307</v>
      </c>
      <c r="B287" s="331">
        <v>46162.865277777775</v>
      </c>
      <c r="C287" t="s">
        <v>345</v>
      </c>
      <c r="D287" t="s">
        <v>345</v>
      </c>
      <c r="E287" t="s">
        <v>4</v>
      </c>
      <c r="F287">
        <v>2017754</v>
      </c>
      <c r="G287">
        <v>27571</v>
      </c>
      <c r="H287">
        <v>0</v>
      </c>
      <c r="I287">
        <v>2045325</v>
      </c>
      <c r="J287">
        <v>45883</v>
      </c>
      <c r="K287">
        <v>0</v>
      </c>
      <c r="L287">
        <v>1140150</v>
      </c>
      <c r="M287">
        <v>1186033</v>
      </c>
    </row>
    <row r="288" spans="1:13">
      <c r="A288">
        <v>309</v>
      </c>
      <c r="B288" s="331">
        <v>46162.865277777775</v>
      </c>
      <c r="C288" t="s">
        <v>689</v>
      </c>
      <c r="D288" t="s">
        <v>689</v>
      </c>
      <c r="E288" t="s">
        <v>4</v>
      </c>
      <c r="F288">
        <v>1921089</v>
      </c>
      <c r="G288">
        <v>16847</v>
      </c>
      <c r="H288">
        <v>0</v>
      </c>
      <c r="I288">
        <v>1937936</v>
      </c>
      <c r="J288">
        <v>31344</v>
      </c>
      <c r="K288">
        <v>0</v>
      </c>
      <c r="L288">
        <v>1124153</v>
      </c>
      <c r="M288">
        <v>1155497</v>
      </c>
    </row>
    <row r="289" spans="1:13">
      <c r="A289">
        <v>310</v>
      </c>
      <c r="B289" s="331">
        <v>46162.865277777775</v>
      </c>
      <c r="C289" t="s">
        <v>33</v>
      </c>
      <c r="D289" t="s">
        <v>33</v>
      </c>
      <c r="E289" t="s">
        <v>4</v>
      </c>
      <c r="F289">
        <v>3680528</v>
      </c>
      <c r="G289">
        <v>27280</v>
      </c>
      <c r="H289">
        <v>25</v>
      </c>
      <c r="I289">
        <v>3707833</v>
      </c>
      <c r="J289">
        <v>53250</v>
      </c>
      <c r="K289">
        <v>115</v>
      </c>
      <c r="L289">
        <v>2190809</v>
      </c>
      <c r="M289">
        <v>2244174</v>
      </c>
    </row>
    <row r="290" spans="1:13">
      <c r="A290">
        <v>311</v>
      </c>
      <c r="B290" s="331">
        <v>46162.865277777775</v>
      </c>
      <c r="C290" t="s">
        <v>1111</v>
      </c>
      <c r="D290" t="s">
        <v>1111</v>
      </c>
      <c r="E290" t="s">
        <v>4</v>
      </c>
      <c r="F290">
        <v>860867</v>
      </c>
      <c r="G290">
        <v>6732</v>
      </c>
      <c r="H290">
        <v>0</v>
      </c>
      <c r="I290">
        <v>867599</v>
      </c>
      <c r="J290">
        <v>13322</v>
      </c>
      <c r="K290">
        <v>0</v>
      </c>
      <c r="L290">
        <v>506437</v>
      </c>
      <c r="M290">
        <v>519759</v>
      </c>
    </row>
    <row r="291" spans="1:13">
      <c r="A291">
        <v>312</v>
      </c>
      <c r="B291" s="331">
        <v>46162.865277777775</v>
      </c>
      <c r="C291" t="s">
        <v>690</v>
      </c>
      <c r="D291" t="s">
        <v>690</v>
      </c>
      <c r="E291" t="s">
        <v>4</v>
      </c>
      <c r="F291">
        <v>1601124</v>
      </c>
      <c r="G291">
        <v>15118</v>
      </c>
      <c r="H291">
        <v>0</v>
      </c>
      <c r="I291">
        <v>1616242</v>
      </c>
      <c r="J291">
        <v>29667</v>
      </c>
      <c r="K291">
        <v>0</v>
      </c>
      <c r="L291">
        <v>946698</v>
      </c>
      <c r="M291">
        <v>976365</v>
      </c>
    </row>
    <row r="292" spans="1:13">
      <c r="A292">
        <v>314</v>
      </c>
      <c r="B292" s="331">
        <v>46162.865277777775</v>
      </c>
      <c r="C292" t="s">
        <v>32</v>
      </c>
      <c r="D292" t="s">
        <v>32</v>
      </c>
      <c r="E292" t="s">
        <v>4</v>
      </c>
      <c r="F292">
        <v>3593492</v>
      </c>
      <c r="G292">
        <v>27444</v>
      </c>
      <c r="H292">
        <v>24</v>
      </c>
      <c r="I292">
        <v>3620960</v>
      </c>
      <c r="J292">
        <v>57901</v>
      </c>
      <c r="K292">
        <v>94</v>
      </c>
      <c r="L292">
        <v>2136565</v>
      </c>
      <c r="M292">
        <v>2194560</v>
      </c>
    </row>
    <row r="293" spans="1:13">
      <c r="A293">
        <v>315</v>
      </c>
      <c r="B293" s="331">
        <v>46162.865277777775</v>
      </c>
      <c r="C293" t="s">
        <v>16</v>
      </c>
      <c r="D293" t="s">
        <v>16</v>
      </c>
      <c r="E293" t="s">
        <v>4</v>
      </c>
      <c r="F293">
        <v>3294683</v>
      </c>
      <c r="G293">
        <v>43654</v>
      </c>
      <c r="H293">
        <v>513</v>
      </c>
      <c r="I293">
        <v>3338850</v>
      </c>
      <c r="J293">
        <v>107145</v>
      </c>
      <c r="K293">
        <v>993</v>
      </c>
      <c r="L293">
        <v>1909635</v>
      </c>
      <c r="M293">
        <v>2017773</v>
      </c>
    </row>
    <row r="294" spans="1:13">
      <c r="A294">
        <v>316</v>
      </c>
      <c r="B294" s="331">
        <v>46162.865277777775</v>
      </c>
      <c r="C294" t="s">
        <v>336</v>
      </c>
      <c r="D294" t="s">
        <v>336</v>
      </c>
      <c r="E294" t="s">
        <v>4</v>
      </c>
      <c r="F294">
        <v>724423</v>
      </c>
      <c r="G294">
        <v>3728</v>
      </c>
      <c r="H294">
        <v>0</v>
      </c>
      <c r="I294">
        <v>728151</v>
      </c>
      <c r="J294">
        <v>5287</v>
      </c>
      <c r="K294">
        <v>0</v>
      </c>
      <c r="L294">
        <v>430029</v>
      </c>
      <c r="M294">
        <v>435316</v>
      </c>
    </row>
    <row r="295" spans="1:13">
      <c r="A295">
        <v>317</v>
      </c>
      <c r="B295" s="331">
        <v>46162.865277777775</v>
      </c>
      <c r="C295" t="s">
        <v>18</v>
      </c>
      <c r="D295" t="s">
        <v>18</v>
      </c>
      <c r="E295" t="s">
        <v>4</v>
      </c>
      <c r="F295">
        <v>5724010</v>
      </c>
      <c r="G295">
        <v>61341</v>
      </c>
      <c r="H295">
        <v>719</v>
      </c>
      <c r="I295">
        <v>5786070</v>
      </c>
      <c r="J295">
        <v>126314</v>
      </c>
      <c r="K295">
        <v>1332</v>
      </c>
      <c r="L295">
        <v>3304583</v>
      </c>
      <c r="M295">
        <v>3432229</v>
      </c>
    </row>
    <row r="296" spans="1:13">
      <c r="A296">
        <v>318</v>
      </c>
      <c r="B296" s="331">
        <v>46162.865277777775</v>
      </c>
      <c r="C296" t="s">
        <v>17</v>
      </c>
      <c r="D296" t="s">
        <v>17</v>
      </c>
      <c r="E296" t="s">
        <v>4</v>
      </c>
      <c r="F296">
        <v>3686111</v>
      </c>
      <c r="G296">
        <v>46925</v>
      </c>
      <c r="H296">
        <v>513</v>
      </c>
      <c r="I296">
        <v>3733549</v>
      </c>
      <c r="J296">
        <v>109090</v>
      </c>
      <c r="K296">
        <v>1006</v>
      </c>
      <c r="L296">
        <v>2116782</v>
      </c>
      <c r="M296">
        <v>2226878</v>
      </c>
    </row>
    <row r="297" spans="1:13">
      <c r="A297">
        <v>319</v>
      </c>
      <c r="B297" s="331">
        <v>46162.865277777775</v>
      </c>
      <c r="C297" t="s">
        <v>107</v>
      </c>
      <c r="D297" t="s">
        <v>107</v>
      </c>
      <c r="E297" t="s">
        <v>4</v>
      </c>
      <c r="F297">
        <v>4493723</v>
      </c>
      <c r="G297">
        <v>50624</v>
      </c>
      <c r="H297">
        <v>620</v>
      </c>
      <c r="I297">
        <v>4544967</v>
      </c>
      <c r="J297">
        <v>97316</v>
      </c>
      <c r="K297">
        <v>1098</v>
      </c>
      <c r="L297">
        <v>2589568</v>
      </c>
      <c r="M297">
        <v>2687982</v>
      </c>
    </row>
    <row r="298" spans="1:13">
      <c r="A298">
        <v>320</v>
      </c>
      <c r="B298" s="331">
        <v>46162.865277777775</v>
      </c>
      <c r="C298" t="s">
        <v>29</v>
      </c>
      <c r="D298" t="s">
        <v>29</v>
      </c>
      <c r="E298" t="s">
        <v>4</v>
      </c>
      <c r="F298">
        <v>2271019</v>
      </c>
      <c r="G298">
        <v>23866</v>
      </c>
      <c r="H298">
        <v>21</v>
      </c>
      <c r="I298">
        <v>2294906</v>
      </c>
      <c r="J298">
        <v>77834</v>
      </c>
      <c r="K298">
        <v>100</v>
      </c>
      <c r="L298">
        <v>1362951</v>
      </c>
      <c r="M298">
        <v>1440885</v>
      </c>
    </row>
    <row r="299" spans="1:13">
      <c r="A299">
        <v>321</v>
      </c>
      <c r="B299" s="331">
        <v>46162.865277777775</v>
      </c>
      <c r="C299" t="s">
        <v>132</v>
      </c>
      <c r="D299" t="s">
        <v>132</v>
      </c>
      <c r="E299" t="s">
        <v>4</v>
      </c>
      <c r="F299">
        <v>3869230</v>
      </c>
      <c r="G299">
        <v>29072</v>
      </c>
      <c r="H299">
        <v>22</v>
      </c>
      <c r="I299">
        <v>3898324</v>
      </c>
      <c r="J299">
        <v>59371</v>
      </c>
      <c r="K299">
        <v>84</v>
      </c>
      <c r="L299">
        <v>2297108</v>
      </c>
      <c r="M299">
        <v>2356563</v>
      </c>
    </row>
    <row r="300" spans="1:13">
      <c r="A300">
        <v>322</v>
      </c>
      <c r="B300" s="331">
        <v>46162.865277777775</v>
      </c>
      <c r="C300" t="s">
        <v>27</v>
      </c>
      <c r="D300" t="s">
        <v>27</v>
      </c>
      <c r="E300" t="s">
        <v>4</v>
      </c>
      <c r="F300">
        <v>1813897</v>
      </c>
      <c r="G300">
        <v>25212</v>
      </c>
      <c r="H300">
        <v>164</v>
      </c>
      <c r="I300">
        <v>1839273</v>
      </c>
      <c r="J300">
        <v>52588</v>
      </c>
      <c r="K300">
        <v>279</v>
      </c>
      <c r="L300">
        <v>1086861</v>
      </c>
      <c r="M300">
        <v>1139728</v>
      </c>
    </row>
    <row r="301" spans="1:13">
      <c r="A301">
        <v>323</v>
      </c>
      <c r="B301" s="331">
        <v>46162.865277777775</v>
      </c>
      <c r="C301" t="s">
        <v>1112</v>
      </c>
      <c r="D301" t="s">
        <v>1112</v>
      </c>
      <c r="E301" t="s">
        <v>4</v>
      </c>
      <c r="F301">
        <v>865732</v>
      </c>
      <c r="G301">
        <v>6715</v>
      </c>
      <c r="H301">
        <v>0</v>
      </c>
      <c r="I301">
        <v>872447</v>
      </c>
      <c r="J301">
        <v>13348</v>
      </c>
      <c r="K301">
        <v>0</v>
      </c>
      <c r="L301">
        <v>509502</v>
      </c>
      <c r="M301">
        <v>522850</v>
      </c>
    </row>
    <row r="302" spans="1:13">
      <c r="A302">
        <v>325</v>
      </c>
      <c r="B302" s="331">
        <v>46162.865277777775</v>
      </c>
      <c r="C302" t="s">
        <v>108</v>
      </c>
      <c r="D302" t="s">
        <v>108</v>
      </c>
      <c r="E302" t="s">
        <v>4</v>
      </c>
      <c r="F302">
        <v>4458126</v>
      </c>
      <c r="G302">
        <v>49693</v>
      </c>
      <c r="H302">
        <v>649</v>
      </c>
      <c r="I302">
        <v>4508468</v>
      </c>
      <c r="J302">
        <v>95525</v>
      </c>
      <c r="K302">
        <v>1163</v>
      </c>
      <c r="L302">
        <v>2569797</v>
      </c>
      <c r="M302">
        <v>2666485</v>
      </c>
    </row>
    <row r="303" spans="1:13">
      <c r="A303">
        <v>326</v>
      </c>
      <c r="B303" s="331">
        <v>46162.865277777775</v>
      </c>
      <c r="C303" t="s">
        <v>24</v>
      </c>
      <c r="D303" t="s">
        <v>24</v>
      </c>
      <c r="E303" t="s">
        <v>4</v>
      </c>
      <c r="F303">
        <v>1878252</v>
      </c>
      <c r="G303">
        <v>27722</v>
      </c>
      <c r="H303">
        <v>164</v>
      </c>
      <c r="I303">
        <v>1906138</v>
      </c>
      <c r="J303">
        <v>56713</v>
      </c>
      <c r="K303">
        <v>232</v>
      </c>
      <c r="L303">
        <v>1123000</v>
      </c>
      <c r="M303">
        <v>1179945</v>
      </c>
    </row>
    <row r="304" spans="1:13">
      <c r="A304">
        <v>327</v>
      </c>
      <c r="B304" s="331">
        <v>46162.865277777775</v>
      </c>
      <c r="C304" t="s">
        <v>22</v>
      </c>
      <c r="D304" t="s">
        <v>22</v>
      </c>
      <c r="E304" t="s">
        <v>4</v>
      </c>
      <c r="F304">
        <v>2850463</v>
      </c>
      <c r="G304">
        <v>36316</v>
      </c>
      <c r="H304">
        <v>393</v>
      </c>
      <c r="I304">
        <v>2887172</v>
      </c>
      <c r="J304">
        <v>63508</v>
      </c>
      <c r="K304">
        <v>650</v>
      </c>
      <c r="L304">
        <v>1621111</v>
      </c>
      <c r="M304">
        <v>1685269</v>
      </c>
    </row>
    <row r="305" spans="1:13">
      <c r="A305">
        <v>328</v>
      </c>
      <c r="B305" s="331">
        <v>46162.865277777775</v>
      </c>
      <c r="C305" t="s">
        <v>1068</v>
      </c>
      <c r="D305" t="s">
        <v>1068</v>
      </c>
      <c r="E305" t="s">
        <v>4</v>
      </c>
      <c r="F305">
        <v>614047</v>
      </c>
      <c r="G305">
        <v>10538</v>
      </c>
      <c r="H305">
        <v>0</v>
      </c>
      <c r="I305">
        <v>624585</v>
      </c>
      <c r="J305">
        <v>21719</v>
      </c>
      <c r="K305">
        <v>0</v>
      </c>
      <c r="L305">
        <v>372783</v>
      </c>
      <c r="M305">
        <v>394502</v>
      </c>
    </row>
    <row r="306" spans="1:13">
      <c r="A306">
        <v>329</v>
      </c>
      <c r="B306" s="331">
        <v>46162.865277777775</v>
      </c>
      <c r="C306" t="s">
        <v>346</v>
      </c>
      <c r="D306" t="s">
        <v>346</v>
      </c>
      <c r="E306" t="s">
        <v>4</v>
      </c>
      <c r="F306">
        <v>2446641</v>
      </c>
      <c r="G306">
        <v>29987</v>
      </c>
      <c r="H306">
        <v>0</v>
      </c>
      <c r="I306">
        <v>2476628</v>
      </c>
      <c r="J306">
        <v>52683</v>
      </c>
      <c r="K306">
        <v>0</v>
      </c>
      <c r="L306">
        <v>1403615</v>
      </c>
      <c r="M306">
        <v>1456298</v>
      </c>
    </row>
    <row r="307" spans="1:13">
      <c r="A307">
        <v>330</v>
      </c>
      <c r="B307" s="331">
        <v>46162.865277777775</v>
      </c>
      <c r="C307" t="s">
        <v>131</v>
      </c>
      <c r="D307" t="s">
        <v>131</v>
      </c>
      <c r="E307" t="s">
        <v>4</v>
      </c>
      <c r="F307">
        <v>3866561</v>
      </c>
      <c r="G307">
        <v>29526</v>
      </c>
      <c r="H307">
        <v>21</v>
      </c>
      <c r="I307">
        <v>3896108</v>
      </c>
      <c r="J307">
        <v>60496</v>
      </c>
      <c r="K307">
        <v>105</v>
      </c>
      <c r="L307">
        <v>2297456</v>
      </c>
      <c r="M307">
        <v>2358057</v>
      </c>
    </row>
    <row r="308" spans="1:13">
      <c r="A308">
        <v>331</v>
      </c>
      <c r="B308" s="331">
        <v>46162.864583333336</v>
      </c>
      <c r="C308" t="s">
        <v>896</v>
      </c>
      <c r="D308" t="s">
        <v>896</v>
      </c>
      <c r="E308" t="s">
        <v>372</v>
      </c>
      <c r="L308">
        <v>775580</v>
      </c>
      <c r="M308">
        <v>775580</v>
      </c>
    </row>
    <row r="309" spans="1:13">
      <c r="A309">
        <v>332</v>
      </c>
      <c r="B309" s="331">
        <v>46162.864583333336</v>
      </c>
      <c r="C309" t="s">
        <v>349</v>
      </c>
      <c r="D309" t="s">
        <v>349</v>
      </c>
      <c r="E309" t="s">
        <v>372</v>
      </c>
      <c r="L309">
        <v>601253</v>
      </c>
      <c r="M309">
        <v>601253</v>
      </c>
    </row>
    <row r="310" spans="1:13">
      <c r="A310">
        <v>333</v>
      </c>
      <c r="B310" s="331">
        <v>46162.864583333336</v>
      </c>
      <c r="C310" t="s">
        <v>1080</v>
      </c>
      <c r="D310" t="s">
        <v>1080</v>
      </c>
      <c r="E310" t="s">
        <v>372</v>
      </c>
      <c r="L310">
        <v>680624</v>
      </c>
      <c r="M310">
        <v>680624</v>
      </c>
    </row>
    <row r="311" spans="1:13">
      <c r="A311">
        <v>334</v>
      </c>
      <c r="B311" s="331">
        <v>46162.864583333336</v>
      </c>
      <c r="C311" t="s">
        <v>350</v>
      </c>
      <c r="D311" t="s">
        <v>350</v>
      </c>
      <c r="E311" t="s">
        <v>372</v>
      </c>
      <c r="L311">
        <v>610482</v>
      </c>
      <c r="M311">
        <v>610482</v>
      </c>
    </row>
    <row r="312" spans="1:13">
      <c r="A312">
        <v>335</v>
      </c>
      <c r="B312" s="331">
        <v>46162.864583333336</v>
      </c>
      <c r="C312" t="s">
        <v>583</v>
      </c>
      <c r="D312" t="s">
        <v>583</v>
      </c>
      <c r="E312" t="s">
        <v>372</v>
      </c>
      <c r="L312">
        <v>522087</v>
      </c>
      <c r="M312">
        <v>522087</v>
      </c>
    </row>
    <row r="313" spans="1:13">
      <c r="A313">
        <v>336</v>
      </c>
      <c r="B313" s="331">
        <v>46162.864583333336</v>
      </c>
      <c r="C313" t="s">
        <v>348</v>
      </c>
      <c r="D313" t="s">
        <v>348</v>
      </c>
      <c r="E313" t="s">
        <v>372</v>
      </c>
      <c r="L313">
        <v>615809</v>
      </c>
      <c r="M313">
        <v>615809</v>
      </c>
    </row>
    <row r="314" spans="1:13">
      <c r="A314">
        <v>337</v>
      </c>
      <c r="B314" s="331">
        <v>46162.864583333336</v>
      </c>
      <c r="C314" t="s">
        <v>1125</v>
      </c>
      <c r="D314" t="s">
        <v>1125</v>
      </c>
      <c r="E314" t="s">
        <v>372</v>
      </c>
      <c r="L314">
        <v>631238</v>
      </c>
      <c r="M314">
        <v>631238</v>
      </c>
    </row>
    <row r="315" spans="1:13">
      <c r="A315">
        <v>338</v>
      </c>
      <c r="B315" s="331">
        <v>46162.864583333336</v>
      </c>
      <c r="C315" t="s">
        <v>582</v>
      </c>
      <c r="D315" t="s">
        <v>582</v>
      </c>
      <c r="E315" t="s">
        <v>372</v>
      </c>
      <c r="L315">
        <v>521548</v>
      </c>
      <c r="M315">
        <v>521548</v>
      </c>
    </row>
    <row r="316" spans="1:13">
      <c r="A316">
        <v>339</v>
      </c>
      <c r="B316" s="331">
        <v>46162.864583333336</v>
      </c>
      <c r="C316" t="s">
        <v>580</v>
      </c>
      <c r="D316" t="s">
        <v>580</v>
      </c>
      <c r="E316" t="s">
        <v>372</v>
      </c>
      <c r="L316">
        <v>551025</v>
      </c>
      <c r="M316">
        <v>551025</v>
      </c>
    </row>
    <row r="317" spans="1:13">
      <c r="A317">
        <v>340</v>
      </c>
      <c r="B317" s="331">
        <v>46162.864583333336</v>
      </c>
      <c r="C317" t="s">
        <v>895</v>
      </c>
      <c r="D317" t="s">
        <v>895</v>
      </c>
      <c r="E317" t="s">
        <v>372</v>
      </c>
      <c r="L317">
        <v>776288</v>
      </c>
      <c r="M317">
        <v>776288</v>
      </c>
    </row>
    <row r="318" spans="1:13">
      <c r="A318">
        <v>341</v>
      </c>
      <c r="B318" s="331">
        <v>46162.864583333336</v>
      </c>
      <c r="C318" t="s">
        <v>893</v>
      </c>
      <c r="D318" t="s">
        <v>893</v>
      </c>
      <c r="E318" t="s">
        <v>372</v>
      </c>
      <c r="L318">
        <v>784078</v>
      </c>
      <c r="M318">
        <v>784078</v>
      </c>
    </row>
    <row r="319" spans="1:13">
      <c r="A319">
        <v>342</v>
      </c>
      <c r="B319" s="331">
        <v>46162.864583333336</v>
      </c>
      <c r="C319" t="s">
        <v>894</v>
      </c>
      <c r="D319" t="s">
        <v>894</v>
      </c>
      <c r="E319" t="s">
        <v>372</v>
      </c>
      <c r="L319">
        <v>775475</v>
      </c>
      <c r="M319">
        <v>775475</v>
      </c>
    </row>
    <row r="320" spans="1:13">
      <c r="A320">
        <v>343</v>
      </c>
      <c r="B320" s="331">
        <v>46162.864583333336</v>
      </c>
      <c r="C320" t="s">
        <v>1081</v>
      </c>
      <c r="D320" t="s">
        <v>1081</v>
      </c>
      <c r="E320" t="s">
        <v>372</v>
      </c>
      <c r="L320">
        <v>644382</v>
      </c>
      <c r="M320">
        <v>644382</v>
      </c>
    </row>
    <row r="321" spans="1:13">
      <c r="A321">
        <v>344</v>
      </c>
      <c r="B321" s="331">
        <v>46162.864583333336</v>
      </c>
      <c r="C321" t="s">
        <v>581</v>
      </c>
      <c r="D321" t="s">
        <v>581</v>
      </c>
      <c r="E321" t="s">
        <v>372</v>
      </c>
      <c r="L321">
        <v>518420</v>
      </c>
      <c r="M321">
        <v>518420</v>
      </c>
    </row>
    <row r="322" spans="1:13">
      <c r="A322">
        <v>345</v>
      </c>
      <c r="B322" s="331">
        <v>46162.863888888889</v>
      </c>
      <c r="C322" t="s">
        <v>131</v>
      </c>
      <c r="D322" t="s">
        <v>131</v>
      </c>
      <c r="E322" t="s">
        <v>4</v>
      </c>
      <c r="F322">
        <v>3867312</v>
      </c>
      <c r="G322">
        <v>29457</v>
      </c>
      <c r="H322">
        <v>20</v>
      </c>
      <c r="I322">
        <v>3896789</v>
      </c>
      <c r="J322">
        <v>60422</v>
      </c>
      <c r="K322">
        <v>104</v>
      </c>
      <c r="L322">
        <v>2297742</v>
      </c>
      <c r="M322">
        <v>2358268</v>
      </c>
    </row>
    <row r="323" spans="1:13">
      <c r="A323">
        <v>346</v>
      </c>
      <c r="B323" s="331">
        <v>46162.863888888889</v>
      </c>
      <c r="C323" t="s">
        <v>17</v>
      </c>
      <c r="D323" t="s">
        <v>17</v>
      </c>
      <c r="E323" t="s">
        <v>4</v>
      </c>
      <c r="F323">
        <v>3686244</v>
      </c>
      <c r="G323">
        <v>47055</v>
      </c>
      <c r="H323">
        <v>501</v>
      </c>
      <c r="I323">
        <v>3733800</v>
      </c>
      <c r="J323">
        <v>109198</v>
      </c>
      <c r="K323">
        <v>986</v>
      </c>
      <c r="L323">
        <v>2116906</v>
      </c>
      <c r="M323">
        <v>2227090</v>
      </c>
    </row>
    <row r="324" spans="1:13">
      <c r="A324">
        <v>347</v>
      </c>
      <c r="B324" s="331">
        <v>46162.863888888889</v>
      </c>
      <c r="C324" t="s">
        <v>16</v>
      </c>
      <c r="D324" t="s">
        <v>16</v>
      </c>
      <c r="E324" t="s">
        <v>4</v>
      </c>
      <c r="F324">
        <v>3294901</v>
      </c>
      <c r="G324">
        <v>43564</v>
      </c>
      <c r="H324">
        <v>502</v>
      </c>
      <c r="I324">
        <v>3338967</v>
      </c>
      <c r="J324">
        <v>107065</v>
      </c>
      <c r="K324">
        <v>989</v>
      </c>
      <c r="L324">
        <v>1909860</v>
      </c>
      <c r="M324">
        <v>2017914</v>
      </c>
    </row>
    <row r="325" spans="1:13">
      <c r="A325">
        <v>348</v>
      </c>
      <c r="B325" s="331">
        <v>46162.863888888889</v>
      </c>
      <c r="C325" t="s">
        <v>26</v>
      </c>
      <c r="D325" t="s">
        <v>26</v>
      </c>
      <c r="E325" t="s">
        <v>4</v>
      </c>
      <c r="F325">
        <v>1898947</v>
      </c>
      <c r="G325">
        <v>25330</v>
      </c>
      <c r="H325">
        <v>174</v>
      </c>
      <c r="I325">
        <v>1924451</v>
      </c>
      <c r="J325">
        <v>55749</v>
      </c>
      <c r="K325">
        <v>274</v>
      </c>
      <c r="L325">
        <v>1140905</v>
      </c>
      <c r="M325">
        <v>1196928</v>
      </c>
    </row>
    <row r="326" spans="1:13">
      <c r="A326">
        <v>349</v>
      </c>
      <c r="B326" s="331">
        <v>46162.863888888889</v>
      </c>
      <c r="C326" t="s">
        <v>346</v>
      </c>
      <c r="D326" t="s">
        <v>346</v>
      </c>
      <c r="E326" t="s">
        <v>4</v>
      </c>
      <c r="F326">
        <v>2447022</v>
      </c>
      <c r="G326">
        <v>29868</v>
      </c>
      <c r="H326">
        <v>0</v>
      </c>
      <c r="I326">
        <v>2476890</v>
      </c>
      <c r="J326">
        <v>52559</v>
      </c>
      <c r="K326">
        <v>0</v>
      </c>
      <c r="L326">
        <v>1403814</v>
      </c>
      <c r="M326">
        <v>1456373</v>
      </c>
    </row>
    <row r="327" spans="1:13">
      <c r="A327">
        <v>350</v>
      </c>
      <c r="B327" s="331">
        <v>46162.863888888889</v>
      </c>
      <c r="C327" t="s">
        <v>690</v>
      </c>
      <c r="D327" t="s">
        <v>690</v>
      </c>
      <c r="E327" t="s">
        <v>4</v>
      </c>
      <c r="F327">
        <v>1601426</v>
      </c>
      <c r="G327">
        <v>15093</v>
      </c>
      <c r="H327">
        <v>0</v>
      </c>
      <c r="I327">
        <v>1616519</v>
      </c>
      <c r="J327">
        <v>29594</v>
      </c>
      <c r="K327">
        <v>0</v>
      </c>
      <c r="L327">
        <v>946899</v>
      </c>
      <c r="M327">
        <v>976493</v>
      </c>
    </row>
    <row r="328" spans="1:13">
      <c r="A328">
        <v>352</v>
      </c>
      <c r="B328" s="331">
        <v>46162.863888888889</v>
      </c>
      <c r="C328" t="s">
        <v>32</v>
      </c>
      <c r="D328" t="s">
        <v>32</v>
      </c>
      <c r="E328" t="s">
        <v>4</v>
      </c>
      <c r="F328">
        <v>3594170</v>
      </c>
      <c r="G328">
        <v>27407</v>
      </c>
      <c r="H328">
        <v>23</v>
      </c>
      <c r="I328">
        <v>3621600</v>
      </c>
      <c r="J328">
        <v>57804</v>
      </c>
      <c r="K328">
        <v>93</v>
      </c>
      <c r="L328">
        <v>2136860</v>
      </c>
      <c r="M328">
        <v>2194757</v>
      </c>
    </row>
    <row r="329" spans="1:13">
      <c r="A329">
        <v>354</v>
      </c>
      <c r="B329" s="331">
        <v>46162.863888888889</v>
      </c>
      <c r="C329" t="s">
        <v>345</v>
      </c>
      <c r="D329" t="s">
        <v>345</v>
      </c>
      <c r="E329" t="s">
        <v>4</v>
      </c>
      <c r="F329">
        <v>2018086</v>
      </c>
      <c r="G329">
        <v>27440</v>
      </c>
      <c r="H329">
        <v>0</v>
      </c>
      <c r="I329">
        <v>2045526</v>
      </c>
      <c r="J329">
        <v>45757</v>
      </c>
      <c r="K329">
        <v>0</v>
      </c>
      <c r="L329">
        <v>1140340</v>
      </c>
      <c r="M329">
        <v>1186097</v>
      </c>
    </row>
    <row r="330" spans="1:13">
      <c r="A330">
        <v>355</v>
      </c>
      <c r="B330" s="331">
        <v>46162.863888888889</v>
      </c>
      <c r="C330" t="s">
        <v>336</v>
      </c>
      <c r="D330" t="s">
        <v>336</v>
      </c>
      <c r="E330" t="s">
        <v>4</v>
      </c>
      <c r="F330">
        <v>724495</v>
      </c>
      <c r="G330">
        <v>3680</v>
      </c>
      <c r="H330">
        <v>0</v>
      </c>
      <c r="I330">
        <v>728175</v>
      </c>
      <c r="J330">
        <v>5255</v>
      </c>
      <c r="K330">
        <v>0</v>
      </c>
      <c r="L330">
        <v>430071</v>
      </c>
      <c r="M330">
        <v>435326</v>
      </c>
    </row>
    <row r="331" spans="1:13">
      <c r="A331">
        <v>356</v>
      </c>
      <c r="B331" s="331">
        <v>46162.863888888889</v>
      </c>
      <c r="C331" t="s">
        <v>1133</v>
      </c>
      <c r="D331" t="s">
        <v>1133</v>
      </c>
      <c r="E331" t="s">
        <v>4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</row>
    <row r="332" spans="1:13">
      <c r="A332">
        <v>357</v>
      </c>
      <c r="B332" s="331">
        <v>46162.863888888889</v>
      </c>
      <c r="C332" t="s">
        <v>1112</v>
      </c>
      <c r="D332" t="s">
        <v>1112</v>
      </c>
      <c r="E332" t="s">
        <v>4</v>
      </c>
      <c r="F332">
        <v>865912</v>
      </c>
      <c r="G332">
        <v>6727</v>
      </c>
      <c r="H332">
        <v>0</v>
      </c>
      <c r="I332">
        <v>872639</v>
      </c>
      <c r="J332">
        <v>13371</v>
      </c>
      <c r="K332">
        <v>0</v>
      </c>
      <c r="L332">
        <v>509596</v>
      </c>
      <c r="M332">
        <v>522967</v>
      </c>
    </row>
    <row r="333" spans="1:13">
      <c r="A333">
        <v>358</v>
      </c>
      <c r="B333" s="331">
        <v>46162.863888888889</v>
      </c>
      <c r="C333" t="s">
        <v>33</v>
      </c>
      <c r="D333" t="s">
        <v>33</v>
      </c>
      <c r="E333" t="s">
        <v>4</v>
      </c>
      <c r="F333">
        <v>3680997</v>
      </c>
      <c r="G333">
        <v>27364</v>
      </c>
      <c r="H333">
        <v>26</v>
      </c>
      <c r="I333">
        <v>3708387</v>
      </c>
      <c r="J333">
        <v>53312</v>
      </c>
      <c r="K333">
        <v>116</v>
      </c>
      <c r="L333">
        <v>2190954</v>
      </c>
      <c r="M333">
        <v>2244382</v>
      </c>
    </row>
    <row r="334" spans="1:13">
      <c r="A334">
        <v>360</v>
      </c>
      <c r="B334" s="331">
        <v>46162.863888888889</v>
      </c>
      <c r="C334" t="s">
        <v>108</v>
      </c>
      <c r="D334" t="s">
        <v>108</v>
      </c>
      <c r="E334" t="s">
        <v>4</v>
      </c>
      <c r="F334">
        <v>4458735</v>
      </c>
      <c r="G334">
        <v>49547</v>
      </c>
      <c r="H334">
        <v>653</v>
      </c>
      <c r="I334">
        <v>4508935</v>
      </c>
      <c r="J334">
        <v>95403</v>
      </c>
      <c r="K334">
        <v>1166</v>
      </c>
      <c r="L334">
        <v>2570129</v>
      </c>
      <c r="M334">
        <v>2666698</v>
      </c>
    </row>
    <row r="335" spans="1:13">
      <c r="A335">
        <v>361</v>
      </c>
      <c r="B335" s="331">
        <v>46162.863888888889</v>
      </c>
      <c r="C335" t="s">
        <v>27</v>
      </c>
      <c r="D335" t="s">
        <v>27</v>
      </c>
      <c r="E335" t="s">
        <v>4</v>
      </c>
      <c r="F335">
        <v>1814361</v>
      </c>
      <c r="G335">
        <v>25356</v>
      </c>
      <c r="H335">
        <v>167</v>
      </c>
      <c r="I335">
        <v>1839884</v>
      </c>
      <c r="J335">
        <v>52718</v>
      </c>
      <c r="K335">
        <v>284</v>
      </c>
      <c r="L335">
        <v>1087030</v>
      </c>
      <c r="M335">
        <v>1140032</v>
      </c>
    </row>
    <row r="336" spans="1:13">
      <c r="A336">
        <v>362</v>
      </c>
      <c r="B336" s="331">
        <v>46162.863888888889</v>
      </c>
      <c r="C336" t="s">
        <v>22</v>
      </c>
      <c r="D336" t="s">
        <v>22</v>
      </c>
      <c r="E336" t="s">
        <v>4</v>
      </c>
      <c r="F336">
        <v>2850698</v>
      </c>
      <c r="G336">
        <v>36414</v>
      </c>
      <c r="H336">
        <v>391</v>
      </c>
      <c r="I336">
        <v>2887503</v>
      </c>
      <c r="J336">
        <v>63524</v>
      </c>
      <c r="K336">
        <v>645</v>
      </c>
      <c r="L336">
        <v>1621217</v>
      </c>
      <c r="M336">
        <v>1685386</v>
      </c>
    </row>
    <row r="337" spans="1:13">
      <c r="A337">
        <v>363</v>
      </c>
      <c r="B337" s="331">
        <v>46162.863888888889</v>
      </c>
      <c r="C337" t="s">
        <v>691</v>
      </c>
      <c r="D337" t="s">
        <v>691</v>
      </c>
      <c r="E337" t="s">
        <v>4</v>
      </c>
      <c r="F337">
        <v>1598056</v>
      </c>
      <c r="G337">
        <v>15310</v>
      </c>
      <c r="H337">
        <v>0</v>
      </c>
      <c r="I337">
        <v>1613366</v>
      </c>
      <c r="J337">
        <v>29780</v>
      </c>
      <c r="K337">
        <v>0</v>
      </c>
      <c r="L337">
        <v>944452</v>
      </c>
      <c r="M337">
        <v>974232</v>
      </c>
    </row>
    <row r="338" spans="1:13">
      <c r="A338">
        <v>364</v>
      </c>
      <c r="B338" s="331">
        <v>46162.863888888889</v>
      </c>
      <c r="C338" t="s">
        <v>1067</v>
      </c>
      <c r="D338" t="s">
        <v>1067</v>
      </c>
      <c r="E338" t="s">
        <v>4</v>
      </c>
      <c r="F338">
        <v>613094</v>
      </c>
      <c r="G338">
        <v>10670</v>
      </c>
      <c r="H338">
        <v>0</v>
      </c>
      <c r="I338">
        <v>623764</v>
      </c>
      <c r="J338">
        <v>21738</v>
      </c>
      <c r="K338">
        <v>0</v>
      </c>
      <c r="L338">
        <v>372462</v>
      </c>
      <c r="M338">
        <v>394200</v>
      </c>
    </row>
    <row r="339" spans="1:13">
      <c r="A339">
        <v>365</v>
      </c>
      <c r="B339" s="331">
        <v>46162.863888888889</v>
      </c>
      <c r="C339" t="s">
        <v>132</v>
      </c>
      <c r="D339" t="s">
        <v>132</v>
      </c>
      <c r="E339" t="s">
        <v>4</v>
      </c>
      <c r="F339">
        <v>3869889</v>
      </c>
      <c r="G339">
        <v>28982</v>
      </c>
      <c r="H339">
        <v>22</v>
      </c>
      <c r="I339">
        <v>3898893</v>
      </c>
      <c r="J339">
        <v>59279</v>
      </c>
      <c r="K339">
        <v>84</v>
      </c>
      <c r="L339">
        <v>2297242</v>
      </c>
      <c r="M339">
        <v>2356605</v>
      </c>
    </row>
    <row r="340" spans="1:13">
      <c r="A340">
        <v>366</v>
      </c>
      <c r="B340" s="331">
        <v>46162.863888888889</v>
      </c>
      <c r="C340" t="s">
        <v>35</v>
      </c>
      <c r="D340" t="s">
        <v>35</v>
      </c>
      <c r="E340" t="s">
        <v>4</v>
      </c>
      <c r="F340">
        <v>3928437</v>
      </c>
      <c r="G340">
        <v>27910</v>
      </c>
      <c r="H340">
        <v>22</v>
      </c>
      <c r="I340">
        <v>3956369</v>
      </c>
      <c r="J340">
        <v>55817</v>
      </c>
      <c r="K340">
        <v>87</v>
      </c>
      <c r="L340">
        <v>2334250</v>
      </c>
      <c r="M340">
        <v>2390154</v>
      </c>
    </row>
    <row r="341" spans="1:13">
      <c r="A341">
        <v>367</v>
      </c>
      <c r="B341" s="331">
        <v>46162.863888888889</v>
      </c>
      <c r="C341" t="s">
        <v>21</v>
      </c>
      <c r="D341" t="s">
        <v>21</v>
      </c>
      <c r="E341" t="s">
        <v>4</v>
      </c>
      <c r="F341">
        <v>5703744</v>
      </c>
      <c r="G341">
        <v>56549</v>
      </c>
      <c r="H341">
        <v>647</v>
      </c>
      <c r="I341">
        <v>5760940</v>
      </c>
      <c r="J341">
        <v>106557</v>
      </c>
      <c r="K341">
        <v>1186</v>
      </c>
      <c r="L341">
        <v>3286733</v>
      </c>
      <c r="M341">
        <v>3394476</v>
      </c>
    </row>
    <row r="342" spans="1:13">
      <c r="A342">
        <v>368</v>
      </c>
      <c r="B342" s="331">
        <v>46162.863888888889</v>
      </c>
      <c r="C342" t="s">
        <v>1111</v>
      </c>
      <c r="D342" t="s">
        <v>1111</v>
      </c>
      <c r="E342" t="s">
        <v>4</v>
      </c>
      <c r="F342">
        <v>860946</v>
      </c>
      <c r="G342">
        <v>6744</v>
      </c>
      <c r="H342">
        <v>0</v>
      </c>
      <c r="I342">
        <v>867690</v>
      </c>
      <c r="J342">
        <v>13300</v>
      </c>
      <c r="K342">
        <v>0</v>
      </c>
      <c r="L342">
        <v>506553</v>
      </c>
      <c r="M342">
        <v>519853</v>
      </c>
    </row>
    <row r="343" spans="1:13">
      <c r="A343">
        <v>369</v>
      </c>
      <c r="B343" s="331">
        <v>46162.863888888889</v>
      </c>
      <c r="C343" t="s">
        <v>689</v>
      </c>
      <c r="D343" t="s">
        <v>689</v>
      </c>
      <c r="E343" t="s">
        <v>4</v>
      </c>
      <c r="F343">
        <v>1921461</v>
      </c>
      <c r="G343">
        <v>16870</v>
      </c>
      <c r="H343">
        <v>0</v>
      </c>
      <c r="I343">
        <v>1938331</v>
      </c>
      <c r="J343">
        <v>31358</v>
      </c>
      <c r="K343">
        <v>0</v>
      </c>
      <c r="L343">
        <v>1124340</v>
      </c>
      <c r="M343">
        <v>1155698</v>
      </c>
    </row>
    <row r="344" spans="1:13">
      <c r="A344">
        <v>370</v>
      </c>
      <c r="B344" s="331">
        <v>46162.863888888889</v>
      </c>
      <c r="C344" t="s">
        <v>1068</v>
      </c>
      <c r="D344" t="s">
        <v>1068</v>
      </c>
      <c r="E344" t="s">
        <v>4</v>
      </c>
      <c r="F344">
        <v>614025</v>
      </c>
      <c r="G344">
        <v>10668</v>
      </c>
      <c r="H344">
        <v>0</v>
      </c>
      <c r="I344">
        <v>624693</v>
      </c>
      <c r="J344">
        <v>21820</v>
      </c>
      <c r="K344">
        <v>0</v>
      </c>
      <c r="L344">
        <v>372771</v>
      </c>
      <c r="M344">
        <v>394591</v>
      </c>
    </row>
    <row r="345" spans="1:13">
      <c r="A345">
        <v>371</v>
      </c>
      <c r="B345" s="331">
        <v>46162.863888888889</v>
      </c>
      <c r="C345" t="s">
        <v>31</v>
      </c>
      <c r="D345" t="s">
        <v>31</v>
      </c>
      <c r="E345" t="s">
        <v>4</v>
      </c>
      <c r="F345">
        <v>2907274</v>
      </c>
      <c r="G345">
        <v>24097</v>
      </c>
      <c r="H345">
        <v>26</v>
      </c>
      <c r="I345">
        <v>2931397</v>
      </c>
      <c r="J345">
        <v>71809</v>
      </c>
      <c r="K345">
        <v>90</v>
      </c>
      <c r="L345">
        <v>1653119</v>
      </c>
      <c r="M345">
        <v>1725018</v>
      </c>
    </row>
    <row r="346" spans="1:13">
      <c r="A346">
        <v>372</v>
      </c>
      <c r="B346" s="331">
        <v>46162.863888888889</v>
      </c>
      <c r="C346" t="s">
        <v>24</v>
      </c>
      <c r="D346" t="s">
        <v>24</v>
      </c>
      <c r="E346" t="s">
        <v>4</v>
      </c>
      <c r="F346">
        <v>1878448</v>
      </c>
      <c r="G346">
        <v>27824</v>
      </c>
      <c r="H346">
        <v>157</v>
      </c>
      <c r="I346">
        <v>1906429</v>
      </c>
      <c r="J346">
        <v>56794</v>
      </c>
      <c r="K346">
        <v>229</v>
      </c>
      <c r="L346">
        <v>1123085</v>
      </c>
      <c r="M346">
        <v>1180108</v>
      </c>
    </row>
    <row r="347" spans="1:13">
      <c r="A347">
        <v>373</v>
      </c>
      <c r="B347" s="331">
        <v>46162.863888888889</v>
      </c>
      <c r="C347" t="s">
        <v>29</v>
      </c>
      <c r="D347" t="s">
        <v>29</v>
      </c>
      <c r="E347" t="s">
        <v>4</v>
      </c>
      <c r="F347">
        <v>2271466</v>
      </c>
      <c r="G347">
        <v>23873</v>
      </c>
      <c r="H347">
        <v>21</v>
      </c>
      <c r="I347">
        <v>2295360</v>
      </c>
      <c r="J347">
        <v>77801</v>
      </c>
      <c r="K347">
        <v>100</v>
      </c>
      <c r="L347">
        <v>1363109</v>
      </c>
      <c r="M347">
        <v>1441010</v>
      </c>
    </row>
    <row r="348" spans="1:13">
      <c r="A348">
        <v>374</v>
      </c>
      <c r="B348" s="331">
        <v>46162.863888888889</v>
      </c>
      <c r="C348" t="s">
        <v>107</v>
      </c>
      <c r="D348" t="s">
        <v>107</v>
      </c>
      <c r="E348" t="s">
        <v>4</v>
      </c>
      <c r="F348">
        <v>4494265</v>
      </c>
      <c r="G348">
        <v>50490</v>
      </c>
      <c r="H348">
        <v>611</v>
      </c>
      <c r="I348">
        <v>4545366</v>
      </c>
      <c r="J348">
        <v>97161</v>
      </c>
      <c r="K348">
        <v>1094</v>
      </c>
      <c r="L348">
        <v>2589789</v>
      </c>
      <c r="M348">
        <v>2688044</v>
      </c>
    </row>
    <row r="349" spans="1:13">
      <c r="A349">
        <v>375</v>
      </c>
      <c r="B349" s="331">
        <v>46162.863888888889</v>
      </c>
      <c r="C349" t="s">
        <v>18</v>
      </c>
      <c r="D349" t="s">
        <v>18</v>
      </c>
      <c r="E349" t="s">
        <v>4</v>
      </c>
      <c r="F349">
        <v>5724452</v>
      </c>
      <c r="G349">
        <v>61155</v>
      </c>
      <c r="H349">
        <v>728</v>
      </c>
      <c r="I349">
        <v>5786335</v>
      </c>
      <c r="J349">
        <v>126112</v>
      </c>
      <c r="K349">
        <v>1340</v>
      </c>
      <c r="L349">
        <v>3304937</v>
      </c>
      <c r="M349">
        <v>3432389</v>
      </c>
    </row>
    <row r="350" spans="1:13">
      <c r="A350">
        <v>376</v>
      </c>
      <c r="B350" s="331">
        <v>46162.863888888889</v>
      </c>
      <c r="C350" t="s">
        <v>19</v>
      </c>
      <c r="D350" t="s">
        <v>19</v>
      </c>
      <c r="E350" t="s">
        <v>4</v>
      </c>
      <c r="F350">
        <v>5459253</v>
      </c>
      <c r="G350">
        <v>57947</v>
      </c>
      <c r="H350">
        <v>669</v>
      </c>
      <c r="I350">
        <v>5517869</v>
      </c>
      <c r="J350">
        <v>116041</v>
      </c>
      <c r="K350">
        <v>1201</v>
      </c>
      <c r="L350">
        <v>3148871</v>
      </c>
      <c r="M350">
        <v>3266113</v>
      </c>
    </row>
    <row r="351" spans="1:13">
      <c r="A351">
        <v>377</v>
      </c>
      <c r="B351" s="331">
        <v>46162.863888888889</v>
      </c>
      <c r="C351" t="s">
        <v>105</v>
      </c>
      <c r="D351" t="s">
        <v>105</v>
      </c>
      <c r="E351" t="s">
        <v>4</v>
      </c>
      <c r="F351">
        <v>2475875</v>
      </c>
      <c r="G351">
        <v>27226</v>
      </c>
      <c r="H351">
        <v>187</v>
      </c>
      <c r="I351">
        <v>2503288</v>
      </c>
      <c r="J351">
        <v>53167</v>
      </c>
      <c r="K351">
        <v>296</v>
      </c>
      <c r="L351">
        <v>1464540</v>
      </c>
      <c r="M351">
        <v>1518003</v>
      </c>
    </row>
    <row r="352" spans="1:13">
      <c r="A352">
        <v>378</v>
      </c>
      <c r="B352" s="331">
        <v>46162.863888888889</v>
      </c>
      <c r="C352" t="s">
        <v>34</v>
      </c>
      <c r="D352" t="s">
        <v>34</v>
      </c>
      <c r="E352" t="s">
        <v>4</v>
      </c>
      <c r="F352">
        <v>3810079</v>
      </c>
      <c r="G352">
        <v>28984</v>
      </c>
      <c r="H352">
        <v>23</v>
      </c>
      <c r="I352">
        <v>3839086</v>
      </c>
      <c r="J352">
        <v>63961</v>
      </c>
      <c r="K352">
        <v>89</v>
      </c>
      <c r="L352">
        <v>2278041</v>
      </c>
      <c r="M352">
        <v>2342091</v>
      </c>
    </row>
    <row r="353" spans="1:13">
      <c r="A353">
        <v>379</v>
      </c>
      <c r="B353" s="331">
        <v>46162.863888888889</v>
      </c>
      <c r="C353" t="s">
        <v>106</v>
      </c>
      <c r="D353" t="s">
        <v>106</v>
      </c>
      <c r="E353" t="s">
        <v>4</v>
      </c>
      <c r="F353">
        <v>2974350</v>
      </c>
      <c r="G353">
        <v>39501</v>
      </c>
      <c r="H353">
        <v>458</v>
      </c>
      <c r="I353">
        <v>3014309</v>
      </c>
      <c r="J353">
        <v>70018</v>
      </c>
      <c r="K353">
        <v>844</v>
      </c>
      <c r="L353">
        <v>1690164</v>
      </c>
      <c r="M353">
        <v>1761026</v>
      </c>
    </row>
    <row r="354" spans="1:13">
      <c r="A354">
        <v>380</v>
      </c>
      <c r="B354" s="331">
        <v>46162.863888888889</v>
      </c>
      <c r="C354" t="s">
        <v>20</v>
      </c>
      <c r="D354" t="s">
        <v>20</v>
      </c>
      <c r="E354" t="s">
        <v>4</v>
      </c>
      <c r="F354">
        <v>6088891</v>
      </c>
      <c r="G354">
        <v>61773</v>
      </c>
      <c r="H354">
        <v>759</v>
      </c>
      <c r="I354">
        <v>6151423</v>
      </c>
      <c r="J354">
        <v>122576</v>
      </c>
      <c r="K354">
        <v>1344</v>
      </c>
      <c r="L354">
        <v>3469536</v>
      </c>
      <c r="M354">
        <v>3593456</v>
      </c>
    </row>
    <row r="355" spans="1:13">
      <c r="A355">
        <v>381</v>
      </c>
      <c r="B355" s="331">
        <v>46162.862500000003</v>
      </c>
      <c r="C355" t="s">
        <v>17</v>
      </c>
      <c r="D355" t="s">
        <v>17</v>
      </c>
      <c r="E355" t="s">
        <v>4</v>
      </c>
      <c r="F355">
        <v>3686962</v>
      </c>
      <c r="G355">
        <v>46918</v>
      </c>
      <c r="H355">
        <v>502</v>
      </c>
      <c r="I355">
        <v>3734382</v>
      </c>
      <c r="J355">
        <v>109021</v>
      </c>
      <c r="K355">
        <v>976</v>
      </c>
      <c r="L355">
        <v>2117236</v>
      </c>
      <c r="M355">
        <v>2227233</v>
      </c>
    </row>
    <row r="356" spans="1:13">
      <c r="A356">
        <v>382</v>
      </c>
      <c r="B356" s="331">
        <v>46162.862500000003</v>
      </c>
      <c r="C356" t="s">
        <v>26</v>
      </c>
      <c r="D356" t="s">
        <v>26</v>
      </c>
      <c r="E356" t="s">
        <v>4</v>
      </c>
      <c r="F356">
        <v>1899335</v>
      </c>
      <c r="G356">
        <v>25317</v>
      </c>
      <c r="H356">
        <v>175</v>
      </c>
      <c r="I356">
        <v>1924827</v>
      </c>
      <c r="J356">
        <v>55797</v>
      </c>
      <c r="K356">
        <v>272</v>
      </c>
      <c r="L356">
        <v>1141041</v>
      </c>
      <c r="M356">
        <v>1197110</v>
      </c>
    </row>
    <row r="357" spans="1:13">
      <c r="A357">
        <v>383</v>
      </c>
      <c r="B357" s="331">
        <v>46162.862500000003</v>
      </c>
      <c r="C357" t="s">
        <v>346</v>
      </c>
      <c r="D357" t="s">
        <v>346</v>
      </c>
      <c r="E357" t="s">
        <v>4</v>
      </c>
      <c r="F357">
        <v>2447137</v>
      </c>
      <c r="G357">
        <v>29805</v>
      </c>
      <c r="H357">
        <v>0</v>
      </c>
      <c r="I357">
        <v>2476942</v>
      </c>
      <c r="J357">
        <v>52422</v>
      </c>
      <c r="K357">
        <v>0</v>
      </c>
      <c r="L357">
        <v>1404024</v>
      </c>
      <c r="M357">
        <v>1456446</v>
      </c>
    </row>
    <row r="358" spans="1:13">
      <c r="A358">
        <v>384</v>
      </c>
      <c r="B358" s="331">
        <v>46162.862500000003</v>
      </c>
      <c r="C358" t="s">
        <v>21</v>
      </c>
      <c r="D358" t="s">
        <v>21</v>
      </c>
      <c r="E358" t="s">
        <v>4</v>
      </c>
      <c r="F358">
        <v>5703811</v>
      </c>
      <c r="G358">
        <v>56562</v>
      </c>
      <c r="H358">
        <v>631</v>
      </c>
      <c r="I358">
        <v>5761004</v>
      </c>
      <c r="J358">
        <v>106519</v>
      </c>
      <c r="K358">
        <v>1167</v>
      </c>
      <c r="L358">
        <v>3287054</v>
      </c>
      <c r="M358">
        <v>3394740</v>
      </c>
    </row>
    <row r="359" spans="1:13">
      <c r="A359">
        <v>385</v>
      </c>
      <c r="B359" s="331">
        <v>46162.862500000003</v>
      </c>
      <c r="C359" t="s">
        <v>1111</v>
      </c>
      <c r="D359" t="s">
        <v>1111</v>
      </c>
      <c r="E359" t="s">
        <v>4</v>
      </c>
      <c r="F359">
        <v>860801</v>
      </c>
      <c r="G359">
        <v>6738</v>
      </c>
      <c r="H359">
        <v>0</v>
      </c>
      <c r="I359">
        <v>867539</v>
      </c>
      <c r="J359">
        <v>13297</v>
      </c>
      <c r="K359">
        <v>0</v>
      </c>
      <c r="L359">
        <v>506519</v>
      </c>
      <c r="M359">
        <v>519816</v>
      </c>
    </row>
    <row r="360" spans="1:13">
      <c r="A360">
        <v>386</v>
      </c>
      <c r="B360" s="331">
        <v>46162.862500000003</v>
      </c>
      <c r="C360" t="s">
        <v>20</v>
      </c>
      <c r="D360" t="s">
        <v>20</v>
      </c>
      <c r="E360" t="s">
        <v>4</v>
      </c>
      <c r="F360">
        <v>6089675</v>
      </c>
      <c r="G360">
        <v>61568</v>
      </c>
      <c r="H360">
        <v>751</v>
      </c>
      <c r="I360">
        <v>6151994</v>
      </c>
      <c r="J360">
        <v>122309</v>
      </c>
      <c r="K360">
        <v>1336</v>
      </c>
      <c r="L360">
        <v>3470108</v>
      </c>
      <c r="M360">
        <v>3593753</v>
      </c>
    </row>
    <row r="361" spans="1:13">
      <c r="A361">
        <v>387</v>
      </c>
      <c r="B361" s="331">
        <v>46162.862500000003</v>
      </c>
      <c r="C361" t="s">
        <v>22</v>
      </c>
      <c r="D361" t="s">
        <v>22</v>
      </c>
      <c r="E361" t="s">
        <v>4</v>
      </c>
      <c r="F361">
        <v>2851317</v>
      </c>
      <c r="G361">
        <v>36445</v>
      </c>
      <c r="H361">
        <v>391</v>
      </c>
      <c r="I361">
        <v>2888153</v>
      </c>
      <c r="J361">
        <v>63465</v>
      </c>
      <c r="K361">
        <v>643</v>
      </c>
      <c r="L361">
        <v>1621608</v>
      </c>
      <c r="M361">
        <v>1685716</v>
      </c>
    </row>
    <row r="362" spans="1:13">
      <c r="A362">
        <v>388</v>
      </c>
      <c r="B362" s="331">
        <v>46162.862500000003</v>
      </c>
      <c r="C362" t="s">
        <v>105</v>
      </c>
      <c r="D362" t="s">
        <v>105</v>
      </c>
      <c r="E362" t="s">
        <v>4</v>
      </c>
      <c r="F362">
        <v>2476315</v>
      </c>
      <c r="G362">
        <v>27194</v>
      </c>
      <c r="H362">
        <v>189</v>
      </c>
      <c r="I362">
        <v>2503698</v>
      </c>
      <c r="J362">
        <v>53156</v>
      </c>
      <c r="K362">
        <v>297</v>
      </c>
      <c r="L362">
        <v>1464802</v>
      </c>
      <c r="M362">
        <v>1518255</v>
      </c>
    </row>
    <row r="363" spans="1:13">
      <c r="A363">
        <v>389</v>
      </c>
      <c r="B363" s="331">
        <v>46162.862500000003</v>
      </c>
      <c r="C363" t="s">
        <v>16</v>
      </c>
      <c r="D363" t="s">
        <v>16</v>
      </c>
      <c r="E363" t="s">
        <v>4</v>
      </c>
      <c r="F363">
        <v>3295153</v>
      </c>
      <c r="G363">
        <v>43574</v>
      </c>
      <c r="H363">
        <v>495</v>
      </c>
      <c r="I363">
        <v>3339222</v>
      </c>
      <c r="J363">
        <v>107005</v>
      </c>
      <c r="K363">
        <v>975</v>
      </c>
      <c r="L363">
        <v>1910101</v>
      </c>
      <c r="M363">
        <v>2018081</v>
      </c>
    </row>
    <row r="364" spans="1:13">
      <c r="A364">
        <v>390</v>
      </c>
      <c r="B364" s="331">
        <v>46162.862500000003</v>
      </c>
      <c r="C364" t="s">
        <v>18</v>
      </c>
      <c r="D364" t="s">
        <v>18</v>
      </c>
      <c r="E364" t="s">
        <v>4</v>
      </c>
      <c r="F364">
        <v>5724897</v>
      </c>
      <c r="G364">
        <v>61332</v>
      </c>
      <c r="H364">
        <v>736</v>
      </c>
      <c r="I364">
        <v>5786965</v>
      </c>
      <c r="J364">
        <v>126214</v>
      </c>
      <c r="K364">
        <v>1339</v>
      </c>
      <c r="L364">
        <v>3305293</v>
      </c>
      <c r="M364">
        <v>3432846</v>
      </c>
    </row>
    <row r="365" spans="1:13">
      <c r="A365">
        <v>391</v>
      </c>
      <c r="B365" s="331">
        <v>46162.862500000003</v>
      </c>
      <c r="C365" t="s">
        <v>24</v>
      </c>
      <c r="D365" t="s">
        <v>24</v>
      </c>
      <c r="E365" t="s">
        <v>4</v>
      </c>
      <c r="F365">
        <v>1878912</v>
      </c>
      <c r="G365">
        <v>27823</v>
      </c>
      <c r="H365">
        <v>156</v>
      </c>
      <c r="I365">
        <v>1906891</v>
      </c>
      <c r="J365">
        <v>56736</v>
      </c>
      <c r="K365">
        <v>227</v>
      </c>
      <c r="L365">
        <v>1123263</v>
      </c>
      <c r="M365">
        <v>1180226</v>
      </c>
    </row>
    <row r="366" spans="1:13">
      <c r="A366">
        <v>392</v>
      </c>
      <c r="B366" s="331">
        <v>46162.862500000003</v>
      </c>
      <c r="C366" t="s">
        <v>108</v>
      </c>
      <c r="D366" t="s">
        <v>108</v>
      </c>
      <c r="E366" t="s">
        <v>4</v>
      </c>
      <c r="F366">
        <v>4459537</v>
      </c>
      <c r="G366">
        <v>49459</v>
      </c>
      <c r="H366">
        <v>642</v>
      </c>
      <c r="I366">
        <v>4509638</v>
      </c>
      <c r="J366">
        <v>95284</v>
      </c>
      <c r="K366">
        <v>1157</v>
      </c>
      <c r="L366">
        <v>2570600</v>
      </c>
      <c r="M366">
        <v>2667041</v>
      </c>
    </row>
    <row r="367" spans="1:13">
      <c r="A367">
        <v>393</v>
      </c>
      <c r="B367" s="331">
        <v>46162.862500000003</v>
      </c>
      <c r="C367" t="s">
        <v>106</v>
      </c>
      <c r="D367" t="s">
        <v>106</v>
      </c>
      <c r="E367" t="s">
        <v>4</v>
      </c>
      <c r="F367">
        <v>2974728</v>
      </c>
      <c r="G367">
        <v>39492</v>
      </c>
      <c r="H367">
        <v>457</v>
      </c>
      <c r="I367">
        <v>3014677</v>
      </c>
      <c r="J367">
        <v>69868</v>
      </c>
      <c r="K367">
        <v>848</v>
      </c>
      <c r="L367">
        <v>1690359</v>
      </c>
      <c r="M367">
        <v>1761075</v>
      </c>
    </row>
    <row r="368" spans="1:13">
      <c r="A368">
        <v>394</v>
      </c>
      <c r="B368" s="331">
        <v>46162.862500000003</v>
      </c>
      <c r="C368" t="s">
        <v>1068</v>
      </c>
      <c r="D368" t="s">
        <v>1068</v>
      </c>
      <c r="E368" t="s">
        <v>4</v>
      </c>
      <c r="F368">
        <v>614129</v>
      </c>
      <c r="G368">
        <v>10693</v>
      </c>
      <c r="H368">
        <v>0</v>
      </c>
      <c r="I368">
        <v>624822</v>
      </c>
      <c r="J368">
        <v>21809</v>
      </c>
      <c r="K368">
        <v>0</v>
      </c>
      <c r="L368">
        <v>372836</v>
      </c>
      <c r="M368">
        <v>394645</v>
      </c>
    </row>
    <row r="369" spans="1:13">
      <c r="A369">
        <v>395</v>
      </c>
      <c r="B369" s="331">
        <v>46162.862500000003</v>
      </c>
      <c r="C369" t="s">
        <v>27</v>
      </c>
      <c r="D369" t="s">
        <v>27</v>
      </c>
      <c r="E369" t="s">
        <v>4</v>
      </c>
      <c r="F369">
        <v>1814783</v>
      </c>
      <c r="G369">
        <v>25282</v>
      </c>
      <c r="H369">
        <v>158</v>
      </c>
      <c r="I369">
        <v>1840223</v>
      </c>
      <c r="J369">
        <v>52593</v>
      </c>
      <c r="K369">
        <v>274</v>
      </c>
      <c r="L369">
        <v>1087203</v>
      </c>
      <c r="M369">
        <v>1140070</v>
      </c>
    </row>
    <row r="370" spans="1:13">
      <c r="A370">
        <v>396</v>
      </c>
      <c r="B370" s="331">
        <v>46162.862500000003</v>
      </c>
      <c r="C370" t="s">
        <v>1112</v>
      </c>
      <c r="D370" t="s">
        <v>1112</v>
      </c>
      <c r="E370" t="s">
        <v>4</v>
      </c>
      <c r="F370">
        <v>866319</v>
      </c>
      <c r="G370">
        <v>6743</v>
      </c>
      <c r="H370">
        <v>0</v>
      </c>
      <c r="I370">
        <v>873062</v>
      </c>
      <c r="J370">
        <v>13369</v>
      </c>
      <c r="K370">
        <v>0</v>
      </c>
      <c r="L370">
        <v>509794</v>
      </c>
      <c r="M370">
        <v>523163</v>
      </c>
    </row>
    <row r="371" spans="1:13">
      <c r="A371">
        <v>397</v>
      </c>
      <c r="B371" s="331">
        <v>46162.862500000003</v>
      </c>
      <c r="C371" t="s">
        <v>132</v>
      </c>
      <c r="D371" t="s">
        <v>132</v>
      </c>
      <c r="E371" t="s">
        <v>4</v>
      </c>
      <c r="F371">
        <v>3870639</v>
      </c>
      <c r="G371">
        <v>29035</v>
      </c>
      <c r="H371">
        <v>22</v>
      </c>
      <c r="I371">
        <v>3899696</v>
      </c>
      <c r="J371">
        <v>59259</v>
      </c>
      <c r="K371">
        <v>83</v>
      </c>
      <c r="L371">
        <v>2297521</v>
      </c>
      <c r="M371">
        <v>2356863</v>
      </c>
    </row>
    <row r="372" spans="1:13">
      <c r="A372">
        <v>398</v>
      </c>
      <c r="B372" s="331">
        <v>46162.862500000003</v>
      </c>
      <c r="C372" t="s">
        <v>35</v>
      </c>
      <c r="D372" t="s">
        <v>35</v>
      </c>
      <c r="E372" t="s">
        <v>4</v>
      </c>
      <c r="F372">
        <v>3929132</v>
      </c>
      <c r="G372">
        <v>27941</v>
      </c>
      <c r="H372">
        <v>22</v>
      </c>
      <c r="I372">
        <v>3957095</v>
      </c>
      <c r="J372">
        <v>55862</v>
      </c>
      <c r="K372">
        <v>87</v>
      </c>
      <c r="L372">
        <v>2334609</v>
      </c>
      <c r="M372">
        <v>2390558</v>
      </c>
    </row>
    <row r="373" spans="1:13">
      <c r="A373">
        <v>399</v>
      </c>
      <c r="B373" s="331">
        <v>46162.862500000003</v>
      </c>
      <c r="C373" t="s">
        <v>336</v>
      </c>
      <c r="D373" t="s">
        <v>336</v>
      </c>
      <c r="E373" t="s">
        <v>4</v>
      </c>
      <c r="F373">
        <v>724566</v>
      </c>
      <c r="G373">
        <v>3707</v>
      </c>
      <c r="H373">
        <v>0</v>
      </c>
      <c r="I373">
        <v>728273</v>
      </c>
      <c r="J373">
        <v>5241</v>
      </c>
      <c r="K373">
        <v>0</v>
      </c>
      <c r="L373">
        <v>430119</v>
      </c>
      <c r="M373">
        <v>435360</v>
      </c>
    </row>
    <row r="374" spans="1:13">
      <c r="A374">
        <v>400</v>
      </c>
      <c r="B374" s="331">
        <v>46162.862500000003</v>
      </c>
      <c r="C374" t="s">
        <v>690</v>
      </c>
      <c r="D374" t="s">
        <v>690</v>
      </c>
      <c r="E374" t="s">
        <v>4</v>
      </c>
      <c r="F374">
        <v>1601742</v>
      </c>
      <c r="G374">
        <v>15136</v>
      </c>
      <c r="H374">
        <v>0</v>
      </c>
      <c r="I374">
        <v>1616878</v>
      </c>
      <c r="J374">
        <v>29609</v>
      </c>
      <c r="K374">
        <v>0</v>
      </c>
      <c r="L374">
        <v>947096</v>
      </c>
      <c r="M374">
        <v>976705</v>
      </c>
    </row>
    <row r="375" spans="1:13">
      <c r="A375">
        <v>401</v>
      </c>
      <c r="B375" s="331">
        <v>46162.862500000003</v>
      </c>
      <c r="C375" t="s">
        <v>689</v>
      </c>
      <c r="D375" t="s">
        <v>689</v>
      </c>
      <c r="E375" t="s">
        <v>4</v>
      </c>
      <c r="F375">
        <v>1921632</v>
      </c>
      <c r="G375">
        <v>16823</v>
      </c>
      <c r="H375">
        <v>0</v>
      </c>
      <c r="I375">
        <v>1938455</v>
      </c>
      <c r="J375">
        <v>31268</v>
      </c>
      <c r="K375">
        <v>0</v>
      </c>
      <c r="L375">
        <v>1124460</v>
      </c>
      <c r="M375">
        <v>1155728</v>
      </c>
    </row>
    <row r="376" spans="1:13">
      <c r="A376">
        <v>402</v>
      </c>
      <c r="B376" s="331">
        <v>46162.862500000003</v>
      </c>
      <c r="C376" t="s">
        <v>19</v>
      </c>
      <c r="D376" t="s">
        <v>19</v>
      </c>
      <c r="E376" t="s">
        <v>4</v>
      </c>
      <c r="F376">
        <v>5460104</v>
      </c>
      <c r="G376">
        <v>58093</v>
      </c>
      <c r="H376">
        <v>677</v>
      </c>
      <c r="I376">
        <v>5518874</v>
      </c>
      <c r="J376">
        <v>116087</v>
      </c>
      <c r="K376">
        <v>1209</v>
      </c>
      <c r="L376">
        <v>3149338</v>
      </c>
      <c r="M376">
        <v>3266634</v>
      </c>
    </row>
    <row r="377" spans="1:13">
      <c r="A377">
        <v>404</v>
      </c>
      <c r="B377" s="331">
        <v>46162.862500000003</v>
      </c>
      <c r="C377" t="s">
        <v>31</v>
      </c>
      <c r="D377" t="s">
        <v>31</v>
      </c>
      <c r="E377" t="s">
        <v>4</v>
      </c>
      <c r="F377">
        <v>2908005</v>
      </c>
      <c r="G377">
        <v>23861</v>
      </c>
      <c r="H377">
        <v>26</v>
      </c>
      <c r="I377">
        <v>2931892</v>
      </c>
      <c r="J377">
        <v>71583</v>
      </c>
      <c r="K377">
        <v>90</v>
      </c>
      <c r="L377">
        <v>1653505</v>
      </c>
      <c r="M377">
        <v>1725178</v>
      </c>
    </row>
    <row r="378" spans="1:13">
      <c r="A378">
        <v>405</v>
      </c>
      <c r="B378" s="331">
        <v>46162.862500000003</v>
      </c>
      <c r="C378" t="s">
        <v>29</v>
      </c>
      <c r="D378" t="s">
        <v>29</v>
      </c>
      <c r="E378" t="s">
        <v>4</v>
      </c>
      <c r="F378">
        <v>2271870</v>
      </c>
      <c r="G378">
        <v>23864</v>
      </c>
      <c r="H378">
        <v>20</v>
      </c>
      <c r="I378">
        <v>2295754</v>
      </c>
      <c r="J378">
        <v>77804</v>
      </c>
      <c r="K378">
        <v>100</v>
      </c>
      <c r="L378">
        <v>1363266</v>
      </c>
      <c r="M378">
        <v>1441170</v>
      </c>
    </row>
    <row r="379" spans="1:13">
      <c r="A379">
        <v>406</v>
      </c>
      <c r="B379" s="331">
        <v>46162.862500000003</v>
      </c>
      <c r="C379" t="s">
        <v>107</v>
      </c>
      <c r="D379" t="s">
        <v>107</v>
      </c>
      <c r="E379" t="s">
        <v>4</v>
      </c>
      <c r="F379">
        <v>4494418</v>
      </c>
      <c r="G379">
        <v>50635</v>
      </c>
      <c r="H379">
        <v>607</v>
      </c>
      <c r="I379">
        <v>4545660</v>
      </c>
      <c r="J379">
        <v>97197</v>
      </c>
      <c r="K379">
        <v>1086</v>
      </c>
      <c r="L379">
        <v>2590061</v>
      </c>
      <c r="M379">
        <v>2688344</v>
      </c>
    </row>
    <row r="380" spans="1:13">
      <c r="A380">
        <v>407</v>
      </c>
      <c r="B380" s="331">
        <v>46162.862500000003</v>
      </c>
      <c r="C380" t="s">
        <v>33</v>
      </c>
      <c r="D380" t="s">
        <v>33</v>
      </c>
      <c r="E380" t="s">
        <v>4</v>
      </c>
      <c r="F380">
        <v>3681505</v>
      </c>
      <c r="G380">
        <v>27306</v>
      </c>
      <c r="H380">
        <v>26</v>
      </c>
      <c r="I380">
        <v>3708837</v>
      </c>
      <c r="J380">
        <v>53128</v>
      </c>
      <c r="K380">
        <v>114</v>
      </c>
      <c r="L380">
        <v>2191191</v>
      </c>
      <c r="M380">
        <v>2244433</v>
      </c>
    </row>
    <row r="381" spans="1:13">
      <c r="A381">
        <v>408</v>
      </c>
      <c r="B381" s="331">
        <v>46162.862500000003</v>
      </c>
      <c r="C381" t="s">
        <v>1133</v>
      </c>
      <c r="D381" t="s">
        <v>1133</v>
      </c>
      <c r="E381" t="s">
        <v>4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</row>
    <row r="382" spans="1:13">
      <c r="A382">
        <v>410</v>
      </c>
      <c r="B382" s="331">
        <v>46162.862500000003</v>
      </c>
      <c r="C382" t="s">
        <v>345</v>
      </c>
      <c r="D382" t="s">
        <v>345</v>
      </c>
      <c r="E382" t="s">
        <v>4</v>
      </c>
      <c r="F382">
        <v>2018268</v>
      </c>
      <c r="G382">
        <v>27508</v>
      </c>
      <c r="H382">
        <v>0</v>
      </c>
      <c r="I382">
        <v>2045776</v>
      </c>
      <c r="J382">
        <v>45831</v>
      </c>
      <c r="K382">
        <v>0</v>
      </c>
      <c r="L382">
        <v>1140496</v>
      </c>
      <c r="M382">
        <v>1186327</v>
      </c>
    </row>
    <row r="383" spans="1:13">
      <c r="A383">
        <v>411</v>
      </c>
      <c r="B383" s="331">
        <v>46162.862500000003</v>
      </c>
      <c r="C383" t="s">
        <v>32</v>
      </c>
      <c r="D383" t="s">
        <v>32</v>
      </c>
      <c r="E383" t="s">
        <v>4</v>
      </c>
      <c r="F383">
        <v>3594721</v>
      </c>
      <c r="G383">
        <v>27508</v>
      </c>
      <c r="H383">
        <v>23</v>
      </c>
      <c r="I383">
        <v>3622252</v>
      </c>
      <c r="J383">
        <v>57867</v>
      </c>
      <c r="K383">
        <v>93</v>
      </c>
      <c r="L383">
        <v>2137126</v>
      </c>
      <c r="M383">
        <v>2195086</v>
      </c>
    </row>
    <row r="384" spans="1:13">
      <c r="A384">
        <v>412</v>
      </c>
      <c r="B384" s="331">
        <v>46162.862500000003</v>
      </c>
      <c r="C384" t="s">
        <v>131</v>
      </c>
      <c r="D384" t="s">
        <v>131</v>
      </c>
      <c r="E384" t="s">
        <v>4</v>
      </c>
      <c r="F384">
        <v>3868011</v>
      </c>
      <c r="G384">
        <v>29519</v>
      </c>
      <c r="H384">
        <v>22</v>
      </c>
      <c r="I384">
        <v>3897552</v>
      </c>
      <c r="J384">
        <v>60446</v>
      </c>
      <c r="K384">
        <v>105</v>
      </c>
      <c r="L384">
        <v>2298064</v>
      </c>
      <c r="M384">
        <v>2358615</v>
      </c>
    </row>
    <row r="385" spans="1:13">
      <c r="A385">
        <v>413</v>
      </c>
      <c r="B385" s="331">
        <v>46162.862500000003</v>
      </c>
      <c r="C385" t="s">
        <v>1067</v>
      </c>
      <c r="D385" t="s">
        <v>1067</v>
      </c>
      <c r="E385" t="s">
        <v>4</v>
      </c>
      <c r="F385">
        <v>613313</v>
      </c>
      <c r="G385">
        <v>10589</v>
      </c>
      <c r="H385">
        <v>0</v>
      </c>
      <c r="I385">
        <v>623902</v>
      </c>
      <c r="J385">
        <v>21661</v>
      </c>
      <c r="K385">
        <v>0</v>
      </c>
      <c r="L385">
        <v>372607</v>
      </c>
      <c r="M385">
        <v>394268</v>
      </c>
    </row>
    <row r="386" spans="1:13">
      <c r="A386">
        <v>414</v>
      </c>
      <c r="B386" s="331">
        <v>46162.862500000003</v>
      </c>
      <c r="C386" t="s">
        <v>691</v>
      </c>
      <c r="D386" t="s">
        <v>691</v>
      </c>
      <c r="E386" t="s">
        <v>4</v>
      </c>
      <c r="F386">
        <v>1598653</v>
      </c>
      <c r="G386">
        <v>15325</v>
      </c>
      <c r="H386">
        <v>0</v>
      </c>
      <c r="I386">
        <v>1613978</v>
      </c>
      <c r="J386">
        <v>29731</v>
      </c>
      <c r="K386">
        <v>0</v>
      </c>
      <c r="L386">
        <v>944861</v>
      </c>
      <c r="M386">
        <v>974592</v>
      </c>
    </row>
    <row r="387" spans="1:13">
      <c r="A387">
        <v>416</v>
      </c>
      <c r="B387" s="331">
        <v>46162.862500000003</v>
      </c>
      <c r="C387" t="s">
        <v>34</v>
      </c>
      <c r="D387" t="s">
        <v>34</v>
      </c>
      <c r="E387" t="s">
        <v>4</v>
      </c>
      <c r="F387">
        <v>3810958</v>
      </c>
      <c r="G387">
        <v>29074</v>
      </c>
      <c r="H387">
        <v>21</v>
      </c>
      <c r="I387">
        <v>3840053</v>
      </c>
      <c r="J387">
        <v>63930</v>
      </c>
      <c r="K387">
        <v>91</v>
      </c>
      <c r="L387">
        <v>2278483</v>
      </c>
      <c r="M387">
        <v>2342504</v>
      </c>
    </row>
    <row r="388" spans="1:13">
      <c r="A388">
        <v>417</v>
      </c>
      <c r="B388" s="331">
        <v>46162.861111111109</v>
      </c>
      <c r="C388" t="s">
        <v>26</v>
      </c>
      <c r="D388" t="s">
        <v>26</v>
      </c>
      <c r="E388" t="s">
        <v>4</v>
      </c>
      <c r="F388">
        <v>1899417</v>
      </c>
      <c r="G388">
        <v>25277</v>
      </c>
      <c r="H388">
        <v>170</v>
      </c>
      <c r="I388">
        <v>1924864</v>
      </c>
      <c r="J388">
        <v>55659</v>
      </c>
      <c r="K388">
        <v>270</v>
      </c>
      <c r="L388">
        <v>1141043</v>
      </c>
      <c r="M388">
        <v>1196972</v>
      </c>
    </row>
    <row r="389" spans="1:13">
      <c r="A389">
        <v>418</v>
      </c>
      <c r="B389" s="331">
        <v>46162.861111111109</v>
      </c>
      <c r="C389" t="s">
        <v>29</v>
      </c>
      <c r="D389" t="s">
        <v>29</v>
      </c>
      <c r="E389" t="s">
        <v>4</v>
      </c>
      <c r="F389">
        <v>2272331</v>
      </c>
      <c r="G389">
        <v>23860</v>
      </c>
      <c r="H389">
        <v>20</v>
      </c>
      <c r="I389">
        <v>2296211</v>
      </c>
      <c r="J389">
        <v>77744</v>
      </c>
      <c r="K389">
        <v>102</v>
      </c>
      <c r="L389">
        <v>1363495</v>
      </c>
      <c r="M389">
        <v>1441341</v>
      </c>
    </row>
    <row r="390" spans="1:13">
      <c r="A390">
        <v>419</v>
      </c>
      <c r="B390" s="331">
        <v>46162.861111111109</v>
      </c>
      <c r="C390" t="s">
        <v>132</v>
      </c>
      <c r="D390" t="s">
        <v>132</v>
      </c>
      <c r="E390" t="s">
        <v>4</v>
      </c>
      <c r="F390">
        <v>3871361</v>
      </c>
      <c r="G390">
        <v>28917</v>
      </c>
      <c r="H390">
        <v>22</v>
      </c>
      <c r="I390">
        <v>3900300</v>
      </c>
      <c r="J390">
        <v>59083</v>
      </c>
      <c r="K390">
        <v>83</v>
      </c>
      <c r="L390">
        <v>2297850</v>
      </c>
      <c r="M390">
        <v>2357016</v>
      </c>
    </row>
    <row r="391" spans="1:13">
      <c r="A391">
        <v>420</v>
      </c>
      <c r="B391" s="331">
        <v>46162.861111111109</v>
      </c>
      <c r="C391" t="s">
        <v>105</v>
      </c>
      <c r="D391" t="s">
        <v>105</v>
      </c>
      <c r="E391" t="s">
        <v>4</v>
      </c>
      <c r="F391">
        <v>2476639</v>
      </c>
      <c r="G391">
        <v>27201</v>
      </c>
      <c r="H391">
        <v>191</v>
      </c>
      <c r="I391">
        <v>2504031</v>
      </c>
      <c r="J391">
        <v>53181</v>
      </c>
      <c r="K391">
        <v>296</v>
      </c>
      <c r="L391">
        <v>1464882</v>
      </c>
      <c r="M391">
        <v>1518359</v>
      </c>
    </row>
    <row r="392" spans="1:13">
      <c r="A392">
        <v>421</v>
      </c>
      <c r="B392" s="331">
        <v>46162.861111111109</v>
      </c>
      <c r="C392" t="s">
        <v>1111</v>
      </c>
      <c r="D392" t="s">
        <v>1111</v>
      </c>
      <c r="E392" t="s">
        <v>4</v>
      </c>
      <c r="F392">
        <v>860796</v>
      </c>
      <c r="G392">
        <v>6710</v>
      </c>
      <c r="H392">
        <v>0</v>
      </c>
      <c r="I392">
        <v>867506</v>
      </c>
      <c r="J392">
        <v>13251</v>
      </c>
      <c r="K392">
        <v>0</v>
      </c>
      <c r="L392">
        <v>506578</v>
      </c>
      <c r="M392">
        <v>519829</v>
      </c>
    </row>
    <row r="393" spans="1:13">
      <c r="A393">
        <v>422</v>
      </c>
      <c r="B393" s="331">
        <v>46162.861111111109</v>
      </c>
      <c r="C393" t="s">
        <v>1133</v>
      </c>
      <c r="D393" t="s">
        <v>1133</v>
      </c>
      <c r="E393" t="s">
        <v>4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</row>
    <row r="394" spans="1:13">
      <c r="A394">
        <v>423</v>
      </c>
      <c r="B394" s="331">
        <v>46162.861111111109</v>
      </c>
      <c r="C394" t="s">
        <v>691</v>
      </c>
      <c r="D394" t="s">
        <v>691</v>
      </c>
      <c r="E394" t="s">
        <v>4</v>
      </c>
      <c r="F394">
        <v>1598865</v>
      </c>
      <c r="G394">
        <v>15227</v>
      </c>
      <c r="H394">
        <v>0</v>
      </c>
      <c r="I394">
        <v>1614092</v>
      </c>
      <c r="J394">
        <v>29643</v>
      </c>
      <c r="K394">
        <v>0</v>
      </c>
      <c r="L394">
        <v>944995</v>
      </c>
      <c r="M394">
        <v>974638</v>
      </c>
    </row>
    <row r="395" spans="1:13">
      <c r="A395">
        <v>424</v>
      </c>
      <c r="B395" s="331">
        <v>46162.861111111109</v>
      </c>
      <c r="C395" t="s">
        <v>1080</v>
      </c>
      <c r="D395" t="s">
        <v>1080</v>
      </c>
      <c r="E395" t="s">
        <v>372</v>
      </c>
      <c r="L395">
        <v>680764</v>
      </c>
      <c r="M395">
        <v>680764</v>
      </c>
    </row>
    <row r="396" spans="1:13">
      <c r="A396">
        <v>425</v>
      </c>
      <c r="B396" s="331">
        <v>46162.861111111109</v>
      </c>
      <c r="C396" t="s">
        <v>1125</v>
      </c>
      <c r="D396" t="s">
        <v>1125</v>
      </c>
      <c r="E396" t="s">
        <v>372</v>
      </c>
      <c r="L396">
        <v>631295</v>
      </c>
      <c r="M396">
        <v>631295</v>
      </c>
    </row>
    <row r="397" spans="1:13">
      <c r="A397">
        <v>426</v>
      </c>
      <c r="B397" s="331">
        <v>46162.861111111109</v>
      </c>
      <c r="C397" t="s">
        <v>580</v>
      </c>
      <c r="D397" t="s">
        <v>580</v>
      </c>
      <c r="E397" t="s">
        <v>372</v>
      </c>
      <c r="L397">
        <v>551494</v>
      </c>
      <c r="M397">
        <v>551494</v>
      </c>
    </row>
    <row r="398" spans="1:13">
      <c r="A398">
        <v>427</v>
      </c>
      <c r="B398" s="331">
        <v>46162.861111111109</v>
      </c>
      <c r="C398" t="s">
        <v>582</v>
      </c>
      <c r="D398" t="s">
        <v>582</v>
      </c>
      <c r="E398" t="s">
        <v>372</v>
      </c>
      <c r="L398">
        <v>521580</v>
      </c>
      <c r="M398">
        <v>521580</v>
      </c>
    </row>
    <row r="399" spans="1:13">
      <c r="A399">
        <v>428</v>
      </c>
      <c r="B399" s="331">
        <v>46162.861111111109</v>
      </c>
      <c r="C399" t="s">
        <v>348</v>
      </c>
      <c r="D399" t="s">
        <v>348</v>
      </c>
      <c r="E399" t="s">
        <v>372</v>
      </c>
      <c r="L399">
        <v>615966</v>
      </c>
      <c r="M399">
        <v>615966</v>
      </c>
    </row>
    <row r="400" spans="1:13">
      <c r="A400">
        <v>429</v>
      </c>
      <c r="B400" s="331">
        <v>46162.861111111109</v>
      </c>
      <c r="C400" t="s">
        <v>1067</v>
      </c>
      <c r="D400" t="s">
        <v>1067</v>
      </c>
      <c r="E400" t="s">
        <v>4</v>
      </c>
      <c r="F400">
        <v>613560</v>
      </c>
      <c r="G400">
        <v>10551</v>
      </c>
      <c r="H400">
        <v>0</v>
      </c>
      <c r="I400">
        <v>624111</v>
      </c>
      <c r="J400">
        <v>21609</v>
      </c>
      <c r="K400">
        <v>0</v>
      </c>
      <c r="L400">
        <v>372711</v>
      </c>
      <c r="M400">
        <v>394320</v>
      </c>
    </row>
    <row r="401" spans="1:13">
      <c r="A401">
        <v>430</v>
      </c>
      <c r="B401" s="331">
        <v>46162.861111111109</v>
      </c>
      <c r="C401" t="s">
        <v>581</v>
      </c>
      <c r="D401" t="s">
        <v>581</v>
      </c>
      <c r="E401" t="s">
        <v>372</v>
      </c>
      <c r="L401">
        <v>518457</v>
      </c>
      <c r="M401">
        <v>518457</v>
      </c>
    </row>
    <row r="402" spans="1:13">
      <c r="A402">
        <v>431</v>
      </c>
      <c r="B402" s="331">
        <v>46162.861111111109</v>
      </c>
      <c r="C402" t="s">
        <v>346</v>
      </c>
      <c r="D402" t="s">
        <v>346</v>
      </c>
      <c r="E402" t="s">
        <v>4</v>
      </c>
      <c r="F402">
        <v>2447425</v>
      </c>
      <c r="G402">
        <v>29830</v>
      </c>
      <c r="H402">
        <v>0</v>
      </c>
      <c r="I402">
        <v>2477255</v>
      </c>
      <c r="J402">
        <v>52434</v>
      </c>
      <c r="K402">
        <v>0</v>
      </c>
      <c r="L402">
        <v>1404172</v>
      </c>
      <c r="M402">
        <v>1456606</v>
      </c>
    </row>
    <row r="403" spans="1:13">
      <c r="A403">
        <v>432</v>
      </c>
      <c r="B403" s="331">
        <v>46162.861111111109</v>
      </c>
      <c r="C403" t="s">
        <v>107</v>
      </c>
      <c r="D403" t="s">
        <v>107</v>
      </c>
      <c r="E403" t="s">
        <v>4</v>
      </c>
      <c r="F403">
        <v>4494761</v>
      </c>
      <c r="G403">
        <v>50681</v>
      </c>
      <c r="H403">
        <v>614</v>
      </c>
      <c r="I403">
        <v>4546056</v>
      </c>
      <c r="J403">
        <v>97118</v>
      </c>
      <c r="K403">
        <v>1092</v>
      </c>
      <c r="L403">
        <v>2590347</v>
      </c>
      <c r="M403">
        <v>2688557</v>
      </c>
    </row>
    <row r="404" spans="1:13">
      <c r="A404">
        <v>433</v>
      </c>
      <c r="B404" s="331">
        <v>46162.861111111109</v>
      </c>
      <c r="C404" t="s">
        <v>893</v>
      </c>
      <c r="D404" t="s">
        <v>893</v>
      </c>
      <c r="E404" t="s">
        <v>372</v>
      </c>
      <c r="L404">
        <v>784472</v>
      </c>
      <c r="M404">
        <v>784472</v>
      </c>
    </row>
    <row r="405" spans="1:13">
      <c r="A405">
        <v>434</v>
      </c>
      <c r="B405" s="331">
        <v>46162.861111111109</v>
      </c>
      <c r="C405" t="s">
        <v>24</v>
      </c>
      <c r="D405" t="s">
        <v>24</v>
      </c>
      <c r="E405" t="s">
        <v>4</v>
      </c>
      <c r="F405">
        <v>1879092</v>
      </c>
      <c r="G405">
        <v>27745</v>
      </c>
      <c r="H405">
        <v>162</v>
      </c>
      <c r="I405">
        <v>1906999</v>
      </c>
      <c r="J405">
        <v>56690</v>
      </c>
      <c r="K405">
        <v>232</v>
      </c>
      <c r="L405">
        <v>1123350</v>
      </c>
      <c r="M405">
        <v>1180272</v>
      </c>
    </row>
    <row r="406" spans="1:13">
      <c r="A406">
        <v>435</v>
      </c>
      <c r="B406" s="331">
        <v>46162.861111111109</v>
      </c>
      <c r="C406" t="s">
        <v>108</v>
      </c>
      <c r="D406" t="s">
        <v>108</v>
      </c>
      <c r="E406" t="s">
        <v>4</v>
      </c>
      <c r="F406">
        <v>4459861</v>
      </c>
      <c r="G406">
        <v>49448</v>
      </c>
      <c r="H406">
        <v>652</v>
      </c>
      <c r="I406">
        <v>4509961</v>
      </c>
      <c r="J406">
        <v>95228</v>
      </c>
      <c r="K406">
        <v>1173</v>
      </c>
      <c r="L406">
        <v>2570963</v>
      </c>
      <c r="M406">
        <v>2667364</v>
      </c>
    </row>
    <row r="407" spans="1:13">
      <c r="A407">
        <v>436</v>
      </c>
      <c r="B407" s="331">
        <v>46162.861111111109</v>
      </c>
      <c r="C407" t="s">
        <v>131</v>
      </c>
      <c r="D407" t="s">
        <v>131</v>
      </c>
      <c r="E407" t="s">
        <v>4</v>
      </c>
      <c r="F407">
        <v>3868715</v>
      </c>
      <c r="G407">
        <v>29402</v>
      </c>
      <c r="H407">
        <v>22</v>
      </c>
      <c r="I407">
        <v>3898139</v>
      </c>
      <c r="J407">
        <v>60264</v>
      </c>
      <c r="K407">
        <v>103</v>
      </c>
      <c r="L407">
        <v>2298381</v>
      </c>
      <c r="M407">
        <v>2358748</v>
      </c>
    </row>
    <row r="408" spans="1:13">
      <c r="A408">
        <v>437</v>
      </c>
      <c r="B408" s="331">
        <v>46162.861111111109</v>
      </c>
      <c r="C408" t="s">
        <v>690</v>
      </c>
      <c r="D408" t="s">
        <v>690</v>
      </c>
      <c r="E408" t="s">
        <v>4</v>
      </c>
      <c r="F408">
        <v>1601902</v>
      </c>
      <c r="G408">
        <v>15246</v>
      </c>
      <c r="H408">
        <v>0</v>
      </c>
      <c r="I408">
        <v>1617148</v>
      </c>
      <c r="J408">
        <v>29631</v>
      </c>
      <c r="K408">
        <v>0</v>
      </c>
      <c r="L408">
        <v>947192</v>
      </c>
      <c r="M408">
        <v>976823</v>
      </c>
    </row>
    <row r="409" spans="1:13">
      <c r="A409">
        <v>438</v>
      </c>
      <c r="B409" s="331">
        <v>46162.861111111109</v>
      </c>
      <c r="C409" t="s">
        <v>20</v>
      </c>
      <c r="D409" t="s">
        <v>20</v>
      </c>
      <c r="E409" t="s">
        <v>4</v>
      </c>
      <c r="F409">
        <v>6090145</v>
      </c>
      <c r="G409">
        <v>61779</v>
      </c>
      <c r="H409">
        <v>742</v>
      </c>
      <c r="I409">
        <v>6152666</v>
      </c>
      <c r="J409">
        <v>122386</v>
      </c>
      <c r="K409">
        <v>1325</v>
      </c>
      <c r="L409">
        <v>3470340</v>
      </c>
      <c r="M409">
        <v>3594051</v>
      </c>
    </row>
    <row r="410" spans="1:13">
      <c r="A410">
        <v>439</v>
      </c>
      <c r="B410" s="331">
        <v>46162.861111111109</v>
      </c>
      <c r="C410" t="s">
        <v>21</v>
      </c>
      <c r="D410" t="s">
        <v>21</v>
      </c>
      <c r="E410" t="s">
        <v>4</v>
      </c>
      <c r="F410">
        <v>5704118</v>
      </c>
      <c r="G410">
        <v>56586</v>
      </c>
      <c r="H410">
        <v>626</v>
      </c>
      <c r="I410">
        <v>5761330</v>
      </c>
      <c r="J410">
        <v>106440</v>
      </c>
      <c r="K410">
        <v>1159</v>
      </c>
      <c r="L410">
        <v>3287222</v>
      </c>
      <c r="M410">
        <v>3394821</v>
      </c>
    </row>
    <row r="411" spans="1:13">
      <c r="A411">
        <v>441</v>
      </c>
      <c r="B411" s="331">
        <v>46162.861111111109</v>
      </c>
      <c r="C411" t="s">
        <v>1068</v>
      </c>
      <c r="D411" t="s">
        <v>1068</v>
      </c>
      <c r="E411" t="s">
        <v>4</v>
      </c>
      <c r="F411">
        <v>614274</v>
      </c>
      <c r="G411">
        <v>10590</v>
      </c>
      <c r="H411">
        <v>0</v>
      </c>
      <c r="I411">
        <v>624864</v>
      </c>
      <c r="J411">
        <v>21759</v>
      </c>
      <c r="K411">
        <v>0</v>
      </c>
      <c r="L411">
        <v>372897</v>
      </c>
      <c r="M411">
        <v>394656</v>
      </c>
    </row>
    <row r="412" spans="1:13">
      <c r="A412">
        <v>442</v>
      </c>
      <c r="B412" s="331">
        <v>46162.861111111109</v>
      </c>
      <c r="C412" t="s">
        <v>19</v>
      </c>
      <c r="D412" t="s">
        <v>19</v>
      </c>
      <c r="E412" t="s">
        <v>4</v>
      </c>
      <c r="F412">
        <v>5460173</v>
      </c>
      <c r="G412">
        <v>58105</v>
      </c>
      <c r="H412">
        <v>673</v>
      </c>
      <c r="I412">
        <v>5518951</v>
      </c>
      <c r="J412">
        <v>116045</v>
      </c>
      <c r="K412">
        <v>1205</v>
      </c>
      <c r="L412">
        <v>3149561</v>
      </c>
      <c r="M412">
        <v>3266811</v>
      </c>
    </row>
    <row r="413" spans="1:13">
      <c r="A413">
        <v>443</v>
      </c>
      <c r="B413" s="331">
        <v>46162.861111111109</v>
      </c>
      <c r="C413" t="s">
        <v>16</v>
      </c>
      <c r="D413" t="s">
        <v>16</v>
      </c>
      <c r="E413" t="s">
        <v>4</v>
      </c>
      <c r="F413">
        <v>3295234</v>
      </c>
      <c r="G413">
        <v>43709</v>
      </c>
      <c r="H413">
        <v>502</v>
      </c>
      <c r="I413">
        <v>3339445</v>
      </c>
      <c r="J413">
        <v>107007</v>
      </c>
      <c r="K413">
        <v>981</v>
      </c>
      <c r="L413">
        <v>1910204</v>
      </c>
      <c r="M413">
        <v>2018192</v>
      </c>
    </row>
    <row r="414" spans="1:13">
      <c r="A414">
        <v>444</v>
      </c>
      <c r="B414" s="331">
        <v>46162.861111111109</v>
      </c>
      <c r="C414" t="s">
        <v>27</v>
      </c>
      <c r="D414" t="s">
        <v>27</v>
      </c>
      <c r="E414" t="s">
        <v>4</v>
      </c>
      <c r="F414">
        <v>1815062</v>
      </c>
      <c r="G414">
        <v>25358</v>
      </c>
      <c r="H414">
        <v>166</v>
      </c>
      <c r="I414">
        <v>1840586</v>
      </c>
      <c r="J414">
        <v>52587</v>
      </c>
      <c r="K414">
        <v>276</v>
      </c>
      <c r="L414">
        <v>1087312</v>
      </c>
      <c r="M414">
        <v>1140175</v>
      </c>
    </row>
    <row r="415" spans="1:13">
      <c r="A415">
        <v>445</v>
      </c>
      <c r="B415" s="331">
        <v>46162.861111111109</v>
      </c>
      <c r="C415" t="s">
        <v>336</v>
      </c>
      <c r="D415" t="s">
        <v>336</v>
      </c>
      <c r="E415" t="s">
        <v>4</v>
      </c>
      <c r="F415">
        <v>724640</v>
      </c>
      <c r="G415">
        <v>3687</v>
      </c>
      <c r="H415">
        <v>0</v>
      </c>
      <c r="I415">
        <v>728327</v>
      </c>
      <c r="J415">
        <v>5220</v>
      </c>
      <c r="K415">
        <v>0</v>
      </c>
      <c r="L415">
        <v>430107</v>
      </c>
      <c r="M415">
        <v>435327</v>
      </c>
    </row>
    <row r="416" spans="1:13">
      <c r="A416">
        <v>446</v>
      </c>
      <c r="B416" s="331">
        <v>46162.861111111109</v>
      </c>
      <c r="C416" t="s">
        <v>32</v>
      </c>
      <c r="D416" t="s">
        <v>32</v>
      </c>
      <c r="E416" t="s">
        <v>4</v>
      </c>
      <c r="F416">
        <v>3595409</v>
      </c>
      <c r="G416">
        <v>27161</v>
      </c>
      <c r="H416">
        <v>23</v>
      </c>
      <c r="I416">
        <v>3622593</v>
      </c>
      <c r="J416">
        <v>57526</v>
      </c>
      <c r="K416">
        <v>94</v>
      </c>
      <c r="L416">
        <v>2137402</v>
      </c>
      <c r="M416">
        <v>2195022</v>
      </c>
    </row>
    <row r="417" spans="1:13">
      <c r="A417">
        <v>448</v>
      </c>
      <c r="B417" s="331">
        <v>46162.861111111109</v>
      </c>
      <c r="C417" t="s">
        <v>350</v>
      </c>
      <c r="D417" t="s">
        <v>350</v>
      </c>
      <c r="E417" t="s">
        <v>372</v>
      </c>
      <c r="L417">
        <v>610511</v>
      </c>
      <c r="M417">
        <v>610511</v>
      </c>
    </row>
    <row r="418" spans="1:13">
      <c r="A418">
        <v>449</v>
      </c>
      <c r="B418" s="331">
        <v>46162.861111111109</v>
      </c>
      <c r="C418" t="s">
        <v>583</v>
      </c>
      <c r="D418" t="s">
        <v>583</v>
      </c>
      <c r="E418" t="s">
        <v>372</v>
      </c>
      <c r="L418">
        <v>522183</v>
      </c>
      <c r="M418">
        <v>522183</v>
      </c>
    </row>
    <row r="419" spans="1:13">
      <c r="A419">
        <v>450</v>
      </c>
      <c r="B419" s="331">
        <v>46162.861111111109</v>
      </c>
      <c r="C419" t="s">
        <v>894</v>
      </c>
      <c r="D419" t="s">
        <v>894</v>
      </c>
      <c r="E419" t="s">
        <v>372</v>
      </c>
      <c r="L419">
        <v>775726</v>
      </c>
      <c r="M419">
        <v>775726</v>
      </c>
    </row>
    <row r="420" spans="1:13">
      <c r="A420">
        <v>451</v>
      </c>
      <c r="B420" s="331">
        <v>46162.861111111109</v>
      </c>
      <c r="C420" t="s">
        <v>34</v>
      </c>
      <c r="D420" t="s">
        <v>34</v>
      </c>
      <c r="E420" t="s">
        <v>4</v>
      </c>
      <c r="F420">
        <v>3811476</v>
      </c>
      <c r="G420">
        <v>28881</v>
      </c>
      <c r="H420">
        <v>23</v>
      </c>
      <c r="I420">
        <v>3840380</v>
      </c>
      <c r="J420">
        <v>63705</v>
      </c>
      <c r="K420">
        <v>94</v>
      </c>
      <c r="L420">
        <v>2278733</v>
      </c>
      <c r="M420">
        <v>2342532</v>
      </c>
    </row>
    <row r="421" spans="1:13">
      <c r="A421">
        <v>452</v>
      </c>
      <c r="B421" s="331">
        <v>46162.861111111109</v>
      </c>
      <c r="C421" t="s">
        <v>689</v>
      </c>
      <c r="D421" t="s">
        <v>689</v>
      </c>
      <c r="E421" t="s">
        <v>4</v>
      </c>
      <c r="F421">
        <v>1921819</v>
      </c>
      <c r="G421">
        <v>16882</v>
      </c>
      <c r="H421">
        <v>0</v>
      </c>
      <c r="I421">
        <v>1938701</v>
      </c>
      <c r="J421">
        <v>31279</v>
      </c>
      <c r="K421">
        <v>0</v>
      </c>
      <c r="L421">
        <v>1124575</v>
      </c>
      <c r="M421">
        <v>1155854</v>
      </c>
    </row>
    <row r="422" spans="1:13">
      <c r="A422">
        <v>453</v>
      </c>
      <c r="B422" s="331">
        <v>46162.861111111109</v>
      </c>
      <c r="C422" t="s">
        <v>349</v>
      </c>
      <c r="D422" t="s">
        <v>349</v>
      </c>
      <c r="E422" t="s">
        <v>372</v>
      </c>
      <c r="L422">
        <v>601326</v>
      </c>
      <c r="M422">
        <v>601326</v>
      </c>
    </row>
    <row r="423" spans="1:13">
      <c r="A423">
        <v>454</v>
      </c>
      <c r="B423" s="331">
        <v>46162.861111111109</v>
      </c>
      <c r="C423" t="s">
        <v>17</v>
      </c>
      <c r="D423" t="s">
        <v>17</v>
      </c>
      <c r="E423" t="s">
        <v>4</v>
      </c>
      <c r="F423">
        <v>3687720</v>
      </c>
      <c r="G423">
        <v>46864</v>
      </c>
      <c r="H423">
        <v>496</v>
      </c>
      <c r="I423">
        <v>3735080</v>
      </c>
      <c r="J423">
        <v>108868</v>
      </c>
      <c r="K423">
        <v>971</v>
      </c>
      <c r="L423">
        <v>2117583</v>
      </c>
      <c r="M423">
        <v>2227422</v>
      </c>
    </row>
    <row r="424" spans="1:13">
      <c r="A424">
        <v>455</v>
      </c>
      <c r="B424" s="331">
        <v>46162.861111111109</v>
      </c>
      <c r="C424" t="s">
        <v>106</v>
      </c>
      <c r="D424" t="s">
        <v>106</v>
      </c>
      <c r="E424" t="s">
        <v>4</v>
      </c>
      <c r="F424">
        <v>2975210</v>
      </c>
      <c r="G424">
        <v>39509</v>
      </c>
      <c r="H424">
        <v>464</v>
      </c>
      <c r="I424">
        <v>3015183</v>
      </c>
      <c r="J424">
        <v>69850</v>
      </c>
      <c r="K424">
        <v>852</v>
      </c>
      <c r="L424">
        <v>1690651</v>
      </c>
      <c r="M424">
        <v>1761353</v>
      </c>
    </row>
    <row r="425" spans="1:13">
      <c r="A425">
        <v>457</v>
      </c>
      <c r="B425" s="331">
        <v>46162.861111111109</v>
      </c>
      <c r="C425" t="s">
        <v>1112</v>
      </c>
      <c r="D425" t="s">
        <v>1112</v>
      </c>
      <c r="E425" t="s">
        <v>4</v>
      </c>
      <c r="F425">
        <v>866179</v>
      </c>
      <c r="G425">
        <v>6726</v>
      </c>
      <c r="H425">
        <v>0</v>
      </c>
      <c r="I425">
        <v>872905</v>
      </c>
      <c r="J425">
        <v>13339</v>
      </c>
      <c r="K425">
        <v>0</v>
      </c>
      <c r="L425">
        <v>509770</v>
      </c>
      <c r="M425">
        <v>523109</v>
      </c>
    </row>
    <row r="426" spans="1:13">
      <c r="A426">
        <v>458</v>
      </c>
      <c r="B426" s="331">
        <v>46162.861111111109</v>
      </c>
      <c r="C426" t="s">
        <v>22</v>
      </c>
      <c r="D426" t="s">
        <v>22</v>
      </c>
      <c r="E426" t="s">
        <v>4</v>
      </c>
      <c r="F426">
        <v>2851609</v>
      </c>
      <c r="G426">
        <v>36380</v>
      </c>
      <c r="H426">
        <v>385</v>
      </c>
      <c r="I426">
        <v>2888374</v>
      </c>
      <c r="J426">
        <v>63353</v>
      </c>
      <c r="K426">
        <v>648</v>
      </c>
      <c r="L426">
        <v>1621812</v>
      </c>
      <c r="M426">
        <v>1685813</v>
      </c>
    </row>
    <row r="427" spans="1:13">
      <c r="A427">
        <v>459</v>
      </c>
      <c r="B427" s="331">
        <v>46162.861111111109</v>
      </c>
      <c r="C427" t="s">
        <v>31</v>
      </c>
      <c r="D427" t="s">
        <v>31</v>
      </c>
      <c r="E427" t="s">
        <v>4</v>
      </c>
      <c r="F427">
        <v>2908469</v>
      </c>
      <c r="G427">
        <v>23854</v>
      </c>
      <c r="H427">
        <v>26</v>
      </c>
      <c r="I427">
        <v>2932349</v>
      </c>
      <c r="J427">
        <v>71529</v>
      </c>
      <c r="K427">
        <v>92</v>
      </c>
      <c r="L427">
        <v>1653598</v>
      </c>
      <c r="M427">
        <v>1725219</v>
      </c>
    </row>
    <row r="428" spans="1:13">
      <c r="A428">
        <v>460</v>
      </c>
      <c r="B428" s="331">
        <v>46162.861111111109</v>
      </c>
      <c r="C428" t="s">
        <v>35</v>
      </c>
      <c r="D428" t="s">
        <v>35</v>
      </c>
      <c r="E428" t="s">
        <v>4</v>
      </c>
      <c r="F428">
        <v>3929837</v>
      </c>
      <c r="G428">
        <v>27787</v>
      </c>
      <c r="H428">
        <v>20</v>
      </c>
      <c r="I428">
        <v>3957644</v>
      </c>
      <c r="J428">
        <v>55706</v>
      </c>
      <c r="K428">
        <v>86</v>
      </c>
      <c r="L428">
        <v>2334849</v>
      </c>
      <c r="M428">
        <v>2390641</v>
      </c>
    </row>
    <row r="429" spans="1:13">
      <c r="A429">
        <v>461</v>
      </c>
      <c r="B429" s="331">
        <v>46162.861111111109</v>
      </c>
      <c r="C429" t="s">
        <v>345</v>
      </c>
      <c r="D429" t="s">
        <v>345</v>
      </c>
      <c r="E429" t="s">
        <v>4</v>
      </c>
      <c r="F429">
        <v>2018414</v>
      </c>
      <c r="G429">
        <v>27562</v>
      </c>
      <c r="H429">
        <v>0</v>
      </c>
      <c r="I429">
        <v>2045976</v>
      </c>
      <c r="J429">
        <v>45802</v>
      </c>
      <c r="K429">
        <v>0</v>
      </c>
      <c r="L429">
        <v>1140619</v>
      </c>
      <c r="M429">
        <v>1186421</v>
      </c>
    </row>
    <row r="430" spans="1:13">
      <c r="A430">
        <v>462</v>
      </c>
      <c r="B430" s="331">
        <v>46162.861111111109</v>
      </c>
      <c r="C430" t="s">
        <v>33</v>
      </c>
      <c r="D430" t="s">
        <v>33</v>
      </c>
      <c r="E430" t="s">
        <v>4</v>
      </c>
      <c r="F430">
        <v>3682028</v>
      </c>
      <c r="G430">
        <v>27401</v>
      </c>
      <c r="H430">
        <v>26</v>
      </c>
      <c r="I430">
        <v>3709455</v>
      </c>
      <c r="J430">
        <v>53262</v>
      </c>
      <c r="K430">
        <v>114</v>
      </c>
      <c r="L430">
        <v>2191436</v>
      </c>
      <c r="M430">
        <v>2244812</v>
      </c>
    </row>
    <row r="431" spans="1:13">
      <c r="A431">
        <v>463</v>
      </c>
      <c r="B431" s="331">
        <v>46162.861111111109</v>
      </c>
      <c r="C431" t="s">
        <v>895</v>
      </c>
      <c r="D431" t="s">
        <v>895</v>
      </c>
      <c r="E431" t="s">
        <v>372</v>
      </c>
      <c r="L431">
        <v>776728</v>
      </c>
      <c r="M431">
        <v>776728</v>
      </c>
    </row>
    <row r="432" spans="1:13">
      <c r="A432">
        <v>464</v>
      </c>
      <c r="B432" s="331">
        <v>46162.861111111109</v>
      </c>
      <c r="C432" t="s">
        <v>896</v>
      </c>
      <c r="D432" t="s">
        <v>896</v>
      </c>
      <c r="E432" t="s">
        <v>372</v>
      </c>
      <c r="L432">
        <v>775523</v>
      </c>
      <c r="M432">
        <v>775523</v>
      </c>
    </row>
    <row r="433" spans="1:13">
      <c r="A433">
        <v>465</v>
      </c>
      <c r="B433" s="331">
        <v>46162.861111111109</v>
      </c>
      <c r="C433" t="s">
        <v>18</v>
      </c>
      <c r="D433" t="s">
        <v>18</v>
      </c>
      <c r="E433" t="s">
        <v>4</v>
      </c>
      <c r="F433">
        <v>5725252</v>
      </c>
      <c r="G433">
        <v>61170</v>
      </c>
      <c r="H433">
        <v>715</v>
      </c>
      <c r="I433">
        <v>5787137</v>
      </c>
      <c r="J433">
        <v>125947</v>
      </c>
      <c r="K433">
        <v>1334</v>
      </c>
      <c r="L433">
        <v>3305696</v>
      </c>
      <c r="M433">
        <v>3432977</v>
      </c>
    </row>
    <row r="434" spans="1:13">
      <c r="A434">
        <v>466</v>
      </c>
      <c r="B434" s="331">
        <v>46162.861111111109</v>
      </c>
      <c r="C434" t="s">
        <v>1081</v>
      </c>
      <c r="D434" t="s">
        <v>1081</v>
      </c>
      <c r="E434" t="s">
        <v>372</v>
      </c>
      <c r="L434">
        <v>644701</v>
      </c>
      <c r="M434">
        <v>644701</v>
      </c>
    </row>
    <row r="435" spans="1:13">
      <c r="A435">
        <v>467</v>
      </c>
      <c r="B435" s="331">
        <v>46162.859722222223</v>
      </c>
      <c r="C435" t="s">
        <v>16</v>
      </c>
      <c r="D435" t="s">
        <v>16</v>
      </c>
      <c r="E435" t="s">
        <v>4</v>
      </c>
      <c r="F435">
        <v>3295169</v>
      </c>
      <c r="G435">
        <v>43803</v>
      </c>
      <c r="H435">
        <v>496</v>
      </c>
      <c r="I435">
        <v>3339468</v>
      </c>
      <c r="J435">
        <v>107048</v>
      </c>
      <c r="K435">
        <v>980</v>
      </c>
      <c r="L435">
        <v>1910161</v>
      </c>
      <c r="M435">
        <v>2018189</v>
      </c>
    </row>
    <row r="436" spans="1:13">
      <c r="A436">
        <v>468</v>
      </c>
      <c r="B436" s="331">
        <v>46162.859722222223</v>
      </c>
      <c r="C436" t="s">
        <v>29</v>
      </c>
      <c r="D436" t="s">
        <v>29</v>
      </c>
      <c r="E436" t="s">
        <v>4</v>
      </c>
      <c r="F436">
        <v>2272415</v>
      </c>
      <c r="G436">
        <v>23873</v>
      </c>
      <c r="H436">
        <v>23</v>
      </c>
      <c r="I436">
        <v>2296311</v>
      </c>
      <c r="J436">
        <v>77753</v>
      </c>
      <c r="K436">
        <v>104</v>
      </c>
      <c r="L436">
        <v>1363535</v>
      </c>
      <c r="M436">
        <v>1441392</v>
      </c>
    </row>
    <row r="437" spans="1:13">
      <c r="A437">
        <v>469</v>
      </c>
      <c r="B437" s="331">
        <v>46162.859722222223</v>
      </c>
      <c r="C437" t="s">
        <v>24</v>
      </c>
      <c r="D437" t="s">
        <v>24</v>
      </c>
      <c r="E437" t="s">
        <v>4</v>
      </c>
      <c r="F437">
        <v>1879372</v>
      </c>
      <c r="G437">
        <v>27888</v>
      </c>
      <c r="H437">
        <v>167</v>
      </c>
      <c r="I437">
        <v>1907427</v>
      </c>
      <c r="J437">
        <v>56710</v>
      </c>
      <c r="K437">
        <v>232</v>
      </c>
      <c r="L437">
        <v>1123453</v>
      </c>
      <c r="M437">
        <v>1180395</v>
      </c>
    </row>
    <row r="438" spans="1:13">
      <c r="A438">
        <v>470</v>
      </c>
      <c r="B438" s="331">
        <v>46162.859722222223</v>
      </c>
      <c r="C438" t="s">
        <v>18</v>
      </c>
      <c r="D438" t="s">
        <v>18</v>
      </c>
      <c r="E438" t="s">
        <v>4</v>
      </c>
      <c r="F438">
        <v>5725699</v>
      </c>
      <c r="G438">
        <v>61146</v>
      </c>
      <c r="H438">
        <v>717</v>
      </c>
      <c r="I438">
        <v>5787562</v>
      </c>
      <c r="J438">
        <v>125932</v>
      </c>
      <c r="K438">
        <v>1342</v>
      </c>
      <c r="L438">
        <v>3306011</v>
      </c>
      <c r="M438">
        <v>3433285</v>
      </c>
    </row>
    <row r="439" spans="1:13">
      <c r="A439">
        <v>471</v>
      </c>
      <c r="B439" s="331">
        <v>46162.859722222223</v>
      </c>
      <c r="C439" t="s">
        <v>131</v>
      </c>
      <c r="D439" t="s">
        <v>131</v>
      </c>
      <c r="E439" t="s">
        <v>4</v>
      </c>
      <c r="F439">
        <v>3869081</v>
      </c>
      <c r="G439">
        <v>29316</v>
      </c>
      <c r="H439">
        <v>22</v>
      </c>
      <c r="I439">
        <v>3898419</v>
      </c>
      <c r="J439">
        <v>60182</v>
      </c>
      <c r="K439">
        <v>103</v>
      </c>
      <c r="L439">
        <v>2298494</v>
      </c>
      <c r="M439">
        <v>2358779</v>
      </c>
    </row>
    <row r="440" spans="1:13">
      <c r="A440">
        <v>472</v>
      </c>
      <c r="B440" s="331">
        <v>46162.859722222223</v>
      </c>
      <c r="C440" t="s">
        <v>105</v>
      </c>
      <c r="D440" t="s">
        <v>105</v>
      </c>
      <c r="E440" t="s">
        <v>4</v>
      </c>
      <c r="F440">
        <v>2476731</v>
      </c>
      <c r="G440">
        <v>27131</v>
      </c>
      <c r="H440">
        <v>187</v>
      </c>
      <c r="I440">
        <v>2504049</v>
      </c>
      <c r="J440">
        <v>53027</v>
      </c>
      <c r="K440">
        <v>293</v>
      </c>
      <c r="L440">
        <v>1464920</v>
      </c>
      <c r="M440">
        <v>1518240</v>
      </c>
    </row>
    <row r="441" spans="1:13">
      <c r="A441">
        <v>473</v>
      </c>
      <c r="B441" s="331">
        <v>46162.859722222223</v>
      </c>
      <c r="C441" t="s">
        <v>34</v>
      </c>
      <c r="D441" t="s">
        <v>34</v>
      </c>
      <c r="E441" t="s">
        <v>4</v>
      </c>
      <c r="F441">
        <v>3811800</v>
      </c>
      <c r="G441">
        <v>28989</v>
      </c>
      <c r="H441">
        <v>23</v>
      </c>
      <c r="I441">
        <v>3840812</v>
      </c>
      <c r="J441">
        <v>63813</v>
      </c>
      <c r="K441">
        <v>94</v>
      </c>
      <c r="L441">
        <v>2278793</v>
      </c>
      <c r="M441">
        <v>2342700</v>
      </c>
    </row>
    <row r="442" spans="1:13">
      <c r="A442">
        <v>474</v>
      </c>
      <c r="B442" s="331">
        <v>46162.859722222223</v>
      </c>
      <c r="C442" t="s">
        <v>346</v>
      </c>
      <c r="D442" t="s">
        <v>346</v>
      </c>
      <c r="E442" t="s">
        <v>4</v>
      </c>
      <c r="F442">
        <v>2447408</v>
      </c>
      <c r="G442">
        <v>29866</v>
      </c>
      <c r="H442">
        <v>0</v>
      </c>
      <c r="I442">
        <v>2477274</v>
      </c>
      <c r="J442">
        <v>52412</v>
      </c>
      <c r="K442">
        <v>0</v>
      </c>
      <c r="L442">
        <v>1404256</v>
      </c>
      <c r="M442">
        <v>1456668</v>
      </c>
    </row>
    <row r="443" spans="1:13">
      <c r="A443">
        <v>475</v>
      </c>
      <c r="B443" s="331">
        <v>46162.859722222223</v>
      </c>
      <c r="C443" t="s">
        <v>1111</v>
      </c>
      <c r="D443" t="s">
        <v>1111</v>
      </c>
      <c r="E443" t="s">
        <v>4</v>
      </c>
      <c r="F443">
        <v>860809</v>
      </c>
      <c r="G443">
        <v>6712</v>
      </c>
      <c r="H443">
        <v>0</v>
      </c>
      <c r="I443">
        <v>867521</v>
      </c>
      <c r="J443">
        <v>13246</v>
      </c>
      <c r="K443">
        <v>0</v>
      </c>
      <c r="L443">
        <v>506657</v>
      </c>
      <c r="M443">
        <v>519903</v>
      </c>
    </row>
    <row r="444" spans="1:13">
      <c r="A444">
        <v>476</v>
      </c>
      <c r="B444" s="331">
        <v>46162.859722222223</v>
      </c>
      <c r="C444" t="s">
        <v>691</v>
      </c>
      <c r="D444" t="s">
        <v>691</v>
      </c>
      <c r="E444" t="s">
        <v>4</v>
      </c>
      <c r="F444">
        <v>1598811</v>
      </c>
      <c r="G444">
        <v>15285</v>
      </c>
      <c r="H444">
        <v>0</v>
      </c>
      <c r="I444">
        <v>1614096</v>
      </c>
      <c r="J444">
        <v>29680</v>
      </c>
      <c r="K444">
        <v>0</v>
      </c>
      <c r="L444">
        <v>944991</v>
      </c>
      <c r="M444">
        <v>974671</v>
      </c>
    </row>
    <row r="445" spans="1:13">
      <c r="A445">
        <v>477</v>
      </c>
      <c r="B445" s="331">
        <v>46162.859722222223</v>
      </c>
      <c r="C445" t="s">
        <v>32</v>
      </c>
      <c r="D445" t="s">
        <v>32</v>
      </c>
      <c r="E445" t="s">
        <v>4</v>
      </c>
      <c r="F445">
        <v>3595844</v>
      </c>
      <c r="G445">
        <v>27206</v>
      </c>
      <c r="H445">
        <v>23</v>
      </c>
      <c r="I445">
        <v>3623073</v>
      </c>
      <c r="J445">
        <v>57497</v>
      </c>
      <c r="K445">
        <v>92</v>
      </c>
      <c r="L445">
        <v>2137603</v>
      </c>
      <c r="M445">
        <v>2195192</v>
      </c>
    </row>
    <row r="446" spans="1:13">
      <c r="A446">
        <v>479</v>
      </c>
      <c r="B446" s="331">
        <v>46162.859722222223</v>
      </c>
      <c r="C446" t="s">
        <v>1133</v>
      </c>
      <c r="D446" t="s">
        <v>1133</v>
      </c>
      <c r="E446" t="s">
        <v>4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</row>
    <row r="447" spans="1:13">
      <c r="A447">
        <v>480</v>
      </c>
      <c r="B447" s="331">
        <v>46162.859722222223</v>
      </c>
      <c r="C447" t="s">
        <v>26</v>
      </c>
      <c r="D447" t="s">
        <v>26</v>
      </c>
      <c r="E447" t="s">
        <v>4</v>
      </c>
      <c r="F447">
        <v>1899880</v>
      </c>
      <c r="G447">
        <v>25246</v>
      </c>
      <c r="H447">
        <v>183</v>
      </c>
      <c r="I447">
        <v>1925309</v>
      </c>
      <c r="J447">
        <v>55563</v>
      </c>
      <c r="K447">
        <v>280</v>
      </c>
      <c r="L447">
        <v>1141273</v>
      </c>
      <c r="M447">
        <v>1197116</v>
      </c>
    </row>
    <row r="448" spans="1:13">
      <c r="A448">
        <v>481</v>
      </c>
      <c r="B448" s="331">
        <v>46162.859722222223</v>
      </c>
      <c r="C448" t="s">
        <v>35</v>
      </c>
      <c r="D448" t="s">
        <v>35</v>
      </c>
      <c r="E448" t="s">
        <v>4</v>
      </c>
      <c r="F448">
        <v>3929968</v>
      </c>
      <c r="G448">
        <v>27941</v>
      </c>
      <c r="H448">
        <v>20</v>
      </c>
      <c r="I448">
        <v>3957929</v>
      </c>
      <c r="J448">
        <v>55839</v>
      </c>
      <c r="K448">
        <v>89</v>
      </c>
      <c r="L448">
        <v>2334871</v>
      </c>
      <c r="M448">
        <v>2390799</v>
      </c>
    </row>
    <row r="449" spans="1:13">
      <c r="A449">
        <v>482</v>
      </c>
      <c r="B449" s="331">
        <v>46162.859722222223</v>
      </c>
      <c r="C449" t="s">
        <v>1067</v>
      </c>
      <c r="D449" t="s">
        <v>1067</v>
      </c>
      <c r="E449" t="s">
        <v>4</v>
      </c>
      <c r="F449">
        <v>613673</v>
      </c>
      <c r="G449">
        <v>10549</v>
      </c>
      <c r="H449">
        <v>0</v>
      </c>
      <c r="I449">
        <v>624222</v>
      </c>
      <c r="J449">
        <v>21580</v>
      </c>
      <c r="K449">
        <v>0</v>
      </c>
      <c r="L449">
        <v>372718</v>
      </c>
      <c r="M449">
        <v>394298</v>
      </c>
    </row>
    <row r="450" spans="1:13">
      <c r="A450">
        <v>483</v>
      </c>
      <c r="B450" s="331">
        <v>46162.859722222223</v>
      </c>
      <c r="C450" t="s">
        <v>1068</v>
      </c>
      <c r="D450" t="s">
        <v>1068</v>
      </c>
      <c r="E450" t="s">
        <v>4</v>
      </c>
      <c r="F450">
        <v>614532</v>
      </c>
      <c r="G450">
        <v>10559</v>
      </c>
      <c r="H450">
        <v>0</v>
      </c>
      <c r="I450">
        <v>625091</v>
      </c>
      <c r="J450">
        <v>21678</v>
      </c>
      <c r="K450">
        <v>0</v>
      </c>
      <c r="L450">
        <v>373030</v>
      </c>
      <c r="M450">
        <v>394708</v>
      </c>
    </row>
    <row r="451" spans="1:13">
      <c r="A451">
        <v>484</v>
      </c>
      <c r="B451" s="331">
        <v>46162.859722222223</v>
      </c>
      <c r="C451" t="s">
        <v>690</v>
      </c>
      <c r="D451" t="s">
        <v>690</v>
      </c>
      <c r="E451" t="s">
        <v>4</v>
      </c>
      <c r="F451">
        <v>1601822</v>
      </c>
      <c r="G451">
        <v>15194</v>
      </c>
      <c r="H451">
        <v>0</v>
      </c>
      <c r="I451">
        <v>1617016</v>
      </c>
      <c r="J451">
        <v>29617</v>
      </c>
      <c r="K451">
        <v>0</v>
      </c>
      <c r="L451">
        <v>947234</v>
      </c>
      <c r="M451">
        <v>976851</v>
      </c>
    </row>
    <row r="452" spans="1:13">
      <c r="A452">
        <v>486</v>
      </c>
      <c r="B452" s="331">
        <v>46162.859722222223</v>
      </c>
      <c r="C452" t="s">
        <v>21</v>
      </c>
      <c r="D452" t="s">
        <v>21</v>
      </c>
      <c r="E452" t="s">
        <v>4</v>
      </c>
      <c r="F452">
        <v>5704475</v>
      </c>
      <c r="G452">
        <v>56639</v>
      </c>
      <c r="H452">
        <v>626</v>
      </c>
      <c r="I452">
        <v>5761740</v>
      </c>
      <c r="J452">
        <v>106390</v>
      </c>
      <c r="K452">
        <v>1158</v>
      </c>
      <c r="L452">
        <v>3287536</v>
      </c>
      <c r="M452">
        <v>3395084</v>
      </c>
    </row>
    <row r="453" spans="1:13">
      <c r="A453">
        <v>488</v>
      </c>
      <c r="B453" s="331">
        <v>46162.859722222223</v>
      </c>
      <c r="C453" t="s">
        <v>336</v>
      </c>
      <c r="D453" t="s">
        <v>336</v>
      </c>
      <c r="E453" t="s">
        <v>4</v>
      </c>
      <c r="F453">
        <v>724795</v>
      </c>
      <c r="G453">
        <v>3665</v>
      </c>
      <c r="H453">
        <v>0</v>
      </c>
      <c r="I453">
        <v>728460</v>
      </c>
      <c r="J453">
        <v>5223</v>
      </c>
      <c r="K453">
        <v>0</v>
      </c>
      <c r="L453">
        <v>430176</v>
      </c>
      <c r="M453">
        <v>435399</v>
      </c>
    </row>
    <row r="454" spans="1:13">
      <c r="A454">
        <v>489</v>
      </c>
      <c r="B454" s="331">
        <v>46162.859722222223</v>
      </c>
      <c r="C454" t="s">
        <v>22</v>
      </c>
      <c r="D454" t="s">
        <v>22</v>
      </c>
      <c r="E454" t="s">
        <v>4</v>
      </c>
      <c r="F454">
        <v>2851561</v>
      </c>
      <c r="G454">
        <v>36457</v>
      </c>
      <c r="H454">
        <v>386</v>
      </c>
      <c r="I454">
        <v>2888404</v>
      </c>
      <c r="J454">
        <v>63373</v>
      </c>
      <c r="K454">
        <v>647</v>
      </c>
      <c r="L454">
        <v>1621859</v>
      </c>
      <c r="M454">
        <v>1685879</v>
      </c>
    </row>
    <row r="455" spans="1:13">
      <c r="A455">
        <v>490</v>
      </c>
      <c r="B455" s="331">
        <v>46162.859722222223</v>
      </c>
      <c r="C455" t="s">
        <v>33</v>
      </c>
      <c r="D455" t="s">
        <v>33</v>
      </c>
      <c r="E455" t="s">
        <v>4</v>
      </c>
      <c r="F455">
        <v>3682448</v>
      </c>
      <c r="G455">
        <v>27373</v>
      </c>
      <c r="H455">
        <v>27</v>
      </c>
      <c r="I455">
        <v>3709848</v>
      </c>
      <c r="J455">
        <v>53226</v>
      </c>
      <c r="K455">
        <v>114</v>
      </c>
      <c r="L455">
        <v>2191596</v>
      </c>
      <c r="M455">
        <v>2244936</v>
      </c>
    </row>
    <row r="456" spans="1:13">
      <c r="A456">
        <v>491</v>
      </c>
      <c r="B456" s="331">
        <v>46162.859722222223</v>
      </c>
      <c r="C456" t="s">
        <v>345</v>
      </c>
      <c r="D456" t="s">
        <v>345</v>
      </c>
      <c r="E456" t="s">
        <v>4</v>
      </c>
      <c r="F456">
        <v>2018652</v>
      </c>
      <c r="G456">
        <v>27648</v>
      </c>
      <c r="H456">
        <v>0</v>
      </c>
      <c r="I456">
        <v>2046300</v>
      </c>
      <c r="J456">
        <v>45776</v>
      </c>
      <c r="K456">
        <v>0</v>
      </c>
      <c r="L456">
        <v>1140779</v>
      </c>
      <c r="M456">
        <v>1186555</v>
      </c>
    </row>
    <row r="457" spans="1:13">
      <c r="A457">
        <v>492</v>
      </c>
      <c r="B457" s="331">
        <v>46162.859722222223</v>
      </c>
      <c r="C457" t="s">
        <v>27</v>
      </c>
      <c r="D457" t="s">
        <v>27</v>
      </c>
      <c r="E457" t="s">
        <v>4</v>
      </c>
      <c r="F457">
        <v>1815227</v>
      </c>
      <c r="G457">
        <v>25350</v>
      </c>
      <c r="H457">
        <v>167</v>
      </c>
      <c r="I457">
        <v>1840744</v>
      </c>
      <c r="J457">
        <v>52559</v>
      </c>
      <c r="K457">
        <v>280</v>
      </c>
      <c r="L457">
        <v>1087414</v>
      </c>
      <c r="M457">
        <v>1140253</v>
      </c>
    </row>
    <row r="458" spans="1:13">
      <c r="A458">
        <v>493</v>
      </c>
      <c r="B458" s="331">
        <v>46162.859722222223</v>
      </c>
      <c r="C458" t="s">
        <v>107</v>
      </c>
      <c r="D458" t="s">
        <v>107</v>
      </c>
      <c r="E458" t="s">
        <v>4</v>
      </c>
      <c r="F458">
        <v>4495242</v>
      </c>
      <c r="G458">
        <v>50765</v>
      </c>
      <c r="H458">
        <v>627</v>
      </c>
      <c r="I458">
        <v>4546634</v>
      </c>
      <c r="J458">
        <v>97143</v>
      </c>
      <c r="K458">
        <v>1100</v>
      </c>
      <c r="L458">
        <v>2590619</v>
      </c>
      <c r="M458">
        <v>2688862</v>
      </c>
    </row>
    <row r="459" spans="1:13">
      <c r="A459">
        <v>494</v>
      </c>
      <c r="B459" s="331">
        <v>46162.859722222223</v>
      </c>
      <c r="C459" t="s">
        <v>689</v>
      </c>
      <c r="D459" t="s">
        <v>689</v>
      </c>
      <c r="E459" t="s">
        <v>4</v>
      </c>
      <c r="F459">
        <v>1921851</v>
      </c>
      <c r="G459">
        <v>16823</v>
      </c>
      <c r="H459">
        <v>0</v>
      </c>
      <c r="I459">
        <v>1938674</v>
      </c>
      <c r="J459">
        <v>31227</v>
      </c>
      <c r="K459">
        <v>0</v>
      </c>
      <c r="L459">
        <v>1124657</v>
      </c>
      <c r="M459">
        <v>1155884</v>
      </c>
    </row>
    <row r="460" spans="1:13">
      <c r="A460">
        <v>495</v>
      </c>
      <c r="B460" s="331">
        <v>46162.859722222223</v>
      </c>
      <c r="C460" t="s">
        <v>132</v>
      </c>
      <c r="D460" t="s">
        <v>132</v>
      </c>
      <c r="E460" t="s">
        <v>4</v>
      </c>
      <c r="F460">
        <v>3871485</v>
      </c>
      <c r="G460">
        <v>28938</v>
      </c>
      <c r="H460">
        <v>21</v>
      </c>
      <c r="I460">
        <v>3900444</v>
      </c>
      <c r="J460">
        <v>59081</v>
      </c>
      <c r="K460">
        <v>82</v>
      </c>
      <c r="L460">
        <v>2297949</v>
      </c>
      <c r="M460">
        <v>2357112</v>
      </c>
    </row>
    <row r="461" spans="1:13">
      <c r="A461">
        <v>496</v>
      </c>
      <c r="B461" s="331">
        <v>46162.859722222223</v>
      </c>
      <c r="C461" t="s">
        <v>1112</v>
      </c>
      <c r="D461" t="s">
        <v>1112</v>
      </c>
      <c r="E461" t="s">
        <v>4</v>
      </c>
      <c r="F461">
        <v>866560</v>
      </c>
      <c r="G461">
        <v>6699</v>
      </c>
      <c r="H461">
        <v>0</v>
      </c>
      <c r="I461">
        <v>873259</v>
      </c>
      <c r="J461">
        <v>13318</v>
      </c>
      <c r="K461">
        <v>0</v>
      </c>
      <c r="L461">
        <v>509951</v>
      </c>
      <c r="M461">
        <v>523269</v>
      </c>
    </row>
    <row r="462" spans="1:13">
      <c r="A462">
        <v>497</v>
      </c>
      <c r="B462" s="331">
        <v>46162.859722222223</v>
      </c>
      <c r="C462" t="s">
        <v>20</v>
      </c>
      <c r="D462" t="s">
        <v>20</v>
      </c>
      <c r="E462" t="s">
        <v>4</v>
      </c>
      <c r="F462">
        <v>6090505</v>
      </c>
      <c r="G462">
        <v>61749</v>
      </c>
      <c r="H462">
        <v>739</v>
      </c>
      <c r="I462">
        <v>6152993</v>
      </c>
      <c r="J462">
        <v>122280</v>
      </c>
      <c r="K462">
        <v>1322</v>
      </c>
      <c r="L462">
        <v>3470680</v>
      </c>
      <c r="M462">
        <v>3594282</v>
      </c>
    </row>
    <row r="463" spans="1:13">
      <c r="A463">
        <v>498</v>
      </c>
      <c r="B463" s="331">
        <v>46162.859722222223</v>
      </c>
      <c r="C463" t="s">
        <v>106</v>
      </c>
      <c r="D463" t="s">
        <v>106</v>
      </c>
      <c r="E463" t="s">
        <v>4</v>
      </c>
      <c r="F463">
        <v>2975702</v>
      </c>
      <c r="G463">
        <v>39395</v>
      </c>
      <c r="H463">
        <v>481</v>
      </c>
      <c r="I463">
        <v>3015578</v>
      </c>
      <c r="J463">
        <v>69617</v>
      </c>
      <c r="K463">
        <v>873</v>
      </c>
      <c r="L463">
        <v>1691008</v>
      </c>
      <c r="M463">
        <v>1761498</v>
      </c>
    </row>
    <row r="464" spans="1:13">
      <c r="A464">
        <v>499</v>
      </c>
      <c r="B464" s="331">
        <v>46162.859722222223</v>
      </c>
      <c r="C464" t="s">
        <v>31</v>
      </c>
      <c r="D464" t="s">
        <v>31</v>
      </c>
      <c r="E464" t="s">
        <v>4</v>
      </c>
      <c r="F464">
        <v>2908907</v>
      </c>
      <c r="G464">
        <v>23968</v>
      </c>
      <c r="H464">
        <v>25</v>
      </c>
      <c r="I464">
        <v>2932900</v>
      </c>
      <c r="J464">
        <v>71612</v>
      </c>
      <c r="K464">
        <v>89</v>
      </c>
      <c r="L464">
        <v>1653772</v>
      </c>
      <c r="M464">
        <v>1725473</v>
      </c>
    </row>
    <row r="465" spans="1:13">
      <c r="A465">
        <v>500</v>
      </c>
      <c r="B465" s="331">
        <v>46162.859722222223</v>
      </c>
      <c r="C465" t="s">
        <v>19</v>
      </c>
      <c r="D465" t="s">
        <v>19</v>
      </c>
      <c r="E465" t="s">
        <v>4</v>
      </c>
      <c r="F465">
        <v>5460396</v>
      </c>
      <c r="G465">
        <v>58038</v>
      </c>
      <c r="H465">
        <v>672</v>
      </c>
      <c r="I465">
        <v>5519106</v>
      </c>
      <c r="J465">
        <v>115876</v>
      </c>
      <c r="K465">
        <v>1199</v>
      </c>
      <c r="L465">
        <v>3149778</v>
      </c>
      <c r="M465">
        <v>3266853</v>
      </c>
    </row>
    <row r="466" spans="1:13">
      <c r="A466">
        <v>501</v>
      </c>
      <c r="B466" s="331">
        <v>46162.859722222223</v>
      </c>
      <c r="C466" t="s">
        <v>17</v>
      </c>
      <c r="D466" t="s">
        <v>17</v>
      </c>
      <c r="E466" t="s">
        <v>4</v>
      </c>
      <c r="F466">
        <v>3687468</v>
      </c>
      <c r="G466">
        <v>46912</v>
      </c>
      <c r="H466">
        <v>495</v>
      </c>
      <c r="I466">
        <v>3734875</v>
      </c>
      <c r="J466">
        <v>108817</v>
      </c>
      <c r="K466">
        <v>978</v>
      </c>
      <c r="L466">
        <v>2117667</v>
      </c>
      <c r="M466">
        <v>2227462</v>
      </c>
    </row>
    <row r="467" spans="1:13">
      <c r="A467">
        <v>502</v>
      </c>
      <c r="B467" s="331">
        <v>46162.859722222223</v>
      </c>
      <c r="C467" t="s">
        <v>108</v>
      </c>
      <c r="D467" t="s">
        <v>108</v>
      </c>
      <c r="E467" t="s">
        <v>4</v>
      </c>
      <c r="F467">
        <v>4460173</v>
      </c>
      <c r="G467">
        <v>49513</v>
      </c>
      <c r="H467">
        <v>660</v>
      </c>
      <c r="I467">
        <v>4510346</v>
      </c>
      <c r="J467">
        <v>95192</v>
      </c>
      <c r="K467">
        <v>1183</v>
      </c>
      <c r="L467">
        <v>2571127</v>
      </c>
      <c r="M467">
        <v>2667502</v>
      </c>
    </row>
    <row r="468" spans="1:13">
      <c r="A468">
        <v>503</v>
      </c>
      <c r="B468" s="331">
        <v>46162.85833333333</v>
      </c>
      <c r="C468" t="s">
        <v>345</v>
      </c>
      <c r="D468" t="s">
        <v>345</v>
      </c>
      <c r="E468" t="s">
        <v>4</v>
      </c>
      <c r="F468">
        <v>2018841</v>
      </c>
      <c r="G468">
        <v>27464</v>
      </c>
      <c r="H468">
        <v>0</v>
      </c>
      <c r="I468">
        <v>2046305</v>
      </c>
      <c r="J468">
        <v>45644</v>
      </c>
      <c r="K468">
        <v>0</v>
      </c>
      <c r="L468">
        <v>1140954</v>
      </c>
      <c r="M468">
        <v>1186598</v>
      </c>
    </row>
    <row r="469" spans="1:13">
      <c r="A469">
        <v>505</v>
      </c>
      <c r="B469" s="331">
        <v>46162.85833333333</v>
      </c>
      <c r="C469" t="s">
        <v>19</v>
      </c>
      <c r="D469" t="s">
        <v>19</v>
      </c>
      <c r="E469" t="s">
        <v>4</v>
      </c>
      <c r="F469">
        <v>5460618</v>
      </c>
      <c r="G469">
        <v>58114</v>
      </c>
      <c r="H469">
        <v>660</v>
      </c>
      <c r="I469">
        <v>5519392</v>
      </c>
      <c r="J469">
        <v>115939</v>
      </c>
      <c r="K469">
        <v>1190</v>
      </c>
      <c r="L469">
        <v>3150074</v>
      </c>
      <c r="M469">
        <v>3267203</v>
      </c>
    </row>
    <row r="470" spans="1:13">
      <c r="A470">
        <v>506</v>
      </c>
      <c r="B470" s="331">
        <v>46162.85833333333</v>
      </c>
      <c r="C470" t="s">
        <v>20</v>
      </c>
      <c r="D470" t="s">
        <v>20</v>
      </c>
      <c r="E470" t="s">
        <v>4</v>
      </c>
      <c r="F470">
        <v>6091059</v>
      </c>
      <c r="G470">
        <v>61564</v>
      </c>
      <c r="H470">
        <v>731</v>
      </c>
      <c r="I470">
        <v>6153354</v>
      </c>
      <c r="J470">
        <v>122063</v>
      </c>
      <c r="K470">
        <v>1318</v>
      </c>
      <c r="L470">
        <v>3471219</v>
      </c>
      <c r="M470">
        <v>3594600</v>
      </c>
    </row>
    <row r="471" spans="1:13">
      <c r="A471">
        <v>507</v>
      </c>
      <c r="B471" s="331">
        <v>46162.85833333333</v>
      </c>
      <c r="C471" t="s">
        <v>24</v>
      </c>
      <c r="D471" t="s">
        <v>24</v>
      </c>
      <c r="E471" t="s">
        <v>4</v>
      </c>
      <c r="F471">
        <v>1879578</v>
      </c>
      <c r="G471">
        <v>27768</v>
      </c>
      <c r="H471">
        <v>174</v>
      </c>
      <c r="I471">
        <v>1907520</v>
      </c>
      <c r="J471">
        <v>56609</v>
      </c>
      <c r="K471">
        <v>240</v>
      </c>
      <c r="L471">
        <v>1123571</v>
      </c>
      <c r="M471">
        <v>1180420</v>
      </c>
    </row>
    <row r="472" spans="1:13">
      <c r="A472">
        <v>508</v>
      </c>
      <c r="B472" s="331">
        <v>46162.85833333333</v>
      </c>
      <c r="C472" t="s">
        <v>34</v>
      </c>
      <c r="D472" t="s">
        <v>34</v>
      </c>
      <c r="E472" t="s">
        <v>4</v>
      </c>
      <c r="F472">
        <v>3812068</v>
      </c>
      <c r="G472">
        <v>28979</v>
      </c>
      <c r="H472">
        <v>23</v>
      </c>
      <c r="I472">
        <v>3841070</v>
      </c>
      <c r="J472">
        <v>63869</v>
      </c>
      <c r="K472">
        <v>95</v>
      </c>
      <c r="L472">
        <v>2278879</v>
      </c>
      <c r="M472">
        <v>2342843</v>
      </c>
    </row>
    <row r="473" spans="1:13">
      <c r="A473">
        <v>509</v>
      </c>
      <c r="B473" s="331">
        <v>46162.85833333333</v>
      </c>
      <c r="C473" t="s">
        <v>17</v>
      </c>
      <c r="D473" t="s">
        <v>17</v>
      </c>
      <c r="E473" t="s">
        <v>4</v>
      </c>
      <c r="F473">
        <v>3687559</v>
      </c>
      <c r="G473">
        <v>46885</v>
      </c>
      <c r="H473">
        <v>507</v>
      </c>
      <c r="I473">
        <v>3734951</v>
      </c>
      <c r="J473">
        <v>108865</v>
      </c>
      <c r="K473">
        <v>980</v>
      </c>
      <c r="L473">
        <v>2117710</v>
      </c>
      <c r="M473">
        <v>2227555</v>
      </c>
    </row>
    <row r="474" spans="1:13">
      <c r="A474">
        <v>510</v>
      </c>
      <c r="B474" s="331">
        <v>46162.85833333333</v>
      </c>
      <c r="C474" t="s">
        <v>18</v>
      </c>
      <c r="D474" t="s">
        <v>18</v>
      </c>
      <c r="E474" t="s">
        <v>4</v>
      </c>
      <c r="F474">
        <v>5726184</v>
      </c>
      <c r="G474">
        <v>61024</v>
      </c>
      <c r="H474">
        <v>729</v>
      </c>
      <c r="I474">
        <v>5787937</v>
      </c>
      <c r="J474">
        <v>125694</v>
      </c>
      <c r="K474">
        <v>1348</v>
      </c>
      <c r="L474">
        <v>3306417</v>
      </c>
      <c r="M474">
        <v>3433459</v>
      </c>
    </row>
    <row r="475" spans="1:13">
      <c r="A475">
        <v>511</v>
      </c>
      <c r="B475" s="331">
        <v>46162.85833333333</v>
      </c>
      <c r="C475" t="s">
        <v>105</v>
      </c>
      <c r="D475" t="s">
        <v>105</v>
      </c>
      <c r="E475" t="s">
        <v>4</v>
      </c>
      <c r="F475">
        <v>2476951</v>
      </c>
      <c r="G475">
        <v>27233</v>
      </c>
      <c r="H475">
        <v>175</v>
      </c>
      <c r="I475">
        <v>2504359</v>
      </c>
      <c r="J475">
        <v>53100</v>
      </c>
      <c r="K475">
        <v>286</v>
      </c>
      <c r="L475">
        <v>1464969</v>
      </c>
      <c r="M475">
        <v>1518355</v>
      </c>
    </row>
    <row r="476" spans="1:13">
      <c r="A476">
        <v>512</v>
      </c>
      <c r="B476" s="331">
        <v>46162.85833333333</v>
      </c>
      <c r="C476" t="s">
        <v>21</v>
      </c>
      <c r="D476" t="s">
        <v>21</v>
      </c>
      <c r="E476" t="s">
        <v>4</v>
      </c>
      <c r="F476">
        <v>5704556</v>
      </c>
      <c r="G476">
        <v>56770</v>
      </c>
      <c r="H476">
        <v>637</v>
      </c>
      <c r="I476">
        <v>5761963</v>
      </c>
      <c r="J476">
        <v>106491</v>
      </c>
      <c r="K476">
        <v>1179</v>
      </c>
      <c r="L476">
        <v>3287770</v>
      </c>
      <c r="M476">
        <v>3395440</v>
      </c>
    </row>
    <row r="477" spans="1:13">
      <c r="A477">
        <v>513</v>
      </c>
      <c r="B477" s="331">
        <v>46162.85833333333</v>
      </c>
      <c r="C477" t="s">
        <v>27</v>
      </c>
      <c r="D477" t="s">
        <v>27</v>
      </c>
      <c r="E477" t="s">
        <v>4</v>
      </c>
      <c r="F477">
        <v>1815526</v>
      </c>
      <c r="G477">
        <v>25262</v>
      </c>
      <c r="H477">
        <v>171</v>
      </c>
      <c r="I477">
        <v>1840959</v>
      </c>
      <c r="J477">
        <v>52397</v>
      </c>
      <c r="K477">
        <v>279</v>
      </c>
      <c r="L477">
        <v>1087486</v>
      </c>
      <c r="M477">
        <v>1140162</v>
      </c>
    </row>
    <row r="478" spans="1:13">
      <c r="A478">
        <v>514</v>
      </c>
      <c r="B478" s="331">
        <v>46162.85833333333</v>
      </c>
      <c r="C478" t="s">
        <v>1133</v>
      </c>
      <c r="D478" t="s">
        <v>1133</v>
      </c>
      <c r="E478" t="s">
        <v>4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</row>
    <row r="479" spans="1:13">
      <c r="A479">
        <v>515</v>
      </c>
      <c r="B479" s="331">
        <v>46162.85833333333</v>
      </c>
      <c r="C479" t="s">
        <v>106</v>
      </c>
      <c r="D479" t="s">
        <v>106</v>
      </c>
      <c r="E479" t="s">
        <v>4</v>
      </c>
      <c r="F479">
        <v>2976049</v>
      </c>
      <c r="G479">
        <v>39325</v>
      </c>
      <c r="H479">
        <v>487</v>
      </c>
      <c r="I479">
        <v>3015861</v>
      </c>
      <c r="J479">
        <v>69524</v>
      </c>
      <c r="K479">
        <v>879</v>
      </c>
      <c r="L479">
        <v>1691262</v>
      </c>
      <c r="M479">
        <v>1761665</v>
      </c>
    </row>
    <row r="480" spans="1:13">
      <c r="A480">
        <v>516</v>
      </c>
      <c r="B480" s="331">
        <v>46162.85833333333</v>
      </c>
      <c r="C480" t="s">
        <v>1111</v>
      </c>
      <c r="D480" t="s">
        <v>1111</v>
      </c>
      <c r="E480" t="s">
        <v>4</v>
      </c>
      <c r="F480">
        <v>860898</v>
      </c>
      <c r="G480">
        <v>6712</v>
      </c>
      <c r="H480">
        <v>0</v>
      </c>
      <c r="I480">
        <v>867610</v>
      </c>
      <c r="J480">
        <v>13219</v>
      </c>
      <c r="K480">
        <v>0</v>
      </c>
      <c r="L480">
        <v>506735</v>
      </c>
      <c r="M480">
        <v>519954</v>
      </c>
    </row>
    <row r="481" spans="1:13">
      <c r="A481">
        <v>517</v>
      </c>
      <c r="B481" s="331">
        <v>46162.85833333333</v>
      </c>
      <c r="C481" t="s">
        <v>22</v>
      </c>
      <c r="D481" t="s">
        <v>22</v>
      </c>
      <c r="E481" t="s">
        <v>4</v>
      </c>
      <c r="F481">
        <v>2851485</v>
      </c>
      <c r="G481">
        <v>36485</v>
      </c>
      <c r="H481">
        <v>374</v>
      </c>
      <c r="I481">
        <v>2888344</v>
      </c>
      <c r="J481">
        <v>63477</v>
      </c>
      <c r="K481">
        <v>643</v>
      </c>
      <c r="L481">
        <v>1621828</v>
      </c>
      <c r="M481">
        <v>1685948</v>
      </c>
    </row>
    <row r="482" spans="1:13">
      <c r="A482">
        <v>518</v>
      </c>
      <c r="B482" s="331">
        <v>46162.85833333333</v>
      </c>
      <c r="C482" t="s">
        <v>35</v>
      </c>
      <c r="D482" t="s">
        <v>35</v>
      </c>
      <c r="E482" t="s">
        <v>4</v>
      </c>
      <c r="F482">
        <v>3930276</v>
      </c>
      <c r="G482">
        <v>27956</v>
      </c>
      <c r="H482">
        <v>17</v>
      </c>
      <c r="I482">
        <v>3958249</v>
      </c>
      <c r="J482">
        <v>55864</v>
      </c>
      <c r="K482">
        <v>87</v>
      </c>
      <c r="L482">
        <v>2334962</v>
      </c>
      <c r="M482">
        <v>2390913</v>
      </c>
    </row>
    <row r="483" spans="1:13">
      <c r="A483">
        <v>520</v>
      </c>
      <c r="B483" s="331">
        <v>46162.85833333333</v>
      </c>
      <c r="C483" t="s">
        <v>16</v>
      </c>
      <c r="D483" t="s">
        <v>16</v>
      </c>
      <c r="E483" t="s">
        <v>4</v>
      </c>
      <c r="F483">
        <v>3295304</v>
      </c>
      <c r="G483">
        <v>43867</v>
      </c>
      <c r="H483">
        <v>501</v>
      </c>
      <c r="I483">
        <v>3339672</v>
      </c>
      <c r="J483">
        <v>106987</v>
      </c>
      <c r="K483">
        <v>991</v>
      </c>
      <c r="L483">
        <v>1910361</v>
      </c>
      <c r="M483">
        <v>2018339</v>
      </c>
    </row>
    <row r="484" spans="1:13">
      <c r="A484">
        <v>521</v>
      </c>
      <c r="B484" s="331">
        <v>46162.85833333333</v>
      </c>
      <c r="C484" t="s">
        <v>1068</v>
      </c>
      <c r="D484" t="s">
        <v>1068</v>
      </c>
      <c r="E484" t="s">
        <v>4</v>
      </c>
      <c r="F484">
        <v>614788</v>
      </c>
      <c r="G484">
        <v>10590</v>
      </c>
      <c r="H484">
        <v>0</v>
      </c>
      <c r="I484">
        <v>625378</v>
      </c>
      <c r="J484">
        <v>21687</v>
      </c>
      <c r="K484">
        <v>0</v>
      </c>
      <c r="L484">
        <v>373181</v>
      </c>
      <c r="M484">
        <v>394868</v>
      </c>
    </row>
    <row r="485" spans="1:13">
      <c r="A485">
        <v>522</v>
      </c>
      <c r="B485" s="331">
        <v>46162.85833333333</v>
      </c>
      <c r="C485" t="s">
        <v>336</v>
      </c>
      <c r="D485" t="s">
        <v>336</v>
      </c>
      <c r="E485" t="s">
        <v>4</v>
      </c>
      <c r="F485">
        <v>724936</v>
      </c>
      <c r="G485">
        <v>3659</v>
      </c>
      <c r="H485">
        <v>0</v>
      </c>
      <c r="I485">
        <v>728595</v>
      </c>
      <c r="J485">
        <v>5191</v>
      </c>
      <c r="K485">
        <v>0</v>
      </c>
      <c r="L485">
        <v>430290</v>
      </c>
      <c r="M485">
        <v>435481</v>
      </c>
    </row>
    <row r="486" spans="1:13">
      <c r="A486">
        <v>523</v>
      </c>
      <c r="B486" s="331">
        <v>46162.85833333333</v>
      </c>
      <c r="C486" t="s">
        <v>107</v>
      </c>
      <c r="D486" t="s">
        <v>107</v>
      </c>
      <c r="E486" t="s">
        <v>4</v>
      </c>
      <c r="F486">
        <v>4496027</v>
      </c>
      <c r="G486">
        <v>50683</v>
      </c>
      <c r="H486">
        <v>611</v>
      </c>
      <c r="I486">
        <v>4547321</v>
      </c>
      <c r="J486">
        <v>96973</v>
      </c>
      <c r="K486">
        <v>1089</v>
      </c>
      <c r="L486">
        <v>2591120</v>
      </c>
      <c r="M486">
        <v>2689182</v>
      </c>
    </row>
    <row r="487" spans="1:13">
      <c r="A487">
        <v>524</v>
      </c>
      <c r="B487" s="331">
        <v>46162.85833333333</v>
      </c>
      <c r="C487" t="s">
        <v>31</v>
      </c>
      <c r="D487" t="s">
        <v>31</v>
      </c>
      <c r="E487" t="s">
        <v>4</v>
      </c>
      <c r="F487">
        <v>2909373</v>
      </c>
      <c r="G487">
        <v>23932</v>
      </c>
      <c r="H487">
        <v>27</v>
      </c>
      <c r="I487">
        <v>2933332</v>
      </c>
      <c r="J487">
        <v>71528</v>
      </c>
      <c r="K487">
        <v>92</v>
      </c>
      <c r="L487">
        <v>1654017</v>
      </c>
      <c r="M487">
        <v>1725637</v>
      </c>
    </row>
    <row r="488" spans="1:13">
      <c r="A488">
        <v>525</v>
      </c>
      <c r="B488" s="331">
        <v>46162.85833333333</v>
      </c>
      <c r="C488" t="s">
        <v>26</v>
      </c>
      <c r="D488" t="s">
        <v>26</v>
      </c>
      <c r="E488" t="s">
        <v>4</v>
      </c>
      <c r="F488">
        <v>1900213</v>
      </c>
      <c r="G488">
        <v>25177</v>
      </c>
      <c r="H488">
        <v>188</v>
      </c>
      <c r="I488">
        <v>1925578</v>
      </c>
      <c r="J488">
        <v>55461</v>
      </c>
      <c r="K488">
        <v>284</v>
      </c>
      <c r="L488">
        <v>1141448</v>
      </c>
      <c r="M488">
        <v>1197193</v>
      </c>
    </row>
    <row r="489" spans="1:13">
      <c r="A489">
        <v>526</v>
      </c>
      <c r="B489" s="331">
        <v>46162.85833333333</v>
      </c>
      <c r="C489" t="s">
        <v>131</v>
      </c>
      <c r="D489" t="s">
        <v>131</v>
      </c>
      <c r="E489" t="s">
        <v>4</v>
      </c>
      <c r="F489">
        <v>3869191</v>
      </c>
      <c r="G489">
        <v>29400</v>
      </c>
      <c r="H489">
        <v>21</v>
      </c>
      <c r="I489">
        <v>3898612</v>
      </c>
      <c r="J489">
        <v>60234</v>
      </c>
      <c r="K489">
        <v>101</v>
      </c>
      <c r="L489">
        <v>2298606</v>
      </c>
      <c r="M489">
        <v>2358941</v>
      </c>
    </row>
    <row r="490" spans="1:13">
      <c r="A490">
        <v>527</v>
      </c>
      <c r="B490" s="331">
        <v>46162.85833333333</v>
      </c>
      <c r="C490" t="s">
        <v>346</v>
      </c>
      <c r="D490" t="s">
        <v>346</v>
      </c>
      <c r="E490" t="s">
        <v>4</v>
      </c>
      <c r="F490">
        <v>2447625</v>
      </c>
      <c r="G490">
        <v>29976</v>
      </c>
      <c r="H490">
        <v>0</v>
      </c>
      <c r="I490">
        <v>2477601</v>
      </c>
      <c r="J490">
        <v>52437</v>
      </c>
      <c r="K490">
        <v>0</v>
      </c>
      <c r="L490">
        <v>1404332</v>
      </c>
      <c r="M490">
        <v>1456769</v>
      </c>
    </row>
    <row r="491" spans="1:13">
      <c r="A491">
        <v>528</v>
      </c>
      <c r="B491" s="331">
        <v>46162.85833333333</v>
      </c>
      <c r="C491" t="s">
        <v>690</v>
      </c>
      <c r="D491" t="s">
        <v>690</v>
      </c>
      <c r="E491" t="s">
        <v>4</v>
      </c>
      <c r="F491">
        <v>1602012</v>
      </c>
      <c r="G491">
        <v>15278</v>
      </c>
      <c r="H491">
        <v>0</v>
      </c>
      <c r="I491">
        <v>1617290</v>
      </c>
      <c r="J491">
        <v>29676</v>
      </c>
      <c r="K491">
        <v>0</v>
      </c>
      <c r="L491">
        <v>947377</v>
      </c>
      <c r="M491">
        <v>977053</v>
      </c>
    </row>
    <row r="492" spans="1:13">
      <c r="A492">
        <v>530</v>
      </c>
      <c r="B492" s="331">
        <v>46162.85833333333</v>
      </c>
      <c r="C492" t="s">
        <v>1112</v>
      </c>
      <c r="D492" t="s">
        <v>1112</v>
      </c>
      <c r="E492" t="s">
        <v>4</v>
      </c>
      <c r="F492">
        <v>866469</v>
      </c>
      <c r="G492">
        <v>6706</v>
      </c>
      <c r="H492">
        <v>0</v>
      </c>
      <c r="I492">
        <v>873175</v>
      </c>
      <c r="J492">
        <v>13345</v>
      </c>
      <c r="K492">
        <v>0</v>
      </c>
      <c r="L492">
        <v>509972</v>
      </c>
      <c r="M492">
        <v>523317</v>
      </c>
    </row>
    <row r="493" spans="1:13">
      <c r="A493">
        <v>531</v>
      </c>
      <c r="B493" s="331">
        <v>46162.85833333333</v>
      </c>
      <c r="C493" t="s">
        <v>32</v>
      </c>
      <c r="D493" t="s">
        <v>32</v>
      </c>
      <c r="E493" t="s">
        <v>4</v>
      </c>
      <c r="F493">
        <v>3596403</v>
      </c>
      <c r="G493">
        <v>27260</v>
      </c>
      <c r="H493">
        <v>23</v>
      </c>
      <c r="I493">
        <v>3623686</v>
      </c>
      <c r="J493">
        <v>57531</v>
      </c>
      <c r="K493">
        <v>94</v>
      </c>
      <c r="L493">
        <v>2137792</v>
      </c>
      <c r="M493">
        <v>2195417</v>
      </c>
    </row>
    <row r="494" spans="1:13">
      <c r="A494">
        <v>532</v>
      </c>
      <c r="B494" s="331">
        <v>46162.85833333333</v>
      </c>
      <c r="C494" t="s">
        <v>689</v>
      </c>
      <c r="D494" t="s">
        <v>689</v>
      </c>
      <c r="E494" t="s">
        <v>4</v>
      </c>
      <c r="F494">
        <v>1922045</v>
      </c>
      <c r="G494">
        <v>16920</v>
      </c>
      <c r="H494">
        <v>0</v>
      </c>
      <c r="I494">
        <v>1938965</v>
      </c>
      <c r="J494">
        <v>31240</v>
      </c>
      <c r="K494">
        <v>0</v>
      </c>
      <c r="L494">
        <v>1124785</v>
      </c>
      <c r="M494">
        <v>1156025</v>
      </c>
    </row>
    <row r="495" spans="1:13">
      <c r="A495">
        <v>533</v>
      </c>
      <c r="B495" s="331">
        <v>46162.85833333333</v>
      </c>
      <c r="C495" t="s">
        <v>691</v>
      </c>
      <c r="D495" t="s">
        <v>691</v>
      </c>
      <c r="E495" t="s">
        <v>4</v>
      </c>
      <c r="F495">
        <v>1599048</v>
      </c>
      <c r="G495">
        <v>15357</v>
      </c>
      <c r="H495">
        <v>0</v>
      </c>
      <c r="I495">
        <v>1614405</v>
      </c>
      <c r="J495">
        <v>29682</v>
      </c>
      <c r="K495">
        <v>0</v>
      </c>
      <c r="L495">
        <v>945164</v>
      </c>
      <c r="M495">
        <v>974846</v>
      </c>
    </row>
    <row r="496" spans="1:13">
      <c r="A496">
        <v>534</v>
      </c>
      <c r="B496" s="331">
        <v>46162.85833333333</v>
      </c>
      <c r="C496" t="s">
        <v>108</v>
      </c>
      <c r="D496" t="s">
        <v>108</v>
      </c>
      <c r="E496" t="s">
        <v>4</v>
      </c>
      <c r="F496">
        <v>4460477</v>
      </c>
      <c r="G496">
        <v>49343</v>
      </c>
      <c r="H496">
        <v>655</v>
      </c>
      <c r="I496">
        <v>4510475</v>
      </c>
      <c r="J496">
        <v>95037</v>
      </c>
      <c r="K496">
        <v>1179</v>
      </c>
      <c r="L496">
        <v>2571444</v>
      </c>
      <c r="M496">
        <v>2667660</v>
      </c>
    </row>
    <row r="497" spans="1:13">
      <c r="A497">
        <v>535</v>
      </c>
      <c r="B497" s="331">
        <v>46162.85833333333</v>
      </c>
      <c r="C497" t="s">
        <v>29</v>
      </c>
      <c r="D497" t="s">
        <v>29</v>
      </c>
      <c r="E497" t="s">
        <v>4</v>
      </c>
      <c r="F497">
        <v>2272400</v>
      </c>
      <c r="G497">
        <v>24002</v>
      </c>
      <c r="H497">
        <v>21</v>
      </c>
      <c r="I497">
        <v>2296423</v>
      </c>
      <c r="J497">
        <v>77786</v>
      </c>
      <c r="K497">
        <v>104</v>
      </c>
      <c r="L497">
        <v>1363529</v>
      </c>
      <c r="M497">
        <v>1441419</v>
      </c>
    </row>
    <row r="498" spans="1:13">
      <c r="A498">
        <v>536</v>
      </c>
      <c r="B498" s="331">
        <v>46162.85833333333</v>
      </c>
      <c r="C498" t="s">
        <v>132</v>
      </c>
      <c r="D498" t="s">
        <v>132</v>
      </c>
      <c r="E498" t="s">
        <v>4</v>
      </c>
      <c r="F498">
        <v>3872066</v>
      </c>
      <c r="G498">
        <v>28944</v>
      </c>
      <c r="H498">
        <v>20</v>
      </c>
      <c r="I498">
        <v>3901030</v>
      </c>
      <c r="J498">
        <v>59094</v>
      </c>
      <c r="K498">
        <v>84</v>
      </c>
      <c r="L498">
        <v>2298098</v>
      </c>
      <c r="M498">
        <v>2357276</v>
      </c>
    </row>
    <row r="499" spans="1:13">
      <c r="A499">
        <v>537</v>
      </c>
      <c r="B499" s="331">
        <v>46162.85833333333</v>
      </c>
      <c r="C499" t="s">
        <v>33</v>
      </c>
      <c r="D499" t="s">
        <v>33</v>
      </c>
      <c r="E499" t="s">
        <v>4</v>
      </c>
      <c r="F499">
        <v>3682957</v>
      </c>
      <c r="G499">
        <v>27247</v>
      </c>
      <c r="H499">
        <v>24</v>
      </c>
      <c r="I499">
        <v>3710228</v>
      </c>
      <c r="J499">
        <v>53084</v>
      </c>
      <c r="K499">
        <v>114</v>
      </c>
      <c r="L499">
        <v>2191871</v>
      </c>
      <c r="M499">
        <v>2245069</v>
      </c>
    </row>
    <row r="500" spans="1:13">
      <c r="A500">
        <v>538</v>
      </c>
      <c r="B500" s="331">
        <v>46162.85833333333</v>
      </c>
      <c r="C500" t="s">
        <v>1067</v>
      </c>
      <c r="D500" t="s">
        <v>1067</v>
      </c>
      <c r="E500" t="s">
        <v>4</v>
      </c>
      <c r="F500">
        <v>613634</v>
      </c>
      <c r="G500">
        <v>10545</v>
      </c>
      <c r="H500">
        <v>0</v>
      </c>
      <c r="I500">
        <v>624179</v>
      </c>
      <c r="J500">
        <v>21589</v>
      </c>
      <c r="K500">
        <v>0</v>
      </c>
      <c r="L500">
        <v>372664</v>
      </c>
      <c r="M500">
        <v>394253</v>
      </c>
    </row>
    <row r="501" spans="1:13">
      <c r="A501">
        <v>539</v>
      </c>
      <c r="B501" s="331">
        <v>46162.857638888891</v>
      </c>
      <c r="C501" t="s">
        <v>582</v>
      </c>
      <c r="D501" t="s">
        <v>582</v>
      </c>
      <c r="E501" t="s">
        <v>372</v>
      </c>
      <c r="L501">
        <v>521711</v>
      </c>
      <c r="M501">
        <v>521711</v>
      </c>
    </row>
    <row r="502" spans="1:13">
      <c r="A502">
        <v>540</v>
      </c>
      <c r="B502" s="331">
        <v>46162.857638888891</v>
      </c>
      <c r="C502" t="s">
        <v>348</v>
      </c>
      <c r="D502" t="s">
        <v>348</v>
      </c>
      <c r="E502" t="s">
        <v>372</v>
      </c>
      <c r="L502">
        <v>616007</v>
      </c>
      <c r="M502">
        <v>616007</v>
      </c>
    </row>
    <row r="503" spans="1:13">
      <c r="A503">
        <v>541</v>
      </c>
      <c r="B503" s="331">
        <v>46162.857638888891</v>
      </c>
      <c r="C503" t="s">
        <v>1080</v>
      </c>
      <c r="D503" t="s">
        <v>1080</v>
      </c>
      <c r="E503" t="s">
        <v>372</v>
      </c>
      <c r="L503">
        <v>681143</v>
      </c>
      <c r="M503">
        <v>681143</v>
      </c>
    </row>
    <row r="504" spans="1:13">
      <c r="A504">
        <v>542</v>
      </c>
      <c r="B504" s="331">
        <v>46162.857638888891</v>
      </c>
      <c r="C504" t="s">
        <v>580</v>
      </c>
      <c r="D504" t="s">
        <v>580</v>
      </c>
      <c r="E504" t="s">
        <v>372</v>
      </c>
      <c r="L504">
        <v>551501</v>
      </c>
      <c r="M504">
        <v>551501</v>
      </c>
    </row>
    <row r="505" spans="1:13">
      <c r="A505">
        <v>543</v>
      </c>
      <c r="B505" s="331">
        <v>46162.857638888891</v>
      </c>
      <c r="C505" t="s">
        <v>895</v>
      </c>
      <c r="D505" t="s">
        <v>895</v>
      </c>
      <c r="E505" t="s">
        <v>372</v>
      </c>
      <c r="L505">
        <v>776870</v>
      </c>
      <c r="M505">
        <v>776870</v>
      </c>
    </row>
    <row r="506" spans="1:13">
      <c r="A506">
        <v>544</v>
      </c>
      <c r="B506" s="331">
        <v>46162.857638888891</v>
      </c>
      <c r="C506" t="s">
        <v>349</v>
      </c>
      <c r="D506" t="s">
        <v>349</v>
      </c>
      <c r="E506" t="s">
        <v>372</v>
      </c>
      <c r="L506">
        <v>601309</v>
      </c>
      <c r="M506">
        <v>601309</v>
      </c>
    </row>
    <row r="507" spans="1:13">
      <c r="A507">
        <v>545</v>
      </c>
      <c r="B507" s="331">
        <v>46162.857638888891</v>
      </c>
      <c r="C507" t="s">
        <v>893</v>
      </c>
      <c r="D507" t="s">
        <v>893</v>
      </c>
      <c r="E507" t="s">
        <v>372</v>
      </c>
      <c r="L507">
        <v>784676</v>
      </c>
      <c r="M507">
        <v>784676</v>
      </c>
    </row>
    <row r="508" spans="1:13">
      <c r="A508">
        <v>546</v>
      </c>
      <c r="B508" s="331">
        <v>46162.857638888891</v>
      </c>
      <c r="C508" t="s">
        <v>583</v>
      </c>
      <c r="D508" t="s">
        <v>583</v>
      </c>
      <c r="E508" t="s">
        <v>372</v>
      </c>
      <c r="L508">
        <v>522138</v>
      </c>
      <c r="M508">
        <v>522138</v>
      </c>
    </row>
    <row r="509" spans="1:13">
      <c r="A509">
        <v>547</v>
      </c>
      <c r="B509" s="331">
        <v>46162.857638888891</v>
      </c>
      <c r="C509" t="s">
        <v>896</v>
      </c>
      <c r="D509" t="s">
        <v>896</v>
      </c>
      <c r="E509" t="s">
        <v>372</v>
      </c>
      <c r="L509">
        <v>775625</v>
      </c>
      <c r="M509">
        <v>775625</v>
      </c>
    </row>
    <row r="510" spans="1:13">
      <c r="A510">
        <v>548</v>
      </c>
      <c r="B510" s="331">
        <v>46162.857638888891</v>
      </c>
      <c r="C510" t="s">
        <v>1125</v>
      </c>
      <c r="D510" t="s">
        <v>1125</v>
      </c>
      <c r="E510" t="s">
        <v>372</v>
      </c>
      <c r="L510">
        <v>631602</v>
      </c>
      <c r="M510">
        <v>631602</v>
      </c>
    </row>
    <row r="511" spans="1:13">
      <c r="A511">
        <v>549</v>
      </c>
      <c r="B511" s="331">
        <v>46162.857638888891</v>
      </c>
      <c r="C511" t="s">
        <v>1081</v>
      </c>
      <c r="D511" t="s">
        <v>1081</v>
      </c>
      <c r="E511" t="s">
        <v>372</v>
      </c>
      <c r="L511">
        <v>644744</v>
      </c>
      <c r="M511">
        <v>644744</v>
      </c>
    </row>
    <row r="512" spans="1:13">
      <c r="A512">
        <v>550</v>
      </c>
      <c r="B512" s="331">
        <v>46162.857638888891</v>
      </c>
      <c r="C512" t="s">
        <v>894</v>
      </c>
      <c r="D512" t="s">
        <v>894</v>
      </c>
      <c r="E512" t="s">
        <v>372</v>
      </c>
      <c r="L512">
        <v>775733</v>
      </c>
      <c r="M512">
        <v>775733</v>
      </c>
    </row>
    <row r="513" spans="1:13">
      <c r="A513">
        <v>551</v>
      </c>
      <c r="B513" s="331">
        <v>46162.857638888891</v>
      </c>
      <c r="C513" t="s">
        <v>581</v>
      </c>
      <c r="D513" t="s">
        <v>581</v>
      </c>
      <c r="E513" t="s">
        <v>372</v>
      </c>
      <c r="L513">
        <v>518836</v>
      </c>
      <c r="M513">
        <v>518836</v>
      </c>
    </row>
    <row r="514" spans="1:13">
      <c r="A514">
        <v>552</v>
      </c>
      <c r="B514" s="331">
        <v>46162.857638888891</v>
      </c>
      <c r="C514" t="s">
        <v>350</v>
      </c>
      <c r="D514" t="s">
        <v>350</v>
      </c>
      <c r="E514" t="s">
        <v>372</v>
      </c>
      <c r="L514">
        <v>610560</v>
      </c>
      <c r="M514">
        <v>610560</v>
      </c>
    </row>
    <row r="515" spans="1:13">
      <c r="A515">
        <v>553</v>
      </c>
      <c r="B515" s="331">
        <v>46162.856944444444</v>
      </c>
      <c r="C515" t="s">
        <v>26</v>
      </c>
      <c r="D515" t="s">
        <v>26</v>
      </c>
      <c r="E515" t="s">
        <v>4</v>
      </c>
      <c r="F515">
        <v>1900484</v>
      </c>
      <c r="G515">
        <v>25095</v>
      </c>
      <c r="H515">
        <v>185</v>
      </c>
      <c r="I515">
        <v>1925764</v>
      </c>
      <c r="J515">
        <v>55374</v>
      </c>
      <c r="K515">
        <v>279</v>
      </c>
      <c r="L515">
        <v>1141510</v>
      </c>
      <c r="M515">
        <v>1197163</v>
      </c>
    </row>
    <row r="516" spans="1:13">
      <c r="A516">
        <v>554</v>
      </c>
      <c r="B516" s="331">
        <v>46162.856944444444</v>
      </c>
      <c r="C516" t="s">
        <v>1067</v>
      </c>
      <c r="D516" t="s">
        <v>1067</v>
      </c>
      <c r="E516" t="s">
        <v>4</v>
      </c>
      <c r="F516">
        <v>613826</v>
      </c>
      <c r="G516">
        <v>10552</v>
      </c>
      <c r="H516">
        <v>0</v>
      </c>
      <c r="I516">
        <v>624378</v>
      </c>
      <c r="J516">
        <v>21571</v>
      </c>
      <c r="K516">
        <v>0</v>
      </c>
      <c r="L516">
        <v>372741</v>
      </c>
      <c r="M516">
        <v>394312</v>
      </c>
    </row>
    <row r="517" spans="1:13">
      <c r="A517">
        <v>555</v>
      </c>
      <c r="B517" s="331">
        <v>46162.856944444444</v>
      </c>
      <c r="C517" t="s">
        <v>17</v>
      </c>
      <c r="D517" t="s">
        <v>17</v>
      </c>
      <c r="E517" t="s">
        <v>4</v>
      </c>
      <c r="F517">
        <v>3687386</v>
      </c>
      <c r="G517">
        <v>46896</v>
      </c>
      <c r="H517">
        <v>513</v>
      </c>
      <c r="I517">
        <v>3734795</v>
      </c>
      <c r="J517">
        <v>108846</v>
      </c>
      <c r="K517">
        <v>984</v>
      </c>
      <c r="L517">
        <v>2117745</v>
      </c>
      <c r="M517">
        <v>2227575</v>
      </c>
    </row>
    <row r="518" spans="1:13">
      <c r="A518">
        <v>556</v>
      </c>
      <c r="B518" s="331">
        <v>46162.856944444444</v>
      </c>
      <c r="C518" t="s">
        <v>29</v>
      </c>
      <c r="D518" t="s">
        <v>29</v>
      </c>
      <c r="E518" t="s">
        <v>4</v>
      </c>
      <c r="F518">
        <v>2272869</v>
      </c>
      <c r="G518">
        <v>23902</v>
      </c>
      <c r="H518">
        <v>20</v>
      </c>
      <c r="I518">
        <v>2296791</v>
      </c>
      <c r="J518">
        <v>77687</v>
      </c>
      <c r="K518">
        <v>104</v>
      </c>
      <c r="L518">
        <v>1363721</v>
      </c>
      <c r="M518">
        <v>1441512</v>
      </c>
    </row>
    <row r="519" spans="1:13">
      <c r="A519">
        <v>557</v>
      </c>
      <c r="B519" s="331">
        <v>46162.856944444444</v>
      </c>
      <c r="C519" t="s">
        <v>24</v>
      </c>
      <c r="D519" t="s">
        <v>24</v>
      </c>
      <c r="E519" t="s">
        <v>4</v>
      </c>
      <c r="F519">
        <v>1880036</v>
      </c>
      <c r="G519">
        <v>27930</v>
      </c>
      <c r="H519">
        <v>159</v>
      </c>
      <c r="I519">
        <v>1908125</v>
      </c>
      <c r="J519">
        <v>56695</v>
      </c>
      <c r="K519">
        <v>229</v>
      </c>
      <c r="L519">
        <v>1123752</v>
      </c>
      <c r="M519">
        <v>1180676</v>
      </c>
    </row>
    <row r="520" spans="1:13">
      <c r="A520">
        <v>558</v>
      </c>
      <c r="B520" s="331">
        <v>46162.856944444444</v>
      </c>
      <c r="C520" t="s">
        <v>107</v>
      </c>
      <c r="D520" t="s">
        <v>107</v>
      </c>
      <c r="E520" t="s">
        <v>4</v>
      </c>
      <c r="F520">
        <v>4496002</v>
      </c>
      <c r="G520">
        <v>50512</v>
      </c>
      <c r="H520">
        <v>625</v>
      </c>
      <c r="I520">
        <v>4547139</v>
      </c>
      <c r="J520">
        <v>96715</v>
      </c>
      <c r="K520">
        <v>1106</v>
      </c>
      <c r="L520">
        <v>2591268</v>
      </c>
      <c r="M520">
        <v>2689089</v>
      </c>
    </row>
    <row r="521" spans="1:13">
      <c r="A521">
        <v>559</v>
      </c>
      <c r="B521" s="331">
        <v>46162.856944444444</v>
      </c>
      <c r="C521" t="s">
        <v>22</v>
      </c>
      <c r="D521" t="s">
        <v>22</v>
      </c>
      <c r="E521" t="s">
        <v>4</v>
      </c>
      <c r="F521">
        <v>2851742</v>
      </c>
      <c r="G521">
        <v>36436</v>
      </c>
      <c r="H521">
        <v>374</v>
      </c>
      <c r="I521">
        <v>2888552</v>
      </c>
      <c r="J521">
        <v>63416</v>
      </c>
      <c r="K521">
        <v>656</v>
      </c>
      <c r="L521">
        <v>1622055</v>
      </c>
      <c r="M521">
        <v>1686127</v>
      </c>
    </row>
    <row r="522" spans="1:13">
      <c r="A522">
        <v>560</v>
      </c>
      <c r="B522" s="331">
        <v>46162.856944444444</v>
      </c>
      <c r="C522" t="s">
        <v>31</v>
      </c>
      <c r="D522" t="s">
        <v>31</v>
      </c>
      <c r="E522" t="s">
        <v>4</v>
      </c>
      <c r="F522">
        <v>2909797</v>
      </c>
      <c r="G522">
        <v>23859</v>
      </c>
      <c r="H522">
        <v>28</v>
      </c>
      <c r="I522">
        <v>2933684</v>
      </c>
      <c r="J522">
        <v>71449</v>
      </c>
      <c r="K522">
        <v>92</v>
      </c>
      <c r="L522">
        <v>1654183</v>
      </c>
      <c r="M522">
        <v>1725724</v>
      </c>
    </row>
    <row r="523" spans="1:13">
      <c r="A523">
        <v>561</v>
      </c>
      <c r="B523" s="331">
        <v>46162.856944444444</v>
      </c>
      <c r="C523" t="s">
        <v>1133</v>
      </c>
      <c r="D523" t="s">
        <v>1133</v>
      </c>
      <c r="E523" t="s">
        <v>4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</row>
    <row r="524" spans="1:13">
      <c r="A524">
        <v>562</v>
      </c>
      <c r="B524" s="331">
        <v>46162.856944444444</v>
      </c>
      <c r="C524" t="s">
        <v>18</v>
      </c>
      <c r="D524" t="s">
        <v>18</v>
      </c>
      <c r="E524" t="s">
        <v>4</v>
      </c>
      <c r="F524">
        <v>5725909</v>
      </c>
      <c r="G524">
        <v>61107</v>
      </c>
      <c r="H524">
        <v>719</v>
      </c>
      <c r="I524">
        <v>5787735</v>
      </c>
      <c r="J524">
        <v>125742</v>
      </c>
      <c r="K524">
        <v>1344</v>
      </c>
      <c r="L524">
        <v>3306388</v>
      </c>
      <c r="M524">
        <v>3433474</v>
      </c>
    </row>
    <row r="525" spans="1:13">
      <c r="A525">
        <v>563</v>
      </c>
      <c r="B525" s="331">
        <v>46162.856944444444</v>
      </c>
      <c r="C525" t="s">
        <v>1111</v>
      </c>
      <c r="D525" t="s">
        <v>1111</v>
      </c>
      <c r="E525" t="s">
        <v>4</v>
      </c>
      <c r="F525">
        <v>860825</v>
      </c>
      <c r="G525">
        <v>6727</v>
      </c>
      <c r="H525">
        <v>0</v>
      </c>
      <c r="I525">
        <v>867552</v>
      </c>
      <c r="J525">
        <v>13255</v>
      </c>
      <c r="K525">
        <v>0</v>
      </c>
      <c r="L525">
        <v>506712</v>
      </c>
      <c r="M525">
        <v>519967</v>
      </c>
    </row>
    <row r="526" spans="1:13">
      <c r="A526">
        <v>564</v>
      </c>
      <c r="B526" s="331">
        <v>46162.856944444444</v>
      </c>
      <c r="C526" t="s">
        <v>131</v>
      </c>
      <c r="D526" t="s">
        <v>131</v>
      </c>
      <c r="E526" t="s">
        <v>4</v>
      </c>
      <c r="F526">
        <v>3869852</v>
      </c>
      <c r="G526">
        <v>29403</v>
      </c>
      <c r="H526">
        <v>20</v>
      </c>
      <c r="I526">
        <v>3899275</v>
      </c>
      <c r="J526">
        <v>60169</v>
      </c>
      <c r="K526">
        <v>100</v>
      </c>
      <c r="L526">
        <v>2298842</v>
      </c>
      <c r="M526">
        <v>2359111</v>
      </c>
    </row>
    <row r="527" spans="1:13">
      <c r="A527">
        <v>565</v>
      </c>
      <c r="B527" s="331">
        <v>46162.856944444444</v>
      </c>
      <c r="C527" t="s">
        <v>35</v>
      </c>
      <c r="D527" t="s">
        <v>35</v>
      </c>
      <c r="E527" t="s">
        <v>4</v>
      </c>
      <c r="F527">
        <v>3931224</v>
      </c>
      <c r="G527">
        <v>27626</v>
      </c>
      <c r="H527">
        <v>14</v>
      </c>
      <c r="I527">
        <v>3958864</v>
      </c>
      <c r="J527">
        <v>55534</v>
      </c>
      <c r="K527">
        <v>86</v>
      </c>
      <c r="L527">
        <v>2335343</v>
      </c>
      <c r="M527">
        <v>2390963</v>
      </c>
    </row>
    <row r="528" spans="1:13">
      <c r="A528">
        <v>566</v>
      </c>
      <c r="B528" s="331">
        <v>46162.856944444444</v>
      </c>
      <c r="C528" t="s">
        <v>20</v>
      </c>
      <c r="D528" t="s">
        <v>20</v>
      </c>
      <c r="E528" t="s">
        <v>4</v>
      </c>
      <c r="F528">
        <v>6091169</v>
      </c>
      <c r="G528">
        <v>61658</v>
      </c>
      <c r="H528">
        <v>758</v>
      </c>
      <c r="I528">
        <v>6153585</v>
      </c>
      <c r="J528">
        <v>122072</v>
      </c>
      <c r="K528">
        <v>1342</v>
      </c>
      <c r="L528">
        <v>3471307</v>
      </c>
      <c r="M528">
        <v>3594721</v>
      </c>
    </row>
    <row r="529" spans="1:13">
      <c r="A529">
        <v>567</v>
      </c>
      <c r="B529" s="331">
        <v>46162.856944444444</v>
      </c>
      <c r="C529" t="s">
        <v>106</v>
      </c>
      <c r="D529" t="s">
        <v>106</v>
      </c>
      <c r="E529" t="s">
        <v>4</v>
      </c>
      <c r="F529">
        <v>2975957</v>
      </c>
      <c r="G529">
        <v>39440</v>
      </c>
      <c r="H529">
        <v>503</v>
      </c>
      <c r="I529">
        <v>3015900</v>
      </c>
      <c r="J529">
        <v>69563</v>
      </c>
      <c r="K529">
        <v>902</v>
      </c>
      <c r="L529">
        <v>1691292</v>
      </c>
      <c r="M529">
        <v>1761757</v>
      </c>
    </row>
    <row r="530" spans="1:13">
      <c r="A530">
        <v>569</v>
      </c>
      <c r="B530" s="331">
        <v>46162.856944444444</v>
      </c>
      <c r="C530" t="s">
        <v>689</v>
      </c>
      <c r="D530" t="s">
        <v>689</v>
      </c>
      <c r="E530" t="s">
        <v>4</v>
      </c>
      <c r="F530">
        <v>1922167</v>
      </c>
      <c r="G530">
        <v>16943</v>
      </c>
      <c r="H530">
        <v>0</v>
      </c>
      <c r="I530">
        <v>1939110</v>
      </c>
      <c r="J530">
        <v>31205</v>
      </c>
      <c r="K530">
        <v>0</v>
      </c>
      <c r="L530">
        <v>1124870</v>
      </c>
      <c r="M530">
        <v>1156075</v>
      </c>
    </row>
    <row r="531" spans="1:13">
      <c r="A531">
        <v>570</v>
      </c>
      <c r="B531" s="331">
        <v>46162.856944444444</v>
      </c>
      <c r="C531" t="s">
        <v>32</v>
      </c>
      <c r="D531" t="s">
        <v>32</v>
      </c>
      <c r="E531" t="s">
        <v>4</v>
      </c>
      <c r="F531">
        <v>3597014</v>
      </c>
      <c r="G531">
        <v>27113</v>
      </c>
      <c r="H531">
        <v>22</v>
      </c>
      <c r="I531">
        <v>3624149</v>
      </c>
      <c r="J531">
        <v>57385</v>
      </c>
      <c r="K531">
        <v>94</v>
      </c>
      <c r="L531">
        <v>2137967</v>
      </c>
      <c r="M531">
        <v>2195446</v>
      </c>
    </row>
    <row r="532" spans="1:13">
      <c r="A532">
        <v>571</v>
      </c>
      <c r="B532" s="331">
        <v>46162.856944444444</v>
      </c>
      <c r="C532" t="s">
        <v>345</v>
      </c>
      <c r="D532" t="s">
        <v>345</v>
      </c>
      <c r="E532" t="s">
        <v>4</v>
      </c>
      <c r="F532">
        <v>2018791</v>
      </c>
      <c r="G532">
        <v>27489</v>
      </c>
      <c r="H532">
        <v>0</v>
      </c>
      <c r="I532">
        <v>2046280</v>
      </c>
      <c r="J532">
        <v>45650</v>
      </c>
      <c r="K532">
        <v>0</v>
      </c>
      <c r="L532">
        <v>1141007</v>
      </c>
      <c r="M532">
        <v>1186657</v>
      </c>
    </row>
    <row r="533" spans="1:13">
      <c r="A533">
        <v>572</v>
      </c>
      <c r="B533" s="331">
        <v>46162.856944444444</v>
      </c>
      <c r="C533" t="s">
        <v>21</v>
      </c>
      <c r="D533" t="s">
        <v>21</v>
      </c>
      <c r="E533" t="s">
        <v>4</v>
      </c>
      <c r="F533">
        <v>5704866</v>
      </c>
      <c r="G533">
        <v>56898</v>
      </c>
      <c r="H533">
        <v>644</v>
      </c>
      <c r="I533">
        <v>5762408</v>
      </c>
      <c r="J533">
        <v>106485</v>
      </c>
      <c r="K533">
        <v>1190</v>
      </c>
      <c r="L533">
        <v>3288009</v>
      </c>
      <c r="M533">
        <v>3395684</v>
      </c>
    </row>
    <row r="534" spans="1:13">
      <c r="A534">
        <v>574</v>
      </c>
      <c r="B534" s="331">
        <v>46162.856944444444</v>
      </c>
      <c r="C534" t="s">
        <v>27</v>
      </c>
      <c r="D534" t="s">
        <v>27</v>
      </c>
      <c r="E534" t="s">
        <v>4</v>
      </c>
      <c r="F534">
        <v>1815725</v>
      </c>
      <c r="G534">
        <v>25327</v>
      </c>
      <c r="H534">
        <v>159</v>
      </c>
      <c r="I534">
        <v>1841211</v>
      </c>
      <c r="J534">
        <v>52559</v>
      </c>
      <c r="K534">
        <v>270</v>
      </c>
      <c r="L534">
        <v>1087595</v>
      </c>
      <c r="M534">
        <v>1140424</v>
      </c>
    </row>
    <row r="535" spans="1:13">
      <c r="A535">
        <v>575</v>
      </c>
      <c r="B535" s="331">
        <v>46162.856944444444</v>
      </c>
      <c r="C535" t="s">
        <v>336</v>
      </c>
      <c r="D535" t="s">
        <v>336</v>
      </c>
      <c r="E535" t="s">
        <v>4</v>
      </c>
      <c r="F535">
        <v>725090</v>
      </c>
      <c r="G535">
        <v>3655</v>
      </c>
      <c r="H535">
        <v>0</v>
      </c>
      <c r="I535">
        <v>728745</v>
      </c>
      <c r="J535">
        <v>5180</v>
      </c>
      <c r="K535">
        <v>0</v>
      </c>
      <c r="L535">
        <v>430388</v>
      </c>
      <c r="M535">
        <v>435568</v>
      </c>
    </row>
    <row r="536" spans="1:13">
      <c r="A536">
        <v>576</v>
      </c>
      <c r="B536" s="331">
        <v>46162.856944444444</v>
      </c>
      <c r="C536" t="s">
        <v>16</v>
      </c>
      <c r="D536" t="s">
        <v>16</v>
      </c>
      <c r="E536" t="s">
        <v>4</v>
      </c>
      <c r="F536">
        <v>3295364</v>
      </c>
      <c r="G536">
        <v>43871</v>
      </c>
      <c r="H536">
        <v>493</v>
      </c>
      <c r="I536">
        <v>3339728</v>
      </c>
      <c r="J536">
        <v>107050</v>
      </c>
      <c r="K536">
        <v>989</v>
      </c>
      <c r="L536">
        <v>1910499</v>
      </c>
      <c r="M536">
        <v>2018538</v>
      </c>
    </row>
    <row r="537" spans="1:13">
      <c r="A537">
        <v>577</v>
      </c>
      <c r="B537" s="331">
        <v>46162.856944444444</v>
      </c>
      <c r="C537" t="s">
        <v>132</v>
      </c>
      <c r="D537" t="s">
        <v>132</v>
      </c>
      <c r="E537" t="s">
        <v>4</v>
      </c>
      <c r="F537">
        <v>3872313</v>
      </c>
      <c r="G537">
        <v>29068</v>
      </c>
      <c r="H537">
        <v>21</v>
      </c>
      <c r="I537">
        <v>3901402</v>
      </c>
      <c r="J537">
        <v>59141</v>
      </c>
      <c r="K537">
        <v>85</v>
      </c>
      <c r="L537">
        <v>2298237</v>
      </c>
      <c r="M537">
        <v>2357463</v>
      </c>
    </row>
    <row r="538" spans="1:13">
      <c r="A538">
        <v>578</v>
      </c>
      <c r="B538" s="331">
        <v>46162.856944444444</v>
      </c>
      <c r="C538" t="s">
        <v>19</v>
      </c>
      <c r="D538" t="s">
        <v>19</v>
      </c>
      <c r="E538" t="s">
        <v>4</v>
      </c>
      <c r="F538">
        <v>5460296</v>
      </c>
      <c r="G538">
        <v>58178</v>
      </c>
      <c r="H538">
        <v>656</v>
      </c>
      <c r="I538">
        <v>5519130</v>
      </c>
      <c r="J538">
        <v>115911</v>
      </c>
      <c r="K538">
        <v>1190</v>
      </c>
      <c r="L538">
        <v>3150158</v>
      </c>
      <c r="M538">
        <v>3267259</v>
      </c>
    </row>
    <row r="539" spans="1:13">
      <c r="A539">
        <v>579</v>
      </c>
      <c r="B539" s="331">
        <v>46162.856944444444</v>
      </c>
      <c r="C539" t="s">
        <v>105</v>
      </c>
      <c r="D539" t="s">
        <v>105</v>
      </c>
      <c r="E539" t="s">
        <v>4</v>
      </c>
      <c r="F539">
        <v>2477189</v>
      </c>
      <c r="G539">
        <v>27148</v>
      </c>
      <c r="H539">
        <v>171</v>
      </c>
      <c r="I539">
        <v>2504508</v>
      </c>
      <c r="J539">
        <v>53022</v>
      </c>
      <c r="K539">
        <v>284</v>
      </c>
      <c r="L539">
        <v>1465070</v>
      </c>
      <c r="M539">
        <v>1518376</v>
      </c>
    </row>
    <row r="540" spans="1:13">
      <c r="A540">
        <v>580</v>
      </c>
      <c r="B540" s="331">
        <v>46162.856944444444</v>
      </c>
      <c r="C540" t="s">
        <v>108</v>
      </c>
      <c r="D540" t="s">
        <v>108</v>
      </c>
      <c r="E540" t="s">
        <v>4</v>
      </c>
      <c r="F540">
        <v>4460549</v>
      </c>
      <c r="G540">
        <v>49329</v>
      </c>
      <c r="H540">
        <v>652</v>
      </c>
      <c r="I540">
        <v>4510530</v>
      </c>
      <c r="J540">
        <v>94935</v>
      </c>
      <c r="K540">
        <v>1166</v>
      </c>
      <c r="L540">
        <v>2571555</v>
      </c>
      <c r="M540">
        <v>2667656</v>
      </c>
    </row>
    <row r="541" spans="1:13">
      <c r="A541">
        <v>581</v>
      </c>
      <c r="B541" s="331">
        <v>46162.856944444444</v>
      </c>
      <c r="C541" t="s">
        <v>1112</v>
      </c>
      <c r="D541" t="s">
        <v>1112</v>
      </c>
      <c r="E541" t="s">
        <v>4</v>
      </c>
      <c r="F541">
        <v>866562</v>
      </c>
      <c r="G541">
        <v>6753</v>
      </c>
      <c r="H541">
        <v>0</v>
      </c>
      <c r="I541">
        <v>873315</v>
      </c>
      <c r="J541">
        <v>13360</v>
      </c>
      <c r="K541">
        <v>0</v>
      </c>
      <c r="L541">
        <v>510125</v>
      </c>
      <c r="M541">
        <v>523485</v>
      </c>
    </row>
    <row r="542" spans="1:13">
      <c r="A542">
        <v>582</v>
      </c>
      <c r="B542" s="331">
        <v>46162.856944444444</v>
      </c>
      <c r="C542" t="s">
        <v>1068</v>
      </c>
      <c r="D542" t="s">
        <v>1068</v>
      </c>
      <c r="E542" t="s">
        <v>4</v>
      </c>
      <c r="F542">
        <v>614847</v>
      </c>
      <c r="G542">
        <v>10552</v>
      </c>
      <c r="H542">
        <v>0</v>
      </c>
      <c r="I542">
        <v>625399</v>
      </c>
      <c r="J542">
        <v>21665</v>
      </c>
      <c r="K542">
        <v>0</v>
      </c>
      <c r="L542">
        <v>373202</v>
      </c>
      <c r="M542">
        <v>394867</v>
      </c>
    </row>
    <row r="543" spans="1:13">
      <c r="A543">
        <v>583</v>
      </c>
      <c r="B543" s="331">
        <v>46162.856944444444</v>
      </c>
      <c r="C543" t="s">
        <v>690</v>
      </c>
      <c r="D543" t="s">
        <v>690</v>
      </c>
      <c r="E543" t="s">
        <v>4</v>
      </c>
      <c r="F543">
        <v>1602011</v>
      </c>
      <c r="G543">
        <v>15370</v>
      </c>
      <c r="H543">
        <v>0</v>
      </c>
      <c r="I543">
        <v>1617381</v>
      </c>
      <c r="J543">
        <v>29746</v>
      </c>
      <c r="K543">
        <v>0</v>
      </c>
      <c r="L543">
        <v>947421</v>
      </c>
      <c r="M543">
        <v>977167</v>
      </c>
    </row>
    <row r="544" spans="1:13">
      <c r="A544">
        <v>584</v>
      </c>
      <c r="B544" s="331">
        <v>46162.856944444444</v>
      </c>
      <c r="C544" t="s">
        <v>34</v>
      </c>
      <c r="D544" t="s">
        <v>34</v>
      </c>
      <c r="E544" t="s">
        <v>4</v>
      </c>
      <c r="F544">
        <v>3812267</v>
      </c>
      <c r="G544">
        <v>29096</v>
      </c>
      <c r="H544">
        <v>24</v>
      </c>
      <c r="I544">
        <v>3841387</v>
      </c>
      <c r="J544">
        <v>63861</v>
      </c>
      <c r="K544">
        <v>95</v>
      </c>
      <c r="L544">
        <v>2279006</v>
      </c>
      <c r="M544">
        <v>2342962</v>
      </c>
    </row>
    <row r="545" spans="1:13">
      <c r="A545">
        <v>585</v>
      </c>
      <c r="B545" s="331">
        <v>46162.856944444444</v>
      </c>
      <c r="C545" t="s">
        <v>346</v>
      </c>
      <c r="D545" t="s">
        <v>346</v>
      </c>
      <c r="E545" t="s">
        <v>4</v>
      </c>
      <c r="F545">
        <v>2447541</v>
      </c>
      <c r="G545">
        <v>29964</v>
      </c>
      <c r="H545">
        <v>0</v>
      </c>
      <c r="I545">
        <v>2477505</v>
      </c>
      <c r="J545">
        <v>52412</v>
      </c>
      <c r="K545">
        <v>0</v>
      </c>
      <c r="L545">
        <v>1404388</v>
      </c>
      <c r="M545">
        <v>1456800</v>
      </c>
    </row>
    <row r="546" spans="1:13">
      <c r="A546">
        <v>586</v>
      </c>
      <c r="B546" s="331">
        <v>46162.856944444444</v>
      </c>
      <c r="C546" t="s">
        <v>33</v>
      </c>
      <c r="D546" t="s">
        <v>33</v>
      </c>
      <c r="E546" t="s">
        <v>4</v>
      </c>
      <c r="F546">
        <v>3683527</v>
      </c>
      <c r="G546">
        <v>27104</v>
      </c>
      <c r="H546">
        <v>26</v>
      </c>
      <c r="I546">
        <v>3710657</v>
      </c>
      <c r="J546">
        <v>52992</v>
      </c>
      <c r="K546">
        <v>115</v>
      </c>
      <c r="L546">
        <v>2192030</v>
      </c>
      <c r="M546">
        <v>2245137</v>
      </c>
    </row>
    <row r="547" spans="1:13">
      <c r="A547">
        <v>587</v>
      </c>
      <c r="B547" s="331">
        <v>46162.856944444444</v>
      </c>
      <c r="C547" t="s">
        <v>691</v>
      </c>
      <c r="D547" t="s">
        <v>691</v>
      </c>
      <c r="E547" t="s">
        <v>4</v>
      </c>
      <c r="F547">
        <v>1599571</v>
      </c>
      <c r="G547">
        <v>15348</v>
      </c>
      <c r="H547">
        <v>0</v>
      </c>
      <c r="I547">
        <v>1614919</v>
      </c>
      <c r="J547">
        <v>29609</v>
      </c>
      <c r="K547">
        <v>0</v>
      </c>
      <c r="L547">
        <v>945505</v>
      </c>
      <c r="M547">
        <v>975114</v>
      </c>
    </row>
    <row r="548" spans="1:13">
      <c r="A548">
        <v>589</v>
      </c>
      <c r="B548" s="331">
        <v>46162.855555555558</v>
      </c>
      <c r="C548" t="s">
        <v>132</v>
      </c>
      <c r="D548" t="s">
        <v>132</v>
      </c>
      <c r="E548" t="s">
        <v>4</v>
      </c>
      <c r="F548">
        <v>3872414</v>
      </c>
      <c r="G548">
        <v>29067</v>
      </c>
      <c r="H548">
        <v>20</v>
      </c>
      <c r="I548">
        <v>3901501</v>
      </c>
      <c r="J548">
        <v>59123</v>
      </c>
      <c r="K548">
        <v>84</v>
      </c>
      <c r="L548">
        <v>2298310</v>
      </c>
      <c r="M548">
        <v>2357517</v>
      </c>
    </row>
    <row r="549" spans="1:13">
      <c r="A549">
        <v>591</v>
      </c>
      <c r="B549" s="331">
        <v>46162.855555555558</v>
      </c>
      <c r="C549" t="s">
        <v>106</v>
      </c>
      <c r="D549" t="s">
        <v>106</v>
      </c>
      <c r="E549" t="s">
        <v>4</v>
      </c>
      <c r="F549">
        <v>2976101</v>
      </c>
      <c r="G549">
        <v>39321</v>
      </c>
      <c r="H549">
        <v>500</v>
      </c>
      <c r="I549">
        <v>3015922</v>
      </c>
      <c r="J549">
        <v>69477</v>
      </c>
      <c r="K549">
        <v>893</v>
      </c>
      <c r="L549">
        <v>1691395</v>
      </c>
      <c r="M549">
        <v>1761765</v>
      </c>
    </row>
    <row r="550" spans="1:13">
      <c r="A550">
        <v>592</v>
      </c>
      <c r="B550" s="331">
        <v>46162.855555555558</v>
      </c>
      <c r="C550" t="s">
        <v>29</v>
      </c>
      <c r="D550" t="s">
        <v>29</v>
      </c>
      <c r="E550" t="s">
        <v>4</v>
      </c>
      <c r="F550">
        <v>2273129</v>
      </c>
      <c r="G550">
        <v>23705</v>
      </c>
      <c r="H550">
        <v>19</v>
      </c>
      <c r="I550">
        <v>2296853</v>
      </c>
      <c r="J550">
        <v>77516</v>
      </c>
      <c r="K550">
        <v>103</v>
      </c>
      <c r="L550">
        <v>1363798</v>
      </c>
      <c r="M550">
        <v>1441417</v>
      </c>
    </row>
    <row r="551" spans="1:13">
      <c r="A551">
        <v>594</v>
      </c>
      <c r="B551" s="331">
        <v>46162.855555555558</v>
      </c>
      <c r="C551" t="s">
        <v>17</v>
      </c>
      <c r="D551" t="s">
        <v>17</v>
      </c>
      <c r="E551" t="s">
        <v>4</v>
      </c>
      <c r="F551">
        <v>3687697</v>
      </c>
      <c r="G551">
        <v>47009</v>
      </c>
      <c r="H551">
        <v>515</v>
      </c>
      <c r="I551">
        <v>3735221</v>
      </c>
      <c r="J551">
        <v>108913</v>
      </c>
      <c r="K551">
        <v>982</v>
      </c>
      <c r="L551">
        <v>2118005</v>
      </c>
      <c r="M551">
        <v>2227900</v>
      </c>
    </row>
    <row r="552" spans="1:13">
      <c r="A552">
        <v>595</v>
      </c>
      <c r="B552" s="331">
        <v>46162.855555555558</v>
      </c>
      <c r="C552" t="s">
        <v>691</v>
      </c>
      <c r="D552" t="s">
        <v>691</v>
      </c>
      <c r="E552" t="s">
        <v>4</v>
      </c>
      <c r="F552">
        <v>1599525</v>
      </c>
      <c r="G552">
        <v>15498</v>
      </c>
      <c r="H552">
        <v>0</v>
      </c>
      <c r="I552">
        <v>1615023</v>
      </c>
      <c r="J552">
        <v>29783</v>
      </c>
      <c r="K552">
        <v>0</v>
      </c>
      <c r="L552">
        <v>945636</v>
      </c>
      <c r="M552">
        <v>975419</v>
      </c>
    </row>
    <row r="553" spans="1:13">
      <c r="A553">
        <v>596</v>
      </c>
      <c r="B553" s="331">
        <v>46162.855555555558</v>
      </c>
      <c r="C553" t="s">
        <v>108</v>
      </c>
      <c r="D553" t="s">
        <v>108</v>
      </c>
      <c r="E553" t="s">
        <v>4</v>
      </c>
      <c r="F553">
        <v>4460582</v>
      </c>
      <c r="G553">
        <v>49489</v>
      </c>
      <c r="H553">
        <v>649</v>
      </c>
      <c r="I553">
        <v>4510720</v>
      </c>
      <c r="J553">
        <v>95013</v>
      </c>
      <c r="K553">
        <v>1164</v>
      </c>
      <c r="L553">
        <v>2571724</v>
      </c>
      <c r="M553">
        <v>2667901</v>
      </c>
    </row>
    <row r="554" spans="1:13">
      <c r="A554">
        <v>597</v>
      </c>
      <c r="B554" s="331">
        <v>46162.855555555558</v>
      </c>
      <c r="C554" t="s">
        <v>22</v>
      </c>
      <c r="D554" t="s">
        <v>22</v>
      </c>
      <c r="E554" t="s">
        <v>4</v>
      </c>
      <c r="F554">
        <v>2851905</v>
      </c>
      <c r="G554">
        <v>36340</v>
      </c>
      <c r="H554">
        <v>377</v>
      </c>
      <c r="I554">
        <v>2888622</v>
      </c>
      <c r="J554">
        <v>63327</v>
      </c>
      <c r="K554">
        <v>659</v>
      </c>
      <c r="L554">
        <v>1622196</v>
      </c>
      <c r="M554">
        <v>1686182</v>
      </c>
    </row>
    <row r="555" spans="1:13">
      <c r="A555">
        <v>598</v>
      </c>
      <c r="B555" s="331">
        <v>46162.855555555558</v>
      </c>
      <c r="C555" t="s">
        <v>20</v>
      </c>
      <c r="D555" t="s">
        <v>20</v>
      </c>
      <c r="E555" t="s">
        <v>4</v>
      </c>
      <c r="F555">
        <v>6091596</v>
      </c>
      <c r="G555">
        <v>61554</v>
      </c>
      <c r="H555">
        <v>773</v>
      </c>
      <c r="I555">
        <v>6153923</v>
      </c>
      <c r="J555">
        <v>121879</v>
      </c>
      <c r="K555">
        <v>1349</v>
      </c>
      <c r="L555">
        <v>3471704</v>
      </c>
      <c r="M555">
        <v>3594932</v>
      </c>
    </row>
    <row r="556" spans="1:13">
      <c r="A556">
        <v>599</v>
      </c>
      <c r="B556" s="331">
        <v>46162.855555555558</v>
      </c>
      <c r="C556" t="s">
        <v>107</v>
      </c>
      <c r="D556" t="s">
        <v>107</v>
      </c>
      <c r="E556" t="s">
        <v>4</v>
      </c>
      <c r="F556">
        <v>4496042</v>
      </c>
      <c r="G556">
        <v>50647</v>
      </c>
      <c r="H556">
        <v>630</v>
      </c>
      <c r="I556">
        <v>4547319</v>
      </c>
      <c r="J556">
        <v>96814</v>
      </c>
      <c r="K556">
        <v>1110</v>
      </c>
      <c r="L556">
        <v>2591312</v>
      </c>
      <c r="M556">
        <v>2689236</v>
      </c>
    </row>
    <row r="557" spans="1:13">
      <c r="A557">
        <v>600</v>
      </c>
      <c r="B557" s="331">
        <v>46162.855555555558</v>
      </c>
      <c r="C557" t="s">
        <v>33</v>
      </c>
      <c r="D557" t="s">
        <v>33</v>
      </c>
      <c r="E557" t="s">
        <v>4</v>
      </c>
      <c r="F557">
        <v>3683867</v>
      </c>
      <c r="G557">
        <v>27303</v>
      </c>
      <c r="H557">
        <v>27</v>
      </c>
      <c r="I557">
        <v>3711197</v>
      </c>
      <c r="J557">
        <v>53053</v>
      </c>
      <c r="K557">
        <v>116</v>
      </c>
      <c r="L557">
        <v>2192154</v>
      </c>
      <c r="M557">
        <v>2245323</v>
      </c>
    </row>
    <row r="558" spans="1:13">
      <c r="A558">
        <v>601</v>
      </c>
      <c r="B558" s="331">
        <v>46162.855555555558</v>
      </c>
      <c r="C558" t="s">
        <v>1112</v>
      </c>
      <c r="D558" t="s">
        <v>1112</v>
      </c>
      <c r="E558" t="s">
        <v>4</v>
      </c>
      <c r="F558">
        <v>866688</v>
      </c>
      <c r="G558">
        <v>6750</v>
      </c>
      <c r="H558">
        <v>0</v>
      </c>
      <c r="I558">
        <v>873438</v>
      </c>
      <c r="J558">
        <v>13332</v>
      </c>
      <c r="K558">
        <v>0</v>
      </c>
      <c r="L558">
        <v>510290</v>
      </c>
      <c r="M558">
        <v>523622</v>
      </c>
    </row>
    <row r="559" spans="1:13">
      <c r="A559">
        <v>602</v>
      </c>
      <c r="B559" s="331">
        <v>46162.855555555558</v>
      </c>
      <c r="C559" t="s">
        <v>35</v>
      </c>
      <c r="D559" t="s">
        <v>35</v>
      </c>
      <c r="E559" t="s">
        <v>4</v>
      </c>
      <c r="F559">
        <v>3931219</v>
      </c>
      <c r="G559">
        <v>27845</v>
      </c>
      <c r="H559">
        <v>13</v>
      </c>
      <c r="I559">
        <v>3959077</v>
      </c>
      <c r="J559">
        <v>55674</v>
      </c>
      <c r="K559">
        <v>85</v>
      </c>
      <c r="L559">
        <v>2335340</v>
      </c>
      <c r="M559">
        <v>2391099</v>
      </c>
    </row>
    <row r="560" spans="1:13">
      <c r="A560">
        <v>603</v>
      </c>
      <c r="B560" s="331">
        <v>46162.855555555558</v>
      </c>
      <c r="C560" t="s">
        <v>131</v>
      </c>
      <c r="D560" t="s">
        <v>131</v>
      </c>
      <c r="E560" t="s">
        <v>4</v>
      </c>
      <c r="F560">
        <v>3870444</v>
      </c>
      <c r="G560">
        <v>29375</v>
      </c>
      <c r="H560">
        <v>22</v>
      </c>
      <c r="I560">
        <v>3899841</v>
      </c>
      <c r="J560">
        <v>60041</v>
      </c>
      <c r="K560">
        <v>100</v>
      </c>
      <c r="L560">
        <v>2299080</v>
      </c>
      <c r="M560">
        <v>2359221</v>
      </c>
    </row>
    <row r="561" spans="1:13">
      <c r="A561">
        <v>604</v>
      </c>
      <c r="B561" s="331">
        <v>46162.855555555558</v>
      </c>
      <c r="C561" t="s">
        <v>27</v>
      </c>
      <c r="D561" t="s">
        <v>27</v>
      </c>
      <c r="E561" t="s">
        <v>4</v>
      </c>
      <c r="F561">
        <v>1815946</v>
      </c>
      <c r="G561">
        <v>25272</v>
      </c>
      <c r="H561">
        <v>168</v>
      </c>
      <c r="I561">
        <v>1841386</v>
      </c>
      <c r="J561">
        <v>52461</v>
      </c>
      <c r="K561">
        <v>278</v>
      </c>
      <c r="L561">
        <v>1087686</v>
      </c>
      <c r="M561">
        <v>1140425</v>
      </c>
    </row>
    <row r="562" spans="1:13">
      <c r="A562">
        <v>605</v>
      </c>
      <c r="B562" s="331">
        <v>46162.855555555558</v>
      </c>
      <c r="C562" t="s">
        <v>34</v>
      </c>
      <c r="D562" t="s">
        <v>34</v>
      </c>
      <c r="E562" t="s">
        <v>4</v>
      </c>
      <c r="F562">
        <v>3812679</v>
      </c>
      <c r="G562">
        <v>28998</v>
      </c>
      <c r="H562">
        <v>23</v>
      </c>
      <c r="I562">
        <v>3841700</v>
      </c>
      <c r="J562">
        <v>63687</v>
      </c>
      <c r="K562">
        <v>90</v>
      </c>
      <c r="L562">
        <v>2279199</v>
      </c>
      <c r="M562">
        <v>2342976</v>
      </c>
    </row>
    <row r="563" spans="1:13">
      <c r="A563">
        <v>606</v>
      </c>
      <c r="B563" s="331">
        <v>46162.855555555558</v>
      </c>
      <c r="C563" t="s">
        <v>346</v>
      </c>
      <c r="D563" t="s">
        <v>346</v>
      </c>
      <c r="E563" t="s">
        <v>4</v>
      </c>
      <c r="F563">
        <v>2447400</v>
      </c>
      <c r="G563">
        <v>29968</v>
      </c>
      <c r="H563">
        <v>0</v>
      </c>
      <c r="I563">
        <v>2477368</v>
      </c>
      <c r="J563">
        <v>52355</v>
      </c>
      <c r="K563">
        <v>0</v>
      </c>
      <c r="L563">
        <v>1404485</v>
      </c>
      <c r="M563">
        <v>1456840</v>
      </c>
    </row>
    <row r="564" spans="1:13">
      <c r="A564">
        <v>607</v>
      </c>
      <c r="B564" s="331">
        <v>46162.855555555558</v>
      </c>
      <c r="C564" t="s">
        <v>24</v>
      </c>
      <c r="D564" t="s">
        <v>24</v>
      </c>
      <c r="E564" t="s">
        <v>4</v>
      </c>
      <c r="F564">
        <v>1880178</v>
      </c>
      <c r="G564">
        <v>27885</v>
      </c>
      <c r="H564">
        <v>158</v>
      </c>
      <c r="I564">
        <v>1908221</v>
      </c>
      <c r="J564">
        <v>56639</v>
      </c>
      <c r="K564">
        <v>221</v>
      </c>
      <c r="L564">
        <v>1123827</v>
      </c>
      <c r="M564">
        <v>1180687</v>
      </c>
    </row>
    <row r="565" spans="1:13">
      <c r="A565">
        <v>608</v>
      </c>
      <c r="B565" s="331">
        <v>46162.855555555558</v>
      </c>
      <c r="C565" t="s">
        <v>21</v>
      </c>
      <c r="D565" t="s">
        <v>21</v>
      </c>
      <c r="E565" t="s">
        <v>4</v>
      </c>
      <c r="F565">
        <v>5705476</v>
      </c>
      <c r="G565">
        <v>56905</v>
      </c>
      <c r="H565">
        <v>636</v>
      </c>
      <c r="I565">
        <v>5763017</v>
      </c>
      <c r="J565">
        <v>106381</v>
      </c>
      <c r="K565">
        <v>1189</v>
      </c>
      <c r="L565">
        <v>3288420</v>
      </c>
      <c r="M565">
        <v>3395990</v>
      </c>
    </row>
    <row r="566" spans="1:13">
      <c r="A566">
        <v>609</v>
      </c>
      <c r="B566" s="331">
        <v>46162.855555555558</v>
      </c>
      <c r="C566" t="s">
        <v>16</v>
      </c>
      <c r="D566" t="s">
        <v>16</v>
      </c>
      <c r="E566" t="s">
        <v>4</v>
      </c>
      <c r="F566">
        <v>3295554</v>
      </c>
      <c r="G566">
        <v>43805</v>
      </c>
      <c r="H566">
        <v>494</v>
      </c>
      <c r="I566">
        <v>3339853</v>
      </c>
      <c r="J566">
        <v>106969</v>
      </c>
      <c r="K566">
        <v>1006</v>
      </c>
      <c r="L566">
        <v>1910673</v>
      </c>
      <c r="M566">
        <v>2018648</v>
      </c>
    </row>
    <row r="567" spans="1:13">
      <c r="A567">
        <v>610</v>
      </c>
      <c r="B567" s="331">
        <v>46162.855555555558</v>
      </c>
      <c r="C567" t="s">
        <v>31</v>
      </c>
      <c r="D567" t="s">
        <v>31</v>
      </c>
      <c r="E567" t="s">
        <v>4</v>
      </c>
      <c r="F567">
        <v>2910227</v>
      </c>
      <c r="G567">
        <v>23865</v>
      </c>
      <c r="H567">
        <v>28</v>
      </c>
      <c r="I567">
        <v>2934120</v>
      </c>
      <c r="J567">
        <v>71434</v>
      </c>
      <c r="K567">
        <v>93</v>
      </c>
      <c r="L567">
        <v>1654315</v>
      </c>
      <c r="M567">
        <v>1725842</v>
      </c>
    </row>
    <row r="568" spans="1:13">
      <c r="A568">
        <v>611</v>
      </c>
      <c r="B568" s="331">
        <v>46162.855555555558</v>
      </c>
      <c r="C568" t="s">
        <v>1111</v>
      </c>
      <c r="D568" t="s">
        <v>1111</v>
      </c>
      <c r="E568" t="s">
        <v>4</v>
      </c>
      <c r="F568">
        <v>860856</v>
      </c>
      <c r="G568">
        <v>6727</v>
      </c>
      <c r="H568">
        <v>0</v>
      </c>
      <c r="I568">
        <v>867583</v>
      </c>
      <c r="J568">
        <v>13263</v>
      </c>
      <c r="K568">
        <v>0</v>
      </c>
      <c r="L568">
        <v>506808</v>
      </c>
      <c r="M568">
        <v>520071</v>
      </c>
    </row>
    <row r="569" spans="1:13">
      <c r="A569">
        <v>612</v>
      </c>
      <c r="B569" s="331">
        <v>46162.855555555558</v>
      </c>
      <c r="C569" t="s">
        <v>32</v>
      </c>
      <c r="D569" t="s">
        <v>32</v>
      </c>
      <c r="E569" t="s">
        <v>4</v>
      </c>
      <c r="F569">
        <v>3597320</v>
      </c>
      <c r="G569">
        <v>27147</v>
      </c>
      <c r="H569">
        <v>24</v>
      </c>
      <c r="I569">
        <v>3624491</v>
      </c>
      <c r="J569">
        <v>57450</v>
      </c>
      <c r="K569">
        <v>97</v>
      </c>
      <c r="L569">
        <v>2138141</v>
      </c>
      <c r="M569">
        <v>2195688</v>
      </c>
    </row>
    <row r="570" spans="1:13">
      <c r="A570">
        <v>613</v>
      </c>
      <c r="B570" s="331">
        <v>46162.855555555558</v>
      </c>
      <c r="C570" t="s">
        <v>690</v>
      </c>
      <c r="D570" t="s">
        <v>690</v>
      </c>
      <c r="E570" t="s">
        <v>4</v>
      </c>
      <c r="F570">
        <v>1602126</v>
      </c>
      <c r="G570">
        <v>15327</v>
      </c>
      <c r="H570">
        <v>0</v>
      </c>
      <c r="I570">
        <v>1617453</v>
      </c>
      <c r="J570">
        <v>29707</v>
      </c>
      <c r="K570">
        <v>0</v>
      </c>
      <c r="L570">
        <v>947598</v>
      </c>
      <c r="M570">
        <v>977305</v>
      </c>
    </row>
    <row r="571" spans="1:13">
      <c r="A571">
        <v>614</v>
      </c>
      <c r="B571" s="331">
        <v>46162.855555555558</v>
      </c>
      <c r="C571" t="s">
        <v>19</v>
      </c>
      <c r="D571" t="s">
        <v>19</v>
      </c>
      <c r="E571" t="s">
        <v>4</v>
      </c>
      <c r="F571">
        <v>5460424</v>
      </c>
      <c r="G571">
        <v>58101</v>
      </c>
      <c r="H571">
        <v>673</v>
      </c>
      <c r="I571">
        <v>5519198</v>
      </c>
      <c r="J571">
        <v>115842</v>
      </c>
      <c r="K571">
        <v>1204</v>
      </c>
      <c r="L571">
        <v>3150324</v>
      </c>
      <c r="M571">
        <v>3267370</v>
      </c>
    </row>
    <row r="572" spans="1:13">
      <c r="A572">
        <v>615</v>
      </c>
      <c r="B572" s="331">
        <v>46162.855555555558</v>
      </c>
      <c r="C572" t="s">
        <v>689</v>
      </c>
      <c r="D572" t="s">
        <v>689</v>
      </c>
      <c r="E572" t="s">
        <v>4</v>
      </c>
      <c r="F572">
        <v>1922234</v>
      </c>
      <c r="G572">
        <v>16939</v>
      </c>
      <c r="H572">
        <v>0</v>
      </c>
      <c r="I572">
        <v>1939173</v>
      </c>
      <c r="J572">
        <v>31211</v>
      </c>
      <c r="K572">
        <v>0</v>
      </c>
      <c r="L572">
        <v>1125023</v>
      </c>
      <c r="M572">
        <v>1156234</v>
      </c>
    </row>
    <row r="573" spans="1:13">
      <c r="A573">
        <v>616</v>
      </c>
      <c r="B573" s="331">
        <v>46162.855555555558</v>
      </c>
      <c r="C573" t="s">
        <v>345</v>
      </c>
      <c r="D573" t="s">
        <v>345</v>
      </c>
      <c r="E573" t="s">
        <v>4</v>
      </c>
      <c r="F573">
        <v>2018703</v>
      </c>
      <c r="G573">
        <v>27595</v>
      </c>
      <c r="H573">
        <v>0</v>
      </c>
      <c r="I573">
        <v>2046298</v>
      </c>
      <c r="J573">
        <v>45705</v>
      </c>
      <c r="K573">
        <v>0</v>
      </c>
      <c r="L573">
        <v>1141049</v>
      </c>
      <c r="M573">
        <v>1186754</v>
      </c>
    </row>
    <row r="574" spans="1:13">
      <c r="A574">
        <v>617</v>
      </c>
      <c r="B574" s="331">
        <v>46162.855555555558</v>
      </c>
      <c r="C574" t="s">
        <v>336</v>
      </c>
      <c r="D574" t="s">
        <v>336</v>
      </c>
      <c r="E574" t="s">
        <v>4</v>
      </c>
      <c r="F574">
        <v>725300</v>
      </c>
      <c r="G574">
        <v>3623</v>
      </c>
      <c r="H574">
        <v>0</v>
      </c>
      <c r="I574">
        <v>728923</v>
      </c>
      <c r="J574">
        <v>5154</v>
      </c>
      <c r="K574">
        <v>0</v>
      </c>
      <c r="L574">
        <v>430431</v>
      </c>
      <c r="M574">
        <v>435585</v>
      </c>
    </row>
    <row r="575" spans="1:13">
      <c r="A575">
        <v>618</v>
      </c>
      <c r="B575" s="331">
        <v>46162.855555555558</v>
      </c>
      <c r="C575" t="s">
        <v>26</v>
      </c>
      <c r="D575" t="s">
        <v>26</v>
      </c>
      <c r="E575" t="s">
        <v>4</v>
      </c>
      <c r="F575">
        <v>1900855</v>
      </c>
      <c r="G575">
        <v>25236</v>
      </c>
      <c r="H575">
        <v>187</v>
      </c>
      <c r="I575">
        <v>1926278</v>
      </c>
      <c r="J575">
        <v>55480</v>
      </c>
      <c r="K575">
        <v>280</v>
      </c>
      <c r="L575">
        <v>1141672</v>
      </c>
      <c r="M575">
        <v>1197432</v>
      </c>
    </row>
    <row r="576" spans="1:13">
      <c r="A576">
        <v>619</v>
      </c>
      <c r="B576" s="331">
        <v>46162.855555555558</v>
      </c>
      <c r="C576" t="s">
        <v>1068</v>
      </c>
      <c r="D576" t="s">
        <v>1068</v>
      </c>
      <c r="E576" t="s">
        <v>4</v>
      </c>
      <c r="F576">
        <v>614798</v>
      </c>
      <c r="G576">
        <v>10550</v>
      </c>
      <c r="H576">
        <v>0</v>
      </c>
      <c r="I576">
        <v>625348</v>
      </c>
      <c r="J576">
        <v>21634</v>
      </c>
      <c r="K576">
        <v>0</v>
      </c>
      <c r="L576">
        <v>373201</v>
      </c>
      <c r="M576">
        <v>394835</v>
      </c>
    </row>
    <row r="577" spans="1:13">
      <c r="A577">
        <v>620</v>
      </c>
      <c r="B577" s="331">
        <v>46162.855555555558</v>
      </c>
      <c r="C577" t="s">
        <v>1133</v>
      </c>
      <c r="D577" t="s">
        <v>1133</v>
      </c>
      <c r="E577" t="s">
        <v>4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</row>
    <row r="578" spans="1:13">
      <c r="A578">
        <v>621</v>
      </c>
      <c r="B578" s="331">
        <v>46162.855555555558</v>
      </c>
      <c r="C578" t="s">
        <v>18</v>
      </c>
      <c r="D578" t="s">
        <v>18</v>
      </c>
      <c r="E578" t="s">
        <v>4</v>
      </c>
      <c r="F578">
        <v>5726178</v>
      </c>
      <c r="G578">
        <v>61029</v>
      </c>
      <c r="H578">
        <v>735</v>
      </c>
      <c r="I578">
        <v>5787942</v>
      </c>
      <c r="J578">
        <v>125539</v>
      </c>
      <c r="K578">
        <v>1365</v>
      </c>
      <c r="L578">
        <v>3306700</v>
      </c>
      <c r="M578">
        <v>3433604</v>
      </c>
    </row>
    <row r="579" spans="1:13">
      <c r="A579">
        <v>622</v>
      </c>
      <c r="B579" s="331">
        <v>46162.855555555558</v>
      </c>
      <c r="C579" t="s">
        <v>105</v>
      </c>
      <c r="D579" t="s">
        <v>105</v>
      </c>
      <c r="E579" t="s">
        <v>4</v>
      </c>
      <c r="F579">
        <v>2477462</v>
      </c>
      <c r="G579">
        <v>26956</v>
      </c>
      <c r="H579">
        <v>173</v>
      </c>
      <c r="I579">
        <v>2504591</v>
      </c>
      <c r="J579">
        <v>52899</v>
      </c>
      <c r="K579">
        <v>286</v>
      </c>
      <c r="L579">
        <v>1465265</v>
      </c>
      <c r="M579">
        <v>1518450</v>
      </c>
    </row>
    <row r="580" spans="1:13">
      <c r="A580">
        <v>624</v>
      </c>
      <c r="B580" s="331">
        <v>46162.855555555558</v>
      </c>
      <c r="C580" t="s">
        <v>1067</v>
      </c>
      <c r="D580" t="s">
        <v>1067</v>
      </c>
      <c r="E580" t="s">
        <v>4</v>
      </c>
      <c r="F580">
        <v>614006</v>
      </c>
      <c r="G580">
        <v>10476</v>
      </c>
      <c r="H580">
        <v>0</v>
      </c>
      <c r="I580">
        <v>624482</v>
      </c>
      <c r="J580">
        <v>21507</v>
      </c>
      <c r="K580">
        <v>0</v>
      </c>
      <c r="L580">
        <v>372839</v>
      </c>
      <c r="M580">
        <v>394346</v>
      </c>
    </row>
    <row r="581" spans="1:13">
      <c r="A581">
        <v>625</v>
      </c>
      <c r="B581" s="331">
        <v>46162.854166666664</v>
      </c>
      <c r="C581" t="s">
        <v>893</v>
      </c>
      <c r="D581" t="s">
        <v>893</v>
      </c>
      <c r="E581" t="s">
        <v>372</v>
      </c>
      <c r="L581">
        <v>785106</v>
      </c>
      <c r="M581">
        <v>785106</v>
      </c>
    </row>
    <row r="582" spans="1:13">
      <c r="A582">
        <v>626</v>
      </c>
      <c r="B582" s="331">
        <v>46162.854166666664</v>
      </c>
      <c r="C582" t="s">
        <v>583</v>
      </c>
      <c r="D582" t="s">
        <v>583</v>
      </c>
      <c r="E582" t="s">
        <v>372</v>
      </c>
      <c r="L582">
        <v>522576</v>
      </c>
      <c r="M582">
        <v>522576</v>
      </c>
    </row>
    <row r="583" spans="1:13">
      <c r="A583">
        <v>627</v>
      </c>
      <c r="B583" s="331">
        <v>46162.854166666664</v>
      </c>
      <c r="C583" t="s">
        <v>349</v>
      </c>
      <c r="D583" t="s">
        <v>349</v>
      </c>
      <c r="E583" t="s">
        <v>372</v>
      </c>
      <c r="L583">
        <v>601705</v>
      </c>
      <c r="M583">
        <v>601705</v>
      </c>
    </row>
    <row r="584" spans="1:13">
      <c r="A584">
        <v>628</v>
      </c>
      <c r="B584" s="331">
        <v>46162.854166666664</v>
      </c>
      <c r="C584" t="s">
        <v>16</v>
      </c>
      <c r="D584" t="s">
        <v>16</v>
      </c>
      <c r="E584" t="s">
        <v>4</v>
      </c>
      <c r="F584">
        <v>3295477</v>
      </c>
      <c r="G584">
        <v>43640</v>
      </c>
      <c r="H584">
        <v>497</v>
      </c>
      <c r="I584">
        <v>3339614</v>
      </c>
      <c r="J584">
        <v>106784</v>
      </c>
      <c r="K584">
        <v>991</v>
      </c>
      <c r="L584">
        <v>1910772</v>
      </c>
      <c r="M584">
        <v>2018547</v>
      </c>
    </row>
    <row r="585" spans="1:13">
      <c r="A585">
        <v>629</v>
      </c>
      <c r="B585" s="331">
        <v>46162.854166666664</v>
      </c>
      <c r="C585" t="s">
        <v>107</v>
      </c>
      <c r="D585" t="s">
        <v>107</v>
      </c>
      <c r="E585" t="s">
        <v>4</v>
      </c>
      <c r="F585">
        <v>4495977</v>
      </c>
      <c r="G585">
        <v>50638</v>
      </c>
      <c r="H585">
        <v>623</v>
      </c>
      <c r="I585">
        <v>4547238</v>
      </c>
      <c r="J585">
        <v>96753</v>
      </c>
      <c r="K585">
        <v>1092</v>
      </c>
      <c r="L585">
        <v>2591420</v>
      </c>
      <c r="M585">
        <v>2689265</v>
      </c>
    </row>
    <row r="586" spans="1:13">
      <c r="A586">
        <v>631</v>
      </c>
      <c r="B586" s="331">
        <v>46162.854166666664</v>
      </c>
      <c r="C586" t="s">
        <v>1067</v>
      </c>
      <c r="D586" t="s">
        <v>1067</v>
      </c>
      <c r="E586" t="s">
        <v>4</v>
      </c>
      <c r="F586">
        <v>614196</v>
      </c>
      <c r="G586">
        <v>10434</v>
      </c>
      <c r="H586">
        <v>0</v>
      </c>
      <c r="I586">
        <v>624630</v>
      </c>
      <c r="J586">
        <v>21479</v>
      </c>
      <c r="K586">
        <v>0</v>
      </c>
      <c r="L586">
        <v>372889</v>
      </c>
      <c r="M586">
        <v>394368</v>
      </c>
    </row>
    <row r="587" spans="1:13">
      <c r="A587">
        <v>632</v>
      </c>
      <c r="B587" s="331">
        <v>46162.854166666664</v>
      </c>
      <c r="C587" t="s">
        <v>1112</v>
      </c>
      <c r="D587" t="s">
        <v>1112</v>
      </c>
      <c r="E587" t="s">
        <v>4</v>
      </c>
      <c r="F587">
        <v>866557</v>
      </c>
      <c r="G587">
        <v>6810</v>
      </c>
      <c r="H587">
        <v>0</v>
      </c>
      <c r="I587">
        <v>873367</v>
      </c>
      <c r="J587">
        <v>13360</v>
      </c>
      <c r="K587">
        <v>0</v>
      </c>
      <c r="L587">
        <v>510246</v>
      </c>
      <c r="M587">
        <v>523606</v>
      </c>
    </row>
    <row r="588" spans="1:13">
      <c r="A588">
        <v>633</v>
      </c>
      <c r="B588" s="331">
        <v>46162.854166666664</v>
      </c>
      <c r="C588" t="s">
        <v>35</v>
      </c>
      <c r="D588" t="s">
        <v>35</v>
      </c>
      <c r="E588" t="s">
        <v>4</v>
      </c>
      <c r="F588">
        <v>3931678</v>
      </c>
      <c r="G588">
        <v>27730</v>
      </c>
      <c r="H588">
        <v>14</v>
      </c>
      <c r="I588">
        <v>3959422</v>
      </c>
      <c r="J588">
        <v>55583</v>
      </c>
      <c r="K588">
        <v>85</v>
      </c>
      <c r="L588">
        <v>2335526</v>
      </c>
      <c r="M588">
        <v>2391194</v>
      </c>
    </row>
    <row r="589" spans="1:13">
      <c r="A589">
        <v>635</v>
      </c>
      <c r="B589" s="331">
        <v>46162.854166666664</v>
      </c>
      <c r="C589" t="s">
        <v>582</v>
      </c>
      <c r="D589" t="s">
        <v>582</v>
      </c>
      <c r="E589" t="s">
        <v>372</v>
      </c>
      <c r="L589">
        <v>521757</v>
      </c>
      <c r="M589">
        <v>521757</v>
      </c>
    </row>
    <row r="590" spans="1:13">
      <c r="A590">
        <v>636</v>
      </c>
      <c r="B590" s="331">
        <v>46162.854166666664</v>
      </c>
      <c r="C590" t="s">
        <v>581</v>
      </c>
      <c r="D590" t="s">
        <v>581</v>
      </c>
      <c r="E590" t="s">
        <v>372</v>
      </c>
      <c r="L590">
        <v>518900</v>
      </c>
      <c r="M590">
        <v>518900</v>
      </c>
    </row>
    <row r="591" spans="1:13">
      <c r="A591">
        <v>637</v>
      </c>
      <c r="B591" s="331">
        <v>46162.854166666664</v>
      </c>
      <c r="C591" t="s">
        <v>27</v>
      </c>
      <c r="D591" t="s">
        <v>27</v>
      </c>
      <c r="E591" t="s">
        <v>4</v>
      </c>
      <c r="F591">
        <v>1816218</v>
      </c>
      <c r="G591">
        <v>25316</v>
      </c>
      <c r="H591">
        <v>170</v>
      </c>
      <c r="I591">
        <v>1841704</v>
      </c>
      <c r="J591">
        <v>52535</v>
      </c>
      <c r="K591">
        <v>274</v>
      </c>
      <c r="L591">
        <v>1087757</v>
      </c>
      <c r="M591">
        <v>1140566</v>
      </c>
    </row>
    <row r="592" spans="1:13">
      <c r="A592">
        <v>638</v>
      </c>
      <c r="B592" s="331">
        <v>46162.854166666664</v>
      </c>
      <c r="C592" t="s">
        <v>1133</v>
      </c>
      <c r="D592" t="s">
        <v>1133</v>
      </c>
      <c r="E592" t="s">
        <v>4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</row>
    <row r="593" spans="1:13">
      <c r="A593">
        <v>639</v>
      </c>
      <c r="B593" s="331">
        <v>46162.854166666664</v>
      </c>
      <c r="C593" t="s">
        <v>22</v>
      </c>
      <c r="D593" t="s">
        <v>22</v>
      </c>
      <c r="E593" t="s">
        <v>4</v>
      </c>
      <c r="F593">
        <v>2851922</v>
      </c>
      <c r="G593">
        <v>36462</v>
      </c>
      <c r="H593">
        <v>373</v>
      </c>
      <c r="I593">
        <v>2888757</v>
      </c>
      <c r="J593">
        <v>63330</v>
      </c>
      <c r="K593">
        <v>662</v>
      </c>
      <c r="L593">
        <v>1622199</v>
      </c>
      <c r="M593">
        <v>1686191</v>
      </c>
    </row>
    <row r="594" spans="1:13">
      <c r="A594">
        <v>640</v>
      </c>
      <c r="B594" s="331">
        <v>46162.854166666664</v>
      </c>
      <c r="C594" t="s">
        <v>690</v>
      </c>
      <c r="D594" t="s">
        <v>690</v>
      </c>
      <c r="E594" t="s">
        <v>4</v>
      </c>
      <c r="F594">
        <v>1602053</v>
      </c>
      <c r="G594">
        <v>15437</v>
      </c>
      <c r="H594">
        <v>0</v>
      </c>
      <c r="I594">
        <v>1617490</v>
      </c>
      <c r="J594">
        <v>29762</v>
      </c>
      <c r="K594">
        <v>0</v>
      </c>
      <c r="L594">
        <v>947644</v>
      </c>
      <c r="M594">
        <v>977406</v>
      </c>
    </row>
    <row r="595" spans="1:13">
      <c r="A595">
        <v>641</v>
      </c>
      <c r="B595" s="331">
        <v>46162.854166666664</v>
      </c>
      <c r="C595" t="s">
        <v>106</v>
      </c>
      <c r="D595" t="s">
        <v>106</v>
      </c>
      <c r="E595" t="s">
        <v>4</v>
      </c>
      <c r="F595">
        <v>2975977</v>
      </c>
      <c r="G595">
        <v>39475</v>
      </c>
      <c r="H595">
        <v>481</v>
      </c>
      <c r="I595">
        <v>3015933</v>
      </c>
      <c r="J595">
        <v>69560</v>
      </c>
      <c r="K595">
        <v>877</v>
      </c>
      <c r="L595">
        <v>1691374</v>
      </c>
      <c r="M595">
        <v>1761811</v>
      </c>
    </row>
    <row r="596" spans="1:13">
      <c r="A596">
        <v>642</v>
      </c>
      <c r="B596" s="331">
        <v>46162.854166666664</v>
      </c>
      <c r="C596" t="s">
        <v>19</v>
      </c>
      <c r="D596" t="s">
        <v>19</v>
      </c>
      <c r="E596" t="s">
        <v>4</v>
      </c>
      <c r="F596">
        <v>5460327</v>
      </c>
      <c r="G596">
        <v>58223</v>
      </c>
      <c r="H596">
        <v>688</v>
      </c>
      <c r="I596">
        <v>5519238</v>
      </c>
      <c r="J596">
        <v>115884</v>
      </c>
      <c r="K596">
        <v>1216</v>
      </c>
      <c r="L596">
        <v>3150409</v>
      </c>
      <c r="M596">
        <v>3267509</v>
      </c>
    </row>
    <row r="597" spans="1:13">
      <c r="A597">
        <v>643</v>
      </c>
      <c r="B597" s="331">
        <v>46162.854166666664</v>
      </c>
      <c r="C597" t="s">
        <v>18</v>
      </c>
      <c r="D597" t="s">
        <v>18</v>
      </c>
      <c r="E597" t="s">
        <v>4</v>
      </c>
      <c r="F597">
        <v>5726238</v>
      </c>
      <c r="G597">
        <v>60909</v>
      </c>
      <c r="H597">
        <v>726</v>
      </c>
      <c r="I597">
        <v>5787873</v>
      </c>
      <c r="J597">
        <v>125325</v>
      </c>
      <c r="K597">
        <v>1356</v>
      </c>
      <c r="L597">
        <v>3306762</v>
      </c>
      <c r="M597">
        <v>3433443</v>
      </c>
    </row>
    <row r="598" spans="1:13">
      <c r="A598">
        <v>644</v>
      </c>
      <c r="B598" s="331">
        <v>46162.854166666664</v>
      </c>
      <c r="C598" t="s">
        <v>1068</v>
      </c>
      <c r="D598" t="s">
        <v>1068</v>
      </c>
      <c r="E598" t="s">
        <v>4</v>
      </c>
      <c r="F598">
        <v>614968</v>
      </c>
      <c r="G598">
        <v>10525</v>
      </c>
      <c r="H598">
        <v>0</v>
      </c>
      <c r="I598">
        <v>625493</v>
      </c>
      <c r="J598">
        <v>21603</v>
      </c>
      <c r="K598">
        <v>0</v>
      </c>
      <c r="L598">
        <v>373280</v>
      </c>
      <c r="M598">
        <v>394883</v>
      </c>
    </row>
    <row r="599" spans="1:13">
      <c r="A599">
        <v>645</v>
      </c>
      <c r="B599" s="331">
        <v>46162.854166666664</v>
      </c>
      <c r="C599" t="s">
        <v>34</v>
      </c>
      <c r="D599" t="s">
        <v>34</v>
      </c>
      <c r="E599" t="s">
        <v>4</v>
      </c>
      <c r="F599">
        <v>3813169</v>
      </c>
      <c r="G599">
        <v>28992</v>
      </c>
      <c r="H599">
        <v>22</v>
      </c>
      <c r="I599">
        <v>3842183</v>
      </c>
      <c r="J599">
        <v>63616</v>
      </c>
      <c r="K599">
        <v>89</v>
      </c>
      <c r="L599">
        <v>2279414</v>
      </c>
      <c r="M599">
        <v>2343119</v>
      </c>
    </row>
    <row r="600" spans="1:13">
      <c r="A600">
        <v>646</v>
      </c>
      <c r="B600" s="331">
        <v>46162.854166666664</v>
      </c>
      <c r="C600" t="s">
        <v>895</v>
      </c>
      <c r="D600" t="s">
        <v>895</v>
      </c>
      <c r="E600" t="s">
        <v>372</v>
      </c>
      <c r="L600">
        <v>777377</v>
      </c>
      <c r="M600">
        <v>777377</v>
      </c>
    </row>
    <row r="601" spans="1:13">
      <c r="A601">
        <v>647</v>
      </c>
      <c r="B601" s="331">
        <v>46162.854166666664</v>
      </c>
      <c r="C601" t="s">
        <v>350</v>
      </c>
      <c r="D601" t="s">
        <v>350</v>
      </c>
      <c r="E601" t="s">
        <v>372</v>
      </c>
      <c r="L601">
        <v>611142</v>
      </c>
      <c r="M601">
        <v>611142</v>
      </c>
    </row>
    <row r="602" spans="1:13">
      <c r="A602">
        <v>648</v>
      </c>
      <c r="B602" s="331">
        <v>46162.854166666664</v>
      </c>
      <c r="C602" t="s">
        <v>1081</v>
      </c>
      <c r="D602" t="s">
        <v>1081</v>
      </c>
      <c r="E602" t="s">
        <v>372</v>
      </c>
      <c r="L602">
        <v>644751</v>
      </c>
      <c r="M602">
        <v>644751</v>
      </c>
    </row>
    <row r="603" spans="1:13">
      <c r="A603">
        <v>649</v>
      </c>
      <c r="B603" s="331">
        <v>46162.854166666664</v>
      </c>
      <c r="C603" t="s">
        <v>1125</v>
      </c>
      <c r="D603" t="s">
        <v>1125</v>
      </c>
      <c r="E603" t="s">
        <v>372</v>
      </c>
      <c r="L603">
        <v>631881</v>
      </c>
      <c r="M603">
        <v>631881</v>
      </c>
    </row>
    <row r="604" spans="1:13">
      <c r="A604">
        <v>650</v>
      </c>
      <c r="B604" s="331">
        <v>46162.854166666664</v>
      </c>
      <c r="C604" t="s">
        <v>1111</v>
      </c>
      <c r="D604" t="s">
        <v>1111</v>
      </c>
      <c r="E604" t="s">
        <v>4</v>
      </c>
      <c r="F604">
        <v>860816</v>
      </c>
      <c r="G604">
        <v>6760</v>
      </c>
      <c r="H604">
        <v>0</v>
      </c>
      <c r="I604">
        <v>867576</v>
      </c>
      <c r="J604">
        <v>13287</v>
      </c>
      <c r="K604">
        <v>0</v>
      </c>
      <c r="L604">
        <v>506851</v>
      </c>
      <c r="M604">
        <v>520138</v>
      </c>
    </row>
    <row r="605" spans="1:13">
      <c r="A605">
        <v>651</v>
      </c>
      <c r="B605" s="331">
        <v>46162.854166666664</v>
      </c>
      <c r="C605" t="s">
        <v>20</v>
      </c>
      <c r="D605" t="s">
        <v>20</v>
      </c>
      <c r="E605" t="s">
        <v>4</v>
      </c>
      <c r="F605">
        <v>6091961</v>
      </c>
      <c r="G605">
        <v>61536</v>
      </c>
      <c r="H605">
        <v>783</v>
      </c>
      <c r="I605">
        <v>6154280</v>
      </c>
      <c r="J605">
        <v>121826</v>
      </c>
      <c r="K605">
        <v>1355</v>
      </c>
      <c r="L605">
        <v>3472016</v>
      </c>
      <c r="M605">
        <v>3595197</v>
      </c>
    </row>
    <row r="606" spans="1:13">
      <c r="A606">
        <v>652</v>
      </c>
      <c r="B606" s="331">
        <v>46162.854166666664</v>
      </c>
      <c r="C606" t="s">
        <v>691</v>
      </c>
      <c r="D606" t="s">
        <v>691</v>
      </c>
      <c r="E606" t="s">
        <v>4</v>
      </c>
      <c r="F606">
        <v>1599473</v>
      </c>
      <c r="G606">
        <v>15471</v>
      </c>
      <c r="H606">
        <v>0</v>
      </c>
      <c r="I606">
        <v>1614944</v>
      </c>
      <c r="J606">
        <v>29754</v>
      </c>
      <c r="K606">
        <v>0</v>
      </c>
      <c r="L606">
        <v>945714</v>
      </c>
      <c r="M606">
        <v>975468</v>
      </c>
    </row>
    <row r="607" spans="1:13">
      <c r="A607">
        <v>653</v>
      </c>
      <c r="B607" s="331">
        <v>46162.854166666664</v>
      </c>
      <c r="C607" t="s">
        <v>345</v>
      </c>
      <c r="D607" t="s">
        <v>345</v>
      </c>
      <c r="E607" t="s">
        <v>4</v>
      </c>
      <c r="F607">
        <v>2018930</v>
      </c>
      <c r="G607">
        <v>27449</v>
      </c>
      <c r="H607">
        <v>0</v>
      </c>
      <c r="I607">
        <v>2046379</v>
      </c>
      <c r="J607">
        <v>45597</v>
      </c>
      <c r="K607">
        <v>0</v>
      </c>
      <c r="L607">
        <v>1141182</v>
      </c>
      <c r="M607">
        <v>1186779</v>
      </c>
    </row>
    <row r="608" spans="1:13">
      <c r="A608">
        <v>654</v>
      </c>
      <c r="B608" s="331">
        <v>46162.854166666664</v>
      </c>
      <c r="C608" t="s">
        <v>689</v>
      </c>
      <c r="D608" t="s">
        <v>689</v>
      </c>
      <c r="E608" t="s">
        <v>4</v>
      </c>
      <c r="F608">
        <v>1922054</v>
      </c>
      <c r="G608">
        <v>16967</v>
      </c>
      <c r="H608">
        <v>0</v>
      </c>
      <c r="I608">
        <v>1939021</v>
      </c>
      <c r="J608">
        <v>31174</v>
      </c>
      <c r="K608">
        <v>0</v>
      </c>
      <c r="L608">
        <v>1124992</v>
      </c>
      <c r="M608">
        <v>1156166</v>
      </c>
    </row>
    <row r="609" spans="1:13">
      <c r="A609">
        <v>655</v>
      </c>
      <c r="B609" s="331">
        <v>46162.854166666664</v>
      </c>
      <c r="C609" t="s">
        <v>348</v>
      </c>
      <c r="D609" t="s">
        <v>348</v>
      </c>
      <c r="E609" t="s">
        <v>372</v>
      </c>
      <c r="L609">
        <v>616352</v>
      </c>
      <c r="M609">
        <v>616352</v>
      </c>
    </row>
    <row r="610" spans="1:13">
      <c r="A610">
        <v>656</v>
      </c>
      <c r="B610" s="331">
        <v>46162.854166666664</v>
      </c>
      <c r="C610" t="s">
        <v>894</v>
      </c>
      <c r="D610" t="s">
        <v>894</v>
      </c>
      <c r="E610" t="s">
        <v>372</v>
      </c>
      <c r="L610">
        <v>776058</v>
      </c>
      <c r="M610">
        <v>776058</v>
      </c>
    </row>
    <row r="611" spans="1:13">
      <c r="A611">
        <v>657</v>
      </c>
      <c r="B611" s="331">
        <v>46162.854166666664</v>
      </c>
      <c r="C611" t="s">
        <v>580</v>
      </c>
      <c r="D611" t="s">
        <v>580</v>
      </c>
      <c r="E611" t="s">
        <v>372</v>
      </c>
      <c r="L611">
        <v>551730</v>
      </c>
      <c r="M611">
        <v>551730</v>
      </c>
    </row>
    <row r="612" spans="1:13">
      <c r="A612">
        <v>658</v>
      </c>
      <c r="B612" s="331">
        <v>46162.854166666664</v>
      </c>
      <c r="C612" t="s">
        <v>896</v>
      </c>
      <c r="D612" t="s">
        <v>896</v>
      </c>
      <c r="E612" t="s">
        <v>372</v>
      </c>
      <c r="L612">
        <v>775828</v>
      </c>
      <c r="M612">
        <v>775828</v>
      </c>
    </row>
    <row r="613" spans="1:13">
      <c r="A613">
        <v>659</v>
      </c>
      <c r="B613" s="331">
        <v>46162.854166666664</v>
      </c>
      <c r="C613" t="s">
        <v>132</v>
      </c>
      <c r="D613" t="s">
        <v>132</v>
      </c>
      <c r="E613" t="s">
        <v>4</v>
      </c>
      <c r="F613">
        <v>3872852</v>
      </c>
      <c r="G613">
        <v>29031</v>
      </c>
      <c r="H613">
        <v>18</v>
      </c>
      <c r="I613">
        <v>3901901</v>
      </c>
      <c r="J613">
        <v>59075</v>
      </c>
      <c r="K613">
        <v>85</v>
      </c>
      <c r="L613">
        <v>2298482</v>
      </c>
      <c r="M613">
        <v>2357642</v>
      </c>
    </row>
    <row r="614" spans="1:13">
      <c r="A614">
        <v>660</v>
      </c>
      <c r="B614" s="331">
        <v>46162.854166666664</v>
      </c>
      <c r="C614" t="s">
        <v>346</v>
      </c>
      <c r="D614" t="s">
        <v>346</v>
      </c>
      <c r="E614" t="s">
        <v>4</v>
      </c>
      <c r="F614">
        <v>2447578</v>
      </c>
      <c r="G614">
        <v>30005</v>
      </c>
      <c r="H614">
        <v>0</v>
      </c>
      <c r="I614">
        <v>2477583</v>
      </c>
      <c r="J614">
        <v>52303</v>
      </c>
      <c r="K614">
        <v>0</v>
      </c>
      <c r="L614">
        <v>1404602</v>
      </c>
      <c r="M614">
        <v>1456905</v>
      </c>
    </row>
    <row r="615" spans="1:13">
      <c r="A615">
        <v>661</v>
      </c>
      <c r="B615" s="331">
        <v>46162.854166666664</v>
      </c>
      <c r="C615" t="s">
        <v>17</v>
      </c>
      <c r="D615" t="s">
        <v>17</v>
      </c>
      <c r="E615" t="s">
        <v>4</v>
      </c>
      <c r="F615">
        <v>3687597</v>
      </c>
      <c r="G615">
        <v>46967</v>
      </c>
      <c r="H615">
        <v>511</v>
      </c>
      <c r="I615">
        <v>3735075</v>
      </c>
      <c r="J615">
        <v>108733</v>
      </c>
      <c r="K615">
        <v>987</v>
      </c>
      <c r="L615">
        <v>2118049</v>
      </c>
      <c r="M615">
        <v>2227769</v>
      </c>
    </row>
    <row r="616" spans="1:13">
      <c r="A616">
        <v>662</v>
      </c>
      <c r="B616" s="331">
        <v>46162.854166666664</v>
      </c>
      <c r="C616" t="s">
        <v>108</v>
      </c>
      <c r="D616" t="s">
        <v>108</v>
      </c>
      <c r="E616" t="s">
        <v>4</v>
      </c>
      <c r="F616">
        <v>4460927</v>
      </c>
      <c r="G616">
        <v>49398</v>
      </c>
      <c r="H616">
        <v>640</v>
      </c>
      <c r="I616">
        <v>4510965</v>
      </c>
      <c r="J616">
        <v>94902</v>
      </c>
      <c r="K616">
        <v>1157</v>
      </c>
      <c r="L616">
        <v>2571951</v>
      </c>
      <c r="M616">
        <v>2668010</v>
      </c>
    </row>
    <row r="617" spans="1:13">
      <c r="A617">
        <v>663</v>
      </c>
      <c r="B617" s="331">
        <v>46162.854166666664</v>
      </c>
      <c r="C617" t="s">
        <v>31</v>
      </c>
      <c r="D617" t="s">
        <v>31</v>
      </c>
      <c r="E617" t="s">
        <v>4</v>
      </c>
      <c r="F617">
        <v>2910554</v>
      </c>
      <c r="G617">
        <v>23840</v>
      </c>
      <c r="H617">
        <v>30</v>
      </c>
      <c r="I617">
        <v>2934424</v>
      </c>
      <c r="J617">
        <v>71421</v>
      </c>
      <c r="K617">
        <v>95</v>
      </c>
      <c r="L617">
        <v>1654510</v>
      </c>
      <c r="M617">
        <v>1726026</v>
      </c>
    </row>
    <row r="618" spans="1:13">
      <c r="A618">
        <v>664</v>
      </c>
      <c r="B618" s="331">
        <v>46162.854166666664</v>
      </c>
      <c r="C618" t="s">
        <v>26</v>
      </c>
      <c r="D618" t="s">
        <v>26</v>
      </c>
      <c r="E618" t="s">
        <v>4</v>
      </c>
      <c r="F618">
        <v>1900838</v>
      </c>
      <c r="G618">
        <v>25223</v>
      </c>
      <c r="H618">
        <v>176</v>
      </c>
      <c r="I618">
        <v>1926237</v>
      </c>
      <c r="J618">
        <v>55503</v>
      </c>
      <c r="K618">
        <v>271</v>
      </c>
      <c r="L618">
        <v>1141717</v>
      </c>
      <c r="M618">
        <v>1197491</v>
      </c>
    </row>
    <row r="619" spans="1:13">
      <c r="A619">
        <v>665</v>
      </c>
      <c r="B619" s="331">
        <v>46162.854166666664</v>
      </c>
      <c r="C619" t="s">
        <v>336</v>
      </c>
      <c r="D619" t="s">
        <v>336</v>
      </c>
      <c r="E619" t="s">
        <v>4</v>
      </c>
      <c r="F619">
        <v>725217</v>
      </c>
      <c r="G619">
        <v>3688</v>
      </c>
      <c r="H619">
        <v>0</v>
      </c>
      <c r="I619">
        <v>728905</v>
      </c>
      <c r="J619">
        <v>5177</v>
      </c>
      <c r="K619">
        <v>0</v>
      </c>
      <c r="L619">
        <v>430369</v>
      </c>
      <c r="M619">
        <v>435546</v>
      </c>
    </row>
    <row r="620" spans="1:13">
      <c r="A620">
        <v>667</v>
      </c>
      <c r="B620" s="331">
        <v>46162.854166666664</v>
      </c>
      <c r="C620" t="s">
        <v>29</v>
      </c>
      <c r="D620" t="s">
        <v>29</v>
      </c>
      <c r="E620" t="s">
        <v>4</v>
      </c>
      <c r="F620">
        <v>2273225</v>
      </c>
      <c r="G620">
        <v>23881</v>
      </c>
      <c r="H620">
        <v>20</v>
      </c>
      <c r="I620">
        <v>2297126</v>
      </c>
      <c r="J620">
        <v>77706</v>
      </c>
      <c r="K620">
        <v>103</v>
      </c>
      <c r="L620">
        <v>1363817</v>
      </c>
      <c r="M620">
        <v>1441626</v>
      </c>
    </row>
    <row r="621" spans="1:13">
      <c r="A621">
        <v>668</v>
      </c>
      <c r="B621" s="331">
        <v>46162.854166666664</v>
      </c>
      <c r="C621" t="s">
        <v>131</v>
      </c>
      <c r="D621" t="s">
        <v>131</v>
      </c>
      <c r="E621" t="s">
        <v>4</v>
      </c>
      <c r="F621">
        <v>3870898</v>
      </c>
      <c r="G621">
        <v>29332</v>
      </c>
      <c r="H621">
        <v>23</v>
      </c>
      <c r="I621">
        <v>3900253</v>
      </c>
      <c r="J621">
        <v>60016</v>
      </c>
      <c r="K621">
        <v>104</v>
      </c>
      <c r="L621">
        <v>2299278</v>
      </c>
      <c r="M621">
        <v>2359398</v>
      </c>
    </row>
    <row r="622" spans="1:13">
      <c r="A622">
        <v>669</v>
      </c>
      <c r="B622" s="331">
        <v>46162.854166666664</v>
      </c>
      <c r="C622" t="s">
        <v>1080</v>
      </c>
      <c r="D622" t="s">
        <v>1080</v>
      </c>
      <c r="E622" t="s">
        <v>372</v>
      </c>
      <c r="L622">
        <v>681064</v>
      </c>
      <c r="M622">
        <v>681064</v>
      </c>
    </row>
    <row r="623" spans="1:13">
      <c r="A623">
        <v>670</v>
      </c>
      <c r="B623" s="331">
        <v>46162.854166666664</v>
      </c>
      <c r="C623" t="s">
        <v>24</v>
      </c>
      <c r="D623" t="s">
        <v>24</v>
      </c>
      <c r="E623" t="s">
        <v>4</v>
      </c>
      <c r="F623">
        <v>1880292</v>
      </c>
      <c r="G623">
        <v>27963</v>
      </c>
      <c r="H623">
        <v>150</v>
      </c>
      <c r="I623">
        <v>1908405</v>
      </c>
      <c r="J623">
        <v>56603</v>
      </c>
      <c r="K623">
        <v>217</v>
      </c>
      <c r="L623">
        <v>1123889</v>
      </c>
      <c r="M623">
        <v>1180709</v>
      </c>
    </row>
    <row r="624" spans="1:13">
      <c r="A624">
        <v>671</v>
      </c>
      <c r="B624" s="331">
        <v>46162.854166666664</v>
      </c>
      <c r="C624" t="s">
        <v>21</v>
      </c>
      <c r="D624" t="s">
        <v>21</v>
      </c>
      <c r="E624" t="s">
        <v>4</v>
      </c>
      <c r="F624">
        <v>5705302</v>
      </c>
      <c r="G624">
        <v>56862</v>
      </c>
      <c r="H624">
        <v>643</v>
      </c>
      <c r="I624">
        <v>5762807</v>
      </c>
      <c r="J624">
        <v>106192</v>
      </c>
      <c r="K624">
        <v>1194</v>
      </c>
      <c r="L624">
        <v>3288554</v>
      </c>
      <c r="M624">
        <v>3395940</v>
      </c>
    </row>
    <row r="625" spans="1:13">
      <c r="A625">
        <v>672</v>
      </c>
      <c r="B625" s="331">
        <v>46162.854166666664</v>
      </c>
      <c r="C625" t="s">
        <v>33</v>
      </c>
      <c r="D625" t="s">
        <v>33</v>
      </c>
      <c r="E625" t="s">
        <v>4</v>
      </c>
      <c r="F625">
        <v>3684350</v>
      </c>
      <c r="G625">
        <v>27123</v>
      </c>
      <c r="H625">
        <v>26</v>
      </c>
      <c r="I625">
        <v>3711499</v>
      </c>
      <c r="J625">
        <v>52901</v>
      </c>
      <c r="K625">
        <v>115</v>
      </c>
      <c r="L625">
        <v>2192369</v>
      </c>
      <c r="M625">
        <v>2245385</v>
      </c>
    </row>
    <row r="626" spans="1:13">
      <c r="A626">
        <v>673</v>
      </c>
      <c r="B626" s="331">
        <v>46162.854166666664</v>
      </c>
      <c r="C626" t="s">
        <v>32</v>
      </c>
      <c r="D626" t="s">
        <v>32</v>
      </c>
      <c r="E626" t="s">
        <v>4</v>
      </c>
      <c r="F626">
        <v>3597953</v>
      </c>
      <c r="G626">
        <v>27236</v>
      </c>
      <c r="H626">
        <v>26</v>
      </c>
      <c r="I626">
        <v>3625215</v>
      </c>
      <c r="J626">
        <v>57457</v>
      </c>
      <c r="K626">
        <v>99</v>
      </c>
      <c r="L626">
        <v>2138384</v>
      </c>
      <c r="M626">
        <v>2195940</v>
      </c>
    </row>
    <row r="627" spans="1:13">
      <c r="A627">
        <v>674</v>
      </c>
      <c r="B627" s="331">
        <v>46162.854166666664</v>
      </c>
      <c r="C627" t="s">
        <v>105</v>
      </c>
      <c r="D627" t="s">
        <v>105</v>
      </c>
      <c r="E627" t="s">
        <v>4</v>
      </c>
      <c r="F627">
        <v>2477679</v>
      </c>
      <c r="G627">
        <v>26929</v>
      </c>
      <c r="H627">
        <v>183</v>
      </c>
      <c r="I627">
        <v>2504791</v>
      </c>
      <c r="J627">
        <v>52827</v>
      </c>
      <c r="K627">
        <v>288</v>
      </c>
      <c r="L627">
        <v>1465369</v>
      </c>
      <c r="M627">
        <v>1518484</v>
      </c>
    </row>
    <row r="628" spans="1:13">
      <c r="A628">
        <v>675</v>
      </c>
      <c r="B628" s="331">
        <v>46162.852777777778</v>
      </c>
      <c r="C628" t="s">
        <v>31</v>
      </c>
      <c r="D628" t="s">
        <v>31</v>
      </c>
      <c r="E628" t="s">
        <v>4</v>
      </c>
      <c r="F628">
        <v>2910814</v>
      </c>
      <c r="G628">
        <v>23915</v>
      </c>
      <c r="H628">
        <v>30</v>
      </c>
      <c r="I628">
        <v>2934759</v>
      </c>
      <c r="J628">
        <v>71451</v>
      </c>
      <c r="K628">
        <v>98</v>
      </c>
      <c r="L628">
        <v>1654676</v>
      </c>
      <c r="M628">
        <v>1726225</v>
      </c>
    </row>
    <row r="629" spans="1:13">
      <c r="A629">
        <v>676</v>
      </c>
      <c r="B629" s="331">
        <v>46162.852777777778</v>
      </c>
      <c r="C629" t="s">
        <v>132</v>
      </c>
      <c r="D629" t="s">
        <v>132</v>
      </c>
      <c r="E629" t="s">
        <v>4</v>
      </c>
      <c r="F629">
        <v>3873261</v>
      </c>
      <c r="G629">
        <v>29010</v>
      </c>
      <c r="H629">
        <v>18</v>
      </c>
      <c r="I629">
        <v>3902289</v>
      </c>
      <c r="J629">
        <v>59000</v>
      </c>
      <c r="K629">
        <v>87</v>
      </c>
      <c r="L629">
        <v>2298664</v>
      </c>
      <c r="M629">
        <v>2357751</v>
      </c>
    </row>
    <row r="630" spans="1:13">
      <c r="A630">
        <v>677</v>
      </c>
      <c r="B630" s="331">
        <v>46162.852777777778</v>
      </c>
      <c r="C630" t="s">
        <v>34</v>
      </c>
      <c r="D630" t="s">
        <v>34</v>
      </c>
      <c r="E630" t="s">
        <v>4</v>
      </c>
      <c r="F630">
        <v>3813358</v>
      </c>
      <c r="G630">
        <v>28880</v>
      </c>
      <c r="H630">
        <v>23</v>
      </c>
      <c r="I630">
        <v>3842261</v>
      </c>
      <c r="J630">
        <v>63461</v>
      </c>
      <c r="K630">
        <v>89</v>
      </c>
      <c r="L630">
        <v>2279421</v>
      </c>
      <c r="M630">
        <v>2342971</v>
      </c>
    </row>
    <row r="631" spans="1:13">
      <c r="A631">
        <v>678</v>
      </c>
      <c r="B631" s="331">
        <v>46162.852777777778</v>
      </c>
      <c r="C631" t="s">
        <v>21</v>
      </c>
      <c r="D631" t="s">
        <v>21</v>
      </c>
      <c r="E631" t="s">
        <v>4</v>
      </c>
      <c r="F631">
        <v>5705489</v>
      </c>
      <c r="G631">
        <v>56861</v>
      </c>
      <c r="H631">
        <v>636</v>
      </c>
      <c r="I631">
        <v>5762986</v>
      </c>
      <c r="J631">
        <v>106104</v>
      </c>
      <c r="K631">
        <v>1184</v>
      </c>
      <c r="L631">
        <v>3288926</v>
      </c>
      <c r="M631">
        <v>3396214</v>
      </c>
    </row>
    <row r="632" spans="1:13">
      <c r="A632">
        <v>679</v>
      </c>
      <c r="B632" s="331">
        <v>46162.852777777778</v>
      </c>
      <c r="C632" t="s">
        <v>346</v>
      </c>
      <c r="D632" t="s">
        <v>346</v>
      </c>
      <c r="E632" t="s">
        <v>4</v>
      </c>
      <c r="F632">
        <v>2447493</v>
      </c>
      <c r="G632">
        <v>29970</v>
      </c>
      <c r="H632">
        <v>0</v>
      </c>
      <c r="I632">
        <v>2477463</v>
      </c>
      <c r="J632">
        <v>52301</v>
      </c>
      <c r="K632">
        <v>0</v>
      </c>
      <c r="L632">
        <v>1404642</v>
      </c>
      <c r="M632">
        <v>1456943</v>
      </c>
    </row>
    <row r="633" spans="1:13">
      <c r="A633">
        <v>681</v>
      </c>
      <c r="B633" s="331">
        <v>46162.852777777778</v>
      </c>
      <c r="C633" t="s">
        <v>32</v>
      </c>
      <c r="D633" t="s">
        <v>32</v>
      </c>
      <c r="E633" t="s">
        <v>4</v>
      </c>
      <c r="F633">
        <v>3598200</v>
      </c>
      <c r="G633">
        <v>27225</v>
      </c>
      <c r="H633">
        <v>25</v>
      </c>
      <c r="I633">
        <v>3625450</v>
      </c>
      <c r="J633">
        <v>57396</v>
      </c>
      <c r="K633">
        <v>100</v>
      </c>
      <c r="L633">
        <v>2138412</v>
      </c>
      <c r="M633">
        <v>2195908</v>
      </c>
    </row>
    <row r="634" spans="1:13">
      <c r="A634">
        <v>682</v>
      </c>
      <c r="B634" s="331">
        <v>46162.852777777778</v>
      </c>
      <c r="C634" t="s">
        <v>20</v>
      </c>
      <c r="D634" t="s">
        <v>20</v>
      </c>
      <c r="E634" t="s">
        <v>4</v>
      </c>
      <c r="F634">
        <v>6091953</v>
      </c>
      <c r="G634">
        <v>61736</v>
      </c>
      <c r="H634">
        <v>757</v>
      </c>
      <c r="I634">
        <v>6154446</v>
      </c>
      <c r="J634">
        <v>121942</v>
      </c>
      <c r="K634">
        <v>1335</v>
      </c>
      <c r="L634">
        <v>3472199</v>
      </c>
      <c r="M634">
        <v>3595476</v>
      </c>
    </row>
    <row r="635" spans="1:13">
      <c r="A635">
        <v>683</v>
      </c>
      <c r="B635" s="331">
        <v>46162.852777777778</v>
      </c>
      <c r="C635" t="s">
        <v>1111</v>
      </c>
      <c r="D635" t="s">
        <v>1111</v>
      </c>
      <c r="E635" t="s">
        <v>4</v>
      </c>
      <c r="F635">
        <v>860905</v>
      </c>
      <c r="G635">
        <v>6764</v>
      </c>
      <c r="H635">
        <v>0</v>
      </c>
      <c r="I635">
        <v>867669</v>
      </c>
      <c r="J635">
        <v>13314</v>
      </c>
      <c r="K635">
        <v>0</v>
      </c>
      <c r="L635">
        <v>506861</v>
      </c>
      <c r="M635">
        <v>520175</v>
      </c>
    </row>
    <row r="636" spans="1:13">
      <c r="A636">
        <v>684</v>
      </c>
      <c r="B636" s="331">
        <v>46162.852777777778</v>
      </c>
      <c r="C636" t="s">
        <v>107</v>
      </c>
      <c r="D636" t="s">
        <v>107</v>
      </c>
      <c r="E636" t="s">
        <v>4</v>
      </c>
      <c r="F636">
        <v>4495907</v>
      </c>
      <c r="G636">
        <v>50739</v>
      </c>
      <c r="H636">
        <v>638</v>
      </c>
      <c r="I636">
        <v>4547284</v>
      </c>
      <c r="J636">
        <v>96782</v>
      </c>
      <c r="K636">
        <v>1116</v>
      </c>
      <c r="L636">
        <v>2591513</v>
      </c>
      <c r="M636">
        <v>2689411</v>
      </c>
    </row>
    <row r="637" spans="1:13">
      <c r="A637">
        <v>685</v>
      </c>
      <c r="B637" s="331">
        <v>46162.852777777778</v>
      </c>
      <c r="C637" t="s">
        <v>27</v>
      </c>
      <c r="D637" t="s">
        <v>27</v>
      </c>
      <c r="E637" t="s">
        <v>4</v>
      </c>
      <c r="F637">
        <v>1816660</v>
      </c>
      <c r="G637">
        <v>25260</v>
      </c>
      <c r="H637">
        <v>171</v>
      </c>
      <c r="I637">
        <v>1842091</v>
      </c>
      <c r="J637">
        <v>52454</v>
      </c>
      <c r="K637">
        <v>282</v>
      </c>
      <c r="L637">
        <v>1087967</v>
      </c>
      <c r="M637">
        <v>1140703</v>
      </c>
    </row>
    <row r="638" spans="1:13">
      <c r="A638">
        <v>686</v>
      </c>
      <c r="B638" s="331">
        <v>46162.852777777778</v>
      </c>
      <c r="C638" t="s">
        <v>106</v>
      </c>
      <c r="D638" t="s">
        <v>106</v>
      </c>
      <c r="E638" t="s">
        <v>4</v>
      </c>
      <c r="F638">
        <v>2975992</v>
      </c>
      <c r="G638">
        <v>39292</v>
      </c>
      <c r="H638">
        <v>489</v>
      </c>
      <c r="I638">
        <v>3015773</v>
      </c>
      <c r="J638">
        <v>69371</v>
      </c>
      <c r="K638">
        <v>876</v>
      </c>
      <c r="L638">
        <v>1691457</v>
      </c>
      <c r="M638">
        <v>1761704</v>
      </c>
    </row>
    <row r="639" spans="1:13">
      <c r="A639">
        <v>687</v>
      </c>
      <c r="B639" s="331">
        <v>46162.852777777778</v>
      </c>
      <c r="C639" t="s">
        <v>690</v>
      </c>
      <c r="D639" t="s">
        <v>690</v>
      </c>
      <c r="E639" t="s">
        <v>4</v>
      </c>
      <c r="F639">
        <v>1602205</v>
      </c>
      <c r="G639">
        <v>15472</v>
      </c>
      <c r="H639">
        <v>0</v>
      </c>
      <c r="I639">
        <v>1617677</v>
      </c>
      <c r="J639">
        <v>29754</v>
      </c>
      <c r="K639">
        <v>0</v>
      </c>
      <c r="L639">
        <v>947635</v>
      </c>
      <c r="M639">
        <v>977389</v>
      </c>
    </row>
    <row r="640" spans="1:13">
      <c r="A640">
        <v>688</v>
      </c>
      <c r="B640" s="331">
        <v>46162.852777777778</v>
      </c>
      <c r="C640" t="s">
        <v>24</v>
      </c>
      <c r="D640" t="s">
        <v>24</v>
      </c>
      <c r="E640" t="s">
        <v>4</v>
      </c>
      <c r="F640">
        <v>1880536</v>
      </c>
      <c r="G640">
        <v>27875</v>
      </c>
      <c r="H640">
        <v>159</v>
      </c>
      <c r="I640">
        <v>1908570</v>
      </c>
      <c r="J640">
        <v>56514</v>
      </c>
      <c r="K640">
        <v>222</v>
      </c>
      <c r="L640">
        <v>1124002</v>
      </c>
      <c r="M640">
        <v>1180738</v>
      </c>
    </row>
    <row r="641" spans="1:13">
      <c r="A641">
        <v>689</v>
      </c>
      <c r="B641" s="331">
        <v>46162.852777777778</v>
      </c>
      <c r="C641" t="s">
        <v>35</v>
      </c>
      <c r="D641" t="s">
        <v>35</v>
      </c>
      <c r="E641" t="s">
        <v>4</v>
      </c>
      <c r="F641">
        <v>3932272</v>
      </c>
      <c r="G641">
        <v>27710</v>
      </c>
      <c r="H641">
        <v>15</v>
      </c>
      <c r="I641">
        <v>3959997</v>
      </c>
      <c r="J641">
        <v>55614</v>
      </c>
      <c r="K641">
        <v>85</v>
      </c>
      <c r="L641">
        <v>2335780</v>
      </c>
      <c r="M641">
        <v>2391479</v>
      </c>
    </row>
    <row r="642" spans="1:13">
      <c r="A642">
        <v>690</v>
      </c>
      <c r="B642" s="331">
        <v>46162.852777777778</v>
      </c>
      <c r="C642" t="s">
        <v>29</v>
      </c>
      <c r="D642" t="s">
        <v>29</v>
      </c>
      <c r="E642" t="s">
        <v>4</v>
      </c>
      <c r="F642">
        <v>2273526</v>
      </c>
      <c r="G642">
        <v>23796</v>
      </c>
      <c r="H642">
        <v>21</v>
      </c>
      <c r="I642">
        <v>2297343</v>
      </c>
      <c r="J642">
        <v>77608</v>
      </c>
      <c r="K642">
        <v>103</v>
      </c>
      <c r="L642">
        <v>1363989</v>
      </c>
      <c r="M642">
        <v>1441700</v>
      </c>
    </row>
    <row r="643" spans="1:13">
      <c r="A643">
        <v>691</v>
      </c>
      <c r="B643" s="331">
        <v>46162.852777777778</v>
      </c>
      <c r="C643" t="s">
        <v>105</v>
      </c>
      <c r="D643" t="s">
        <v>105</v>
      </c>
      <c r="E643" t="s">
        <v>4</v>
      </c>
      <c r="F643">
        <v>2477494</v>
      </c>
      <c r="G643">
        <v>26987</v>
      </c>
      <c r="H643">
        <v>181</v>
      </c>
      <c r="I643">
        <v>2504662</v>
      </c>
      <c r="J643">
        <v>52889</v>
      </c>
      <c r="K643">
        <v>288</v>
      </c>
      <c r="L643">
        <v>1465367</v>
      </c>
      <c r="M643">
        <v>1518544</v>
      </c>
    </row>
    <row r="644" spans="1:13">
      <c r="A644">
        <v>692</v>
      </c>
      <c r="B644" s="331">
        <v>46162.852777777778</v>
      </c>
      <c r="C644" t="s">
        <v>345</v>
      </c>
      <c r="D644" t="s">
        <v>345</v>
      </c>
      <c r="E644" t="s">
        <v>4</v>
      </c>
      <c r="F644">
        <v>2018713</v>
      </c>
      <c r="G644">
        <v>27471</v>
      </c>
      <c r="H644">
        <v>0</v>
      </c>
      <c r="I644">
        <v>2046184</v>
      </c>
      <c r="J644">
        <v>45588</v>
      </c>
      <c r="K644">
        <v>0</v>
      </c>
      <c r="L644">
        <v>1141176</v>
      </c>
      <c r="M644">
        <v>1186764</v>
      </c>
    </row>
    <row r="645" spans="1:13">
      <c r="A645">
        <v>693</v>
      </c>
      <c r="B645" s="331">
        <v>46162.852777777778</v>
      </c>
      <c r="C645" t="s">
        <v>689</v>
      </c>
      <c r="D645" t="s">
        <v>689</v>
      </c>
      <c r="E645" t="s">
        <v>4</v>
      </c>
      <c r="F645">
        <v>1922084</v>
      </c>
      <c r="G645">
        <v>17053</v>
      </c>
      <c r="H645">
        <v>0</v>
      </c>
      <c r="I645">
        <v>1939137</v>
      </c>
      <c r="J645">
        <v>31219</v>
      </c>
      <c r="K645">
        <v>0</v>
      </c>
      <c r="L645">
        <v>1125051</v>
      </c>
      <c r="M645">
        <v>1156270</v>
      </c>
    </row>
    <row r="646" spans="1:13">
      <c r="A646">
        <v>694</v>
      </c>
      <c r="B646" s="331">
        <v>46162.852777777778</v>
      </c>
      <c r="C646" t="s">
        <v>691</v>
      </c>
      <c r="D646" t="s">
        <v>691</v>
      </c>
      <c r="E646" t="s">
        <v>4</v>
      </c>
      <c r="F646">
        <v>1599433</v>
      </c>
      <c r="G646">
        <v>15390</v>
      </c>
      <c r="H646">
        <v>0</v>
      </c>
      <c r="I646">
        <v>1614823</v>
      </c>
      <c r="J646">
        <v>29681</v>
      </c>
      <c r="K646">
        <v>0</v>
      </c>
      <c r="L646">
        <v>945665</v>
      </c>
      <c r="M646">
        <v>975346</v>
      </c>
    </row>
    <row r="647" spans="1:13">
      <c r="A647">
        <v>695</v>
      </c>
      <c r="B647" s="331">
        <v>46162.852777777778</v>
      </c>
      <c r="C647" t="s">
        <v>17</v>
      </c>
      <c r="D647" t="s">
        <v>17</v>
      </c>
      <c r="E647" t="s">
        <v>4</v>
      </c>
      <c r="F647">
        <v>3687473</v>
      </c>
      <c r="G647">
        <v>47061</v>
      </c>
      <c r="H647">
        <v>498</v>
      </c>
      <c r="I647">
        <v>3735032</v>
      </c>
      <c r="J647">
        <v>108800</v>
      </c>
      <c r="K647">
        <v>973</v>
      </c>
      <c r="L647">
        <v>2118044</v>
      </c>
      <c r="M647">
        <v>2227817</v>
      </c>
    </row>
    <row r="648" spans="1:13">
      <c r="A648">
        <v>696</v>
      </c>
      <c r="B648" s="331">
        <v>46162.852777777778</v>
      </c>
      <c r="C648" t="s">
        <v>108</v>
      </c>
      <c r="D648" t="s">
        <v>108</v>
      </c>
      <c r="E648" t="s">
        <v>4</v>
      </c>
      <c r="F648">
        <v>4460626</v>
      </c>
      <c r="G648">
        <v>49424</v>
      </c>
      <c r="H648">
        <v>641</v>
      </c>
      <c r="I648">
        <v>4510691</v>
      </c>
      <c r="J648">
        <v>94845</v>
      </c>
      <c r="K648">
        <v>1151</v>
      </c>
      <c r="L648">
        <v>2571989</v>
      </c>
      <c r="M648">
        <v>2667985</v>
      </c>
    </row>
    <row r="649" spans="1:13">
      <c r="A649">
        <v>697</v>
      </c>
      <c r="B649" s="331">
        <v>46162.852777777778</v>
      </c>
      <c r="C649" t="s">
        <v>1133</v>
      </c>
      <c r="D649" t="s">
        <v>1133</v>
      </c>
      <c r="E649" t="s">
        <v>4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</row>
    <row r="650" spans="1:13">
      <c r="A650">
        <v>698</v>
      </c>
      <c r="B650" s="331">
        <v>46162.852777777778</v>
      </c>
      <c r="C650" t="s">
        <v>22</v>
      </c>
      <c r="D650" t="s">
        <v>22</v>
      </c>
      <c r="E650" t="s">
        <v>4</v>
      </c>
      <c r="F650">
        <v>2851937</v>
      </c>
      <c r="G650">
        <v>36389</v>
      </c>
      <c r="H650">
        <v>379</v>
      </c>
      <c r="I650">
        <v>2888705</v>
      </c>
      <c r="J650">
        <v>63159</v>
      </c>
      <c r="K650">
        <v>673</v>
      </c>
      <c r="L650">
        <v>1622335</v>
      </c>
      <c r="M650">
        <v>1686167</v>
      </c>
    </row>
    <row r="651" spans="1:13">
      <c r="A651">
        <v>699</v>
      </c>
      <c r="B651" s="331">
        <v>46162.852777777778</v>
      </c>
      <c r="C651" t="s">
        <v>1112</v>
      </c>
      <c r="D651" t="s">
        <v>1112</v>
      </c>
      <c r="E651" t="s">
        <v>4</v>
      </c>
      <c r="F651">
        <v>866449</v>
      </c>
      <c r="G651">
        <v>6782</v>
      </c>
      <c r="H651">
        <v>0</v>
      </c>
      <c r="I651">
        <v>873231</v>
      </c>
      <c r="J651">
        <v>13322</v>
      </c>
      <c r="K651">
        <v>0</v>
      </c>
      <c r="L651">
        <v>510263</v>
      </c>
      <c r="M651">
        <v>523585</v>
      </c>
    </row>
    <row r="652" spans="1:13">
      <c r="A652">
        <v>700</v>
      </c>
      <c r="B652" s="331">
        <v>46162.852777777778</v>
      </c>
      <c r="C652" t="s">
        <v>16</v>
      </c>
      <c r="D652" t="s">
        <v>16</v>
      </c>
      <c r="E652" t="s">
        <v>4</v>
      </c>
      <c r="F652">
        <v>3295552</v>
      </c>
      <c r="G652">
        <v>43718</v>
      </c>
      <c r="H652">
        <v>500</v>
      </c>
      <c r="I652">
        <v>3339770</v>
      </c>
      <c r="J652">
        <v>106826</v>
      </c>
      <c r="K652">
        <v>1003</v>
      </c>
      <c r="L652">
        <v>1910832</v>
      </c>
      <c r="M652">
        <v>2018661</v>
      </c>
    </row>
    <row r="653" spans="1:13">
      <c r="A653">
        <v>701</v>
      </c>
      <c r="B653" s="331">
        <v>46162.852777777778</v>
      </c>
      <c r="C653" t="s">
        <v>26</v>
      </c>
      <c r="D653" t="s">
        <v>26</v>
      </c>
      <c r="E653" t="s">
        <v>4</v>
      </c>
      <c r="F653">
        <v>1900892</v>
      </c>
      <c r="G653">
        <v>25161</v>
      </c>
      <c r="H653">
        <v>172</v>
      </c>
      <c r="I653">
        <v>1926225</v>
      </c>
      <c r="J653">
        <v>55429</v>
      </c>
      <c r="K653">
        <v>265</v>
      </c>
      <c r="L653">
        <v>1141848</v>
      </c>
      <c r="M653">
        <v>1197542</v>
      </c>
    </row>
    <row r="654" spans="1:13">
      <c r="A654">
        <v>702</v>
      </c>
      <c r="B654" s="331">
        <v>46162.852777777778</v>
      </c>
      <c r="C654" t="s">
        <v>19</v>
      </c>
      <c r="D654" t="s">
        <v>19</v>
      </c>
      <c r="E654" t="s">
        <v>4</v>
      </c>
      <c r="F654">
        <v>5460125</v>
      </c>
      <c r="G654">
        <v>58227</v>
      </c>
      <c r="H654">
        <v>693</v>
      </c>
      <c r="I654">
        <v>5519045</v>
      </c>
      <c r="J654">
        <v>115873</v>
      </c>
      <c r="K654">
        <v>1217</v>
      </c>
      <c r="L654">
        <v>3150468</v>
      </c>
      <c r="M654">
        <v>3267558</v>
      </c>
    </row>
    <row r="655" spans="1:13">
      <c r="A655">
        <v>704</v>
      </c>
      <c r="B655" s="331">
        <v>46162.852777777778</v>
      </c>
      <c r="C655" t="s">
        <v>131</v>
      </c>
      <c r="D655" t="s">
        <v>131</v>
      </c>
      <c r="E655" t="s">
        <v>4</v>
      </c>
      <c r="F655">
        <v>3871363</v>
      </c>
      <c r="G655">
        <v>29206</v>
      </c>
      <c r="H655">
        <v>23</v>
      </c>
      <c r="I655">
        <v>3900592</v>
      </c>
      <c r="J655">
        <v>59907</v>
      </c>
      <c r="K655">
        <v>104</v>
      </c>
      <c r="L655">
        <v>2299579</v>
      </c>
      <c r="M655">
        <v>2359590</v>
      </c>
    </row>
    <row r="656" spans="1:13">
      <c r="A656">
        <v>706</v>
      </c>
      <c r="B656" s="331">
        <v>46162.852777777778</v>
      </c>
      <c r="C656" t="s">
        <v>33</v>
      </c>
      <c r="D656" t="s">
        <v>33</v>
      </c>
      <c r="E656" t="s">
        <v>4</v>
      </c>
      <c r="F656">
        <v>3684869</v>
      </c>
      <c r="G656">
        <v>26995</v>
      </c>
      <c r="H656">
        <v>26</v>
      </c>
      <c r="I656">
        <v>3711890</v>
      </c>
      <c r="J656">
        <v>52778</v>
      </c>
      <c r="K656">
        <v>115</v>
      </c>
      <c r="L656">
        <v>2192528</v>
      </c>
      <c r="M656">
        <v>2245421</v>
      </c>
    </row>
    <row r="657" spans="1:13">
      <c r="A657">
        <v>707</v>
      </c>
      <c r="B657" s="331">
        <v>46162.852777777778</v>
      </c>
      <c r="C657" t="s">
        <v>18</v>
      </c>
      <c r="D657" t="s">
        <v>18</v>
      </c>
      <c r="E657" t="s">
        <v>4</v>
      </c>
      <c r="F657">
        <v>5726076</v>
      </c>
      <c r="G657">
        <v>60971</v>
      </c>
      <c r="H657">
        <v>709</v>
      </c>
      <c r="I657">
        <v>5787756</v>
      </c>
      <c r="J657">
        <v>125308</v>
      </c>
      <c r="K657">
        <v>1337</v>
      </c>
      <c r="L657">
        <v>3306846</v>
      </c>
      <c r="M657">
        <v>3433491</v>
      </c>
    </row>
    <row r="658" spans="1:13">
      <c r="A658">
        <v>708</v>
      </c>
      <c r="B658" s="331">
        <v>46162.852777777778</v>
      </c>
      <c r="C658" t="s">
        <v>336</v>
      </c>
      <c r="D658" t="s">
        <v>336</v>
      </c>
      <c r="E658" t="s">
        <v>4</v>
      </c>
      <c r="F658">
        <v>725385</v>
      </c>
      <c r="G658">
        <v>3653</v>
      </c>
      <c r="H658">
        <v>0</v>
      </c>
      <c r="I658">
        <v>729038</v>
      </c>
      <c r="J658">
        <v>5151</v>
      </c>
      <c r="K658">
        <v>0</v>
      </c>
      <c r="L658">
        <v>430430</v>
      </c>
      <c r="M658">
        <v>435581</v>
      </c>
    </row>
    <row r="659" spans="1:13">
      <c r="A659">
        <v>709</v>
      </c>
      <c r="B659" s="331">
        <v>46162.852777777778</v>
      </c>
      <c r="C659" t="s">
        <v>1067</v>
      </c>
      <c r="D659" t="s">
        <v>1067</v>
      </c>
      <c r="E659" t="s">
        <v>4</v>
      </c>
      <c r="F659">
        <v>614184</v>
      </c>
      <c r="G659">
        <v>10498</v>
      </c>
      <c r="H659">
        <v>0</v>
      </c>
      <c r="I659">
        <v>624682</v>
      </c>
      <c r="J659">
        <v>21495</v>
      </c>
      <c r="K659">
        <v>0</v>
      </c>
      <c r="L659">
        <v>372897</v>
      </c>
      <c r="M659">
        <v>394392</v>
      </c>
    </row>
    <row r="660" spans="1:13">
      <c r="A660">
        <v>710</v>
      </c>
      <c r="B660" s="331">
        <v>46162.852777777778</v>
      </c>
      <c r="C660" t="s">
        <v>1068</v>
      </c>
      <c r="D660" t="s">
        <v>1068</v>
      </c>
      <c r="E660" t="s">
        <v>4</v>
      </c>
      <c r="F660">
        <v>615035</v>
      </c>
      <c r="G660">
        <v>10491</v>
      </c>
      <c r="H660">
        <v>0</v>
      </c>
      <c r="I660">
        <v>625526</v>
      </c>
      <c r="J660">
        <v>21603</v>
      </c>
      <c r="K660">
        <v>0</v>
      </c>
      <c r="L660">
        <v>373281</v>
      </c>
      <c r="M660">
        <v>394884</v>
      </c>
    </row>
    <row r="661" spans="1:13">
      <c r="A661">
        <v>711</v>
      </c>
      <c r="B661" s="331">
        <v>46162.851388888892</v>
      </c>
      <c r="C661" t="s">
        <v>106</v>
      </c>
      <c r="D661" t="s">
        <v>106</v>
      </c>
      <c r="E661" t="s">
        <v>4</v>
      </c>
      <c r="F661">
        <v>2976167</v>
      </c>
      <c r="G661">
        <v>39286</v>
      </c>
      <c r="H661">
        <v>494</v>
      </c>
      <c r="I661">
        <v>3015947</v>
      </c>
      <c r="J661">
        <v>69292</v>
      </c>
      <c r="K661">
        <v>882</v>
      </c>
      <c r="L661">
        <v>1691651</v>
      </c>
      <c r="M661">
        <v>1761825</v>
      </c>
    </row>
    <row r="662" spans="1:13">
      <c r="A662">
        <v>712</v>
      </c>
      <c r="B662" s="331">
        <v>46162.851388888892</v>
      </c>
      <c r="C662" t="s">
        <v>24</v>
      </c>
      <c r="D662" t="s">
        <v>24</v>
      </c>
      <c r="E662" t="s">
        <v>4</v>
      </c>
      <c r="F662">
        <v>1880702</v>
      </c>
      <c r="G662">
        <v>27749</v>
      </c>
      <c r="H662">
        <v>155</v>
      </c>
      <c r="I662">
        <v>1908606</v>
      </c>
      <c r="J662">
        <v>56412</v>
      </c>
      <c r="K662">
        <v>219</v>
      </c>
      <c r="L662">
        <v>1124038</v>
      </c>
      <c r="M662">
        <v>1180669</v>
      </c>
    </row>
    <row r="663" spans="1:13">
      <c r="A663">
        <v>713</v>
      </c>
      <c r="B663" s="331">
        <v>46162.851388888892</v>
      </c>
      <c r="C663" t="s">
        <v>34</v>
      </c>
      <c r="D663" t="s">
        <v>34</v>
      </c>
      <c r="E663" t="s">
        <v>4</v>
      </c>
      <c r="F663">
        <v>3813654</v>
      </c>
      <c r="G663">
        <v>29078</v>
      </c>
      <c r="H663">
        <v>22</v>
      </c>
      <c r="I663">
        <v>3842754</v>
      </c>
      <c r="J663">
        <v>63650</v>
      </c>
      <c r="K663">
        <v>89</v>
      </c>
      <c r="L663">
        <v>2279478</v>
      </c>
      <c r="M663">
        <v>2343217</v>
      </c>
    </row>
    <row r="664" spans="1:13">
      <c r="A664">
        <v>714</v>
      </c>
      <c r="B664" s="331">
        <v>46162.851388888892</v>
      </c>
      <c r="C664" t="s">
        <v>19</v>
      </c>
      <c r="D664" t="s">
        <v>19</v>
      </c>
      <c r="E664" t="s">
        <v>4</v>
      </c>
      <c r="F664">
        <v>5460466</v>
      </c>
      <c r="G664">
        <v>58223</v>
      </c>
      <c r="H664">
        <v>705</v>
      </c>
      <c r="I664">
        <v>5519394</v>
      </c>
      <c r="J664">
        <v>115895</v>
      </c>
      <c r="K664">
        <v>1223</v>
      </c>
      <c r="L664">
        <v>3150787</v>
      </c>
      <c r="M664">
        <v>3267905</v>
      </c>
    </row>
    <row r="665" spans="1:13">
      <c r="A665">
        <v>715</v>
      </c>
      <c r="B665" s="331">
        <v>46162.851388888892</v>
      </c>
      <c r="C665" t="s">
        <v>105</v>
      </c>
      <c r="D665" t="s">
        <v>105</v>
      </c>
      <c r="E665" t="s">
        <v>4</v>
      </c>
      <c r="F665">
        <v>2477893</v>
      </c>
      <c r="G665">
        <v>27007</v>
      </c>
      <c r="H665">
        <v>178</v>
      </c>
      <c r="I665">
        <v>2505078</v>
      </c>
      <c r="J665">
        <v>52845</v>
      </c>
      <c r="K665">
        <v>283</v>
      </c>
      <c r="L665">
        <v>1465546</v>
      </c>
      <c r="M665">
        <v>1518674</v>
      </c>
    </row>
    <row r="666" spans="1:13">
      <c r="A666">
        <v>716</v>
      </c>
      <c r="B666" s="331">
        <v>46162.851388888892</v>
      </c>
      <c r="C666" t="s">
        <v>1067</v>
      </c>
      <c r="D666" t="s">
        <v>1067</v>
      </c>
      <c r="E666" t="s">
        <v>4</v>
      </c>
      <c r="F666">
        <v>614251</v>
      </c>
      <c r="G666">
        <v>10511</v>
      </c>
      <c r="H666">
        <v>0</v>
      </c>
      <c r="I666">
        <v>624762</v>
      </c>
      <c r="J666">
        <v>21494</v>
      </c>
      <c r="K666">
        <v>0</v>
      </c>
      <c r="L666">
        <v>372927</v>
      </c>
      <c r="M666">
        <v>394421</v>
      </c>
    </row>
    <row r="667" spans="1:13">
      <c r="A667">
        <v>717</v>
      </c>
      <c r="B667" s="331">
        <v>46162.851388888892</v>
      </c>
      <c r="C667" t="s">
        <v>33</v>
      </c>
      <c r="D667" t="s">
        <v>33</v>
      </c>
      <c r="E667" t="s">
        <v>4</v>
      </c>
      <c r="F667">
        <v>3685283</v>
      </c>
      <c r="G667">
        <v>26834</v>
      </c>
      <c r="H667">
        <v>28</v>
      </c>
      <c r="I667">
        <v>3712145</v>
      </c>
      <c r="J667">
        <v>52565</v>
      </c>
      <c r="K667">
        <v>117</v>
      </c>
      <c r="L667">
        <v>2192699</v>
      </c>
      <c r="M667">
        <v>2245381</v>
      </c>
    </row>
    <row r="668" spans="1:13">
      <c r="A668">
        <v>718</v>
      </c>
      <c r="B668" s="331">
        <v>46162.851388888892</v>
      </c>
      <c r="C668" t="s">
        <v>32</v>
      </c>
      <c r="D668" t="s">
        <v>32</v>
      </c>
      <c r="E668" t="s">
        <v>4</v>
      </c>
      <c r="F668">
        <v>3598791</v>
      </c>
      <c r="G668">
        <v>27076</v>
      </c>
      <c r="H668">
        <v>25</v>
      </c>
      <c r="I668">
        <v>3625892</v>
      </c>
      <c r="J668">
        <v>57284</v>
      </c>
      <c r="K668">
        <v>99</v>
      </c>
      <c r="L668">
        <v>2138729</v>
      </c>
      <c r="M668">
        <v>2196112</v>
      </c>
    </row>
    <row r="669" spans="1:13">
      <c r="A669">
        <v>719</v>
      </c>
      <c r="B669" s="331">
        <v>46162.851388888892</v>
      </c>
      <c r="C669" t="s">
        <v>690</v>
      </c>
      <c r="D669" t="s">
        <v>690</v>
      </c>
      <c r="E669" t="s">
        <v>4</v>
      </c>
      <c r="F669">
        <v>1601953</v>
      </c>
      <c r="G669">
        <v>15561</v>
      </c>
      <c r="H669">
        <v>0</v>
      </c>
      <c r="I669">
        <v>1617514</v>
      </c>
      <c r="J669">
        <v>29797</v>
      </c>
      <c r="K669">
        <v>0</v>
      </c>
      <c r="L669">
        <v>947580</v>
      </c>
      <c r="M669">
        <v>977377</v>
      </c>
    </row>
    <row r="670" spans="1:13">
      <c r="A670">
        <v>720</v>
      </c>
      <c r="B670" s="331">
        <v>46162.851388888892</v>
      </c>
      <c r="C670" t="s">
        <v>336</v>
      </c>
      <c r="D670" t="s">
        <v>336</v>
      </c>
      <c r="E670" t="s">
        <v>4</v>
      </c>
      <c r="F670">
        <v>725399</v>
      </c>
      <c r="G670">
        <v>3599</v>
      </c>
      <c r="H670">
        <v>0</v>
      </c>
      <c r="I670">
        <v>728998</v>
      </c>
      <c r="J670">
        <v>5103</v>
      </c>
      <c r="K670">
        <v>0</v>
      </c>
      <c r="L670">
        <v>430431</v>
      </c>
      <c r="M670">
        <v>435534</v>
      </c>
    </row>
    <row r="671" spans="1:13">
      <c r="A671">
        <v>721</v>
      </c>
      <c r="B671" s="331">
        <v>46162.851388888892</v>
      </c>
      <c r="C671" t="s">
        <v>345</v>
      </c>
      <c r="D671" t="s">
        <v>345</v>
      </c>
      <c r="E671" t="s">
        <v>4</v>
      </c>
      <c r="F671">
        <v>2018886</v>
      </c>
      <c r="G671">
        <v>27503</v>
      </c>
      <c r="H671">
        <v>0</v>
      </c>
      <c r="I671">
        <v>2046389</v>
      </c>
      <c r="J671">
        <v>45561</v>
      </c>
      <c r="K671">
        <v>0</v>
      </c>
      <c r="L671">
        <v>1141358</v>
      </c>
      <c r="M671">
        <v>1186919</v>
      </c>
    </row>
    <row r="672" spans="1:13">
      <c r="A672">
        <v>722</v>
      </c>
      <c r="B672" s="331">
        <v>46162.851388888892</v>
      </c>
      <c r="C672" t="s">
        <v>21</v>
      </c>
      <c r="D672" t="s">
        <v>21</v>
      </c>
      <c r="E672" t="s">
        <v>4</v>
      </c>
      <c r="F672">
        <v>5705839</v>
      </c>
      <c r="G672">
        <v>56734</v>
      </c>
      <c r="H672">
        <v>644</v>
      </c>
      <c r="I672">
        <v>5763217</v>
      </c>
      <c r="J672">
        <v>105963</v>
      </c>
      <c r="K672">
        <v>1203</v>
      </c>
      <c r="L672">
        <v>3289303</v>
      </c>
      <c r="M672">
        <v>3396469</v>
      </c>
    </row>
    <row r="673" spans="1:13">
      <c r="A673">
        <v>723</v>
      </c>
      <c r="B673" s="331">
        <v>46162.851388888892</v>
      </c>
      <c r="C673" t="s">
        <v>35</v>
      </c>
      <c r="D673" t="s">
        <v>35</v>
      </c>
      <c r="E673" t="s">
        <v>4</v>
      </c>
      <c r="F673">
        <v>3932788</v>
      </c>
      <c r="G673">
        <v>27625</v>
      </c>
      <c r="H673">
        <v>17</v>
      </c>
      <c r="I673">
        <v>3960430</v>
      </c>
      <c r="J673">
        <v>55499</v>
      </c>
      <c r="K673">
        <v>85</v>
      </c>
      <c r="L673">
        <v>2335922</v>
      </c>
      <c r="M673">
        <v>2391506</v>
      </c>
    </row>
    <row r="674" spans="1:13">
      <c r="A674">
        <v>724</v>
      </c>
      <c r="B674" s="331">
        <v>46162.851388888892</v>
      </c>
      <c r="C674" t="s">
        <v>27</v>
      </c>
      <c r="D674" t="s">
        <v>27</v>
      </c>
      <c r="E674" t="s">
        <v>4</v>
      </c>
      <c r="F674">
        <v>1816891</v>
      </c>
      <c r="G674">
        <v>25190</v>
      </c>
      <c r="H674">
        <v>175</v>
      </c>
      <c r="I674">
        <v>1842256</v>
      </c>
      <c r="J674">
        <v>52444</v>
      </c>
      <c r="K674">
        <v>282</v>
      </c>
      <c r="L674">
        <v>1088094</v>
      </c>
      <c r="M674">
        <v>1140820</v>
      </c>
    </row>
    <row r="675" spans="1:13">
      <c r="A675">
        <v>725</v>
      </c>
      <c r="B675" s="331">
        <v>46162.851388888892</v>
      </c>
      <c r="C675" t="s">
        <v>1112</v>
      </c>
      <c r="D675" t="s">
        <v>1112</v>
      </c>
      <c r="E675" t="s">
        <v>4</v>
      </c>
      <c r="F675">
        <v>866518</v>
      </c>
      <c r="G675">
        <v>6809</v>
      </c>
      <c r="H675">
        <v>0</v>
      </c>
      <c r="I675">
        <v>873327</v>
      </c>
      <c r="J675">
        <v>13344</v>
      </c>
      <c r="K675">
        <v>0</v>
      </c>
      <c r="L675">
        <v>510318</v>
      </c>
      <c r="M675">
        <v>523662</v>
      </c>
    </row>
    <row r="676" spans="1:13">
      <c r="A676">
        <v>726</v>
      </c>
      <c r="B676" s="331">
        <v>46162.851388888892</v>
      </c>
      <c r="C676" t="s">
        <v>131</v>
      </c>
      <c r="D676" t="s">
        <v>131</v>
      </c>
      <c r="E676" t="s">
        <v>4</v>
      </c>
      <c r="F676">
        <v>3871630</v>
      </c>
      <c r="G676">
        <v>29238</v>
      </c>
      <c r="H676">
        <v>25</v>
      </c>
      <c r="I676">
        <v>3900893</v>
      </c>
      <c r="J676">
        <v>59883</v>
      </c>
      <c r="K676">
        <v>105</v>
      </c>
      <c r="L676">
        <v>2299683</v>
      </c>
      <c r="M676">
        <v>2359671</v>
      </c>
    </row>
    <row r="677" spans="1:13">
      <c r="A677">
        <v>727</v>
      </c>
      <c r="B677" s="331">
        <v>46162.851388888892</v>
      </c>
      <c r="C677" t="s">
        <v>22</v>
      </c>
      <c r="D677" t="s">
        <v>22</v>
      </c>
      <c r="E677" t="s">
        <v>4</v>
      </c>
      <c r="F677">
        <v>2852087</v>
      </c>
      <c r="G677">
        <v>36168</v>
      </c>
      <c r="H677">
        <v>374</v>
      </c>
      <c r="I677">
        <v>2888629</v>
      </c>
      <c r="J677">
        <v>62917</v>
      </c>
      <c r="K677">
        <v>670</v>
      </c>
      <c r="L677">
        <v>1622573</v>
      </c>
      <c r="M677">
        <v>1686160</v>
      </c>
    </row>
    <row r="678" spans="1:13">
      <c r="A678">
        <v>728</v>
      </c>
      <c r="B678" s="331">
        <v>46162.851388888892</v>
      </c>
      <c r="C678" t="s">
        <v>29</v>
      </c>
      <c r="D678" t="s">
        <v>29</v>
      </c>
      <c r="E678" t="s">
        <v>4</v>
      </c>
      <c r="F678">
        <v>2273768</v>
      </c>
      <c r="G678">
        <v>23704</v>
      </c>
      <c r="H678">
        <v>22</v>
      </c>
      <c r="I678">
        <v>2297494</v>
      </c>
      <c r="J678">
        <v>77446</v>
      </c>
      <c r="K678">
        <v>103</v>
      </c>
      <c r="L678">
        <v>1364103</v>
      </c>
      <c r="M678">
        <v>1441652</v>
      </c>
    </row>
    <row r="679" spans="1:13">
      <c r="A679">
        <v>729</v>
      </c>
      <c r="B679" s="331">
        <v>46162.851388888892</v>
      </c>
      <c r="C679" t="s">
        <v>26</v>
      </c>
      <c r="D679" t="s">
        <v>26</v>
      </c>
      <c r="E679" t="s">
        <v>4</v>
      </c>
      <c r="F679">
        <v>1900994</v>
      </c>
      <c r="G679">
        <v>25164</v>
      </c>
      <c r="H679">
        <v>176</v>
      </c>
      <c r="I679">
        <v>1926334</v>
      </c>
      <c r="J679">
        <v>55343</v>
      </c>
      <c r="K679">
        <v>263</v>
      </c>
      <c r="L679">
        <v>1141896</v>
      </c>
      <c r="M679">
        <v>1197502</v>
      </c>
    </row>
    <row r="680" spans="1:13">
      <c r="A680">
        <v>730</v>
      </c>
      <c r="B680" s="331">
        <v>46162.851388888892</v>
      </c>
      <c r="C680" t="s">
        <v>18</v>
      </c>
      <c r="D680" t="s">
        <v>18</v>
      </c>
      <c r="E680" t="s">
        <v>4</v>
      </c>
      <c r="F680">
        <v>5726487</v>
      </c>
      <c r="G680">
        <v>60919</v>
      </c>
      <c r="H680">
        <v>715</v>
      </c>
      <c r="I680">
        <v>5788121</v>
      </c>
      <c r="J680">
        <v>125152</v>
      </c>
      <c r="K680">
        <v>1354</v>
      </c>
      <c r="L680">
        <v>3307332</v>
      </c>
      <c r="M680">
        <v>3433838</v>
      </c>
    </row>
    <row r="681" spans="1:13">
      <c r="A681">
        <v>731</v>
      </c>
      <c r="B681" s="331">
        <v>46162.851388888892</v>
      </c>
      <c r="C681" t="s">
        <v>20</v>
      </c>
      <c r="D681" t="s">
        <v>20</v>
      </c>
      <c r="E681" t="s">
        <v>4</v>
      </c>
      <c r="F681">
        <v>6092021</v>
      </c>
      <c r="G681">
        <v>61681</v>
      </c>
      <c r="H681">
        <v>763</v>
      </c>
      <c r="I681">
        <v>6154465</v>
      </c>
      <c r="J681">
        <v>121750</v>
      </c>
      <c r="K681">
        <v>1346</v>
      </c>
      <c r="L681">
        <v>3472332</v>
      </c>
      <c r="M681">
        <v>3595428</v>
      </c>
    </row>
    <row r="682" spans="1:13">
      <c r="A682">
        <v>732</v>
      </c>
      <c r="B682" s="331">
        <v>46162.851388888892</v>
      </c>
      <c r="C682" t="s">
        <v>17</v>
      </c>
      <c r="D682" t="s">
        <v>17</v>
      </c>
      <c r="E682" t="s">
        <v>4</v>
      </c>
      <c r="F682">
        <v>3687784</v>
      </c>
      <c r="G682">
        <v>46993</v>
      </c>
      <c r="H682">
        <v>506</v>
      </c>
      <c r="I682">
        <v>3735283</v>
      </c>
      <c r="J682">
        <v>108783</v>
      </c>
      <c r="K682">
        <v>979</v>
      </c>
      <c r="L682">
        <v>2118288</v>
      </c>
      <c r="M682">
        <v>2228050</v>
      </c>
    </row>
    <row r="683" spans="1:13">
      <c r="A683">
        <v>733</v>
      </c>
      <c r="B683" s="331">
        <v>46162.851388888892</v>
      </c>
      <c r="C683" t="s">
        <v>1133</v>
      </c>
      <c r="D683" t="s">
        <v>1133</v>
      </c>
      <c r="E683" t="s">
        <v>4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</row>
    <row r="684" spans="1:13">
      <c r="A684">
        <v>734</v>
      </c>
      <c r="B684" s="331">
        <v>46162.851388888892</v>
      </c>
      <c r="C684" t="s">
        <v>108</v>
      </c>
      <c r="D684" t="s">
        <v>108</v>
      </c>
      <c r="E684" t="s">
        <v>4</v>
      </c>
      <c r="F684">
        <v>4460697</v>
      </c>
      <c r="G684">
        <v>49385</v>
      </c>
      <c r="H684">
        <v>646</v>
      </c>
      <c r="I684">
        <v>4510728</v>
      </c>
      <c r="J684">
        <v>94699</v>
      </c>
      <c r="K684">
        <v>1155</v>
      </c>
      <c r="L684">
        <v>2572269</v>
      </c>
      <c r="M684">
        <v>2668123</v>
      </c>
    </row>
    <row r="685" spans="1:13">
      <c r="A685">
        <v>736</v>
      </c>
      <c r="B685" s="331">
        <v>46162.851388888892</v>
      </c>
      <c r="C685" t="s">
        <v>1068</v>
      </c>
      <c r="D685" t="s">
        <v>1068</v>
      </c>
      <c r="E685" t="s">
        <v>4</v>
      </c>
      <c r="F685">
        <v>615161</v>
      </c>
      <c r="G685">
        <v>10468</v>
      </c>
      <c r="H685">
        <v>0</v>
      </c>
      <c r="I685">
        <v>625629</v>
      </c>
      <c r="J685">
        <v>21575</v>
      </c>
      <c r="K685">
        <v>0</v>
      </c>
      <c r="L685">
        <v>373307</v>
      </c>
      <c r="M685">
        <v>394882</v>
      </c>
    </row>
    <row r="686" spans="1:13">
      <c r="A686">
        <v>737</v>
      </c>
      <c r="B686" s="331">
        <v>46162.851388888892</v>
      </c>
      <c r="C686" t="s">
        <v>16</v>
      </c>
      <c r="D686" t="s">
        <v>16</v>
      </c>
      <c r="E686" t="s">
        <v>4</v>
      </c>
      <c r="F686">
        <v>3295405</v>
      </c>
      <c r="G686">
        <v>43739</v>
      </c>
      <c r="H686">
        <v>501</v>
      </c>
      <c r="I686">
        <v>3339645</v>
      </c>
      <c r="J686">
        <v>106814</v>
      </c>
      <c r="K686">
        <v>1001</v>
      </c>
      <c r="L686">
        <v>1910849</v>
      </c>
      <c r="M686">
        <v>2018664</v>
      </c>
    </row>
    <row r="687" spans="1:13">
      <c r="A687">
        <v>738</v>
      </c>
      <c r="B687" s="331">
        <v>46162.851388888892</v>
      </c>
      <c r="C687" t="s">
        <v>107</v>
      </c>
      <c r="D687" t="s">
        <v>107</v>
      </c>
      <c r="E687" t="s">
        <v>4</v>
      </c>
      <c r="F687">
        <v>4496052</v>
      </c>
      <c r="G687">
        <v>50494</v>
      </c>
      <c r="H687">
        <v>634</v>
      </c>
      <c r="I687">
        <v>4547180</v>
      </c>
      <c r="J687">
        <v>96540</v>
      </c>
      <c r="K687">
        <v>1105</v>
      </c>
      <c r="L687">
        <v>2591774</v>
      </c>
      <c r="M687">
        <v>2689419</v>
      </c>
    </row>
    <row r="688" spans="1:13">
      <c r="A688">
        <v>739</v>
      </c>
      <c r="B688" s="331">
        <v>46162.851388888892</v>
      </c>
      <c r="C688" t="s">
        <v>346</v>
      </c>
      <c r="D688" t="s">
        <v>346</v>
      </c>
      <c r="E688" t="s">
        <v>4</v>
      </c>
      <c r="F688">
        <v>2447561</v>
      </c>
      <c r="G688">
        <v>29978</v>
      </c>
      <c r="H688">
        <v>0</v>
      </c>
      <c r="I688">
        <v>2477539</v>
      </c>
      <c r="J688">
        <v>52292</v>
      </c>
      <c r="K688">
        <v>0</v>
      </c>
      <c r="L688">
        <v>1404814</v>
      </c>
      <c r="M688">
        <v>1457106</v>
      </c>
    </row>
    <row r="689" spans="1:13">
      <c r="A689">
        <v>740</v>
      </c>
      <c r="B689" s="331">
        <v>46162.851388888892</v>
      </c>
      <c r="C689" t="s">
        <v>1111</v>
      </c>
      <c r="D689" t="s">
        <v>1111</v>
      </c>
      <c r="E689" t="s">
        <v>4</v>
      </c>
      <c r="F689">
        <v>860748</v>
      </c>
      <c r="G689">
        <v>6780</v>
      </c>
      <c r="H689">
        <v>0</v>
      </c>
      <c r="I689">
        <v>867528</v>
      </c>
      <c r="J689">
        <v>13326</v>
      </c>
      <c r="K689">
        <v>0</v>
      </c>
      <c r="L689">
        <v>506835</v>
      </c>
      <c r="M689">
        <v>520161</v>
      </c>
    </row>
    <row r="690" spans="1:13">
      <c r="A690">
        <v>743</v>
      </c>
      <c r="B690" s="331">
        <v>46162.851388888892</v>
      </c>
      <c r="C690" t="s">
        <v>691</v>
      </c>
      <c r="D690" t="s">
        <v>691</v>
      </c>
      <c r="E690" t="s">
        <v>4</v>
      </c>
      <c r="F690">
        <v>1599297</v>
      </c>
      <c r="G690">
        <v>15456</v>
      </c>
      <c r="H690">
        <v>0</v>
      </c>
      <c r="I690">
        <v>1614753</v>
      </c>
      <c r="J690">
        <v>29697</v>
      </c>
      <c r="K690">
        <v>0</v>
      </c>
      <c r="L690">
        <v>945647</v>
      </c>
      <c r="M690">
        <v>975344</v>
      </c>
    </row>
    <row r="691" spans="1:13">
      <c r="A691">
        <v>744</v>
      </c>
      <c r="B691" s="331">
        <v>46162.851388888892</v>
      </c>
      <c r="C691" t="s">
        <v>132</v>
      </c>
      <c r="D691" t="s">
        <v>132</v>
      </c>
      <c r="E691" t="s">
        <v>4</v>
      </c>
      <c r="F691">
        <v>3873440</v>
      </c>
      <c r="G691">
        <v>28931</v>
      </c>
      <c r="H691">
        <v>18</v>
      </c>
      <c r="I691">
        <v>3902389</v>
      </c>
      <c r="J691">
        <v>58925</v>
      </c>
      <c r="K691">
        <v>89</v>
      </c>
      <c r="L691">
        <v>2298814</v>
      </c>
      <c r="M691">
        <v>2357828</v>
      </c>
    </row>
    <row r="692" spans="1:13">
      <c r="A692">
        <v>745</v>
      </c>
      <c r="B692" s="331">
        <v>46162.851388888892</v>
      </c>
      <c r="C692" t="s">
        <v>689</v>
      </c>
      <c r="D692" t="s">
        <v>689</v>
      </c>
      <c r="E692" t="s">
        <v>4</v>
      </c>
      <c r="F692">
        <v>1922161</v>
      </c>
      <c r="G692">
        <v>17063</v>
      </c>
      <c r="H692">
        <v>0</v>
      </c>
      <c r="I692">
        <v>1939224</v>
      </c>
      <c r="J692">
        <v>31155</v>
      </c>
      <c r="K692">
        <v>0</v>
      </c>
      <c r="L692">
        <v>1125123</v>
      </c>
      <c r="M692">
        <v>1156278</v>
      </c>
    </row>
    <row r="693" spans="1:13">
      <c r="A693">
        <v>746</v>
      </c>
      <c r="B693" s="331">
        <v>46162.851388888892</v>
      </c>
      <c r="C693" t="s">
        <v>31</v>
      </c>
      <c r="D693" t="s">
        <v>31</v>
      </c>
      <c r="E693" t="s">
        <v>4</v>
      </c>
      <c r="F693">
        <v>2911141</v>
      </c>
      <c r="G693">
        <v>23789</v>
      </c>
      <c r="H693">
        <v>31</v>
      </c>
      <c r="I693">
        <v>2934961</v>
      </c>
      <c r="J693">
        <v>71355</v>
      </c>
      <c r="K693">
        <v>99</v>
      </c>
      <c r="L693">
        <v>1654783</v>
      </c>
      <c r="M693">
        <v>1726237</v>
      </c>
    </row>
    <row r="694" spans="1:13">
      <c r="A694">
        <v>747</v>
      </c>
      <c r="B694" s="331">
        <v>46162.850694444445</v>
      </c>
      <c r="C694" t="s">
        <v>893</v>
      </c>
      <c r="D694" t="s">
        <v>893</v>
      </c>
      <c r="E694" t="s">
        <v>372</v>
      </c>
      <c r="L694">
        <v>785301</v>
      </c>
      <c r="M694">
        <v>785301</v>
      </c>
    </row>
    <row r="695" spans="1:13">
      <c r="A695">
        <v>748</v>
      </c>
      <c r="B695" s="331">
        <v>46162.850694444445</v>
      </c>
      <c r="C695" t="s">
        <v>348</v>
      </c>
      <c r="D695" t="s">
        <v>348</v>
      </c>
      <c r="E695" t="s">
        <v>372</v>
      </c>
      <c r="L695">
        <v>616373</v>
      </c>
      <c r="M695">
        <v>616373</v>
      </c>
    </row>
    <row r="696" spans="1:13">
      <c r="A696">
        <v>749</v>
      </c>
      <c r="B696" s="331">
        <v>46162.850694444445</v>
      </c>
      <c r="C696" t="s">
        <v>895</v>
      </c>
      <c r="D696" t="s">
        <v>895</v>
      </c>
      <c r="E696" t="s">
        <v>372</v>
      </c>
      <c r="L696">
        <v>777467</v>
      </c>
      <c r="M696">
        <v>777467</v>
      </c>
    </row>
    <row r="697" spans="1:13">
      <c r="A697">
        <v>750</v>
      </c>
      <c r="B697" s="331">
        <v>46162.850694444445</v>
      </c>
      <c r="C697" t="s">
        <v>581</v>
      </c>
      <c r="D697" t="s">
        <v>581</v>
      </c>
      <c r="E697" t="s">
        <v>372</v>
      </c>
      <c r="L697">
        <v>518972</v>
      </c>
      <c r="M697">
        <v>518972</v>
      </c>
    </row>
    <row r="698" spans="1:13">
      <c r="A698">
        <v>751</v>
      </c>
      <c r="B698" s="331">
        <v>46162.850694444445</v>
      </c>
      <c r="C698" t="s">
        <v>582</v>
      </c>
      <c r="D698" t="s">
        <v>582</v>
      </c>
      <c r="E698" t="s">
        <v>372</v>
      </c>
      <c r="L698">
        <v>522083</v>
      </c>
      <c r="M698">
        <v>522083</v>
      </c>
    </row>
    <row r="699" spans="1:13">
      <c r="A699">
        <v>752</v>
      </c>
      <c r="B699" s="331">
        <v>46162.850694444445</v>
      </c>
      <c r="C699" t="s">
        <v>583</v>
      </c>
      <c r="D699" t="s">
        <v>583</v>
      </c>
      <c r="E699" t="s">
        <v>372</v>
      </c>
      <c r="L699">
        <v>522750</v>
      </c>
      <c r="M699">
        <v>522750</v>
      </c>
    </row>
    <row r="700" spans="1:13">
      <c r="A700">
        <v>753</v>
      </c>
      <c r="B700" s="331">
        <v>46162.850694444445</v>
      </c>
      <c r="C700" t="s">
        <v>896</v>
      </c>
      <c r="D700" t="s">
        <v>896</v>
      </c>
      <c r="E700" t="s">
        <v>372</v>
      </c>
      <c r="L700">
        <v>776129</v>
      </c>
      <c r="M700">
        <v>776129</v>
      </c>
    </row>
    <row r="701" spans="1:13">
      <c r="A701">
        <v>754</v>
      </c>
      <c r="B701" s="331">
        <v>46162.850694444445</v>
      </c>
      <c r="C701" t="s">
        <v>1125</v>
      </c>
      <c r="D701" t="s">
        <v>1125</v>
      </c>
      <c r="E701" t="s">
        <v>372</v>
      </c>
      <c r="L701">
        <v>632050</v>
      </c>
      <c r="M701">
        <v>632050</v>
      </c>
    </row>
    <row r="702" spans="1:13">
      <c r="A702">
        <v>755</v>
      </c>
      <c r="B702" s="331">
        <v>46162.850694444445</v>
      </c>
      <c r="C702" t="s">
        <v>894</v>
      </c>
      <c r="D702" t="s">
        <v>894</v>
      </c>
      <c r="E702" t="s">
        <v>372</v>
      </c>
      <c r="L702">
        <v>776106</v>
      </c>
      <c r="M702">
        <v>776106</v>
      </c>
    </row>
    <row r="703" spans="1:13">
      <c r="A703">
        <v>756</v>
      </c>
      <c r="B703" s="331">
        <v>46162.850694444445</v>
      </c>
      <c r="C703" t="s">
        <v>1080</v>
      </c>
      <c r="D703" t="s">
        <v>1080</v>
      </c>
      <c r="E703" t="s">
        <v>372</v>
      </c>
      <c r="L703">
        <v>680878</v>
      </c>
      <c r="M703">
        <v>680878</v>
      </c>
    </row>
    <row r="704" spans="1:13">
      <c r="A704">
        <v>757</v>
      </c>
      <c r="B704" s="331">
        <v>46162.850694444445</v>
      </c>
      <c r="C704" t="s">
        <v>350</v>
      </c>
      <c r="D704" t="s">
        <v>350</v>
      </c>
      <c r="E704" t="s">
        <v>372</v>
      </c>
      <c r="L704">
        <v>611346</v>
      </c>
      <c r="M704">
        <v>611346</v>
      </c>
    </row>
    <row r="705" spans="1:13">
      <c r="A705">
        <v>758</v>
      </c>
      <c r="B705" s="331">
        <v>46162.850694444445</v>
      </c>
      <c r="C705" t="s">
        <v>349</v>
      </c>
      <c r="D705" t="s">
        <v>349</v>
      </c>
      <c r="E705" t="s">
        <v>372</v>
      </c>
      <c r="L705">
        <v>601900</v>
      </c>
      <c r="M705">
        <v>601900</v>
      </c>
    </row>
    <row r="706" spans="1:13">
      <c r="A706">
        <v>759</v>
      </c>
      <c r="B706" s="331">
        <v>46162.850694444445</v>
      </c>
      <c r="C706" t="s">
        <v>1081</v>
      </c>
      <c r="D706" t="s">
        <v>1081</v>
      </c>
      <c r="E706" t="s">
        <v>372</v>
      </c>
      <c r="L706">
        <v>645117</v>
      </c>
      <c r="M706">
        <v>645117</v>
      </c>
    </row>
    <row r="707" spans="1:13">
      <c r="A707">
        <v>760</v>
      </c>
      <c r="B707" s="331">
        <v>46162.850694444445</v>
      </c>
      <c r="C707" t="s">
        <v>580</v>
      </c>
      <c r="D707" t="s">
        <v>580</v>
      </c>
      <c r="E707" t="s">
        <v>372</v>
      </c>
      <c r="L707">
        <v>551820</v>
      </c>
      <c r="M707">
        <v>551820</v>
      </c>
    </row>
    <row r="708" spans="1:13">
      <c r="A708">
        <v>761</v>
      </c>
      <c r="B708" s="331">
        <v>46162.85</v>
      </c>
      <c r="C708" t="s">
        <v>1067</v>
      </c>
      <c r="D708" t="s">
        <v>1067</v>
      </c>
      <c r="E708" t="s">
        <v>4</v>
      </c>
      <c r="F708">
        <v>614325</v>
      </c>
      <c r="G708">
        <v>10438</v>
      </c>
      <c r="H708">
        <v>0</v>
      </c>
      <c r="I708">
        <v>624763</v>
      </c>
      <c r="J708">
        <v>21414</v>
      </c>
      <c r="K708">
        <v>0</v>
      </c>
      <c r="L708">
        <v>372973</v>
      </c>
      <c r="M708">
        <v>394387</v>
      </c>
    </row>
    <row r="709" spans="1:13">
      <c r="A709">
        <v>762</v>
      </c>
      <c r="B709" s="331">
        <v>46162.85</v>
      </c>
      <c r="C709" t="s">
        <v>105</v>
      </c>
      <c r="D709" t="s">
        <v>105</v>
      </c>
      <c r="E709" t="s">
        <v>4</v>
      </c>
      <c r="F709">
        <v>2478169</v>
      </c>
      <c r="G709">
        <v>27102</v>
      </c>
      <c r="H709">
        <v>180</v>
      </c>
      <c r="I709">
        <v>2505451</v>
      </c>
      <c r="J709">
        <v>52885</v>
      </c>
      <c r="K709">
        <v>286</v>
      </c>
      <c r="L709">
        <v>1465640</v>
      </c>
      <c r="M709">
        <v>1518811</v>
      </c>
    </row>
    <row r="710" spans="1:13">
      <c r="A710">
        <v>763</v>
      </c>
      <c r="B710" s="331">
        <v>46162.85</v>
      </c>
      <c r="C710" t="s">
        <v>336</v>
      </c>
      <c r="D710" t="s">
        <v>336</v>
      </c>
      <c r="E710" t="s">
        <v>4</v>
      </c>
      <c r="F710">
        <v>725570</v>
      </c>
      <c r="G710">
        <v>3601</v>
      </c>
      <c r="H710">
        <v>0</v>
      </c>
      <c r="I710">
        <v>729171</v>
      </c>
      <c r="J710">
        <v>5075</v>
      </c>
      <c r="K710">
        <v>0</v>
      </c>
      <c r="L710">
        <v>430511</v>
      </c>
      <c r="M710">
        <v>435586</v>
      </c>
    </row>
    <row r="711" spans="1:13">
      <c r="A711">
        <v>764</v>
      </c>
      <c r="B711" s="331">
        <v>46162.85</v>
      </c>
      <c r="C711" t="s">
        <v>1111</v>
      </c>
      <c r="D711" t="s">
        <v>1111</v>
      </c>
      <c r="E711" t="s">
        <v>4</v>
      </c>
      <c r="F711">
        <v>860631</v>
      </c>
      <c r="G711">
        <v>6848</v>
      </c>
      <c r="H711">
        <v>0</v>
      </c>
      <c r="I711">
        <v>867479</v>
      </c>
      <c r="J711">
        <v>13375</v>
      </c>
      <c r="K711">
        <v>0</v>
      </c>
      <c r="L711">
        <v>506829</v>
      </c>
      <c r="M711">
        <v>520204</v>
      </c>
    </row>
    <row r="712" spans="1:13">
      <c r="A712">
        <v>765</v>
      </c>
      <c r="B712" s="331">
        <v>46162.85</v>
      </c>
      <c r="C712" t="s">
        <v>22</v>
      </c>
      <c r="D712" t="s">
        <v>22</v>
      </c>
      <c r="E712" t="s">
        <v>4</v>
      </c>
      <c r="F712">
        <v>2851945</v>
      </c>
      <c r="G712">
        <v>36289</v>
      </c>
      <c r="H712">
        <v>392</v>
      </c>
      <c r="I712">
        <v>2888626</v>
      </c>
      <c r="J712">
        <v>63015</v>
      </c>
      <c r="K712">
        <v>672</v>
      </c>
      <c r="L712">
        <v>1622591</v>
      </c>
      <c r="M712">
        <v>1686278</v>
      </c>
    </row>
    <row r="713" spans="1:13">
      <c r="A713">
        <v>766</v>
      </c>
      <c r="B713" s="331">
        <v>46162.85</v>
      </c>
      <c r="C713" t="s">
        <v>29</v>
      </c>
      <c r="D713" t="s">
        <v>29</v>
      </c>
      <c r="E713" t="s">
        <v>4</v>
      </c>
      <c r="F713">
        <v>2274097</v>
      </c>
      <c r="G713">
        <v>23727</v>
      </c>
      <c r="H713">
        <v>21</v>
      </c>
      <c r="I713">
        <v>2297845</v>
      </c>
      <c r="J713">
        <v>77445</v>
      </c>
      <c r="K713">
        <v>108</v>
      </c>
      <c r="L713">
        <v>1364272</v>
      </c>
      <c r="M713">
        <v>1441825</v>
      </c>
    </row>
    <row r="714" spans="1:13">
      <c r="A714">
        <v>768</v>
      </c>
      <c r="B714" s="331">
        <v>46162.85</v>
      </c>
      <c r="C714" t="s">
        <v>34</v>
      </c>
      <c r="D714" t="s">
        <v>34</v>
      </c>
      <c r="E714" t="s">
        <v>4</v>
      </c>
      <c r="F714">
        <v>3814084</v>
      </c>
      <c r="G714">
        <v>28868</v>
      </c>
      <c r="H714">
        <v>24</v>
      </c>
      <c r="I714">
        <v>3842976</v>
      </c>
      <c r="J714">
        <v>63411</v>
      </c>
      <c r="K714">
        <v>94</v>
      </c>
      <c r="L714">
        <v>2279702</v>
      </c>
      <c r="M714">
        <v>2343207</v>
      </c>
    </row>
    <row r="715" spans="1:13">
      <c r="A715">
        <v>769</v>
      </c>
      <c r="B715" s="331">
        <v>46162.85</v>
      </c>
      <c r="C715" t="s">
        <v>20</v>
      </c>
      <c r="D715" t="s">
        <v>20</v>
      </c>
      <c r="E715" t="s">
        <v>4</v>
      </c>
      <c r="F715">
        <v>6092873</v>
      </c>
      <c r="G715">
        <v>61541</v>
      </c>
      <c r="H715">
        <v>755</v>
      </c>
      <c r="I715">
        <v>6155169</v>
      </c>
      <c r="J715">
        <v>121552</v>
      </c>
      <c r="K715">
        <v>1340</v>
      </c>
      <c r="L715">
        <v>3472804</v>
      </c>
      <c r="M715">
        <v>3595696</v>
      </c>
    </row>
    <row r="716" spans="1:13">
      <c r="A716">
        <v>770</v>
      </c>
      <c r="B716" s="331">
        <v>46162.85</v>
      </c>
      <c r="C716" t="s">
        <v>689</v>
      </c>
      <c r="D716" t="s">
        <v>689</v>
      </c>
      <c r="E716" t="s">
        <v>4</v>
      </c>
      <c r="F716">
        <v>1922151</v>
      </c>
      <c r="G716">
        <v>17083</v>
      </c>
      <c r="H716">
        <v>0</v>
      </c>
      <c r="I716">
        <v>1939234</v>
      </c>
      <c r="J716">
        <v>31163</v>
      </c>
      <c r="K716">
        <v>0</v>
      </c>
      <c r="L716">
        <v>1125177</v>
      </c>
      <c r="M716">
        <v>1156340</v>
      </c>
    </row>
    <row r="717" spans="1:13">
      <c r="A717">
        <v>771</v>
      </c>
      <c r="B717" s="331">
        <v>46162.85</v>
      </c>
      <c r="C717" t="s">
        <v>16</v>
      </c>
      <c r="D717" t="s">
        <v>16</v>
      </c>
      <c r="E717" t="s">
        <v>4</v>
      </c>
      <c r="F717">
        <v>3295174</v>
      </c>
      <c r="G717">
        <v>43891</v>
      </c>
      <c r="H717">
        <v>509</v>
      </c>
      <c r="I717">
        <v>3339574</v>
      </c>
      <c r="J717">
        <v>106888</v>
      </c>
      <c r="K717">
        <v>1003</v>
      </c>
      <c r="L717">
        <v>1910927</v>
      </c>
      <c r="M717">
        <v>2018818</v>
      </c>
    </row>
    <row r="718" spans="1:13">
      <c r="A718">
        <v>772</v>
      </c>
      <c r="B718" s="331">
        <v>46162.85</v>
      </c>
      <c r="C718" t="s">
        <v>17</v>
      </c>
      <c r="D718" t="s">
        <v>17</v>
      </c>
      <c r="E718" t="s">
        <v>4</v>
      </c>
      <c r="F718">
        <v>3687765</v>
      </c>
      <c r="G718">
        <v>47075</v>
      </c>
      <c r="H718">
        <v>498</v>
      </c>
      <c r="I718">
        <v>3735338</v>
      </c>
      <c r="J718">
        <v>108773</v>
      </c>
      <c r="K718">
        <v>974</v>
      </c>
      <c r="L718">
        <v>2118376</v>
      </c>
      <c r="M718">
        <v>2228123</v>
      </c>
    </row>
    <row r="719" spans="1:13">
      <c r="A719">
        <v>773</v>
      </c>
      <c r="B719" s="331">
        <v>46162.85</v>
      </c>
      <c r="C719" t="s">
        <v>132</v>
      </c>
      <c r="D719" t="s">
        <v>132</v>
      </c>
      <c r="E719" t="s">
        <v>4</v>
      </c>
      <c r="F719">
        <v>3873852</v>
      </c>
      <c r="G719">
        <v>28758</v>
      </c>
      <c r="H719">
        <v>17</v>
      </c>
      <c r="I719">
        <v>3902627</v>
      </c>
      <c r="J719">
        <v>58813</v>
      </c>
      <c r="K719">
        <v>86</v>
      </c>
      <c r="L719">
        <v>2298967</v>
      </c>
      <c r="M719">
        <v>2357866</v>
      </c>
    </row>
    <row r="720" spans="1:13">
      <c r="A720">
        <v>774</v>
      </c>
      <c r="B720" s="331">
        <v>46162.85</v>
      </c>
      <c r="C720" t="s">
        <v>107</v>
      </c>
      <c r="D720" t="s">
        <v>107</v>
      </c>
      <c r="E720" t="s">
        <v>4</v>
      </c>
      <c r="F720">
        <v>4496067</v>
      </c>
      <c r="G720">
        <v>50433</v>
      </c>
      <c r="H720">
        <v>638</v>
      </c>
      <c r="I720">
        <v>4547138</v>
      </c>
      <c r="J720">
        <v>96415</v>
      </c>
      <c r="K720">
        <v>1118</v>
      </c>
      <c r="L720">
        <v>2591985</v>
      </c>
      <c r="M720">
        <v>2689518</v>
      </c>
    </row>
    <row r="721" spans="1:13">
      <c r="A721">
        <v>775</v>
      </c>
      <c r="B721" s="331">
        <v>46162.85</v>
      </c>
      <c r="C721" t="s">
        <v>1133</v>
      </c>
      <c r="D721" t="s">
        <v>1133</v>
      </c>
      <c r="E721" t="s">
        <v>4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</row>
    <row r="722" spans="1:13">
      <c r="A722">
        <v>776</v>
      </c>
      <c r="B722" s="331">
        <v>46162.85</v>
      </c>
      <c r="C722" t="s">
        <v>19</v>
      </c>
      <c r="D722" t="s">
        <v>19</v>
      </c>
      <c r="E722" t="s">
        <v>4</v>
      </c>
      <c r="F722">
        <v>5460409</v>
      </c>
      <c r="G722">
        <v>58077</v>
      </c>
      <c r="H722">
        <v>717</v>
      </c>
      <c r="I722">
        <v>5519203</v>
      </c>
      <c r="J722">
        <v>115750</v>
      </c>
      <c r="K722">
        <v>1237</v>
      </c>
      <c r="L722">
        <v>3150843</v>
      </c>
      <c r="M722">
        <v>3267830</v>
      </c>
    </row>
    <row r="723" spans="1:13">
      <c r="A723">
        <v>777</v>
      </c>
      <c r="B723" s="331">
        <v>46162.85</v>
      </c>
      <c r="C723" t="s">
        <v>33</v>
      </c>
      <c r="D723" t="s">
        <v>33</v>
      </c>
      <c r="E723" t="s">
        <v>4</v>
      </c>
      <c r="F723">
        <v>3685789</v>
      </c>
      <c r="G723">
        <v>26888</v>
      </c>
      <c r="H723">
        <v>27</v>
      </c>
      <c r="I723">
        <v>3712704</v>
      </c>
      <c r="J723">
        <v>52684</v>
      </c>
      <c r="K723">
        <v>118</v>
      </c>
      <c r="L723">
        <v>2192818</v>
      </c>
      <c r="M723">
        <v>2245620</v>
      </c>
    </row>
    <row r="724" spans="1:13">
      <c r="A724">
        <v>778</v>
      </c>
      <c r="B724" s="331">
        <v>46162.85</v>
      </c>
      <c r="C724" t="s">
        <v>31</v>
      </c>
      <c r="D724" t="s">
        <v>31</v>
      </c>
      <c r="E724" t="s">
        <v>4</v>
      </c>
      <c r="F724">
        <v>2911594</v>
      </c>
      <c r="G724">
        <v>23721</v>
      </c>
      <c r="H724">
        <v>31</v>
      </c>
      <c r="I724">
        <v>2935346</v>
      </c>
      <c r="J724">
        <v>71319</v>
      </c>
      <c r="K724">
        <v>100</v>
      </c>
      <c r="L724">
        <v>1654962</v>
      </c>
      <c r="M724">
        <v>1726381</v>
      </c>
    </row>
    <row r="725" spans="1:13">
      <c r="A725">
        <v>779</v>
      </c>
      <c r="B725" s="331">
        <v>46162.85</v>
      </c>
      <c r="C725" t="s">
        <v>21</v>
      </c>
      <c r="D725" t="s">
        <v>21</v>
      </c>
      <c r="E725" t="s">
        <v>4</v>
      </c>
      <c r="F725">
        <v>5705574</v>
      </c>
      <c r="G725">
        <v>56794</v>
      </c>
      <c r="H725">
        <v>665</v>
      </c>
      <c r="I725">
        <v>5763033</v>
      </c>
      <c r="J725">
        <v>105944</v>
      </c>
      <c r="K725">
        <v>1218</v>
      </c>
      <c r="L725">
        <v>3289312</v>
      </c>
      <c r="M725">
        <v>3396474</v>
      </c>
    </row>
    <row r="726" spans="1:13">
      <c r="A726">
        <v>780</v>
      </c>
      <c r="B726" s="331">
        <v>46162.85</v>
      </c>
      <c r="C726" t="s">
        <v>32</v>
      </c>
      <c r="D726" t="s">
        <v>32</v>
      </c>
      <c r="E726" t="s">
        <v>4</v>
      </c>
      <c r="F726">
        <v>3599231</v>
      </c>
      <c r="G726">
        <v>26913</v>
      </c>
      <c r="H726">
        <v>27</v>
      </c>
      <c r="I726">
        <v>3626171</v>
      </c>
      <c r="J726">
        <v>57121</v>
      </c>
      <c r="K726">
        <v>102</v>
      </c>
      <c r="L726">
        <v>2138820</v>
      </c>
      <c r="M726">
        <v>2196043</v>
      </c>
    </row>
    <row r="727" spans="1:13">
      <c r="A727">
        <v>781</v>
      </c>
      <c r="B727" s="331">
        <v>46162.85</v>
      </c>
      <c r="C727" t="s">
        <v>27</v>
      </c>
      <c r="D727" t="s">
        <v>27</v>
      </c>
      <c r="E727" t="s">
        <v>4</v>
      </c>
      <c r="F727">
        <v>1817040</v>
      </c>
      <c r="G727">
        <v>25305</v>
      </c>
      <c r="H727">
        <v>176</v>
      </c>
      <c r="I727">
        <v>1842521</v>
      </c>
      <c r="J727">
        <v>52467</v>
      </c>
      <c r="K727">
        <v>283</v>
      </c>
      <c r="L727">
        <v>1088191</v>
      </c>
      <c r="M727">
        <v>1140941</v>
      </c>
    </row>
    <row r="728" spans="1:13">
      <c r="A728">
        <v>782</v>
      </c>
      <c r="B728" s="331">
        <v>46162.85</v>
      </c>
      <c r="C728" t="s">
        <v>108</v>
      </c>
      <c r="D728" t="s">
        <v>108</v>
      </c>
      <c r="E728" t="s">
        <v>4</v>
      </c>
      <c r="F728">
        <v>4460960</v>
      </c>
      <c r="G728">
        <v>49297</v>
      </c>
      <c r="H728">
        <v>651</v>
      </c>
      <c r="I728">
        <v>4510908</v>
      </c>
      <c r="J728">
        <v>94541</v>
      </c>
      <c r="K728">
        <v>1160</v>
      </c>
      <c r="L728">
        <v>2572523</v>
      </c>
      <c r="M728">
        <v>2668224</v>
      </c>
    </row>
    <row r="729" spans="1:13">
      <c r="A729">
        <v>783</v>
      </c>
      <c r="B729" s="331">
        <v>46162.85</v>
      </c>
      <c r="C729" t="s">
        <v>131</v>
      </c>
      <c r="D729" t="s">
        <v>131</v>
      </c>
      <c r="E729" t="s">
        <v>4</v>
      </c>
      <c r="F729">
        <v>3872162</v>
      </c>
      <c r="G729">
        <v>28972</v>
      </c>
      <c r="H729">
        <v>25</v>
      </c>
      <c r="I729">
        <v>3901159</v>
      </c>
      <c r="J729">
        <v>59683</v>
      </c>
      <c r="K729">
        <v>108</v>
      </c>
      <c r="L729">
        <v>2299842</v>
      </c>
      <c r="M729">
        <v>2359633</v>
      </c>
    </row>
    <row r="730" spans="1:13">
      <c r="A730">
        <v>784</v>
      </c>
      <c r="B730" s="331">
        <v>46162.85</v>
      </c>
      <c r="C730" t="s">
        <v>346</v>
      </c>
      <c r="D730" t="s">
        <v>346</v>
      </c>
      <c r="E730" t="s">
        <v>4</v>
      </c>
      <c r="F730">
        <v>2447758</v>
      </c>
      <c r="G730">
        <v>29934</v>
      </c>
      <c r="H730">
        <v>0</v>
      </c>
      <c r="I730">
        <v>2477692</v>
      </c>
      <c r="J730">
        <v>52202</v>
      </c>
      <c r="K730">
        <v>0</v>
      </c>
      <c r="L730">
        <v>1404924</v>
      </c>
      <c r="M730">
        <v>1457126</v>
      </c>
    </row>
    <row r="731" spans="1:13">
      <c r="A731">
        <v>785</v>
      </c>
      <c r="B731" s="331">
        <v>46162.85</v>
      </c>
      <c r="C731" t="s">
        <v>1112</v>
      </c>
      <c r="D731" t="s">
        <v>1112</v>
      </c>
      <c r="E731" t="s">
        <v>4</v>
      </c>
      <c r="F731">
        <v>866321</v>
      </c>
      <c r="G731">
        <v>6817</v>
      </c>
      <c r="H731">
        <v>0</v>
      </c>
      <c r="I731">
        <v>873138</v>
      </c>
      <c r="J731">
        <v>13328</v>
      </c>
      <c r="K731">
        <v>0</v>
      </c>
      <c r="L731">
        <v>510335</v>
      </c>
      <c r="M731">
        <v>523663</v>
      </c>
    </row>
    <row r="732" spans="1:13">
      <c r="A732">
        <v>786</v>
      </c>
      <c r="B732" s="331">
        <v>46162.85</v>
      </c>
      <c r="C732" t="s">
        <v>690</v>
      </c>
      <c r="D732" t="s">
        <v>690</v>
      </c>
      <c r="E732" t="s">
        <v>4</v>
      </c>
      <c r="F732">
        <v>1602022</v>
      </c>
      <c r="G732">
        <v>15556</v>
      </c>
      <c r="H732">
        <v>0</v>
      </c>
      <c r="I732">
        <v>1617578</v>
      </c>
      <c r="J732">
        <v>29758</v>
      </c>
      <c r="K732">
        <v>0</v>
      </c>
      <c r="L732">
        <v>947716</v>
      </c>
      <c r="M732">
        <v>977474</v>
      </c>
    </row>
    <row r="733" spans="1:13">
      <c r="A733">
        <v>787</v>
      </c>
      <c r="B733" s="331">
        <v>46162.85</v>
      </c>
      <c r="C733" t="s">
        <v>691</v>
      </c>
      <c r="D733" t="s">
        <v>691</v>
      </c>
      <c r="E733" t="s">
        <v>4</v>
      </c>
      <c r="F733">
        <v>1599351</v>
      </c>
      <c r="G733">
        <v>15461</v>
      </c>
      <c r="H733">
        <v>0</v>
      </c>
      <c r="I733">
        <v>1614812</v>
      </c>
      <c r="J733">
        <v>29672</v>
      </c>
      <c r="K733">
        <v>0</v>
      </c>
      <c r="L733">
        <v>945780</v>
      </c>
      <c r="M733">
        <v>975452</v>
      </c>
    </row>
    <row r="734" spans="1:13">
      <c r="A734">
        <v>788</v>
      </c>
      <c r="B734" s="331">
        <v>46162.85</v>
      </c>
      <c r="C734" t="s">
        <v>1068</v>
      </c>
      <c r="D734" t="s">
        <v>1068</v>
      </c>
      <c r="E734" t="s">
        <v>4</v>
      </c>
      <c r="F734">
        <v>615332</v>
      </c>
      <c r="G734">
        <v>10537</v>
      </c>
      <c r="H734">
        <v>0</v>
      </c>
      <c r="I734">
        <v>625869</v>
      </c>
      <c r="J734">
        <v>21607</v>
      </c>
      <c r="K734">
        <v>0</v>
      </c>
      <c r="L734">
        <v>373404</v>
      </c>
      <c r="M734">
        <v>395011</v>
      </c>
    </row>
    <row r="735" spans="1:13">
      <c r="A735">
        <v>789</v>
      </c>
      <c r="B735" s="331">
        <v>46162.85</v>
      </c>
      <c r="C735" t="s">
        <v>24</v>
      </c>
      <c r="D735" t="s">
        <v>24</v>
      </c>
      <c r="E735" t="s">
        <v>4</v>
      </c>
      <c r="F735">
        <v>1880709</v>
      </c>
      <c r="G735">
        <v>27806</v>
      </c>
      <c r="H735">
        <v>168</v>
      </c>
      <c r="I735">
        <v>1908683</v>
      </c>
      <c r="J735">
        <v>56482</v>
      </c>
      <c r="K735">
        <v>232</v>
      </c>
      <c r="L735">
        <v>1124049</v>
      </c>
      <c r="M735">
        <v>1180763</v>
      </c>
    </row>
    <row r="736" spans="1:13">
      <c r="A736">
        <v>790</v>
      </c>
      <c r="B736" s="331">
        <v>46162.85</v>
      </c>
      <c r="C736" t="s">
        <v>26</v>
      </c>
      <c r="D736" t="s">
        <v>26</v>
      </c>
      <c r="E736" t="s">
        <v>4</v>
      </c>
      <c r="F736">
        <v>1900971</v>
      </c>
      <c r="G736">
        <v>25183</v>
      </c>
      <c r="H736">
        <v>181</v>
      </c>
      <c r="I736">
        <v>1926335</v>
      </c>
      <c r="J736">
        <v>55368</v>
      </c>
      <c r="K736">
        <v>270</v>
      </c>
      <c r="L736">
        <v>1141984</v>
      </c>
      <c r="M736">
        <v>1197622</v>
      </c>
    </row>
    <row r="737" spans="1:13">
      <c r="A737">
        <v>791</v>
      </c>
      <c r="B737" s="331">
        <v>46162.85</v>
      </c>
      <c r="C737" t="s">
        <v>35</v>
      </c>
      <c r="D737" t="s">
        <v>35</v>
      </c>
      <c r="E737" t="s">
        <v>4</v>
      </c>
      <c r="F737">
        <v>3933382</v>
      </c>
      <c r="G737">
        <v>27525</v>
      </c>
      <c r="H737">
        <v>18</v>
      </c>
      <c r="I737">
        <v>3960925</v>
      </c>
      <c r="J737">
        <v>55357</v>
      </c>
      <c r="K737">
        <v>87</v>
      </c>
      <c r="L737">
        <v>2336140</v>
      </c>
      <c r="M737">
        <v>2391584</v>
      </c>
    </row>
    <row r="738" spans="1:13">
      <c r="A738">
        <v>793</v>
      </c>
      <c r="B738" s="331">
        <v>46162.85</v>
      </c>
      <c r="C738" t="s">
        <v>106</v>
      </c>
      <c r="D738" t="s">
        <v>106</v>
      </c>
      <c r="E738" t="s">
        <v>4</v>
      </c>
      <c r="F738">
        <v>2976346</v>
      </c>
      <c r="G738">
        <v>39348</v>
      </c>
      <c r="H738">
        <v>513</v>
      </c>
      <c r="I738">
        <v>3016207</v>
      </c>
      <c r="J738">
        <v>69274</v>
      </c>
      <c r="K738">
        <v>900</v>
      </c>
      <c r="L738">
        <v>1691743</v>
      </c>
      <c r="M738">
        <v>1761917</v>
      </c>
    </row>
    <row r="739" spans="1:13">
      <c r="A739">
        <v>794</v>
      </c>
      <c r="B739" s="331">
        <v>46162.85</v>
      </c>
      <c r="C739" t="s">
        <v>18</v>
      </c>
      <c r="D739" t="s">
        <v>18</v>
      </c>
      <c r="E739" t="s">
        <v>4</v>
      </c>
      <c r="F739">
        <v>5726556</v>
      </c>
      <c r="G739">
        <v>60877</v>
      </c>
      <c r="H739">
        <v>715</v>
      </c>
      <c r="I739">
        <v>5788148</v>
      </c>
      <c r="J739">
        <v>125069</v>
      </c>
      <c r="K739">
        <v>1362</v>
      </c>
      <c r="L739">
        <v>3307547</v>
      </c>
      <c r="M739">
        <v>3433978</v>
      </c>
    </row>
    <row r="740" spans="1:13">
      <c r="A740">
        <v>796</v>
      </c>
      <c r="B740" s="331">
        <v>46162.85</v>
      </c>
      <c r="C740" t="s">
        <v>345</v>
      </c>
      <c r="D740" t="s">
        <v>345</v>
      </c>
      <c r="E740" t="s">
        <v>4</v>
      </c>
      <c r="F740">
        <v>2018908</v>
      </c>
      <c r="G740">
        <v>27509</v>
      </c>
      <c r="H740">
        <v>0</v>
      </c>
      <c r="I740">
        <v>2046417</v>
      </c>
      <c r="J740">
        <v>45569</v>
      </c>
      <c r="K740">
        <v>0</v>
      </c>
      <c r="L740">
        <v>1141431</v>
      </c>
      <c r="M740">
        <v>1187000</v>
      </c>
    </row>
    <row r="741" spans="1:13">
      <c r="A741">
        <v>797</v>
      </c>
      <c r="B741" s="331">
        <v>46162.848611111112</v>
      </c>
      <c r="C741" t="s">
        <v>18</v>
      </c>
      <c r="D741" t="s">
        <v>18</v>
      </c>
      <c r="E741" t="s">
        <v>4</v>
      </c>
      <c r="F741">
        <v>5726288</v>
      </c>
      <c r="G741">
        <v>60907</v>
      </c>
      <c r="H741">
        <v>720</v>
      </c>
      <c r="I741">
        <v>5787915</v>
      </c>
      <c r="J741">
        <v>125056</v>
      </c>
      <c r="K741">
        <v>1355</v>
      </c>
      <c r="L741">
        <v>3307679</v>
      </c>
      <c r="M741">
        <v>3434090</v>
      </c>
    </row>
    <row r="742" spans="1:13">
      <c r="A742">
        <v>798</v>
      </c>
      <c r="B742" s="331">
        <v>46162.848611111112</v>
      </c>
      <c r="C742" t="s">
        <v>27</v>
      </c>
      <c r="D742" t="s">
        <v>27</v>
      </c>
      <c r="E742" t="s">
        <v>4</v>
      </c>
      <c r="F742">
        <v>1817187</v>
      </c>
      <c r="G742">
        <v>25070</v>
      </c>
      <c r="H742">
        <v>177</v>
      </c>
      <c r="I742">
        <v>1842434</v>
      </c>
      <c r="J742">
        <v>52265</v>
      </c>
      <c r="K742">
        <v>289</v>
      </c>
      <c r="L742">
        <v>1088289</v>
      </c>
      <c r="M742">
        <v>1140843</v>
      </c>
    </row>
    <row r="743" spans="1:13">
      <c r="A743">
        <v>799</v>
      </c>
      <c r="B743" s="331">
        <v>46162.848611111112</v>
      </c>
      <c r="C743" t="s">
        <v>26</v>
      </c>
      <c r="D743" t="s">
        <v>26</v>
      </c>
      <c r="E743" t="s">
        <v>4</v>
      </c>
      <c r="F743">
        <v>1901206</v>
      </c>
      <c r="G743">
        <v>25232</v>
      </c>
      <c r="H743">
        <v>176</v>
      </c>
      <c r="I743">
        <v>1926614</v>
      </c>
      <c r="J743">
        <v>55418</v>
      </c>
      <c r="K743">
        <v>265</v>
      </c>
      <c r="L743">
        <v>1142149</v>
      </c>
      <c r="M743">
        <v>1197832</v>
      </c>
    </row>
    <row r="744" spans="1:13">
      <c r="A744">
        <v>800</v>
      </c>
      <c r="B744" s="331">
        <v>46162.848611111112</v>
      </c>
      <c r="C744" t="s">
        <v>105</v>
      </c>
      <c r="D744" t="s">
        <v>105</v>
      </c>
      <c r="E744" t="s">
        <v>4</v>
      </c>
      <c r="F744">
        <v>2478169</v>
      </c>
      <c r="G744">
        <v>27217</v>
      </c>
      <c r="H744">
        <v>180</v>
      </c>
      <c r="I744">
        <v>2505566</v>
      </c>
      <c r="J744">
        <v>52964</v>
      </c>
      <c r="K744">
        <v>287</v>
      </c>
      <c r="L744">
        <v>1465645</v>
      </c>
      <c r="M744">
        <v>1518896</v>
      </c>
    </row>
    <row r="745" spans="1:13">
      <c r="A745">
        <v>801</v>
      </c>
      <c r="B745" s="331">
        <v>46162.848611111112</v>
      </c>
      <c r="C745" t="s">
        <v>33</v>
      </c>
      <c r="D745" t="s">
        <v>33</v>
      </c>
      <c r="E745" t="s">
        <v>4</v>
      </c>
      <c r="F745">
        <v>3686306</v>
      </c>
      <c r="G745">
        <v>26672</v>
      </c>
      <c r="H745">
        <v>28</v>
      </c>
      <c r="I745">
        <v>3713006</v>
      </c>
      <c r="J745">
        <v>52495</v>
      </c>
      <c r="K745">
        <v>116</v>
      </c>
      <c r="L745">
        <v>2193074</v>
      </c>
      <c r="M745">
        <v>2245685</v>
      </c>
    </row>
    <row r="746" spans="1:13">
      <c r="A746">
        <v>802</v>
      </c>
      <c r="B746" s="331">
        <v>46162.848611111112</v>
      </c>
      <c r="C746" t="s">
        <v>346</v>
      </c>
      <c r="D746" t="s">
        <v>346</v>
      </c>
      <c r="E746" t="s">
        <v>4</v>
      </c>
      <c r="F746">
        <v>2447864</v>
      </c>
      <c r="G746">
        <v>29938</v>
      </c>
      <c r="H746">
        <v>0</v>
      </c>
      <c r="I746">
        <v>2477802</v>
      </c>
      <c r="J746">
        <v>52166</v>
      </c>
      <c r="K746">
        <v>0</v>
      </c>
      <c r="L746">
        <v>1405005</v>
      </c>
      <c r="M746">
        <v>1457171</v>
      </c>
    </row>
    <row r="747" spans="1:13">
      <c r="A747">
        <v>803</v>
      </c>
      <c r="B747" s="331">
        <v>46162.848611111112</v>
      </c>
      <c r="C747" t="s">
        <v>690</v>
      </c>
      <c r="D747" t="s">
        <v>690</v>
      </c>
      <c r="E747" t="s">
        <v>4</v>
      </c>
      <c r="F747">
        <v>1602188</v>
      </c>
      <c r="G747">
        <v>15589</v>
      </c>
      <c r="H747">
        <v>0</v>
      </c>
      <c r="I747">
        <v>1617777</v>
      </c>
      <c r="J747">
        <v>29771</v>
      </c>
      <c r="K747">
        <v>0</v>
      </c>
      <c r="L747">
        <v>947821</v>
      </c>
      <c r="M747">
        <v>977592</v>
      </c>
    </row>
    <row r="748" spans="1:13">
      <c r="A748">
        <v>804</v>
      </c>
      <c r="B748" s="331">
        <v>46162.848611111112</v>
      </c>
      <c r="C748" t="s">
        <v>1111</v>
      </c>
      <c r="D748" t="s">
        <v>1111</v>
      </c>
      <c r="E748" t="s">
        <v>4</v>
      </c>
      <c r="F748">
        <v>860509</v>
      </c>
      <c r="G748">
        <v>6846</v>
      </c>
      <c r="H748">
        <v>0</v>
      </c>
      <c r="I748">
        <v>867355</v>
      </c>
      <c r="J748">
        <v>13390</v>
      </c>
      <c r="K748">
        <v>0</v>
      </c>
      <c r="L748">
        <v>506810</v>
      </c>
      <c r="M748">
        <v>520200</v>
      </c>
    </row>
    <row r="749" spans="1:13">
      <c r="A749">
        <v>805</v>
      </c>
      <c r="B749" s="331">
        <v>46162.848611111112</v>
      </c>
      <c r="C749" t="s">
        <v>108</v>
      </c>
      <c r="D749" t="s">
        <v>108</v>
      </c>
      <c r="E749" t="s">
        <v>4</v>
      </c>
      <c r="F749">
        <v>4460972</v>
      </c>
      <c r="G749">
        <v>49174</v>
      </c>
      <c r="H749">
        <v>657</v>
      </c>
      <c r="I749">
        <v>4510803</v>
      </c>
      <c r="J749">
        <v>94385</v>
      </c>
      <c r="K749">
        <v>1160</v>
      </c>
      <c r="L749">
        <v>2572692</v>
      </c>
      <c r="M749">
        <v>2668237</v>
      </c>
    </row>
    <row r="750" spans="1:13">
      <c r="A750">
        <v>806</v>
      </c>
      <c r="B750" s="331">
        <v>46162.848611111112</v>
      </c>
      <c r="C750" t="s">
        <v>131</v>
      </c>
      <c r="D750" t="s">
        <v>131</v>
      </c>
      <c r="E750" t="s">
        <v>4</v>
      </c>
      <c r="F750">
        <v>3872394</v>
      </c>
      <c r="G750">
        <v>29117</v>
      </c>
      <c r="H750">
        <v>24</v>
      </c>
      <c r="I750">
        <v>3901535</v>
      </c>
      <c r="J750">
        <v>59746</v>
      </c>
      <c r="K750">
        <v>107</v>
      </c>
      <c r="L750">
        <v>2299907</v>
      </c>
      <c r="M750">
        <v>2359760</v>
      </c>
    </row>
    <row r="751" spans="1:13">
      <c r="A751">
        <v>808</v>
      </c>
      <c r="B751" s="331">
        <v>46162.848611111112</v>
      </c>
      <c r="C751" t="s">
        <v>1133</v>
      </c>
      <c r="D751" t="s">
        <v>1133</v>
      </c>
      <c r="E751" t="s">
        <v>4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</row>
    <row r="752" spans="1:13">
      <c r="A752">
        <v>809</v>
      </c>
      <c r="B752" s="331">
        <v>46162.848611111112</v>
      </c>
      <c r="C752" t="s">
        <v>1112</v>
      </c>
      <c r="D752" t="s">
        <v>1112</v>
      </c>
      <c r="E752" t="s">
        <v>4</v>
      </c>
      <c r="F752">
        <v>866533</v>
      </c>
      <c r="G752">
        <v>6834</v>
      </c>
      <c r="H752">
        <v>0</v>
      </c>
      <c r="I752">
        <v>873367</v>
      </c>
      <c r="J752">
        <v>13305</v>
      </c>
      <c r="K752">
        <v>0</v>
      </c>
      <c r="L752">
        <v>510456</v>
      </c>
      <c r="M752">
        <v>523761</v>
      </c>
    </row>
    <row r="753" spans="1:13">
      <c r="A753">
        <v>810</v>
      </c>
      <c r="B753" s="331">
        <v>46162.848611111112</v>
      </c>
      <c r="C753" t="s">
        <v>345</v>
      </c>
      <c r="D753" t="s">
        <v>345</v>
      </c>
      <c r="E753" t="s">
        <v>4</v>
      </c>
      <c r="F753">
        <v>2018845</v>
      </c>
      <c r="G753">
        <v>27612</v>
      </c>
      <c r="H753">
        <v>0</v>
      </c>
      <c r="I753">
        <v>2046457</v>
      </c>
      <c r="J753">
        <v>45564</v>
      </c>
      <c r="K753">
        <v>0</v>
      </c>
      <c r="L753">
        <v>1141420</v>
      </c>
      <c r="M753">
        <v>1186984</v>
      </c>
    </row>
    <row r="754" spans="1:13">
      <c r="A754">
        <v>811</v>
      </c>
      <c r="B754" s="331">
        <v>46162.848611111112</v>
      </c>
      <c r="C754" t="s">
        <v>31</v>
      </c>
      <c r="D754" t="s">
        <v>31</v>
      </c>
      <c r="E754" t="s">
        <v>4</v>
      </c>
      <c r="F754">
        <v>2912161</v>
      </c>
      <c r="G754">
        <v>23651</v>
      </c>
      <c r="H754">
        <v>31</v>
      </c>
      <c r="I754">
        <v>2935843</v>
      </c>
      <c r="J754">
        <v>71248</v>
      </c>
      <c r="K754">
        <v>98</v>
      </c>
      <c r="L754">
        <v>1655217</v>
      </c>
      <c r="M754">
        <v>1726563</v>
      </c>
    </row>
    <row r="755" spans="1:13">
      <c r="A755">
        <v>812</v>
      </c>
      <c r="B755" s="331">
        <v>46162.848611111112</v>
      </c>
      <c r="C755" t="s">
        <v>107</v>
      </c>
      <c r="D755" t="s">
        <v>107</v>
      </c>
      <c r="E755" t="s">
        <v>4</v>
      </c>
      <c r="F755">
        <v>4495992</v>
      </c>
      <c r="G755">
        <v>50370</v>
      </c>
      <c r="H755">
        <v>637</v>
      </c>
      <c r="I755">
        <v>4546999</v>
      </c>
      <c r="J755">
        <v>96348</v>
      </c>
      <c r="K755">
        <v>1113</v>
      </c>
      <c r="L755">
        <v>2592001</v>
      </c>
      <c r="M755">
        <v>2689462</v>
      </c>
    </row>
    <row r="756" spans="1:13">
      <c r="A756">
        <v>813</v>
      </c>
      <c r="B756" s="331">
        <v>46162.848611111112</v>
      </c>
      <c r="C756" t="s">
        <v>24</v>
      </c>
      <c r="D756" t="s">
        <v>24</v>
      </c>
      <c r="E756" t="s">
        <v>4</v>
      </c>
      <c r="F756">
        <v>1880900</v>
      </c>
      <c r="G756">
        <v>27874</v>
      </c>
      <c r="H756">
        <v>174</v>
      </c>
      <c r="I756">
        <v>1908948</v>
      </c>
      <c r="J756">
        <v>56558</v>
      </c>
      <c r="K756">
        <v>238</v>
      </c>
      <c r="L756">
        <v>1124163</v>
      </c>
      <c r="M756">
        <v>1180959</v>
      </c>
    </row>
    <row r="757" spans="1:13">
      <c r="A757">
        <v>814</v>
      </c>
      <c r="B757" s="331">
        <v>46162.848611111112</v>
      </c>
      <c r="C757" t="s">
        <v>35</v>
      </c>
      <c r="D757" t="s">
        <v>35</v>
      </c>
      <c r="E757" t="s">
        <v>4</v>
      </c>
      <c r="F757">
        <v>3933500</v>
      </c>
      <c r="G757">
        <v>27541</v>
      </c>
      <c r="H757">
        <v>19</v>
      </c>
      <c r="I757">
        <v>3961060</v>
      </c>
      <c r="J757">
        <v>55324</v>
      </c>
      <c r="K757">
        <v>84</v>
      </c>
      <c r="L757">
        <v>2336217</v>
      </c>
      <c r="M757">
        <v>2391625</v>
      </c>
    </row>
    <row r="758" spans="1:13">
      <c r="A758">
        <v>815</v>
      </c>
      <c r="B758" s="331">
        <v>46162.848611111112</v>
      </c>
      <c r="C758" t="s">
        <v>106</v>
      </c>
      <c r="D758" t="s">
        <v>106</v>
      </c>
      <c r="E758" t="s">
        <v>4</v>
      </c>
      <c r="F758">
        <v>2976293</v>
      </c>
      <c r="G758">
        <v>39205</v>
      </c>
      <c r="H758">
        <v>505</v>
      </c>
      <c r="I758">
        <v>3016003</v>
      </c>
      <c r="J758">
        <v>69159</v>
      </c>
      <c r="K758">
        <v>890</v>
      </c>
      <c r="L758">
        <v>1691897</v>
      </c>
      <c r="M758">
        <v>1761946</v>
      </c>
    </row>
    <row r="759" spans="1:13">
      <c r="A759">
        <v>816</v>
      </c>
      <c r="B759" s="331">
        <v>46162.848611111112</v>
      </c>
      <c r="C759" t="s">
        <v>17</v>
      </c>
      <c r="D759" t="s">
        <v>17</v>
      </c>
      <c r="E759" t="s">
        <v>4</v>
      </c>
      <c r="F759">
        <v>3687555</v>
      </c>
      <c r="G759">
        <v>46934</v>
      </c>
      <c r="H759">
        <v>504</v>
      </c>
      <c r="I759">
        <v>3734993</v>
      </c>
      <c r="J759">
        <v>108603</v>
      </c>
      <c r="K759">
        <v>969</v>
      </c>
      <c r="L759">
        <v>2118514</v>
      </c>
      <c r="M759">
        <v>2228086</v>
      </c>
    </row>
    <row r="760" spans="1:13">
      <c r="A760">
        <v>817</v>
      </c>
      <c r="B760" s="331">
        <v>46162.848611111112</v>
      </c>
      <c r="C760" t="s">
        <v>22</v>
      </c>
      <c r="D760" t="s">
        <v>22</v>
      </c>
      <c r="E760" t="s">
        <v>4</v>
      </c>
      <c r="F760">
        <v>2851836</v>
      </c>
      <c r="G760">
        <v>36261</v>
      </c>
      <c r="H760">
        <v>400</v>
      </c>
      <c r="I760">
        <v>2888497</v>
      </c>
      <c r="J760">
        <v>62877</v>
      </c>
      <c r="K760">
        <v>688</v>
      </c>
      <c r="L760">
        <v>1622550</v>
      </c>
      <c r="M760">
        <v>1686115</v>
      </c>
    </row>
    <row r="761" spans="1:13">
      <c r="A761">
        <v>818</v>
      </c>
      <c r="B761" s="331">
        <v>46162.848611111112</v>
      </c>
      <c r="C761" t="s">
        <v>16</v>
      </c>
      <c r="D761" t="s">
        <v>16</v>
      </c>
      <c r="E761" t="s">
        <v>4</v>
      </c>
      <c r="F761">
        <v>3295270</v>
      </c>
      <c r="G761">
        <v>43757</v>
      </c>
      <c r="H761">
        <v>499</v>
      </c>
      <c r="I761">
        <v>3339526</v>
      </c>
      <c r="J761">
        <v>106697</v>
      </c>
      <c r="K761">
        <v>990</v>
      </c>
      <c r="L761">
        <v>1911049</v>
      </c>
      <c r="M761">
        <v>2018736</v>
      </c>
    </row>
    <row r="762" spans="1:13">
      <c r="A762">
        <v>819</v>
      </c>
      <c r="B762" s="331">
        <v>46162.848611111112</v>
      </c>
      <c r="C762" t="s">
        <v>29</v>
      </c>
      <c r="D762" t="s">
        <v>29</v>
      </c>
      <c r="E762" t="s">
        <v>4</v>
      </c>
      <c r="F762">
        <v>2274394</v>
      </c>
      <c r="G762">
        <v>23745</v>
      </c>
      <c r="H762">
        <v>22</v>
      </c>
      <c r="I762">
        <v>2298161</v>
      </c>
      <c r="J762">
        <v>77420</v>
      </c>
      <c r="K762">
        <v>104</v>
      </c>
      <c r="L762">
        <v>1364359</v>
      </c>
      <c r="M762">
        <v>1441883</v>
      </c>
    </row>
    <row r="763" spans="1:13">
      <c r="A763">
        <v>820</v>
      </c>
      <c r="B763" s="331">
        <v>46162.848611111112</v>
      </c>
      <c r="C763" t="s">
        <v>32</v>
      </c>
      <c r="D763" t="s">
        <v>32</v>
      </c>
      <c r="E763" t="s">
        <v>4</v>
      </c>
      <c r="F763">
        <v>3599386</v>
      </c>
      <c r="G763">
        <v>27035</v>
      </c>
      <c r="H763">
        <v>27</v>
      </c>
      <c r="I763">
        <v>3626448</v>
      </c>
      <c r="J763">
        <v>57198</v>
      </c>
      <c r="K763">
        <v>102</v>
      </c>
      <c r="L763">
        <v>2138891</v>
      </c>
      <c r="M763">
        <v>2196191</v>
      </c>
    </row>
    <row r="764" spans="1:13">
      <c r="A764">
        <v>821</v>
      </c>
      <c r="B764" s="331">
        <v>46162.848611111112</v>
      </c>
      <c r="C764" t="s">
        <v>1067</v>
      </c>
      <c r="D764" t="s">
        <v>1067</v>
      </c>
      <c r="E764" t="s">
        <v>4</v>
      </c>
      <c r="F764">
        <v>614352</v>
      </c>
      <c r="G764">
        <v>10444</v>
      </c>
      <c r="H764">
        <v>0</v>
      </c>
      <c r="I764">
        <v>624796</v>
      </c>
      <c r="J764">
        <v>21410</v>
      </c>
      <c r="K764">
        <v>0</v>
      </c>
      <c r="L764">
        <v>373046</v>
      </c>
      <c r="M764">
        <v>394456</v>
      </c>
    </row>
    <row r="765" spans="1:13">
      <c r="A765">
        <v>822</v>
      </c>
      <c r="B765" s="331">
        <v>46162.848611111112</v>
      </c>
      <c r="C765" t="s">
        <v>20</v>
      </c>
      <c r="D765" t="s">
        <v>20</v>
      </c>
      <c r="E765" t="s">
        <v>4</v>
      </c>
      <c r="F765">
        <v>6092610</v>
      </c>
      <c r="G765">
        <v>61480</v>
      </c>
      <c r="H765">
        <v>747</v>
      </c>
      <c r="I765">
        <v>6154837</v>
      </c>
      <c r="J765">
        <v>121522</v>
      </c>
      <c r="K765">
        <v>1327</v>
      </c>
      <c r="L765">
        <v>3472888</v>
      </c>
      <c r="M765">
        <v>3595737</v>
      </c>
    </row>
    <row r="766" spans="1:13">
      <c r="A766">
        <v>823</v>
      </c>
      <c r="B766" s="331">
        <v>46162.848611111112</v>
      </c>
      <c r="C766" t="s">
        <v>689</v>
      </c>
      <c r="D766" t="s">
        <v>689</v>
      </c>
      <c r="E766" t="s">
        <v>4</v>
      </c>
      <c r="F766">
        <v>1921905</v>
      </c>
      <c r="G766">
        <v>16984</v>
      </c>
      <c r="H766">
        <v>0</v>
      </c>
      <c r="I766">
        <v>1938889</v>
      </c>
      <c r="J766">
        <v>31102</v>
      </c>
      <c r="K766">
        <v>0</v>
      </c>
      <c r="L766">
        <v>1125125</v>
      </c>
      <c r="M766">
        <v>1156227</v>
      </c>
    </row>
    <row r="767" spans="1:13">
      <c r="A767">
        <v>824</v>
      </c>
      <c r="B767" s="331">
        <v>46162.848611111112</v>
      </c>
      <c r="C767" t="s">
        <v>691</v>
      </c>
      <c r="D767" t="s">
        <v>691</v>
      </c>
      <c r="E767" t="s">
        <v>4</v>
      </c>
      <c r="F767">
        <v>1599341</v>
      </c>
      <c r="G767">
        <v>15492</v>
      </c>
      <c r="H767">
        <v>0</v>
      </c>
      <c r="I767">
        <v>1614833</v>
      </c>
      <c r="J767">
        <v>29684</v>
      </c>
      <c r="K767">
        <v>0</v>
      </c>
      <c r="L767">
        <v>945800</v>
      </c>
      <c r="M767">
        <v>975484</v>
      </c>
    </row>
    <row r="768" spans="1:13">
      <c r="A768">
        <v>825</v>
      </c>
      <c r="B768" s="331">
        <v>46162.848611111112</v>
      </c>
      <c r="C768" t="s">
        <v>132</v>
      </c>
      <c r="D768" t="s">
        <v>132</v>
      </c>
      <c r="E768" t="s">
        <v>4</v>
      </c>
      <c r="F768">
        <v>3873866</v>
      </c>
      <c r="G768">
        <v>28764</v>
      </c>
      <c r="H768">
        <v>17</v>
      </c>
      <c r="I768">
        <v>3902647</v>
      </c>
      <c r="J768">
        <v>58779</v>
      </c>
      <c r="K768">
        <v>81</v>
      </c>
      <c r="L768">
        <v>2298983</v>
      </c>
      <c r="M768">
        <v>2357843</v>
      </c>
    </row>
    <row r="769" spans="1:13">
      <c r="A769">
        <v>826</v>
      </c>
      <c r="B769" s="331">
        <v>46162.848611111112</v>
      </c>
      <c r="C769" t="s">
        <v>34</v>
      </c>
      <c r="D769" t="s">
        <v>34</v>
      </c>
      <c r="E769" t="s">
        <v>4</v>
      </c>
      <c r="F769">
        <v>3814653</v>
      </c>
      <c r="G769">
        <v>28749</v>
      </c>
      <c r="H769">
        <v>23</v>
      </c>
      <c r="I769">
        <v>3843425</v>
      </c>
      <c r="J769">
        <v>63300</v>
      </c>
      <c r="K769">
        <v>92</v>
      </c>
      <c r="L769">
        <v>2279903</v>
      </c>
      <c r="M769">
        <v>2343295</v>
      </c>
    </row>
    <row r="770" spans="1:13">
      <c r="A770">
        <v>827</v>
      </c>
      <c r="B770" s="331">
        <v>46162.848611111112</v>
      </c>
      <c r="C770" t="s">
        <v>21</v>
      </c>
      <c r="D770" t="s">
        <v>21</v>
      </c>
      <c r="E770" t="s">
        <v>4</v>
      </c>
      <c r="F770">
        <v>5705644</v>
      </c>
      <c r="G770">
        <v>56817</v>
      </c>
      <c r="H770">
        <v>667</v>
      </c>
      <c r="I770">
        <v>5763128</v>
      </c>
      <c r="J770">
        <v>105919</v>
      </c>
      <c r="K770">
        <v>1223</v>
      </c>
      <c r="L770">
        <v>3289550</v>
      </c>
      <c r="M770">
        <v>3396692</v>
      </c>
    </row>
    <row r="771" spans="1:13">
      <c r="A771">
        <v>828</v>
      </c>
      <c r="B771" s="331">
        <v>46162.848611111112</v>
      </c>
      <c r="C771" t="s">
        <v>1068</v>
      </c>
      <c r="D771" t="s">
        <v>1068</v>
      </c>
      <c r="E771" t="s">
        <v>4</v>
      </c>
      <c r="F771">
        <v>615605</v>
      </c>
      <c r="G771">
        <v>10475</v>
      </c>
      <c r="H771">
        <v>0</v>
      </c>
      <c r="I771">
        <v>626080</v>
      </c>
      <c r="J771">
        <v>21502</v>
      </c>
      <c r="K771">
        <v>0</v>
      </c>
      <c r="L771">
        <v>373527</v>
      </c>
      <c r="M771">
        <v>395029</v>
      </c>
    </row>
    <row r="772" spans="1:13">
      <c r="A772">
        <v>831</v>
      </c>
      <c r="B772" s="331">
        <v>46162.848611111112</v>
      </c>
      <c r="C772" t="s">
        <v>19</v>
      </c>
      <c r="D772" t="s">
        <v>19</v>
      </c>
      <c r="E772" t="s">
        <v>4</v>
      </c>
      <c r="F772">
        <v>5460733</v>
      </c>
      <c r="G772">
        <v>58043</v>
      </c>
      <c r="H772">
        <v>722</v>
      </c>
      <c r="I772">
        <v>5519498</v>
      </c>
      <c r="J772">
        <v>115556</v>
      </c>
      <c r="K772">
        <v>1246</v>
      </c>
      <c r="L772">
        <v>3151187</v>
      </c>
      <c r="M772">
        <v>3267989</v>
      </c>
    </row>
    <row r="773" spans="1:13">
      <c r="A773">
        <v>832</v>
      </c>
      <c r="B773" s="331">
        <v>46162.848611111112</v>
      </c>
      <c r="C773" t="s">
        <v>336</v>
      </c>
      <c r="D773" t="s">
        <v>336</v>
      </c>
      <c r="E773" t="s">
        <v>4</v>
      </c>
      <c r="F773">
        <v>725772</v>
      </c>
      <c r="G773">
        <v>3619</v>
      </c>
      <c r="H773">
        <v>0</v>
      </c>
      <c r="I773">
        <v>729391</v>
      </c>
      <c r="J773">
        <v>5094</v>
      </c>
      <c r="K773">
        <v>0</v>
      </c>
      <c r="L773">
        <v>430583</v>
      </c>
      <c r="M773">
        <v>435677</v>
      </c>
    </row>
    <row r="774" spans="1:13">
      <c r="A774">
        <v>834</v>
      </c>
      <c r="B774" s="331">
        <v>46162.847222222219</v>
      </c>
      <c r="C774" t="s">
        <v>22</v>
      </c>
      <c r="D774" t="s">
        <v>22</v>
      </c>
      <c r="E774" t="s">
        <v>4</v>
      </c>
      <c r="F774">
        <v>2852102</v>
      </c>
      <c r="G774">
        <v>36091</v>
      </c>
      <c r="H774">
        <v>394</v>
      </c>
      <c r="I774">
        <v>2888587</v>
      </c>
      <c r="J774">
        <v>62652</v>
      </c>
      <c r="K774">
        <v>687</v>
      </c>
      <c r="L774">
        <v>1622860</v>
      </c>
      <c r="M774">
        <v>1686199</v>
      </c>
    </row>
    <row r="775" spans="1:13">
      <c r="A775">
        <v>835</v>
      </c>
      <c r="B775" s="331">
        <v>46162.847222222219</v>
      </c>
      <c r="C775" t="s">
        <v>1133</v>
      </c>
      <c r="D775" t="s">
        <v>1133</v>
      </c>
      <c r="E775" t="s">
        <v>4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</row>
    <row r="776" spans="1:13">
      <c r="A776">
        <v>836</v>
      </c>
      <c r="B776" s="331">
        <v>46162.847222222219</v>
      </c>
      <c r="C776" t="s">
        <v>583</v>
      </c>
      <c r="D776" t="s">
        <v>583</v>
      </c>
      <c r="E776" t="s">
        <v>372</v>
      </c>
      <c r="L776">
        <v>522727</v>
      </c>
      <c r="M776">
        <v>522727</v>
      </c>
    </row>
    <row r="777" spans="1:13">
      <c r="A777">
        <v>837</v>
      </c>
      <c r="B777" s="331">
        <v>46162.847222222219</v>
      </c>
      <c r="C777" t="s">
        <v>108</v>
      </c>
      <c r="D777" t="s">
        <v>108</v>
      </c>
      <c r="E777" t="s">
        <v>4</v>
      </c>
      <c r="F777">
        <v>4460919</v>
      </c>
      <c r="G777">
        <v>49103</v>
      </c>
      <c r="H777">
        <v>657</v>
      </c>
      <c r="I777">
        <v>4510679</v>
      </c>
      <c r="J777">
        <v>94262</v>
      </c>
      <c r="K777">
        <v>1159</v>
      </c>
      <c r="L777">
        <v>2572836</v>
      </c>
      <c r="M777">
        <v>2668257</v>
      </c>
    </row>
    <row r="778" spans="1:13">
      <c r="A778">
        <v>838</v>
      </c>
      <c r="B778" s="331">
        <v>46162.847222222219</v>
      </c>
      <c r="C778" t="s">
        <v>893</v>
      </c>
      <c r="D778" t="s">
        <v>893</v>
      </c>
      <c r="E778" t="s">
        <v>372</v>
      </c>
      <c r="L778">
        <v>785318</v>
      </c>
      <c r="M778">
        <v>785318</v>
      </c>
    </row>
    <row r="779" spans="1:13">
      <c r="A779">
        <v>839</v>
      </c>
      <c r="B779" s="331">
        <v>46162.847222222219</v>
      </c>
      <c r="C779" t="s">
        <v>894</v>
      </c>
      <c r="D779" t="s">
        <v>894</v>
      </c>
      <c r="E779" t="s">
        <v>372</v>
      </c>
      <c r="L779">
        <v>776514</v>
      </c>
      <c r="M779">
        <v>776514</v>
      </c>
    </row>
    <row r="780" spans="1:13">
      <c r="A780">
        <v>840</v>
      </c>
      <c r="B780" s="331">
        <v>46162.847222222219</v>
      </c>
      <c r="C780" t="s">
        <v>895</v>
      </c>
      <c r="D780" t="s">
        <v>895</v>
      </c>
      <c r="E780" t="s">
        <v>372</v>
      </c>
      <c r="L780">
        <v>777474</v>
      </c>
      <c r="M780">
        <v>777474</v>
      </c>
    </row>
    <row r="781" spans="1:13">
      <c r="A781">
        <v>841</v>
      </c>
      <c r="B781" s="331">
        <v>46162.847222222219</v>
      </c>
      <c r="C781" t="s">
        <v>33</v>
      </c>
      <c r="D781" t="s">
        <v>33</v>
      </c>
      <c r="E781" t="s">
        <v>4</v>
      </c>
      <c r="F781">
        <v>3686655</v>
      </c>
      <c r="G781">
        <v>26728</v>
      </c>
      <c r="H781">
        <v>26</v>
      </c>
      <c r="I781">
        <v>3713409</v>
      </c>
      <c r="J781">
        <v>52543</v>
      </c>
      <c r="K781">
        <v>116</v>
      </c>
      <c r="L781">
        <v>2193232</v>
      </c>
      <c r="M781">
        <v>2245891</v>
      </c>
    </row>
    <row r="782" spans="1:13">
      <c r="A782">
        <v>842</v>
      </c>
      <c r="B782" s="331">
        <v>46162.847222222219</v>
      </c>
      <c r="C782" t="s">
        <v>29</v>
      </c>
      <c r="D782" t="s">
        <v>29</v>
      </c>
      <c r="E782" t="s">
        <v>4</v>
      </c>
      <c r="F782">
        <v>2274563</v>
      </c>
      <c r="G782">
        <v>23695</v>
      </c>
      <c r="H782">
        <v>24</v>
      </c>
      <c r="I782">
        <v>2298282</v>
      </c>
      <c r="J782">
        <v>77330</v>
      </c>
      <c r="K782">
        <v>104</v>
      </c>
      <c r="L782">
        <v>1364407</v>
      </c>
      <c r="M782">
        <v>1441841</v>
      </c>
    </row>
    <row r="783" spans="1:13">
      <c r="A783">
        <v>843</v>
      </c>
      <c r="B783" s="331">
        <v>46162.847222222219</v>
      </c>
      <c r="C783" t="s">
        <v>24</v>
      </c>
      <c r="D783" t="s">
        <v>24</v>
      </c>
      <c r="E783" t="s">
        <v>4</v>
      </c>
      <c r="F783">
        <v>1881153</v>
      </c>
      <c r="G783">
        <v>27885</v>
      </c>
      <c r="H783">
        <v>175</v>
      </c>
      <c r="I783">
        <v>1909213</v>
      </c>
      <c r="J783">
        <v>56597</v>
      </c>
      <c r="K783">
        <v>240</v>
      </c>
      <c r="L783">
        <v>1124340</v>
      </c>
      <c r="M783">
        <v>1181177</v>
      </c>
    </row>
    <row r="784" spans="1:13">
      <c r="A784">
        <v>844</v>
      </c>
      <c r="B784" s="331">
        <v>46162.847222222219</v>
      </c>
      <c r="C784" t="s">
        <v>1111</v>
      </c>
      <c r="D784" t="s">
        <v>1111</v>
      </c>
      <c r="E784" t="s">
        <v>4</v>
      </c>
      <c r="F784">
        <v>860460</v>
      </c>
      <c r="G784">
        <v>6867</v>
      </c>
      <c r="H784">
        <v>0</v>
      </c>
      <c r="I784">
        <v>867327</v>
      </c>
      <c r="J784">
        <v>13392</v>
      </c>
      <c r="K784">
        <v>0</v>
      </c>
      <c r="L784">
        <v>506810</v>
      </c>
      <c r="M784">
        <v>520202</v>
      </c>
    </row>
    <row r="785" spans="1:13">
      <c r="A785">
        <v>845</v>
      </c>
      <c r="B785" s="331">
        <v>46162.847222222219</v>
      </c>
      <c r="C785" t="s">
        <v>1112</v>
      </c>
      <c r="D785" t="s">
        <v>1112</v>
      </c>
      <c r="E785" t="s">
        <v>4</v>
      </c>
      <c r="F785">
        <v>866050</v>
      </c>
      <c r="G785">
        <v>6871</v>
      </c>
      <c r="H785">
        <v>0</v>
      </c>
      <c r="I785">
        <v>872921</v>
      </c>
      <c r="J785">
        <v>13319</v>
      </c>
      <c r="K785">
        <v>0</v>
      </c>
      <c r="L785">
        <v>510248</v>
      </c>
      <c r="M785">
        <v>523567</v>
      </c>
    </row>
    <row r="786" spans="1:13">
      <c r="A786">
        <v>846</v>
      </c>
      <c r="B786" s="331">
        <v>46162.847222222219</v>
      </c>
      <c r="C786" t="s">
        <v>1080</v>
      </c>
      <c r="D786" t="s">
        <v>1080</v>
      </c>
      <c r="E786" t="s">
        <v>372</v>
      </c>
      <c r="L786">
        <v>681018</v>
      </c>
      <c r="M786">
        <v>681018</v>
      </c>
    </row>
    <row r="787" spans="1:13">
      <c r="A787">
        <v>847</v>
      </c>
      <c r="B787" s="331">
        <v>46162.847222222219</v>
      </c>
      <c r="C787" t="s">
        <v>31</v>
      </c>
      <c r="D787" t="s">
        <v>31</v>
      </c>
      <c r="E787" t="s">
        <v>4</v>
      </c>
      <c r="F787">
        <v>2912396</v>
      </c>
      <c r="G787">
        <v>23731</v>
      </c>
      <c r="H787">
        <v>29</v>
      </c>
      <c r="I787">
        <v>2936156</v>
      </c>
      <c r="J787">
        <v>71277</v>
      </c>
      <c r="K787">
        <v>98</v>
      </c>
      <c r="L787">
        <v>1655262</v>
      </c>
      <c r="M787">
        <v>1726637</v>
      </c>
    </row>
    <row r="788" spans="1:13">
      <c r="A788">
        <v>848</v>
      </c>
      <c r="B788" s="331">
        <v>46162.847222222219</v>
      </c>
      <c r="C788" t="s">
        <v>131</v>
      </c>
      <c r="D788" t="s">
        <v>131</v>
      </c>
      <c r="E788" t="s">
        <v>4</v>
      </c>
      <c r="F788">
        <v>3872932</v>
      </c>
      <c r="G788">
        <v>29002</v>
      </c>
      <c r="H788">
        <v>24</v>
      </c>
      <c r="I788">
        <v>3901958</v>
      </c>
      <c r="J788">
        <v>59618</v>
      </c>
      <c r="K788">
        <v>110</v>
      </c>
      <c r="L788">
        <v>2300110</v>
      </c>
      <c r="M788">
        <v>2359838</v>
      </c>
    </row>
    <row r="789" spans="1:13">
      <c r="A789">
        <v>850</v>
      </c>
      <c r="B789" s="331">
        <v>46162.847222222219</v>
      </c>
      <c r="C789" t="s">
        <v>18</v>
      </c>
      <c r="D789" t="s">
        <v>18</v>
      </c>
      <c r="E789" t="s">
        <v>4</v>
      </c>
      <c r="F789">
        <v>5726475</v>
      </c>
      <c r="G789">
        <v>60732</v>
      </c>
      <c r="H789">
        <v>723</v>
      </c>
      <c r="I789">
        <v>5787930</v>
      </c>
      <c r="J789">
        <v>124817</v>
      </c>
      <c r="K789">
        <v>1358</v>
      </c>
      <c r="L789">
        <v>3308026</v>
      </c>
      <c r="M789">
        <v>3434201</v>
      </c>
    </row>
    <row r="790" spans="1:13">
      <c r="A790">
        <v>851</v>
      </c>
      <c r="B790" s="331">
        <v>46162.847222222219</v>
      </c>
      <c r="C790" t="s">
        <v>691</v>
      </c>
      <c r="D790" t="s">
        <v>691</v>
      </c>
      <c r="E790" t="s">
        <v>4</v>
      </c>
      <c r="F790">
        <v>1599367</v>
      </c>
      <c r="G790">
        <v>15505</v>
      </c>
      <c r="H790">
        <v>0</v>
      </c>
      <c r="I790">
        <v>1614872</v>
      </c>
      <c r="J790">
        <v>29695</v>
      </c>
      <c r="K790">
        <v>0</v>
      </c>
      <c r="L790">
        <v>945797</v>
      </c>
      <c r="M790">
        <v>975492</v>
      </c>
    </row>
    <row r="791" spans="1:13">
      <c r="A791">
        <v>852</v>
      </c>
      <c r="B791" s="331">
        <v>46162.847222222219</v>
      </c>
      <c r="C791" t="s">
        <v>1068</v>
      </c>
      <c r="D791" t="s">
        <v>1068</v>
      </c>
      <c r="E791" t="s">
        <v>4</v>
      </c>
      <c r="F791">
        <v>615746</v>
      </c>
      <c r="G791">
        <v>10458</v>
      </c>
      <c r="H791">
        <v>0</v>
      </c>
      <c r="I791">
        <v>626204</v>
      </c>
      <c r="J791">
        <v>21474</v>
      </c>
      <c r="K791">
        <v>0</v>
      </c>
      <c r="L791">
        <v>373594</v>
      </c>
      <c r="M791">
        <v>395068</v>
      </c>
    </row>
    <row r="792" spans="1:13">
      <c r="A792">
        <v>854</v>
      </c>
      <c r="B792" s="331">
        <v>46162.847222222219</v>
      </c>
      <c r="C792" t="s">
        <v>16</v>
      </c>
      <c r="D792" t="s">
        <v>16</v>
      </c>
      <c r="E792" t="s">
        <v>4</v>
      </c>
      <c r="F792">
        <v>3294803</v>
      </c>
      <c r="G792">
        <v>43818</v>
      </c>
      <c r="H792">
        <v>508</v>
      </c>
      <c r="I792">
        <v>3339129</v>
      </c>
      <c r="J792">
        <v>106806</v>
      </c>
      <c r="K792">
        <v>1002</v>
      </c>
      <c r="L792">
        <v>1911074</v>
      </c>
      <c r="M792">
        <v>2018882</v>
      </c>
    </row>
    <row r="793" spans="1:13">
      <c r="A793">
        <v>855</v>
      </c>
      <c r="B793" s="331">
        <v>46162.847222222219</v>
      </c>
      <c r="C793" t="s">
        <v>106</v>
      </c>
      <c r="D793" t="s">
        <v>106</v>
      </c>
      <c r="E793" t="s">
        <v>4</v>
      </c>
      <c r="F793">
        <v>2976021</v>
      </c>
      <c r="G793">
        <v>39307</v>
      </c>
      <c r="H793">
        <v>509</v>
      </c>
      <c r="I793">
        <v>3015837</v>
      </c>
      <c r="J793">
        <v>69206</v>
      </c>
      <c r="K793">
        <v>898</v>
      </c>
      <c r="L793">
        <v>1691879</v>
      </c>
      <c r="M793">
        <v>1761983</v>
      </c>
    </row>
    <row r="794" spans="1:13">
      <c r="A794">
        <v>856</v>
      </c>
      <c r="B794" s="331">
        <v>46162.847222222219</v>
      </c>
      <c r="C794" t="s">
        <v>689</v>
      </c>
      <c r="D794" t="s">
        <v>689</v>
      </c>
      <c r="E794" t="s">
        <v>4</v>
      </c>
      <c r="F794">
        <v>1921678</v>
      </c>
      <c r="G794">
        <v>17077</v>
      </c>
      <c r="H794">
        <v>0</v>
      </c>
      <c r="I794">
        <v>1938755</v>
      </c>
      <c r="J794">
        <v>31241</v>
      </c>
      <c r="K794">
        <v>0</v>
      </c>
      <c r="L794">
        <v>1125063</v>
      </c>
      <c r="M794">
        <v>1156304</v>
      </c>
    </row>
    <row r="795" spans="1:13">
      <c r="A795">
        <v>857</v>
      </c>
      <c r="B795" s="331">
        <v>46162.847222222219</v>
      </c>
      <c r="C795" t="s">
        <v>19</v>
      </c>
      <c r="D795" t="s">
        <v>19</v>
      </c>
      <c r="E795" t="s">
        <v>4</v>
      </c>
      <c r="F795">
        <v>5460937</v>
      </c>
      <c r="G795">
        <v>58048</v>
      </c>
      <c r="H795">
        <v>719</v>
      </c>
      <c r="I795">
        <v>5519704</v>
      </c>
      <c r="J795">
        <v>115370</v>
      </c>
      <c r="K795">
        <v>1249</v>
      </c>
      <c r="L795">
        <v>3151519</v>
      </c>
      <c r="M795">
        <v>3268138</v>
      </c>
    </row>
    <row r="796" spans="1:13">
      <c r="A796">
        <v>858</v>
      </c>
      <c r="B796" s="331">
        <v>46162.847222222219</v>
      </c>
      <c r="C796" t="s">
        <v>27</v>
      </c>
      <c r="D796" t="s">
        <v>27</v>
      </c>
      <c r="E796" t="s">
        <v>4</v>
      </c>
      <c r="F796">
        <v>1817214</v>
      </c>
      <c r="G796">
        <v>25043</v>
      </c>
      <c r="H796">
        <v>168</v>
      </c>
      <c r="I796">
        <v>1842425</v>
      </c>
      <c r="J796">
        <v>52224</v>
      </c>
      <c r="K796">
        <v>276</v>
      </c>
      <c r="L796">
        <v>1088353</v>
      </c>
      <c r="M796">
        <v>1140853</v>
      </c>
    </row>
    <row r="797" spans="1:13">
      <c r="A797">
        <v>859</v>
      </c>
      <c r="B797" s="331">
        <v>46162.847222222219</v>
      </c>
      <c r="C797" t="s">
        <v>32</v>
      </c>
      <c r="D797" t="s">
        <v>32</v>
      </c>
      <c r="E797" t="s">
        <v>4</v>
      </c>
      <c r="F797">
        <v>3599722</v>
      </c>
      <c r="G797">
        <v>26908</v>
      </c>
      <c r="H797">
        <v>28</v>
      </c>
      <c r="I797">
        <v>3626658</v>
      </c>
      <c r="J797">
        <v>57069</v>
      </c>
      <c r="K797">
        <v>101</v>
      </c>
      <c r="L797">
        <v>2139007</v>
      </c>
      <c r="M797">
        <v>2196177</v>
      </c>
    </row>
    <row r="798" spans="1:13">
      <c r="A798">
        <v>860</v>
      </c>
      <c r="B798" s="331">
        <v>46162.847222222219</v>
      </c>
      <c r="C798" t="s">
        <v>336</v>
      </c>
      <c r="D798" t="s">
        <v>336</v>
      </c>
      <c r="E798" t="s">
        <v>4</v>
      </c>
      <c r="F798">
        <v>725958</v>
      </c>
      <c r="G798">
        <v>3541</v>
      </c>
      <c r="H798">
        <v>0</v>
      </c>
      <c r="I798">
        <v>729499</v>
      </c>
      <c r="J798">
        <v>5045</v>
      </c>
      <c r="K798">
        <v>0</v>
      </c>
      <c r="L798">
        <v>430630</v>
      </c>
      <c r="M798">
        <v>435675</v>
      </c>
    </row>
    <row r="799" spans="1:13">
      <c r="A799">
        <v>861</v>
      </c>
      <c r="B799" s="331">
        <v>46162.847222222219</v>
      </c>
      <c r="C799" t="s">
        <v>345</v>
      </c>
      <c r="D799" t="s">
        <v>345</v>
      </c>
      <c r="E799" t="s">
        <v>4</v>
      </c>
      <c r="F799">
        <v>2018945</v>
      </c>
      <c r="G799">
        <v>27527</v>
      </c>
      <c r="H799">
        <v>0</v>
      </c>
      <c r="I799">
        <v>2046472</v>
      </c>
      <c r="J799">
        <v>45398</v>
      </c>
      <c r="K799">
        <v>0</v>
      </c>
      <c r="L799">
        <v>1141603</v>
      </c>
      <c r="M799">
        <v>1187001</v>
      </c>
    </row>
    <row r="800" spans="1:13">
      <c r="A800">
        <v>862</v>
      </c>
      <c r="B800" s="331">
        <v>46162.847222222219</v>
      </c>
      <c r="C800" t="s">
        <v>17</v>
      </c>
      <c r="D800" t="s">
        <v>17</v>
      </c>
      <c r="E800" t="s">
        <v>4</v>
      </c>
      <c r="F800">
        <v>3687110</v>
      </c>
      <c r="G800">
        <v>46964</v>
      </c>
      <c r="H800">
        <v>499</v>
      </c>
      <c r="I800">
        <v>3734573</v>
      </c>
      <c r="J800">
        <v>108593</v>
      </c>
      <c r="K800">
        <v>969</v>
      </c>
      <c r="L800">
        <v>2118586</v>
      </c>
      <c r="M800">
        <v>2228148</v>
      </c>
    </row>
    <row r="801" spans="1:13">
      <c r="A801">
        <v>863</v>
      </c>
      <c r="B801" s="331">
        <v>46162.847222222219</v>
      </c>
      <c r="C801" t="s">
        <v>690</v>
      </c>
      <c r="D801" t="s">
        <v>690</v>
      </c>
      <c r="E801" t="s">
        <v>4</v>
      </c>
      <c r="F801">
        <v>1602033</v>
      </c>
      <c r="G801">
        <v>15727</v>
      </c>
      <c r="H801">
        <v>0</v>
      </c>
      <c r="I801">
        <v>1617760</v>
      </c>
      <c r="J801">
        <v>29908</v>
      </c>
      <c r="K801">
        <v>0</v>
      </c>
      <c r="L801">
        <v>947824</v>
      </c>
      <c r="M801">
        <v>977732</v>
      </c>
    </row>
    <row r="802" spans="1:13">
      <c r="A802">
        <v>864</v>
      </c>
      <c r="B802" s="331">
        <v>46162.847222222219</v>
      </c>
      <c r="C802" t="s">
        <v>349</v>
      </c>
      <c r="D802" t="s">
        <v>349</v>
      </c>
      <c r="E802" t="s">
        <v>372</v>
      </c>
      <c r="L802">
        <v>601972</v>
      </c>
      <c r="M802">
        <v>601972</v>
      </c>
    </row>
    <row r="803" spans="1:13">
      <c r="A803">
        <v>865</v>
      </c>
      <c r="B803" s="331">
        <v>46162.847222222219</v>
      </c>
      <c r="C803" t="s">
        <v>350</v>
      </c>
      <c r="D803" t="s">
        <v>350</v>
      </c>
      <c r="E803" t="s">
        <v>372</v>
      </c>
      <c r="L803">
        <v>611549</v>
      </c>
      <c r="M803">
        <v>611549</v>
      </c>
    </row>
    <row r="804" spans="1:13">
      <c r="A804">
        <v>866</v>
      </c>
      <c r="B804" s="331">
        <v>46162.847222222219</v>
      </c>
      <c r="C804" t="s">
        <v>581</v>
      </c>
      <c r="D804" t="s">
        <v>581</v>
      </c>
      <c r="E804" t="s">
        <v>372</v>
      </c>
      <c r="L804">
        <v>519098</v>
      </c>
      <c r="M804">
        <v>519098</v>
      </c>
    </row>
    <row r="805" spans="1:13">
      <c r="A805">
        <v>867</v>
      </c>
      <c r="B805" s="331">
        <v>46162.847222222219</v>
      </c>
      <c r="C805" t="s">
        <v>896</v>
      </c>
      <c r="D805" t="s">
        <v>896</v>
      </c>
      <c r="E805" t="s">
        <v>372</v>
      </c>
      <c r="L805">
        <v>776249</v>
      </c>
      <c r="M805">
        <v>776249</v>
      </c>
    </row>
    <row r="806" spans="1:13">
      <c r="A806">
        <v>868</v>
      </c>
      <c r="B806" s="331">
        <v>46162.847222222219</v>
      </c>
      <c r="C806" t="s">
        <v>26</v>
      </c>
      <c r="D806" t="s">
        <v>26</v>
      </c>
      <c r="E806" t="s">
        <v>4</v>
      </c>
      <c r="F806">
        <v>1901467</v>
      </c>
      <c r="G806">
        <v>25070</v>
      </c>
      <c r="H806">
        <v>163</v>
      </c>
      <c r="I806">
        <v>1926700</v>
      </c>
      <c r="J806">
        <v>55257</v>
      </c>
      <c r="K806">
        <v>256</v>
      </c>
      <c r="L806">
        <v>1142200</v>
      </c>
      <c r="M806">
        <v>1197713</v>
      </c>
    </row>
    <row r="807" spans="1:13">
      <c r="A807">
        <v>869</v>
      </c>
      <c r="B807" s="331">
        <v>46162.847222222219</v>
      </c>
      <c r="C807" t="s">
        <v>346</v>
      </c>
      <c r="D807" t="s">
        <v>346</v>
      </c>
      <c r="E807" t="s">
        <v>4</v>
      </c>
      <c r="F807">
        <v>2447568</v>
      </c>
      <c r="G807">
        <v>29905</v>
      </c>
      <c r="H807">
        <v>0</v>
      </c>
      <c r="I807">
        <v>2477473</v>
      </c>
      <c r="J807">
        <v>52087</v>
      </c>
      <c r="K807">
        <v>0</v>
      </c>
      <c r="L807">
        <v>1405050</v>
      </c>
      <c r="M807">
        <v>1457137</v>
      </c>
    </row>
    <row r="808" spans="1:13">
      <c r="A808">
        <v>870</v>
      </c>
      <c r="B808" s="331">
        <v>46162.847222222219</v>
      </c>
      <c r="C808" t="s">
        <v>132</v>
      </c>
      <c r="D808" t="s">
        <v>132</v>
      </c>
      <c r="E808" t="s">
        <v>4</v>
      </c>
      <c r="F808">
        <v>3874302</v>
      </c>
      <c r="G808">
        <v>28868</v>
      </c>
      <c r="H808">
        <v>17</v>
      </c>
      <c r="I808">
        <v>3903187</v>
      </c>
      <c r="J808">
        <v>58850</v>
      </c>
      <c r="K808">
        <v>82</v>
      </c>
      <c r="L808">
        <v>2299099</v>
      </c>
      <c r="M808">
        <v>2358031</v>
      </c>
    </row>
    <row r="809" spans="1:13">
      <c r="A809">
        <v>871</v>
      </c>
      <c r="B809" s="331">
        <v>46162.847222222219</v>
      </c>
      <c r="C809" t="s">
        <v>35</v>
      </c>
      <c r="D809" t="s">
        <v>35</v>
      </c>
      <c r="E809" t="s">
        <v>4</v>
      </c>
      <c r="F809">
        <v>3933948</v>
      </c>
      <c r="G809">
        <v>27310</v>
      </c>
      <c r="H809">
        <v>19</v>
      </c>
      <c r="I809">
        <v>3961277</v>
      </c>
      <c r="J809">
        <v>55105</v>
      </c>
      <c r="K809">
        <v>83</v>
      </c>
      <c r="L809">
        <v>2336391</v>
      </c>
      <c r="M809">
        <v>2391579</v>
      </c>
    </row>
    <row r="810" spans="1:13">
      <c r="A810">
        <v>872</v>
      </c>
      <c r="B810" s="331">
        <v>46162.847222222219</v>
      </c>
      <c r="C810" t="s">
        <v>20</v>
      </c>
      <c r="D810" t="s">
        <v>20</v>
      </c>
      <c r="E810" t="s">
        <v>4</v>
      </c>
      <c r="F810">
        <v>6092406</v>
      </c>
      <c r="G810">
        <v>61489</v>
      </c>
      <c r="H810">
        <v>754</v>
      </c>
      <c r="I810">
        <v>6154649</v>
      </c>
      <c r="J810">
        <v>121458</v>
      </c>
      <c r="K810">
        <v>1327</v>
      </c>
      <c r="L810">
        <v>3472978</v>
      </c>
      <c r="M810">
        <v>3595763</v>
      </c>
    </row>
    <row r="811" spans="1:13">
      <c r="A811">
        <v>873</v>
      </c>
      <c r="B811" s="331">
        <v>46162.847222222219</v>
      </c>
      <c r="C811" t="s">
        <v>105</v>
      </c>
      <c r="D811" t="s">
        <v>105</v>
      </c>
      <c r="E811" t="s">
        <v>4</v>
      </c>
      <c r="F811">
        <v>2478351</v>
      </c>
      <c r="G811">
        <v>27000</v>
      </c>
      <c r="H811">
        <v>179</v>
      </c>
      <c r="I811">
        <v>2505530</v>
      </c>
      <c r="J811">
        <v>52793</v>
      </c>
      <c r="K811">
        <v>287</v>
      </c>
      <c r="L811">
        <v>1465759</v>
      </c>
      <c r="M811">
        <v>1518839</v>
      </c>
    </row>
    <row r="812" spans="1:13">
      <c r="A812">
        <v>874</v>
      </c>
      <c r="B812" s="331">
        <v>46162.847222222219</v>
      </c>
      <c r="C812" t="s">
        <v>34</v>
      </c>
      <c r="D812" t="s">
        <v>34</v>
      </c>
      <c r="E812" t="s">
        <v>4</v>
      </c>
      <c r="F812">
        <v>3814848</v>
      </c>
      <c r="G812">
        <v>28745</v>
      </c>
      <c r="H812">
        <v>23</v>
      </c>
      <c r="I812">
        <v>3843616</v>
      </c>
      <c r="J812">
        <v>63304</v>
      </c>
      <c r="K812">
        <v>91</v>
      </c>
      <c r="L812">
        <v>2279939</v>
      </c>
      <c r="M812">
        <v>2343334</v>
      </c>
    </row>
    <row r="813" spans="1:13">
      <c r="A813">
        <v>875</v>
      </c>
      <c r="B813" s="331">
        <v>46162.847222222219</v>
      </c>
      <c r="C813" t="s">
        <v>21</v>
      </c>
      <c r="D813" t="s">
        <v>21</v>
      </c>
      <c r="E813" t="s">
        <v>4</v>
      </c>
      <c r="F813">
        <v>5705670</v>
      </c>
      <c r="G813">
        <v>56647</v>
      </c>
      <c r="H813">
        <v>670</v>
      </c>
      <c r="I813">
        <v>5762987</v>
      </c>
      <c r="J813">
        <v>105687</v>
      </c>
      <c r="K813">
        <v>1222</v>
      </c>
      <c r="L813">
        <v>3289818</v>
      </c>
      <c r="M813">
        <v>3396727</v>
      </c>
    </row>
    <row r="814" spans="1:13">
      <c r="A814">
        <v>876</v>
      </c>
      <c r="B814" s="331">
        <v>46162.847222222219</v>
      </c>
      <c r="C814" t="s">
        <v>107</v>
      </c>
      <c r="D814" t="s">
        <v>107</v>
      </c>
      <c r="E814" t="s">
        <v>4</v>
      </c>
      <c r="F814">
        <v>4495739</v>
      </c>
      <c r="G814">
        <v>50468</v>
      </c>
      <c r="H814">
        <v>637</v>
      </c>
      <c r="I814">
        <v>4546844</v>
      </c>
      <c r="J814">
        <v>96325</v>
      </c>
      <c r="K814">
        <v>1114</v>
      </c>
      <c r="L814">
        <v>2592087</v>
      </c>
      <c r="M814">
        <v>2689526</v>
      </c>
    </row>
    <row r="815" spans="1:13">
      <c r="A815">
        <v>877</v>
      </c>
      <c r="B815" s="331">
        <v>46162.847222222219</v>
      </c>
      <c r="C815" t="s">
        <v>1125</v>
      </c>
      <c r="D815" t="s">
        <v>1125</v>
      </c>
      <c r="E815" t="s">
        <v>372</v>
      </c>
      <c r="L815">
        <v>632155</v>
      </c>
      <c r="M815">
        <v>632155</v>
      </c>
    </row>
    <row r="816" spans="1:13">
      <c r="A816">
        <v>878</v>
      </c>
      <c r="B816" s="331">
        <v>46162.847222222219</v>
      </c>
      <c r="C816" t="s">
        <v>580</v>
      </c>
      <c r="D816" t="s">
        <v>580</v>
      </c>
      <c r="E816" t="s">
        <v>372</v>
      </c>
      <c r="L816">
        <v>552071</v>
      </c>
      <c r="M816">
        <v>552071</v>
      </c>
    </row>
    <row r="817" spans="1:13">
      <c r="A817">
        <v>879</v>
      </c>
      <c r="B817" s="331">
        <v>46162.847222222219</v>
      </c>
      <c r="C817" t="s">
        <v>1081</v>
      </c>
      <c r="D817" t="s">
        <v>1081</v>
      </c>
      <c r="E817" t="s">
        <v>372</v>
      </c>
      <c r="L817">
        <v>645468</v>
      </c>
      <c r="M817">
        <v>645468</v>
      </c>
    </row>
    <row r="818" spans="1:13">
      <c r="A818">
        <v>880</v>
      </c>
      <c r="B818" s="331">
        <v>46162.847222222219</v>
      </c>
      <c r="C818" t="s">
        <v>582</v>
      </c>
      <c r="D818" t="s">
        <v>582</v>
      </c>
      <c r="E818" t="s">
        <v>372</v>
      </c>
      <c r="L818">
        <v>522338</v>
      </c>
      <c r="M818">
        <v>522338</v>
      </c>
    </row>
    <row r="819" spans="1:13">
      <c r="A819">
        <v>881</v>
      </c>
      <c r="B819" s="331">
        <v>46162.847222222219</v>
      </c>
      <c r="C819" t="s">
        <v>348</v>
      </c>
      <c r="D819" t="s">
        <v>348</v>
      </c>
      <c r="E819" t="s">
        <v>372</v>
      </c>
      <c r="L819">
        <v>616524</v>
      </c>
      <c r="M819">
        <v>616524</v>
      </c>
    </row>
    <row r="820" spans="1:13">
      <c r="A820">
        <v>882</v>
      </c>
      <c r="B820" s="331">
        <v>46162.847222222219</v>
      </c>
      <c r="C820" t="s">
        <v>1067</v>
      </c>
      <c r="D820" t="s">
        <v>1067</v>
      </c>
      <c r="E820" t="s">
        <v>4</v>
      </c>
      <c r="F820">
        <v>614531</v>
      </c>
      <c r="G820">
        <v>10450</v>
      </c>
      <c r="H820">
        <v>0</v>
      </c>
      <c r="I820">
        <v>624981</v>
      </c>
      <c r="J820">
        <v>21404</v>
      </c>
      <c r="K820">
        <v>0</v>
      </c>
      <c r="L820">
        <v>373154</v>
      </c>
      <c r="M820">
        <v>394558</v>
      </c>
    </row>
    <row r="821" spans="1:13">
      <c r="A821">
        <v>883</v>
      </c>
      <c r="B821" s="331">
        <v>46162.845833333333</v>
      </c>
      <c r="C821" t="s">
        <v>691</v>
      </c>
      <c r="D821" t="s">
        <v>691</v>
      </c>
      <c r="E821" t="s">
        <v>4</v>
      </c>
      <c r="F821">
        <v>1599515</v>
      </c>
      <c r="G821">
        <v>15497</v>
      </c>
      <c r="H821">
        <v>0</v>
      </c>
      <c r="I821">
        <v>1615012</v>
      </c>
      <c r="J821">
        <v>29665</v>
      </c>
      <c r="K821">
        <v>0</v>
      </c>
      <c r="L821">
        <v>945881</v>
      </c>
      <c r="M821">
        <v>975546</v>
      </c>
    </row>
    <row r="822" spans="1:13">
      <c r="A822">
        <v>884</v>
      </c>
      <c r="B822" s="331">
        <v>46162.845833333333</v>
      </c>
      <c r="C822" t="s">
        <v>108</v>
      </c>
      <c r="D822" t="s">
        <v>108</v>
      </c>
      <c r="E822" t="s">
        <v>4</v>
      </c>
      <c r="F822">
        <v>4460440</v>
      </c>
      <c r="G822">
        <v>49086</v>
      </c>
      <c r="H822">
        <v>655</v>
      </c>
      <c r="I822">
        <v>4510181</v>
      </c>
      <c r="J822">
        <v>94299</v>
      </c>
      <c r="K822">
        <v>1151</v>
      </c>
      <c r="L822">
        <v>2572819</v>
      </c>
      <c r="M822">
        <v>2668269</v>
      </c>
    </row>
    <row r="823" spans="1:13">
      <c r="A823">
        <v>886</v>
      </c>
      <c r="B823" s="331">
        <v>46162.845833333333</v>
      </c>
      <c r="C823" t="s">
        <v>105</v>
      </c>
      <c r="D823" t="s">
        <v>105</v>
      </c>
      <c r="E823" t="s">
        <v>4</v>
      </c>
      <c r="F823">
        <v>2478460</v>
      </c>
      <c r="G823">
        <v>27064</v>
      </c>
      <c r="H823">
        <v>173</v>
      </c>
      <c r="I823">
        <v>2505697</v>
      </c>
      <c r="J823">
        <v>52815</v>
      </c>
      <c r="K823">
        <v>282</v>
      </c>
      <c r="L823">
        <v>1465955</v>
      </c>
      <c r="M823">
        <v>1519052</v>
      </c>
    </row>
    <row r="824" spans="1:13">
      <c r="A824">
        <v>888</v>
      </c>
      <c r="B824" s="331">
        <v>46162.845833333333</v>
      </c>
      <c r="C824" t="s">
        <v>27</v>
      </c>
      <c r="D824" t="s">
        <v>27</v>
      </c>
      <c r="E824" t="s">
        <v>4</v>
      </c>
      <c r="F824">
        <v>1817087</v>
      </c>
      <c r="G824">
        <v>25028</v>
      </c>
      <c r="H824">
        <v>175</v>
      </c>
      <c r="I824">
        <v>1842290</v>
      </c>
      <c r="J824">
        <v>52248</v>
      </c>
      <c r="K824">
        <v>281</v>
      </c>
      <c r="L824">
        <v>1088279</v>
      </c>
      <c r="M824">
        <v>1140808</v>
      </c>
    </row>
    <row r="825" spans="1:13">
      <c r="A825">
        <v>889</v>
      </c>
      <c r="B825" s="331">
        <v>46162.845833333333</v>
      </c>
      <c r="C825" t="s">
        <v>132</v>
      </c>
      <c r="D825" t="s">
        <v>132</v>
      </c>
      <c r="E825" t="s">
        <v>4</v>
      </c>
      <c r="F825">
        <v>3874836</v>
      </c>
      <c r="G825">
        <v>28870</v>
      </c>
      <c r="H825">
        <v>20</v>
      </c>
      <c r="I825">
        <v>3903726</v>
      </c>
      <c r="J825">
        <v>58841</v>
      </c>
      <c r="K825">
        <v>83</v>
      </c>
      <c r="L825">
        <v>2299391</v>
      </c>
      <c r="M825">
        <v>2358315</v>
      </c>
    </row>
    <row r="826" spans="1:13">
      <c r="A826">
        <v>890</v>
      </c>
      <c r="B826" s="331">
        <v>46162.845833333333</v>
      </c>
      <c r="C826" t="s">
        <v>33</v>
      </c>
      <c r="D826" t="s">
        <v>33</v>
      </c>
      <c r="E826" t="s">
        <v>4</v>
      </c>
      <c r="F826">
        <v>3687106</v>
      </c>
      <c r="G826">
        <v>26612</v>
      </c>
      <c r="H826">
        <v>26</v>
      </c>
      <c r="I826">
        <v>3713744</v>
      </c>
      <c r="J826">
        <v>52414</v>
      </c>
      <c r="K826">
        <v>116</v>
      </c>
      <c r="L826">
        <v>2193486</v>
      </c>
      <c r="M826">
        <v>2246016</v>
      </c>
    </row>
    <row r="827" spans="1:13">
      <c r="A827">
        <v>891</v>
      </c>
      <c r="B827" s="331">
        <v>46162.845833333333</v>
      </c>
      <c r="C827" t="s">
        <v>1067</v>
      </c>
      <c r="D827" t="s">
        <v>1067</v>
      </c>
      <c r="E827" t="s">
        <v>4</v>
      </c>
      <c r="F827">
        <v>614475</v>
      </c>
      <c r="G827">
        <v>10444</v>
      </c>
      <c r="H827">
        <v>0</v>
      </c>
      <c r="I827">
        <v>624919</v>
      </c>
      <c r="J827">
        <v>21412</v>
      </c>
      <c r="K827">
        <v>0</v>
      </c>
      <c r="L827">
        <v>373157</v>
      </c>
      <c r="M827">
        <v>394569</v>
      </c>
    </row>
    <row r="828" spans="1:13">
      <c r="A828">
        <v>892</v>
      </c>
      <c r="B828" s="331">
        <v>46162.845833333333</v>
      </c>
      <c r="C828" t="s">
        <v>21</v>
      </c>
      <c r="D828" t="s">
        <v>21</v>
      </c>
      <c r="E828" t="s">
        <v>4</v>
      </c>
      <c r="F828">
        <v>5705760</v>
      </c>
      <c r="G828">
        <v>56546</v>
      </c>
      <c r="H828">
        <v>653</v>
      </c>
      <c r="I828">
        <v>5762959</v>
      </c>
      <c r="J828">
        <v>105573</v>
      </c>
      <c r="K828">
        <v>1202</v>
      </c>
      <c r="L828">
        <v>3289995</v>
      </c>
      <c r="M828">
        <v>3396770</v>
      </c>
    </row>
    <row r="829" spans="1:13">
      <c r="A829">
        <v>893</v>
      </c>
      <c r="B829" s="331">
        <v>46162.845833333333</v>
      </c>
      <c r="C829" t="s">
        <v>1112</v>
      </c>
      <c r="D829" t="s">
        <v>1112</v>
      </c>
      <c r="E829" t="s">
        <v>4</v>
      </c>
      <c r="F829">
        <v>866054</v>
      </c>
      <c r="G829">
        <v>6885</v>
      </c>
      <c r="H829">
        <v>0</v>
      </c>
      <c r="I829">
        <v>872939</v>
      </c>
      <c r="J829">
        <v>13308</v>
      </c>
      <c r="K829">
        <v>0</v>
      </c>
      <c r="L829">
        <v>510270</v>
      </c>
      <c r="M829">
        <v>523578</v>
      </c>
    </row>
    <row r="830" spans="1:13">
      <c r="A830">
        <v>894</v>
      </c>
      <c r="B830" s="331">
        <v>46162.845833333333</v>
      </c>
      <c r="C830" t="s">
        <v>345</v>
      </c>
      <c r="D830" t="s">
        <v>345</v>
      </c>
      <c r="E830" t="s">
        <v>4</v>
      </c>
      <c r="F830">
        <v>2018647</v>
      </c>
      <c r="G830">
        <v>27644</v>
      </c>
      <c r="H830">
        <v>0</v>
      </c>
      <c r="I830">
        <v>2046291</v>
      </c>
      <c r="J830">
        <v>45483</v>
      </c>
      <c r="K830">
        <v>0</v>
      </c>
      <c r="L830">
        <v>1141549</v>
      </c>
      <c r="M830">
        <v>1187032</v>
      </c>
    </row>
    <row r="831" spans="1:13">
      <c r="A831">
        <v>895</v>
      </c>
      <c r="B831" s="331">
        <v>46162.845833333333</v>
      </c>
      <c r="C831" t="s">
        <v>1068</v>
      </c>
      <c r="D831" t="s">
        <v>1068</v>
      </c>
      <c r="E831" t="s">
        <v>4</v>
      </c>
      <c r="F831">
        <v>615778</v>
      </c>
      <c r="G831">
        <v>10542</v>
      </c>
      <c r="H831">
        <v>0</v>
      </c>
      <c r="I831">
        <v>626320</v>
      </c>
      <c r="J831">
        <v>21537</v>
      </c>
      <c r="K831">
        <v>0</v>
      </c>
      <c r="L831">
        <v>373601</v>
      </c>
      <c r="M831">
        <v>395138</v>
      </c>
    </row>
    <row r="832" spans="1:13">
      <c r="A832">
        <v>896</v>
      </c>
      <c r="B832" s="331">
        <v>46162.845833333333</v>
      </c>
      <c r="C832" t="s">
        <v>1111</v>
      </c>
      <c r="D832" t="s">
        <v>1111</v>
      </c>
      <c r="E832" t="s">
        <v>4</v>
      </c>
      <c r="F832">
        <v>860541</v>
      </c>
      <c r="G832">
        <v>6876</v>
      </c>
      <c r="H832">
        <v>0</v>
      </c>
      <c r="I832">
        <v>867417</v>
      </c>
      <c r="J832">
        <v>13370</v>
      </c>
      <c r="K832">
        <v>0</v>
      </c>
      <c r="L832">
        <v>506891</v>
      </c>
      <c r="M832">
        <v>520261</v>
      </c>
    </row>
    <row r="833" spans="1:13">
      <c r="A833">
        <v>897</v>
      </c>
      <c r="B833" s="331">
        <v>46162.845833333333</v>
      </c>
      <c r="C833" t="s">
        <v>24</v>
      </c>
      <c r="D833" t="s">
        <v>24</v>
      </c>
      <c r="E833" t="s">
        <v>4</v>
      </c>
      <c r="F833">
        <v>1881430</v>
      </c>
      <c r="G833">
        <v>27926</v>
      </c>
      <c r="H833">
        <v>177</v>
      </c>
      <c r="I833">
        <v>1909533</v>
      </c>
      <c r="J833">
        <v>56600</v>
      </c>
      <c r="K833">
        <v>242</v>
      </c>
      <c r="L833">
        <v>1124390</v>
      </c>
      <c r="M833">
        <v>1181232</v>
      </c>
    </row>
    <row r="834" spans="1:13">
      <c r="A834">
        <v>898</v>
      </c>
      <c r="B834" s="331">
        <v>46162.845833333333</v>
      </c>
      <c r="C834" t="s">
        <v>107</v>
      </c>
      <c r="D834" t="s">
        <v>107</v>
      </c>
      <c r="E834" t="s">
        <v>4</v>
      </c>
      <c r="F834">
        <v>4495265</v>
      </c>
      <c r="G834">
        <v>50530</v>
      </c>
      <c r="H834">
        <v>662</v>
      </c>
      <c r="I834">
        <v>4546457</v>
      </c>
      <c r="J834">
        <v>96380</v>
      </c>
      <c r="K834">
        <v>1137</v>
      </c>
      <c r="L834">
        <v>2592052</v>
      </c>
      <c r="M834">
        <v>2689569</v>
      </c>
    </row>
    <row r="835" spans="1:13">
      <c r="A835">
        <v>899</v>
      </c>
      <c r="B835" s="331">
        <v>46162.845833333333</v>
      </c>
      <c r="C835" t="s">
        <v>35</v>
      </c>
      <c r="D835" t="s">
        <v>35</v>
      </c>
      <c r="E835" t="s">
        <v>4</v>
      </c>
      <c r="F835">
        <v>3934347</v>
      </c>
      <c r="G835">
        <v>27411</v>
      </c>
      <c r="H835">
        <v>19</v>
      </c>
      <c r="I835">
        <v>3961777</v>
      </c>
      <c r="J835">
        <v>55170</v>
      </c>
      <c r="K835">
        <v>84</v>
      </c>
      <c r="L835">
        <v>2336584</v>
      </c>
      <c r="M835">
        <v>2391838</v>
      </c>
    </row>
    <row r="836" spans="1:13">
      <c r="A836">
        <v>900</v>
      </c>
      <c r="B836" s="331">
        <v>46162.845833333333</v>
      </c>
      <c r="C836" t="s">
        <v>19</v>
      </c>
      <c r="D836" t="s">
        <v>19</v>
      </c>
      <c r="E836" t="s">
        <v>4</v>
      </c>
      <c r="F836">
        <v>5460217</v>
      </c>
      <c r="G836">
        <v>58168</v>
      </c>
      <c r="H836">
        <v>709</v>
      </c>
      <c r="I836">
        <v>5519094</v>
      </c>
      <c r="J836">
        <v>115462</v>
      </c>
      <c r="K836">
        <v>1240</v>
      </c>
      <c r="L836">
        <v>3151436</v>
      </c>
      <c r="M836">
        <v>3268138</v>
      </c>
    </row>
    <row r="837" spans="1:13">
      <c r="A837">
        <v>901</v>
      </c>
      <c r="B837" s="331">
        <v>46162.845833333333</v>
      </c>
      <c r="C837" t="s">
        <v>346</v>
      </c>
      <c r="D837" t="s">
        <v>346</v>
      </c>
      <c r="E837" t="s">
        <v>4</v>
      </c>
      <c r="F837">
        <v>2447330</v>
      </c>
      <c r="G837">
        <v>29971</v>
      </c>
      <c r="H837">
        <v>0</v>
      </c>
      <c r="I837">
        <v>2477301</v>
      </c>
      <c r="J837">
        <v>52155</v>
      </c>
      <c r="K837">
        <v>0</v>
      </c>
      <c r="L837">
        <v>1405069</v>
      </c>
      <c r="M837">
        <v>1457224</v>
      </c>
    </row>
    <row r="838" spans="1:13">
      <c r="A838">
        <v>902</v>
      </c>
      <c r="B838" s="331">
        <v>46162.845833333333</v>
      </c>
      <c r="C838" t="s">
        <v>32</v>
      </c>
      <c r="D838" t="s">
        <v>32</v>
      </c>
      <c r="E838" t="s">
        <v>4</v>
      </c>
      <c r="F838">
        <v>3599880</v>
      </c>
      <c r="G838">
        <v>26971</v>
      </c>
      <c r="H838">
        <v>28</v>
      </c>
      <c r="I838">
        <v>3626879</v>
      </c>
      <c r="J838">
        <v>57157</v>
      </c>
      <c r="K838">
        <v>100</v>
      </c>
      <c r="L838">
        <v>2139126</v>
      </c>
      <c r="M838">
        <v>2196383</v>
      </c>
    </row>
    <row r="839" spans="1:13">
      <c r="A839">
        <v>903</v>
      </c>
      <c r="B839" s="331">
        <v>46162.845833333333</v>
      </c>
      <c r="C839" t="s">
        <v>16</v>
      </c>
      <c r="D839" t="s">
        <v>16</v>
      </c>
      <c r="E839" t="s">
        <v>4</v>
      </c>
      <c r="F839">
        <v>3294726</v>
      </c>
      <c r="G839">
        <v>43998</v>
      </c>
      <c r="H839">
        <v>517</v>
      </c>
      <c r="I839">
        <v>3339241</v>
      </c>
      <c r="J839">
        <v>106928</v>
      </c>
      <c r="K839">
        <v>1008</v>
      </c>
      <c r="L839">
        <v>1911017</v>
      </c>
      <c r="M839">
        <v>2018953</v>
      </c>
    </row>
    <row r="840" spans="1:13">
      <c r="A840">
        <v>904</v>
      </c>
      <c r="B840" s="331">
        <v>46162.845833333333</v>
      </c>
      <c r="C840" t="s">
        <v>31</v>
      </c>
      <c r="D840" t="s">
        <v>31</v>
      </c>
      <c r="E840" t="s">
        <v>4</v>
      </c>
      <c r="F840">
        <v>2912516</v>
      </c>
      <c r="G840">
        <v>23672</v>
      </c>
      <c r="H840">
        <v>26</v>
      </c>
      <c r="I840">
        <v>2936214</v>
      </c>
      <c r="J840">
        <v>71288</v>
      </c>
      <c r="K840">
        <v>96</v>
      </c>
      <c r="L840">
        <v>1655370</v>
      </c>
      <c r="M840">
        <v>1726754</v>
      </c>
    </row>
    <row r="841" spans="1:13">
      <c r="A841">
        <v>905</v>
      </c>
      <c r="B841" s="331">
        <v>46162.845833333333</v>
      </c>
      <c r="C841" t="s">
        <v>26</v>
      </c>
      <c r="D841" t="s">
        <v>26</v>
      </c>
      <c r="E841" t="s">
        <v>4</v>
      </c>
      <c r="F841">
        <v>1901651</v>
      </c>
      <c r="G841">
        <v>25251</v>
      </c>
      <c r="H841">
        <v>171</v>
      </c>
      <c r="I841">
        <v>1927073</v>
      </c>
      <c r="J841">
        <v>55391</v>
      </c>
      <c r="K841">
        <v>266</v>
      </c>
      <c r="L841">
        <v>1142285</v>
      </c>
      <c r="M841">
        <v>1197942</v>
      </c>
    </row>
    <row r="842" spans="1:13">
      <c r="A842">
        <v>906</v>
      </c>
      <c r="B842" s="331">
        <v>46162.845833333333</v>
      </c>
      <c r="C842" t="s">
        <v>336</v>
      </c>
      <c r="D842" t="s">
        <v>336</v>
      </c>
      <c r="E842" t="s">
        <v>4</v>
      </c>
      <c r="F842">
        <v>725987</v>
      </c>
      <c r="G842">
        <v>3551</v>
      </c>
      <c r="H842">
        <v>0</v>
      </c>
      <c r="I842">
        <v>729538</v>
      </c>
      <c r="J842">
        <v>5047</v>
      </c>
      <c r="K842">
        <v>0</v>
      </c>
      <c r="L842">
        <v>430624</v>
      </c>
      <c r="M842">
        <v>435671</v>
      </c>
    </row>
    <row r="843" spans="1:13">
      <c r="A843">
        <v>907</v>
      </c>
      <c r="B843" s="331">
        <v>46162.845833333333</v>
      </c>
      <c r="C843" t="s">
        <v>689</v>
      </c>
      <c r="D843" t="s">
        <v>689</v>
      </c>
      <c r="E843" t="s">
        <v>4</v>
      </c>
      <c r="F843">
        <v>1921522</v>
      </c>
      <c r="G843">
        <v>17190</v>
      </c>
      <c r="H843">
        <v>0</v>
      </c>
      <c r="I843">
        <v>1938712</v>
      </c>
      <c r="J843">
        <v>31321</v>
      </c>
      <c r="K843">
        <v>0</v>
      </c>
      <c r="L843">
        <v>1125046</v>
      </c>
      <c r="M843">
        <v>1156367</v>
      </c>
    </row>
    <row r="844" spans="1:13">
      <c r="A844">
        <v>908</v>
      </c>
      <c r="B844" s="331">
        <v>46162.845833333333</v>
      </c>
      <c r="C844" t="s">
        <v>1133</v>
      </c>
      <c r="D844" t="s">
        <v>1133</v>
      </c>
      <c r="E844" t="s">
        <v>4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</row>
    <row r="845" spans="1:13">
      <c r="A845">
        <v>909</v>
      </c>
      <c r="B845" s="331">
        <v>46162.845833333333</v>
      </c>
      <c r="C845" t="s">
        <v>22</v>
      </c>
      <c r="D845" t="s">
        <v>22</v>
      </c>
      <c r="E845" t="s">
        <v>4</v>
      </c>
      <c r="F845">
        <v>2852333</v>
      </c>
      <c r="G845">
        <v>36112</v>
      </c>
      <c r="H845">
        <v>381</v>
      </c>
      <c r="I845">
        <v>2888826</v>
      </c>
      <c r="J845">
        <v>62579</v>
      </c>
      <c r="K845">
        <v>671</v>
      </c>
      <c r="L845">
        <v>1622984</v>
      </c>
      <c r="M845">
        <v>1686234</v>
      </c>
    </row>
    <row r="846" spans="1:13">
      <c r="A846">
        <v>910</v>
      </c>
      <c r="B846" s="331">
        <v>46162.845833333333</v>
      </c>
      <c r="C846" t="s">
        <v>20</v>
      </c>
      <c r="D846" t="s">
        <v>20</v>
      </c>
      <c r="E846" t="s">
        <v>4</v>
      </c>
      <c r="F846">
        <v>6092530</v>
      </c>
      <c r="G846">
        <v>61617</v>
      </c>
      <c r="H846">
        <v>749</v>
      </c>
      <c r="I846">
        <v>6154896</v>
      </c>
      <c r="J846">
        <v>121626</v>
      </c>
      <c r="K846">
        <v>1321</v>
      </c>
      <c r="L846">
        <v>3473235</v>
      </c>
      <c r="M846">
        <v>3596182</v>
      </c>
    </row>
    <row r="847" spans="1:13">
      <c r="A847">
        <v>911</v>
      </c>
      <c r="B847" s="331">
        <v>46162.845833333333</v>
      </c>
      <c r="C847" t="s">
        <v>690</v>
      </c>
      <c r="D847" t="s">
        <v>690</v>
      </c>
      <c r="E847" t="s">
        <v>4</v>
      </c>
      <c r="F847">
        <v>1602352</v>
      </c>
      <c r="G847">
        <v>15606</v>
      </c>
      <c r="H847">
        <v>0</v>
      </c>
      <c r="I847">
        <v>1617958</v>
      </c>
      <c r="J847">
        <v>29720</v>
      </c>
      <c r="K847">
        <v>0</v>
      </c>
      <c r="L847">
        <v>948023</v>
      </c>
      <c r="M847">
        <v>977743</v>
      </c>
    </row>
    <row r="848" spans="1:13">
      <c r="A848">
        <v>913</v>
      </c>
      <c r="B848" s="331">
        <v>46162.845833333333</v>
      </c>
      <c r="C848" t="s">
        <v>34</v>
      </c>
      <c r="D848" t="s">
        <v>34</v>
      </c>
      <c r="E848" t="s">
        <v>4</v>
      </c>
      <c r="F848">
        <v>3814958</v>
      </c>
      <c r="G848">
        <v>28817</v>
      </c>
      <c r="H848">
        <v>22</v>
      </c>
      <c r="I848">
        <v>3843797</v>
      </c>
      <c r="J848">
        <v>63340</v>
      </c>
      <c r="K848">
        <v>93</v>
      </c>
      <c r="L848">
        <v>2280014</v>
      </c>
      <c r="M848">
        <v>2343447</v>
      </c>
    </row>
    <row r="849" spans="1:13">
      <c r="A849">
        <v>914</v>
      </c>
      <c r="B849" s="331">
        <v>46162.845833333333</v>
      </c>
      <c r="C849" t="s">
        <v>106</v>
      </c>
      <c r="D849" t="s">
        <v>106</v>
      </c>
      <c r="E849" t="s">
        <v>4</v>
      </c>
      <c r="F849">
        <v>2975955</v>
      </c>
      <c r="G849">
        <v>39493</v>
      </c>
      <c r="H849">
        <v>512</v>
      </c>
      <c r="I849">
        <v>3015960</v>
      </c>
      <c r="J849">
        <v>69366</v>
      </c>
      <c r="K849">
        <v>898</v>
      </c>
      <c r="L849">
        <v>1691898</v>
      </c>
      <c r="M849">
        <v>1762162</v>
      </c>
    </row>
    <row r="850" spans="1:13">
      <c r="A850">
        <v>915</v>
      </c>
      <c r="B850" s="331">
        <v>46162.845833333333</v>
      </c>
      <c r="C850" t="s">
        <v>17</v>
      </c>
      <c r="D850" t="s">
        <v>17</v>
      </c>
      <c r="E850" t="s">
        <v>4</v>
      </c>
      <c r="F850">
        <v>3686284</v>
      </c>
      <c r="G850">
        <v>47038</v>
      </c>
      <c r="H850">
        <v>513</v>
      </c>
      <c r="I850">
        <v>3733835</v>
      </c>
      <c r="J850">
        <v>108646</v>
      </c>
      <c r="K850">
        <v>981</v>
      </c>
      <c r="L850">
        <v>2118358</v>
      </c>
      <c r="M850">
        <v>2227985</v>
      </c>
    </row>
    <row r="851" spans="1:13">
      <c r="A851">
        <v>916</v>
      </c>
      <c r="B851" s="331">
        <v>46162.845833333333</v>
      </c>
      <c r="C851" t="s">
        <v>29</v>
      </c>
      <c r="D851" t="s">
        <v>29</v>
      </c>
      <c r="E851" t="s">
        <v>4</v>
      </c>
      <c r="F851">
        <v>2274610</v>
      </c>
      <c r="G851">
        <v>23786</v>
      </c>
      <c r="H851">
        <v>25</v>
      </c>
      <c r="I851">
        <v>2298421</v>
      </c>
      <c r="J851">
        <v>77327</v>
      </c>
      <c r="K851">
        <v>105</v>
      </c>
      <c r="L851">
        <v>1364408</v>
      </c>
      <c r="M851">
        <v>1441840</v>
      </c>
    </row>
    <row r="852" spans="1:13">
      <c r="A852">
        <v>917</v>
      </c>
      <c r="B852" s="331">
        <v>46162.845833333333</v>
      </c>
      <c r="C852" t="s">
        <v>131</v>
      </c>
      <c r="D852" t="s">
        <v>131</v>
      </c>
      <c r="E852" t="s">
        <v>4</v>
      </c>
      <c r="F852">
        <v>3873183</v>
      </c>
      <c r="G852">
        <v>29009</v>
      </c>
      <c r="H852">
        <v>23</v>
      </c>
      <c r="I852">
        <v>3902215</v>
      </c>
      <c r="J852">
        <v>59552</v>
      </c>
      <c r="K852">
        <v>110</v>
      </c>
      <c r="L852">
        <v>2300276</v>
      </c>
      <c r="M852">
        <v>2359938</v>
      </c>
    </row>
    <row r="853" spans="1:13">
      <c r="A853">
        <v>918</v>
      </c>
      <c r="B853" s="331">
        <v>46162.845833333333</v>
      </c>
      <c r="C853" t="s">
        <v>18</v>
      </c>
      <c r="D853" t="s">
        <v>18</v>
      </c>
      <c r="E853" t="s">
        <v>4</v>
      </c>
      <c r="F853">
        <v>5726045</v>
      </c>
      <c r="G853">
        <v>60758</v>
      </c>
      <c r="H853">
        <v>716</v>
      </c>
      <c r="I853">
        <v>5787519</v>
      </c>
      <c r="J853">
        <v>124892</v>
      </c>
      <c r="K853">
        <v>1348</v>
      </c>
      <c r="L853">
        <v>3308023</v>
      </c>
      <c r="M853">
        <v>3434263</v>
      </c>
    </row>
    <row r="854" spans="1:13">
      <c r="A854">
        <v>919</v>
      </c>
      <c r="B854" s="331">
        <v>46162.844444444447</v>
      </c>
      <c r="C854" t="s">
        <v>1112</v>
      </c>
      <c r="D854" t="s">
        <v>1112</v>
      </c>
      <c r="E854" t="s">
        <v>4</v>
      </c>
      <c r="F854">
        <v>866008</v>
      </c>
      <c r="G854">
        <v>6817</v>
      </c>
      <c r="H854">
        <v>0</v>
      </c>
      <c r="I854">
        <v>872825</v>
      </c>
      <c r="J854">
        <v>13233</v>
      </c>
      <c r="K854">
        <v>0</v>
      </c>
      <c r="L854">
        <v>510229</v>
      </c>
      <c r="M854">
        <v>523462</v>
      </c>
    </row>
    <row r="855" spans="1:13">
      <c r="A855">
        <v>920</v>
      </c>
      <c r="B855" s="331">
        <v>46162.844444444447</v>
      </c>
      <c r="C855" t="s">
        <v>22</v>
      </c>
      <c r="D855" t="s">
        <v>22</v>
      </c>
      <c r="E855" t="s">
        <v>4</v>
      </c>
      <c r="F855">
        <v>2851952</v>
      </c>
      <c r="G855">
        <v>36310</v>
      </c>
      <c r="H855">
        <v>392</v>
      </c>
      <c r="I855">
        <v>2888654</v>
      </c>
      <c r="J855">
        <v>62756</v>
      </c>
      <c r="K855">
        <v>679</v>
      </c>
      <c r="L855">
        <v>1622918</v>
      </c>
      <c r="M855">
        <v>1686353</v>
      </c>
    </row>
    <row r="856" spans="1:13">
      <c r="A856">
        <v>922</v>
      </c>
      <c r="B856" s="331">
        <v>46162.844444444447</v>
      </c>
      <c r="C856" t="s">
        <v>689</v>
      </c>
      <c r="D856" t="s">
        <v>689</v>
      </c>
      <c r="E856" t="s">
        <v>4</v>
      </c>
      <c r="F856">
        <v>1921857</v>
      </c>
      <c r="G856">
        <v>17100</v>
      </c>
      <c r="H856">
        <v>0</v>
      </c>
      <c r="I856">
        <v>1938957</v>
      </c>
      <c r="J856">
        <v>31224</v>
      </c>
      <c r="K856">
        <v>0</v>
      </c>
      <c r="L856">
        <v>1125237</v>
      </c>
      <c r="M856">
        <v>1156461</v>
      </c>
    </row>
    <row r="857" spans="1:13">
      <c r="A857">
        <v>923</v>
      </c>
      <c r="B857" s="331">
        <v>46162.844444444447</v>
      </c>
      <c r="C857" t="s">
        <v>691</v>
      </c>
      <c r="D857" t="s">
        <v>691</v>
      </c>
      <c r="E857" t="s">
        <v>4</v>
      </c>
      <c r="F857">
        <v>1599787</v>
      </c>
      <c r="G857">
        <v>15497</v>
      </c>
      <c r="H857">
        <v>0</v>
      </c>
      <c r="I857">
        <v>1615284</v>
      </c>
      <c r="J857">
        <v>29607</v>
      </c>
      <c r="K857">
        <v>0</v>
      </c>
      <c r="L857">
        <v>946048</v>
      </c>
      <c r="M857">
        <v>975655</v>
      </c>
    </row>
    <row r="858" spans="1:13">
      <c r="A858">
        <v>924</v>
      </c>
      <c r="B858" s="331">
        <v>46162.844444444447</v>
      </c>
      <c r="C858" t="s">
        <v>24</v>
      </c>
      <c r="D858" t="s">
        <v>24</v>
      </c>
      <c r="E858" t="s">
        <v>4</v>
      </c>
      <c r="F858">
        <v>1881355</v>
      </c>
      <c r="G858">
        <v>27960</v>
      </c>
      <c r="H858">
        <v>175</v>
      </c>
      <c r="I858">
        <v>1909490</v>
      </c>
      <c r="J858">
        <v>56606</v>
      </c>
      <c r="K858">
        <v>247</v>
      </c>
      <c r="L858">
        <v>1124404</v>
      </c>
      <c r="M858">
        <v>1181257</v>
      </c>
    </row>
    <row r="859" spans="1:13">
      <c r="A859">
        <v>925</v>
      </c>
      <c r="B859" s="331">
        <v>46162.844444444447</v>
      </c>
      <c r="C859" t="s">
        <v>26</v>
      </c>
      <c r="D859" t="s">
        <v>26</v>
      </c>
      <c r="E859" t="s">
        <v>4</v>
      </c>
      <c r="F859">
        <v>1901613</v>
      </c>
      <c r="G859">
        <v>25374</v>
      </c>
      <c r="H859">
        <v>168</v>
      </c>
      <c r="I859">
        <v>1927155</v>
      </c>
      <c r="J859">
        <v>55457</v>
      </c>
      <c r="K859">
        <v>263</v>
      </c>
      <c r="L859">
        <v>1142290</v>
      </c>
      <c r="M859">
        <v>1198010</v>
      </c>
    </row>
    <row r="860" spans="1:13">
      <c r="A860">
        <v>926</v>
      </c>
      <c r="B860" s="331">
        <v>46162.844444444447</v>
      </c>
      <c r="C860" t="s">
        <v>105</v>
      </c>
      <c r="D860" t="s">
        <v>105</v>
      </c>
      <c r="E860" t="s">
        <v>4</v>
      </c>
      <c r="F860">
        <v>2478139</v>
      </c>
      <c r="G860">
        <v>27131</v>
      </c>
      <c r="H860">
        <v>182</v>
      </c>
      <c r="I860">
        <v>2505452</v>
      </c>
      <c r="J860">
        <v>52839</v>
      </c>
      <c r="K860">
        <v>285</v>
      </c>
      <c r="L860">
        <v>1465837</v>
      </c>
      <c r="M860">
        <v>1518961</v>
      </c>
    </row>
    <row r="861" spans="1:13">
      <c r="A861">
        <v>927</v>
      </c>
      <c r="B861" s="331">
        <v>46162.844444444447</v>
      </c>
      <c r="C861" t="s">
        <v>1067</v>
      </c>
      <c r="D861" t="s">
        <v>1067</v>
      </c>
      <c r="E861" t="s">
        <v>4</v>
      </c>
      <c r="F861">
        <v>614566</v>
      </c>
      <c r="G861">
        <v>10396</v>
      </c>
      <c r="H861">
        <v>0</v>
      </c>
      <c r="I861">
        <v>624962</v>
      </c>
      <c r="J861">
        <v>21370</v>
      </c>
      <c r="K861">
        <v>0</v>
      </c>
      <c r="L861">
        <v>373193</v>
      </c>
      <c r="M861">
        <v>394563</v>
      </c>
    </row>
    <row r="862" spans="1:13">
      <c r="A862">
        <v>928</v>
      </c>
      <c r="B862" s="331">
        <v>46162.844444444447</v>
      </c>
      <c r="C862" t="s">
        <v>336</v>
      </c>
      <c r="D862" t="s">
        <v>336</v>
      </c>
      <c r="E862" t="s">
        <v>4</v>
      </c>
      <c r="F862">
        <v>726190</v>
      </c>
      <c r="G862">
        <v>3585</v>
      </c>
      <c r="H862">
        <v>0</v>
      </c>
      <c r="I862">
        <v>729775</v>
      </c>
      <c r="J862">
        <v>5084</v>
      </c>
      <c r="K862">
        <v>0</v>
      </c>
      <c r="L862">
        <v>430662</v>
      </c>
      <c r="M862">
        <v>435746</v>
      </c>
    </row>
    <row r="863" spans="1:13">
      <c r="A863">
        <v>929</v>
      </c>
      <c r="B863" s="331">
        <v>46162.844444444447</v>
      </c>
      <c r="C863" t="s">
        <v>1111</v>
      </c>
      <c r="D863" t="s">
        <v>1111</v>
      </c>
      <c r="E863" t="s">
        <v>4</v>
      </c>
      <c r="F863">
        <v>860549</v>
      </c>
      <c r="G863">
        <v>6895</v>
      </c>
      <c r="H863">
        <v>0</v>
      </c>
      <c r="I863">
        <v>867444</v>
      </c>
      <c r="J863">
        <v>13390</v>
      </c>
      <c r="K863">
        <v>0</v>
      </c>
      <c r="L863">
        <v>506901</v>
      </c>
      <c r="M863">
        <v>520291</v>
      </c>
    </row>
    <row r="864" spans="1:13">
      <c r="A864">
        <v>930</v>
      </c>
      <c r="B864" s="331">
        <v>46162.844444444447</v>
      </c>
      <c r="C864" t="s">
        <v>1068</v>
      </c>
      <c r="D864" t="s">
        <v>1068</v>
      </c>
      <c r="E864" t="s">
        <v>4</v>
      </c>
      <c r="F864">
        <v>615861</v>
      </c>
      <c r="G864">
        <v>10487</v>
      </c>
      <c r="H864">
        <v>0</v>
      </c>
      <c r="I864">
        <v>626348</v>
      </c>
      <c r="J864">
        <v>21471</v>
      </c>
      <c r="K864">
        <v>0</v>
      </c>
      <c r="L864">
        <v>373671</v>
      </c>
      <c r="M864">
        <v>395142</v>
      </c>
    </row>
    <row r="865" spans="1:13">
      <c r="A865">
        <v>932</v>
      </c>
      <c r="B865" s="331">
        <v>46162.844444444447</v>
      </c>
      <c r="C865" t="s">
        <v>107</v>
      </c>
      <c r="D865" t="s">
        <v>107</v>
      </c>
      <c r="E865" t="s">
        <v>4</v>
      </c>
      <c r="F865">
        <v>4495211</v>
      </c>
      <c r="G865">
        <v>50573</v>
      </c>
      <c r="H865">
        <v>654</v>
      </c>
      <c r="I865">
        <v>4546438</v>
      </c>
      <c r="J865">
        <v>96449</v>
      </c>
      <c r="K865">
        <v>1121</v>
      </c>
      <c r="L865">
        <v>2592089</v>
      </c>
      <c r="M865">
        <v>2689659</v>
      </c>
    </row>
    <row r="866" spans="1:13">
      <c r="A866">
        <v>933</v>
      </c>
      <c r="B866" s="331">
        <v>46162.844444444447</v>
      </c>
      <c r="C866" t="s">
        <v>31</v>
      </c>
      <c r="D866" t="s">
        <v>31</v>
      </c>
      <c r="E866" t="s">
        <v>4</v>
      </c>
      <c r="F866">
        <v>2912908</v>
      </c>
      <c r="G866">
        <v>23509</v>
      </c>
      <c r="H866">
        <v>24</v>
      </c>
      <c r="I866">
        <v>2936441</v>
      </c>
      <c r="J866">
        <v>71142</v>
      </c>
      <c r="K866">
        <v>96</v>
      </c>
      <c r="L866">
        <v>1655504</v>
      </c>
      <c r="M866">
        <v>1726742</v>
      </c>
    </row>
    <row r="867" spans="1:13">
      <c r="A867">
        <v>934</v>
      </c>
      <c r="B867" s="331">
        <v>46162.844444444447</v>
      </c>
      <c r="C867" t="s">
        <v>33</v>
      </c>
      <c r="D867" t="s">
        <v>33</v>
      </c>
      <c r="E867" t="s">
        <v>4</v>
      </c>
      <c r="F867">
        <v>3687439</v>
      </c>
      <c r="G867">
        <v>26629</v>
      </c>
      <c r="H867">
        <v>25</v>
      </c>
      <c r="I867">
        <v>3714093</v>
      </c>
      <c r="J867">
        <v>52353</v>
      </c>
      <c r="K867">
        <v>119</v>
      </c>
      <c r="L867">
        <v>2193666</v>
      </c>
      <c r="M867">
        <v>2246138</v>
      </c>
    </row>
    <row r="868" spans="1:13">
      <c r="A868">
        <v>935</v>
      </c>
      <c r="B868" s="331">
        <v>46162.844444444447</v>
      </c>
      <c r="C868" t="s">
        <v>345</v>
      </c>
      <c r="D868" t="s">
        <v>345</v>
      </c>
      <c r="E868" t="s">
        <v>4</v>
      </c>
      <c r="F868">
        <v>2018593</v>
      </c>
      <c r="G868">
        <v>27661</v>
      </c>
      <c r="H868">
        <v>0</v>
      </c>
      <c r="I868">
        <v>2046254</v>
      </c>
      <c r="J868">
        <v>45501</v>
      </c>
      <c r="K868">
        <v>0</v>
      </c>
      <c r="L868">
        <v>1141555</v>
      </c>
      <c r="M868">
        <v>1187056</v>
      </c>
    </row>
    <row r="869" spans="1:13">
      <c r="A869">
        <v>936</v>
      </c>
      <c r="B869" s="331">
        <v>46162.844444444447</v>
      </c>
      <c r="C869" t="s">
        <v>21</v>
      </c>
      <c r="D869" t="s">
        <v>21</v>
      </c>
      <c r="E869" t="s">
        <v>4</v>
      </c>
      <c r="F869">
        <v>5705648</v>
      </c>
      <c r="G869">
        <v>56636</v>
      </c>
      <c r="H869">
        <v>657</v>
      </c>
      <c r="I869">
        <v>5762941</v>
      </c>
      <c r="J869">
        <v>105606</v>
      </c>
      <c r="K869">
        <v>1209</v>
      </c>
      <c r="L869">
        <v>3290113</v>
      </c>
      <c r="M869">
        <v>3396928</v>
      </c>
    </row>
    <row r="870" spans="1:13">
      <c r="A870">
        <v>937</v>
      </c>
      <c r="B870" s="331">
        <v>46162.844444444447</v>
      </c>
      <c r="C870" t="s">
        <v>132</v>
      </c>
      <c r="D870" t="s">
        <v>132</v>
      </c>
      <c r="E870" t="s">
        <v>4</v>
      </c>
      <c r="F870">
        <v>3874908</v>
      </c>
      <c r="G870">
        <v>28648</v>
      </c>
      <c r="H870">
        <v>22</v>
      </c>
      <c r="I870">
        <v>3903578</v>
      </c>
      <c r="J870">
        <v>58541</v>
      </c>
      <c r="K870">
        <v>87</v>
      </c>
      <c r="L870">
        <v>2299443</v>
      </c>
      <c r="M870">
        <v>2358071</v>
      </c>
    </row>
    <row r="871" spans="1:13">
      <c r="A871">
        <v>938</v>
      </c>
      <c r="B871" s="331">
        <v>46162.844444444447</v>
      </c>
      <c r="C871" t="s">
        <v>20</v>
      </c>
      <c r="D871" t="s">
        <v>20</v>
      </c>
      <c r="E871" t="s">
        <v>4</v>
      </c>
      <c r="F871">
        <v>6092229</v>
      </c>
      <c r="G871">
        <v>61792</v>
      </c>
      <c r="H871">
        <v>770</v>
      </c>
      <c r="I871">
        <v>6154791</v>
      </c>
      <c r="J871">
        <v>121757</v>
      </c>
      <c r="K871">
        <v>1350</v>
      </c>
      <c r="L871">
        <v>3473282</v>
      </c>
      <c r="M871">
        <v>3596389</v>
      </c>
    </row>
    <row r="872" spans="1:13">
      <c r="A872">
        <v>939</v>
      </c>
      <c r="B872" s="331">
        <v>46162.844444444447</v>
      </c>
      <c r="C872" t="s">
        <v>690</v>
      </c>
      <c r="D872" t="s">
        <v>690</v>
      </c>
      <c r="E872" t="s">
        <v>4</v>
      </c>
      <c r="F872">
        <v>1602018</v>
      </c>
      <c r="G872">
        <v>15630</v>
      </c>
      <c r="H872">
        <v>0</v>
      </c>
      <c r="I872">
        <v>1617648</v>
      </c>
      <c r="J872">
        <v>29745</v>
      </c>
      <c r="K872">
        <v>0</v>
      </c>
      <c r="L872">
        <v>947968</v>
      </c>
      <c r="M872">
        <v>977713</v>
      </c>
    </row>
    <row r="873" spans="1:13">
      <c r="A873">
        <v>940</v>
      </c>
      <c r="B873" s="331">
        <v>46162.844444444447</v>
      </c>
      <c r="C873" t="s">
        <v>16</v>
      </c>
      <c r="D873" t="s">
        <v>16</v>
      </c>
      <c r="E873" t="s">
        <v>4</v>
      </c>
      <c r="F873">
        <v>3294763</v>
      </c>
      <c r="G873">
        <v>43988</v>
      </c>
      <c r="H873">
        <v>525</v>
      </c>
      <c r="I873">
        <v>3339276</v>
      </c>
      <c r="J873">
        <v>106854</v>
      </c>
      <c r="K873">
        <v>1015</v>
      </c>
      <c r="L873">
        <v>1911074</v>
      </c>
      <c r="M873">
        <v>2018943</v>
      </c>
    </row>
    <row r="874" spans="1:13">
      <c r="A874">
        <v>941</v>
      </c>
      <c r="B874" s="331">
        <v>46162.844444444447</v>
      </c>
      <c r="C874" t="s">
        <v>19</v>
      </c>
      <c r="D874" t="s">
        <v>19</v>
      </c>
      <c r="E874" t="s">
        <v>4</v>
      </c>
      <c r="F874">
        <v>5460060</v>
      </c>
      <c r="G874">
        <v>58252</v>
      </c>
      <c r="H874">
        <v>701</v>
      </c>
      <c r="I874">
        <v>5519013</v>
      </c>
      <c r="J874">
        <v>115481</v>
      </c>
      <c r="K874">
        <v>1240</v>
      </c>
      <c r="L874">
        <v>3151585</v>
      </c>
      <c r="M874">
        <v>3268306</v>
      </c>
    </row>
    <row r="875" spans="1:13">
      <c r="A875">
        <v>942</v>
      </c>
      <c r="B875" s="331">
        <v>46162.844444444447</v>
      </c>
      <c r="C875" t="s">
        <v>18</v>
      </c>
      <c r="D875" t="s">
        <v>18</v>
      </c>
      <c r="E875" t="s">
        <v>4</v>
      </c>
      <c r="F875">
        <v>5725785</v>
      </c>
      <c r="G875">
        <v>60843</v>
      </c>
      <c r="H875">
        <v>719</v>
      </c>
      <c r="I875">
        <v>5787347</v>
      </c>
      <c r="J875">
        <v>124913</v>
      </c>
      <c r="K875">
        <v>1356</v>
      </c>
      <c r="L875">
        <v>3308030</v>
      </c>
      <c r="M875">
        <v>3434299</v>
      </c>
    </row>
    <row r="876" spans="1:13">
      <c r="A876">
        <v>943</v>
      </c>
      <c r="B876" s="331">
        <v>46162.844444444447</v>
      </c>
      <c r="C876" t="s">
        <v>27</v>
      </c>
      <c r="D876" t="s">
        <v>27</v>
      </c>
      <c r="E876" t="s">
        <v>4</v>
      </c>
      <c r="F876">
        <v>1817079</v>
      </c>
      <c r="G876">
        <v>25094</v>
      </c>
      <c r="H876">
        <v>184</v>
      </c>
      <c r="I876">
        <v>1842357</v>
      </c>
      <c r="J876">
        <v>52299</v>
      </c>
      <c r="K876">
        <v>289</v>
      </c>
      <c r="L876">
        <v>1088307</v>
      </c>
      <c r="M876">
        <v>1140895</v>
      </c>
    </row>
    <row r="877" spans="1:13">
      <c r="A877">
        <v>944</v>
      </c>
      <c r="B877" s="331">
        <v>46162.844444444447</v>
      </c>
      <c r="C877" t="s">
        <v>32</v>
      </c>
      <c r="D877" t="s">
        <v>32</v>
      </c>
      <c r="E877" t="s">
        <v>4</v>
      </c>
      <c r="F877">
        <v>3600515</v>
      </c>
      <c r="G877">
        <v>26948</v>
      </c>
      <c r="H877">
        <v>29</v>
      </c>
      <c r="I877">
        <v>3627492</v>
      </c>
      <c r="J877">
        <v>57083</v>
      </c>
      <c r="K877">
        <v>103</v>
      </c>
      <c r="L877">
        <v>2139382</v>
      </c>
      <c r="M877">
        <v>2196568</v>
      </c>
    </row>
    <row r="878" spans="1:13">
      <c r="A878">
        <v>945</v>
      </c>
      <c r="B878" s="331">
        <v>46162.844444444447</v>
      </c>
      <c r="C878" t="s">
        <v>131</v>
      </c>
      <c r="D878" t="s">
        <v>131</v>
      </c>
      <c r="E878" t="s">
        <v>4</v>
      </c>
      <c r="F878">
        <v>3873697</v>
      </c>
      <c r="G878">
        <v>29153</v>
      </c>
      <c r="H878">
        <v>24</v>
      </c>
      <c r="I878">
        <v>3902874</v>
      </c>
      <c r="J878">
        <v>59658</v>
      </c>
      <c r="K878">
        <v>111</v>
      </c>
      <c r="L878">
        <v>2300495</v>
      </c>
      <c r="M878">
        <v>2360264</v>
      </c>
    </row>
    <row r="879" spans="1:13">
      <c r="A879">
        <v>946</v>
      </c>
      <c r="B879" s="331">
        <v>46162.844444444447</v>
      </c>
      <c r="C879" t="s">
        <v>346</v>
      </c>
      <c r="D879" t="s">
        <v>346</v>
      </c>
      <c r="E879" t="s">
        <v>4</v>
      </c>
      <c r="F879">
        <v>2447511</v>
      </c>
      <c r="G879">
        <v>29984</v>
      </c>
      <c r="H879">
        <v>0</v>
      </c>
      <c r="I879">
        <v>2477495</v>
      </c>
      <c r="J879">
        <v>52159</v>
      </c>
      <c r="K879">
        <v>0</v>
      </c>
      <c r="L879">
        <v>1405220</v>
      </c>
      <c r="M879">
        <v>1457379</v>
      </c>
    </row>
    <row r="880" spans="1:13">
      <c r="A880">
        <v>947</v>
      </c>
      <c r="B880" s="331">
        <v>46162.844444444447</v>
      </c>
      <c r="C880" t="s">
        <v>34</v>
      </c>
      <c r="D880" t="s">
        <v>34</v>
      </c>
      <c r="E880" t="s">
        <v>4</v>
      </c>
      <c r="F880">
        <v>3815064</v>
      </c>
      <c r="G880">
        <v>28783</v>
      </c>
      <c r="H880">
        <v>24</v>
      </c>
      <c r="I880">
        <v>3843871</v>
      </c>
      <c r="J880">
        <v>63307</v>
      </c>
      <c r="K880">
        <v>96</v>
      </c>
      <c r="L880">
        <v>2280029</v>
      </c>
      <c r="M880">
        <v>2343432</v>
      </c>
    </row>
    <row r="881" spans="1:13">
      <c r="A881">
        <v>948</v>
      </c>
      <c r="B881" s="331">
        <v>46162.844444444447</v>
      </c>
      <c r="C881" t="s">
        <v>108</v>
      </c>
      <c r="D881" t="s">
        <v>108</v>
      </c>
      <c r="E881" t="s">
        <v>4</v>
      </c>
      <c r="F881">
        <v>4460583</v>
      </c>
      <c r="G881">
        <v>49297</v>
      </c>
      <c r="H881">
        <v>640</v>
      </c>
      <c r="I881">
        <v>4510520</v>
      </c>
      <c r="J881">
        <v>94353</v>
      </c>
      <c r="K881">
        <v>1152</v>
      </c>
      <c r="L881">
        <v>2573006</v>
      </c>
      <c r="M881">
        <v>2668511</v>
      </c>
    </row>
    <row r="882" spans="1:13">
      <c r="A882">
        <v>950</v>
      </c>
      <c r="B882" s="331">
        <v>46162.844444444447</v>
      </c>
      <c r="C882" t="s">
        <v>29</v>
      </c>
      <c r="D882" t="s">
        <v>29</v>
      </c>
      <c r="E882" t="s">
        <v>4</v>
      </c>
      <c r="F882">
        <v>2274716</v>
      </c>
      <c r="G882">
        <v>23581</v>
      </c>
      <c r="H882">
        <v>25</v>
      </c>
      <c r="I882">
        <v>2298322</v>
      </c>
      <c r="J882">
        <v>77170</v>
      </c>
      <c r="K882">
        <v>109</v>
      </c>
      <c r="L882">
        <v>1364404</v>
      </c>
      <c r="M882">
        <v>1441683</v>
      </c>
    </row>
    <row r="883" spans="1:13">
      <c r="A883">
        <v>951</v>
      </c>
      <c r="B883" s="331">
        <v>46162.844444444447</v>
      </c>
      <c r="C883" t="s">
        <v>35</v>
      </c>
      <c r="D883" t="s">
        <v>35</v>
      </c>
      <c r="E883" t="s">
        <v>4</v>
      </c>
      <c r="F883">
        <v>3934968</v>
      </c>
      <c r="G883">
        <v>27302</v>
      </c>
      <c r="H883">
        <v>20</v>
      </c>
      <c r="I883">
        <v>3962290</v>
      </c>
      <c r="J883">
        <v>55009</v>
      </c>
      <c r="K883">
        <v>84</v>
      </c>
      <c r="L883">
        <v>2336850</v>
      </c>
      <c r="M883">
        <v>2391943</v>
      </c>
    </row>
    <row r="884" spans="1:13">
      <c r="A884">
        <v>952</v>
      </c>
      <c r="B884" s="331">
        <v>46162.844444444447</v>
      </c>
      <c r="C884" t="s">
        <v>17</v>
      </c>
      <c r="D884" t="s">
        <v>17</v>
      </c>
      <c r="E884" t="s">
        <v>4</v>
      </c>
      <c r="F884">
        <v>3686279</v>
      </c>
      <c r="G884">
        <v>46998</v>
      </c>
      <c r="H884">
        <v>502</v>
      </c>
      <c r="I884">
        <v>3733779</v>
      </c>
      <c r="J884">
        <v>108647</v>
      </c>
      <c r="K884">
        <v>971</v>
      </c>
      <c r="L884">
        <v>2118414</v>
      </c>
      <c r="M884">
        <v>2228032</v>
      </c>
    </row>
    <row r="885" spans="1:13">
      <c r="A885">
        <v>953</v>
      </c>
      <c r="B885" s="331">
        <v>46162.844444444447</v>
      </c>
      <c r="C885" t="s">
        <v>1133</v>
      </c>
      <c r="D885" t="s">
        <v>1133</v>
      </c>
      <c r="E885" t="s">
        <v>4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</row>
    <row r="886" spans="1:13">
      <c r="A886">
        <v>954</v>
      </c>
      <c r="B886" s="331">
        <v>46162.844444444447</v>
      </c>
      <c r="C886" t="s">
        <v>106</v>
      </c>
      <c r="D886" t="s">
        <v>106</v>
      </c>
      <c r="E886" t="s">
        <v>4</v>
      </c>
      <c r="F886">
        <v>2976129</v>
      </c>
      <c r="G886">
        <v>39520</v>
      </c>
      <c r="H886">
        <v>523</v>
      </c>
      <c r="I886">
        <v>3016172</v>
      </c>
      <c r="J886">
        <v>69273</v>
      </c>
      <c r="K886">
        <v>913</v>
      </c>
      <c r="L886">
        <v>1692027</v>
      </c>
      <c r="M886">
        <v>1762213</v>
      </c>
    </row>
    <row r="887" spans="1:13">
      <c r="A887">
        <v>955</v>
      </c>
      <c r="B887" s="331">
        <v>46162.84375</v>
      </c>
      <c r="C887" t="s">
        <v>581</v>
      </c>
      <c r="D887" t="s">
        <v>581</v>
      </c>
      <c r="E887" t="s">
        <v>372</v>
      </c>
      <c r="L887">
        <v>519186</v>
      </c>
      <c r="M887">
        <v>519186</v>
      </c>
    </row>
    <row r="888" spans="1:13">
      <c r="A888">
        <v>956</v>
      </c>
      <c r="B888" s="331">
        <v>46162.84375</v>
      </c>
      <c r="C888" t="s">
        <v>348</v>
      </c>
      <c r="D888" t="s">
        <v>348</v>
      </c>
      <c r="E888" t="s">
        <v>372</v>
      </c>
      <c r="L888">
        <v>616699</v>
      </c>
      <c r="M888">
        <v>616699</v>
      </c>
    </row>
    <row r="889" spans="1:13">
      <c r="A889">
        <v>957</v>
      </c>
      <c r="B889" s="331">
        <v>46162.84375</v>
      </c>
      <c r="C889" t="s">
        <v>896</v>
      </c>
      <c r="D889" t="s">
        <v>896</v>
      </c>
      <c r="E889" t="s">
        <v>372</v>
      </c>
      <c r="L889">
        <v>776368</v>
      </c>
      <c r="M889">
        <v>776368</v>
      </c>
    </row>
    <row r="890" spans="1:13">
      <c r="A890">
        <v>958</v>
      </c>
      <c r="B890" s="331">
        <v>46162.84375</v>
      </c>
      <c r="C890" t="s">
        <v>580</v>
      </c>
      <c r="D890" t="s">
        <v>580</v>
      </c>
      <c r="E890" t="s">
        <v>372</v>
      </c>
      <c r="L890">
        <v>552064</v>
      </c>
      <c r="M890">
        <v>552064</v>
      </c>
    </row>
    <row r="891" spans="1:13">
      <c r="A891">
        <v>959</v>
      </c>
      <c r="B891" s="331">
        <v>46162.84375</v>
      </c>
      <c r="C891" t="s">
        <v>350</v>
      </c>
      <c r="D891" t="s">
        <v>350</v>
      </c>
      <c r="E891" t="s">
        <v>372</v>
      </c>
      <c r="L891">
        <v>611543</v>
      </c>
      <c r="M891">
        <v>611543</v>
      </c>
    </row>
    <row r="892" spans="1:13">
      <c r="A892">
        <v>960</v>
      </c>
      <c r="B892" s="331">
        <v>46162.84375</v>
      </c>
      <c r="C892" t="s">
        <v>895</v>
      </c>
      <c r="D892" t="s">
        <v>895</v>
      </c>
      <c r="E892" t="s">
        <v>372</v>
      </c>
      <c r="L892">
        <v>777701</v>
      </c>
      <c r="M892">
        <v>777701</v>
      </c>
    </row>
    <row r="893" spans="1:13">
      <c r="A893">
        <v>961</v>
      </c>
      <c r="B893" s="331">
        <v>46162.84375</v>
      </c>
      <c r="C893" t="s">
        <v>349</v>
      </c>
      <c r="D893" t="s">
        <v>349</v>
      </c>
      <c r="E893" t="s">
        <v>372</v>
      </c>
      <c r="L893">
        <v>601932</v>
      </c>
      <c r="M893">
        <v>601932</v>
      </c>
    </row>
    <row r="894" spans="1:13">
      <c r="A894">
        <v>962</v>
      </c>
      <c r="B894" s="331">
        <v>46162.84375</v>
      </c>
      <c r="C894" t="s">
        <v>1080</v>
      </c>
      <c r="D894" t="s">
        <v>1080</v>
      </c>
      <c r="E894" t="s">
        <v>372</v>
      </c>
      <c r="L894">
        <v>681266</v>
      </c>
      <c r="M894">
        <v>681266</v>
      </c>
    </row>
    <row r="895" spans="1:13">
      <c r="A895">
        <v>963</v>
      </c>
      <c r="B895" s="331">
        <v>46162.84375</v>
      </c>
      <c r="C895" t="s">
        <v>1125</v>
      </c>
      <c r="D895" t="s">
        <v>1125</v>
      </c>
      <c r="E895" t="s">
        <v>372</v>
      </c>
      <c r="L895">
        <v>632192</v>
      </c>
      <c r="M895">
        <v>632192</v>
      </c>
    </row>
    <row r="896" spans="1:13">
      <c r="A896">
        <v>964</v>
      </c>
      <c r="B896" s="331">
        <v>46162.84375</v>
      </c>
      <c r="C896" t="s">
        <v>893</v>
      </c>
      <c r="D896" t="s">
        <v>893</v>
      </c>
      <c r="E896" t="s">
        <v>372</v>
      </c>
      <c r="L896">
        <v>785661</v>
      </c>
      <c r="M896">
        <v>785661</v>
      </c>
    </row>
    <row r="897" spans="1:13">
      <c r="A897">
        <v>965</v>
      </c>
      <c r="B897" s="331">
        <v>46162.84375</v>
      </c>
      <c r="C897" t="s">
        <v>582</v>
      </c>
      <c r="D897" t="s">
        <v>582</v>
      </c>
      <c r="E897" t="s">
        <v>372</v>
      </c>
      <c r="L897">
        <v>522323</v>
      </c>
      <c r="M897">
        <v>522323</v>
      </c>
    </row>
    <row r="898" spans="1:13">
      <c r="A898">
        <v>966</v>
      </c>
      <c r="B898" s="331">
        <v>46162.84375</v>
      </c>
      <c r="C898" t="s">
        <v>1081</v>
      </c>
      <c r="D898" t="s">
        <v>1081</v>
      </c>
      <c r="E898" t="s">
        <v>372</v>
      </c>
      <c r="L898">
        <v>645654</v>
      </c>
      <c r="M898">
        <v>645654</v>
      </c>
    </row>
    <row r="899" spans="1:13">
      <c r="A899">
        <v>967</v>
      </c>
      <c r="B899" s="331">
        <v>46162.84375</v>
      </c>
      <c r="C899" t="s">
        <v>894</v>
      </c>
      <c r="D899" t="s">
        <v>894</v>
      </c>
      <c r="E899" t="s">
        <v>372</v>
      </c>
      <c r="L899">
        <v>776697</v>
      </c>
      <c r="M899">
        <v>776697</v>
      </c>
    </row>
    <row r="900" spans="1:13">
      <c r="A900">
        <v>968</v>
      </c>
      <c r="B900" s="331">
        <v>46162.84375</v>
      </c>
      <c r="C900" t="s">
        <v>583</v>
      </c>
      <c r="D900" t="s">
        <v>583</v>
      </c>
      <c r="E900" t="s">
        <v>372</v>
      </c>
      <c r="L900">
        <v>523044</v>
      </c>
      <c r="M900">
        <v>523044</v>
      </c>
    </row>
    <row r="901" spans="1:13">
      <c r="A901">
        <v>969</v>
      </c>
      <c r="B901" s="331">
        <v>46162.843055555553</v>
      </c>
      <c r="C901" t="s">
        <v>16</v>
      </c>
      <c r="D901" t="s">
        <v>16</v>
      </c>
      <c r="E901" t="s">
        <v>4</v>
      </c>
      <c r="F901">
        <v>3294589</v>
      </c>
      <c r="G901">
        <v>44078</v>
      </c>
      <c r="H901">
        <v>525</v>
      </c>
      <c r="I901">
        <v>3339192</v>
      </c>
      <c r="J901">
        <v>106948</v>
      </c>
      <c r="K901">
        <v>1021</v>
      </c>
      <c r="L901">
        <v>1911155</v>
      </c>
      <c r="M901">
        <v>2019124</v>
      </c>
    </row>
    <row r="902" spans="1:13">
      <c r="A902">
        <v>970</v>
      </c>
      <c r="B902" s="331">
        <v>46162.843055555553</v>
      </c>
      <c r="C902" t="s">
        <v>26</v>
      </c>
      <c r="D902" t="s">
        <v>26</v>
      </c>
      <c r="E902" t="s">
        <v>4</v>
      </c>
      <c r="F902">
        <v>1901772</v>
      </c>
      <c r="G902">
        <v>25415</v>
      </c>
      <c r="H902">
        <v>160</v>
      </c>
      <c r="I902">
        <v>1927347</v>
      </c>
      <c r="J902">
        <v>55486</v>
      </c>
      <c r="K902">
        <v>251</v>
      </c>
      <c r="L902">
        <v>1142377</v>
      </c>
      <c r="M902">
        <v>1198114</v>
      </c>
    </row>
    <row r="903" spans="1:13">
      <c r="A903">
        <v>971</v>
      </c>
      <c r="B903" s="331">
        <v>46162.843055555553</v>
      </c>
      <c r="C903" t="s">
        <v>19</v>
      </c>
      <c r="D903" t="s">
        <v>19</v>
      </c>
      <c r="E903" t="s">
        <v>4</v>
      </c>
      <c r="F903">
        <v>5460046</v>
      </c>
      <c r="G903">
        <v>58162</v>
      </c>
      <c r="H903">
        <v>703</v>
      </c>
      <c r="I903">
        <v>5518911</v>
      </c>
      <c r="J903">
        <v>115342</v>
      </c>
      <c r="K903">
        <v>1253</v>
      </c>
      <c r="L903">
        <v>3151695</v>
      </c>
      <c r="M903">
        <v>3268290</v>
      </c>
    </row>
    <row r="904" spans="1:13">
      <c r="A904">
        <v>972</v>
      </c>
      <c r="B904" s="331">
        <v>46162.843055555553</v>
      </c>
      <c r="C904" t="s">
        <v>34</v>
      </c>
      <c r="D904" t="s">
        <v>34</v>
      </c>
      <c r="E904" t="s">
        <v>4</v>
      </c>
      <c r="F904">
        <v>3815305</v>
      </c>
      <c r="G904">
        <v>28847</v>
      </c>
      <c r="H904">
        <v>24</v>
      </c>
      <c r="I904">
        <v>3844176</v>
      </c>
      <c r="J904">
        <v>63286</v>
      </c>
      <c r="K904">
        <v>96</v>
      </c>
      <c r="L904">
        <v>2280155</v>
      </c>
      <c r="M904">
        <v>2343537</v>
      </c>
    </row>
    <row r="905" spans="1:13">
      <c r="A905">
        <v>973</v>
      </c>
      <c r="B905" s="331">
        <v>46162.843055555553</v>
      </c>
      <c r="C905" t="s">
        <v>689</v>
      </c>
      <c r="D905" t="s">
        <v>689</v>
      </c>
      <c r="E905" t="s">
        <v>4</v>
      </c>
      <c r="F905">
        <v>1921922</v>
      </c>
      <c r="G905">
        <v>17190</v>
      </c>
      <c r="H905">
        <v>0</v>
      </c>
      <c r="I905">
        <v>1939112</v>
      </c>
      <c r="J905">
        <v>31248</v>
      </c>
      <c r="K905">
        <v>0</v>
      </c>
      <c r="L905">
        <v>1125310</v>
      </c>
      <c r="M905">
        <v>1156558</v>
      </c>
    </row>
    <row r="906" spans="1:13">
      <c r="A906">
        <v>974</v>
      </c>
      <c r="B906" s="331">
        <v>46162.843055555553</v>
      </c>
      <c r="C906" t="s">
        <v>690</v>
      </c>
      <c r="D906" t="s">
        <v>690</v>
      </c>
      <c r="E906" t="s">
        <v>4</v>
      </c>
      <c r="F906">
        <v>1601969</v>
      </c>
      <c r="G906">
        <v>15578</v>
      </c>
      <c r="H906">
        <v>0</v>
      </c>
      <c r="I906">
        <v>1617547</v>
      </c>
      <c r="J906">
        <v>29687</v>
      </c>
      <c r="K906">
        <v>0</v>
      </c>
      <c r="L906">
        <v>947957</v>
      </c>
      <c r="M906">
        <v>977644</v>
      </c>
    </row>
    <row r="907" spans="1:13">
      <c r="A907">
        <v>975</v>
      </c>
      <c r="B907" s="331">
        <v>46162.843055555553</v>
      </c>
      <c r="C907" t="s">
        <v>336</v>
      </c>
      <c r="D907" t="s">
        <v>336</v>
      </c>
      <c r="E907" t="s">
        <v>4</v>
      </c>
      <c r="F907">
        <v>726298</v>
      </c>
      <c r="G907">
        <v>3558</v>
      </c>
      <c r="H907">
        <v>0</v>
      </c>
      <c r="I907">
        <v>729856</v>
      </c>
      <c r="J907">
        <v>5052</v>
      </c>
      <c r="K907">
        <v>0</v>
      </c>
      <c r="L907">
        <v>430742</v>
      </c>
      <c r="M907">
        <v>435794</v>
      </c>
    </row>
    <row r="908" spans="1:13">
      <c r="A908">
        <v>976</v>
      </c>
      <c r="B908" s="331">
        <v>46162.843055555553</v>
      </c>
      <c r="C908" t="s">
        <v>691</v>
      </c>
      <c r="D908" t="s">
        <v>691</v>
      </c>
      <c r="E908" t="s">
        <v>4</v>
      </c>
      <c r="F908">
        <v>1599729</v>
      </c>
      <c r="G908">
        <v>15551</v>
      </c>
      <c r="H908">
        <v>0</v>
      </c>
      <c r="I908">
        <v>1615280</v>
      </c>
      <c r="J908">
        <v>29663</v>
      </c>
      <c r="K908">
        <v>0</v>
      </c>
      <c r="L908">
        <v>946059</v>
      </c>
      <c r="M908">
        <v>975722</v>
      </c>
    </row>
    <row r="909" spans="1:13">
      <c r="A909">
        <v>977</v>
      </c>
      <c r="B909" s="331">
        <v>46162.843055555553</v>
      </c>
      <c r="C909" t="s">
        <v>35</v>
      </c>
      <c r="D909" t="s">
        <v>35</v>
      </c>
      <c r="E909" t="s">
        <v>4</v>
      </c>
      <c r="F909">
        <v>3935240</v>
      </c>
      <c r="G909">
        <v>27275</v>
      </c>
      <c r="H909">
        <v>20</v>
      </c>
      <c r="I909">
        <v>3962535</v>
      </c>
      <c r="J909">
        <v>55055</v>
      </c>
      <c r="K909">
        <v>85</v>
      </c>
      <c r="L909">
        <v>2336935</v>
      </c>
      <c r="M909">
        <v>2392075</v>
      </c>
    </row>
    <row r="910" spans="1:13">
      <c r="A910">
        <v>979</v>
      </c>
      <c r="B910" s="331">
        <v>46162.843055555553</v>
      </c>
      <c r="C910" t="s">
        <v>105</v>
      </c>
      <c r="D910" t="s">
        <v>105</v>
      </c>
      <c r="E910" t="s">
        <v>4</v>
      </c>
      <c r="F910">
        <v>2478576</v>
      </c>
      <c r="G910">
        <v>26996</v>
      </c>
      <c r="H910">
        <v>180</v>
      </c>
      <c r="I910">
        <v>2505752</v>
      </c>
      <c r="J910">
        <v>52642</v>
      </c>
      <c r="K910">
        <v>279</v>
      </c>
      <c r="L910">
        <v>1466077</v>
      </c>
      <c r="M910">
        <v>1518998</v>
      </c>
    </row>
    <row r="911" spans="1:13">
      <c r="A911">
        <v>980</v>
      </c>
      <c r="B911" s="331">
        <v>46162.843055555553</v>
      </c>
      <c r="C911" t="s">
        <v>20</v>
      </c>
      <c r="D911" t="s">
        <v>20</v>
      </c>
      <c r="E911" t="s">
        <v>4</v>
      </c>
      <c r="F911">
        <v>6092205</v>
      </c>
      <c r="G911">
        <v>61919</v>
      </c>
      <c r="H911">
        <v>758</v>
      </c>
      <c r="I911">
        <v>6154882</v>
      </c>
      <c r="J911">
        <v>121744</v>
      </c>
      <c r="K911">
        <v>1343</v>
      </c>
      <c r="L911">
        <v>3473489</v>
      </c>
      <c r="M911">
        <v>3596576</v>
      </c>
    </row>
    <row r="912" spans="1:13">
      <c r="A912">
        <v>982</v>
      </c>
      <c r="B912" s="331">
        <v>46162.843055555553</v>
      </c>
      <c r="C912" t="s">
        <v>32</v>
      </c>
      <c r="D912" t="s">
        <v>32</v>
      </c>
      <c r="E912" t="s">
        <v>4</v>
      </c>
      <c r="F912">
        <v>3600554</v>
      </c>
      <c r="G912">
        <v>26936</v>
      </c>
      <c r="H912">
        <v>28</v>
      </c>
      <c r="I912">
        <v>3627518</v>
      </c>
      <c r="J912">
        <v>57116</v>
      </c>
      <c r="K912">
        <v>102</v>
      </c>
      <c r="L912">
        <v>2139431</v>
      </c>
      <c r="M912">
        <v>2196649</v>
      </c>
    </row>
    <row r="913" spans="1:13">
      <c r="A913">
        <v>983</v>
      </c>
      <c r="B913" s="331">
        <v>46162.843055555553</v>
      </c>
      <c r="C913" t="s">
        <v>106</v>
      </c>
      <c r="D913" t="s">
        <v>106</v>
      </c>
      <c r="E913" t="s">
        <v>4</v>
      </c>
      <c r="F913">
        <v>2976035</v>
      </c>
      <c r="G913">
        <v>39531</v>
      </c>
      <c r="H913">
        <v>533</v>
      </c>
      <c r="I913">
        <v>3016099</v>
      </c>
      <c r="J913">
        <v>69315</v>
      </c>
      <c r="K913">
        <v>917</v>
      </c>
      <c r="L913">
        <v>1692177</v>
      </c>
      <c r="M913">
        <v>1762409</v>
      </c>
    </row>
    <row r="914" spans="1:13">
      <c r="A914">
        <v>984</v>
      </c>
      <c r="B914" s="331">
        <v>46162.843055555553</v>
      </c>
      <c r="C914" t="s">
        <v>1068</v>
      </c>
      <c r="D914" t="s">
        <v>1068</v>
      </c>
      <c r="E914" t="s">
        <v>4</v>
      </c>
      <c r="F914">
        <v>615886</v>
      </c>
      <c r="G914">
        <v>10494</v>
      </c>
      <c r="H914">
        <v>0</v>
      </c>
      <c r="I914">
        <v>626380</v>
      </c>
      <c r="J914">
        <v>21465</v>
      </c>
      <c r="K914">
        <v>0</v>
      </c>
      <c r="L914">
        <v>373692</v>
      </c>
      <c r="M914">
        <v>395157</v>
      </c>
    </row>
    <row r="915" spans="1:13">
      <c r="A915">
        <v>985</v>
      </c>
      <c r="B915" s="331">
        <v>46162.843055555553</v>
      </c>
      <c r="C915" t="s">
        <v>345</v>
      </c>
      <c r="D915" t="s">
        <v>345</v>
      </c>
      <c r="E915" t="s">
        <v>4</v>
      </c>
      <c r="F915">
        <v>2018658</v>
      </c>
      <c r="G915">
        <v>27703</v>
      </c>
      <c r="H915">
        <v>0</v>
      </c>
      <c r="I915">
        <v>2046361</v>
      </c>
      <c r="J915">
        <v>45491</v>
      </c>
      <c r="K915">
        <v>0</v>
      </c>
      <c r="L915">
        <v>1141641</v>
      </c>
      <c r="M915">
        <v>1187132</v>
      </c>
    </row>
    <row r="916" spans="1:13">
      <c r="A916">
        <v>986</v>
      </c>
      <c r="B916" s="331">
        <v>46162.843055555553</v>
      </c>
      <c r="C916" t="s">
        <v>29</v>
      </c>
      <c r="D916" t="s">
        <v>29</v>
      </c>
      <c r="E916" t="s">
        <v>4</v>
      </c>
      <c r="F916">
        <v>2274906</v>
      </c>
      <c r="G916">
        <v>23635</v>
      </c>
      <c r="H916">
        <v>26</v>
      </c>
      <c r="I916">
        <v>2298567</v>
      </c>
      <c r="J916">
        <v>77273</v>
      </c>
      <c r="K916">
        <v>109</v>
      </c>
      <c r="L916">
        <v>1364515</v>
      </c>
      <c r="M916">
        <v>1441897</v>
      </c>
    </row>
    <row r="917" spans="1:13">
      <c r="A917">
        <v>987</v>
      </c>
      <c r="B917" s="331">
        <v>46162.843055555553</v>
      </c>
      <c r="C917" t="s">
        <v>31</v>
      </c>
      <c r="D917" t="s">
        <v>31</v>
      </c>
      <c r="E917" t="s">
        <v>4</v>
      </c>
      <c r="F917">
        <v>2913230</v>
      </c>
      <c r="G917">
        <v>23551</v>
      </c>
      <c r="H917">
        <v>24</v>
      </c>
      <c r="I917">
        <v>2936805</v>
      </c>
      <c r="J917">
        <v>71127</v>
      </c>
      <c r="K917">
        <v>97</v>
      </c>
      <c r="L917">
        <v>1655673</v>
      </c>
      <c r="M917">
        <v>1726897</v>
      </c>
    </row>
    <row r="918" spans="1:13">
      <c r="A918">
        <v>988</v>
      </c>
      <c r="B918" s="331">
        <v>46162.843055555553</v>
      </c>
      <c r="C918" t="s">
        <v>108</v>
      </c>
      <c r="D918" t="s">
        <v>108</v>
      </c>
      <c r="E918" t="s">
        <v>4</v>
      </c>
      <c r="F918">
        <v>4460271</v>
      </c>
      <c r="G918">
        <v>49205</v>
      </c>
      <c r="H918">
        <v>635</v>
      </c>
      <c r="I918">
        <v>4510111</v>
      </c>
      <c r="J918">
        <v>94269</v>
      </c>
      <c r="K918">
        <v>1158</v>
      </c>
      <c r="L918">
        <v>2573041</v>
      </c>
      <c r="M918">
        <v>2668468</v>
      </c>
    </row>
    <row r="919" spans="1:13">
      <c r="A919">
        <v>989</v>
      </c>
      <c r="B919" s="331">
        <v>46162.843055555553</v>
      </c>
      <c r="C919" t="s">
        <v>107</v>
      </c>
      <c r="D919" t="s">
        <v>107</v>
      </c>
      <c r="E919" t="s">
        <v>4</v>
      </c>
      <c r="F919">
        <v>4495133</v>
      </c>
      <c r="G919">
        <v>50597</v>
      </c>
      <c r="H919">
        <v>647</v>
      </c>
      <c r="I919">
        <v>4546377</v>
      </c>
      <c r="J919">
        <v>96384</v>
      </c>
      <c r="K919">
        <v>1116</v>
      </c>
      <c r="L919">
        <v>2592236</v>
      </c>
      <c r="M919">
        <v>2689736</v>
      </c>
    </row>
    <row r="920" spans="1:13">
      <c r="A920">
        <v>990</v>
      </c>
      <c r="B920" s="331">
        <v>46162.843055555553</v>
      </c>
      <c r="C920" t="s">
        <v>18</v>
      </c>
      <c r="D920" t="s">
        <v>18</v>
      </c>
      <c r="E920" t="s">
        <v>4</v>
      </c>
      <c r="F920">
        <v>5726031</v>
      </c>
      <c r="G920">
        <v>60735</v>
      </c>
      <c r="H920">
        <v>743</v>
      </c>
      <c r="I920">
        <v>5787509</v>
      </c>
      <c r="J920">
        <v>124771</v>
      </c>
      <c r="K920">
        <v>1374</v>
      </c>
      <c r="L920">
        <v>3308285</v>
      </c>
      <c r="M920">
        <v>3434430</v>
      </c>
    </row>
    <row r="921" spans="1:13">
      <c r="A921">
        <v>991</v>
      </c>
      <c r="B921" s="331">
        <v>46162.843055555553</v>
      </c>
      <c r="C921" t="s">
        <v>1112</v>
      </c>
      <c r="D921" t="s">
        <v>1112</v>
      </c>
      <c r="E921" t="s">
        <v>4</v>
      </c>
      <c r="F921">
        <v>865946</v>
      </c>
      <c r="G921">
        <v>6813</v>
      </c>
      <c r="H921">
        <v>0</v>
      </c>
      <c r="I921">
        <v>872759</v>
      </c>
      <c r="J921">
        <v>13233</v>
      </c>
      <c r="K921">
        <v>0</v>
      </c>
      <c r="L921">
        <v>510237</v>
      </c>
      <c r="M921">
        <v>523470</v>
      </c>
    </row>
    <row r="922" spans="1:13">
      <c r="A922">
        <v>992</v>
      </c>
      <c r="B922" s="331">
        <v>46162.843055555553</v>
      </c>
      <c r="C922" t="s">
        <v>27</v>
      </c>
      <c r="D922" t="s">
        <v>27</v>
      </c>
      <c r="E922" t="s">
        <v>4</v>
      </c>
      <c r="F922">
        <v>1817268</v>
      </c>
      <c r="G922">
        <v>25036</v>
      </c>
      <c r="H922">
        <v>173</v>
      </c>
      <c r="I922">
        <v>1842477</v>
      </c>
      <c r="J922">
        <v>52235</v>
      </c>
      <c r="K922">
        <v>280</v>
      </c>
      <c r="L922">
        <v>1088447</v>
      </c>
      <c r="M922">
        <v>1140962</v>
      </c>
    </row>
    <row r="923" spans="1:13">
      <c r="A923">
        <v>994</v>
      </c>
      <c r="B923" s="331">
        <v>46162.843055555553</v>
      </c>
      <c r="C923" t="s">
        <v>346</v>
      </c>
      <c r="D923" t="s">
        <v>346</v>
      </c>
      <c r="E923" t="s">
        <v>4</v>
      </c>
      <c r="F923">
        <v>2447451</v>
      </c>
      <c r="G923">
        <v>30068</v>
      </c>
      <c r="H923">
        <v>0</v>
      </c>
      <c r="I923">
        <v>2477519</v>
      </c>
      <c r="J923">
        <v>52190</v>
      </c>
      <c r="K923">
        <v>0</v>
      </c>
      <c r="L923">
        <v>1405313</v>
      </c>
      <c r="M923">
        <v>1457503</v>
      </c>
    </row>
    <row r="924" spans="1:13">
      <c r="A924">
        <v>995</v>
      </c>
      <c r="B924" s="331">
        <v>46162.843055555553</v>
      </c>
      <c r="C924" t="s">
        <v>21</v>
      </c>
      <c r="D924" t="s">
        <v>21</v>
      </c>
      <c r="E924" t="s">
        <v>4</v>
      </c>
      <c r="F924">
        <v>5705324</v>
      </c>
      <c r="G924">
        <v>56473</v>
      </c>
      <c r="H924">
        <v>647</v>
      </c>
      <c r="I924">
        <v>5762444</v>
      </c>
      <c r="J924">
        <v>105400</v>
      </c>
      <c r="K924">
        <v>1201</v>
      </c>
      <c r="L924">
        <v>3290223</v>
      </c>
      <c r="M924">
        <v>3396824</v>
      </c>
    </row>
    <row r="925" spans="1:13">
      <c r="A925">
        <v>996</v>
      </c>
      <c r="B925" s="331">
        <v>46162.843055555553</v>
      </c>
      <c r="C925" t="s">
        <v>1111</v>
      </c>
      <c r="D925" t="s">
        <v>1111</v>
      </c>
      <c r="E925" t="s">
        <v>4</v>
      </c>
      <c r="F925">
        <v>860493</v>
      </c>
      <c r="G925">
        <v>6920</v>
      </c>
      <c r="H925">
        <v>0</v>
      </c>
      <c r="I925">
        <v>867413</v>
      </c>
      <c r="J925">
        <v>13370</v>
      </c>
      <c r="K925">
        <v>0</v>
      </c>
      <c r="L925">
        <v>506891</v>
      </c>
      <c r="M925">
        <v>520261</v>
      </c>
    </row>
    <row r="926" spans="1:13">
      <c r="A926">
        <v>997</v>
      </c>
      <c r="B926" s="331">
        <v>46162.843055555553</v>
      </c>
      <c r="C926" t="s">
        <v>33</v>
      </c>
      <c r="D926" t="s">
        <v>33</v>
      </c>
      <c r="E926" t="s">
        <v>4</v>
      </c>
      <c r="F926">
        <v>3687642</v>
      </c>
      <c r="G926">
        <v>26633</v>
      </c>
      <c r="H926">
        <v>23</v>
      </c>
      <c r="I926">
        <v>3714298</v>
      </c>
      <c r="J926">
        <v>52262</v>
      </c>
      <c r="K926">
        <v>121</v>
      </c>
      <c r="L926">
        <v>2193768</v>
      </c>
      <c r="M926">
        <v>2246151</v>
      </c>
    </row>
    <row r="927" spans="1:13">
      <c r="A927">
        <v>998</v>
      </c>
      <c r="B927" s="331">
        <v>46162.843055555553</v>
      </c>
      <c r="C927" t="s">
        <v>22</v>
      </c>
      <c r="D927" t="s">
        <v>22</v>
      </c>
      <c r="E927" t="s">
        <v>4</v>
      </c>
      <c r="F927">
        <v>2851853</v>
      </c>
      <c r="G927">
        <v>36231</v>
      </c>
      <c r="H927">
        <v>384</v>
      </c>
      <c r="I927">
        <v>2888468</v>
      </c>
      <c r="J927">
        <v>62642</v>
      </c>
      <c r="K927">
        <v>672</v>
      </c>
      <c r="L927">
        <v>1623000</v>
      </c>
      <c r="M927">
        <v>1686314</v>
      </c>
    </row>
    <row r="928" spans="1:13">
      <c r="A928">
        <v>999</v>
      </c>
      <c r="B928" s="331">
        <v>46162.843055555553</v>
      </c>
      <c r="C928" t="s">
        <v>17</v>
      </c>
      <c r="D928" t="s">
        <v>17</v>
      </c>
      <c r="E928" t="s">
        <v>4</v>
      </c>
      <c r="F928">
        <v>3686026</v>
      </c>
      <c r="G928">
        <v>47052</v>
      </c>
      <c r="H928">
        <v>508</v>
      </c>
      <c r="I928">
        <v>3733586</v>
      </c>
      <c r="J928">
        <v>108558</v>
      </c>
      <c r="K928">
        <v>970</v>
      </c>
      <c r="L928">
        <v>2118383</v>
      </c>
      <c r="M928">
        <v>2227911</v>
      </c>
    </row>
    <row r="929" spans="1:13">
      <c r="A929">
        <v>1000</v>
      </c>
      <c r="B929" s="331">
        <v>46162.843055555553</v>
      </c>
      <c r="C929" t="s">
        <v>132</v>
      </c>
      <c r="D929" t="s">
        <v>132</v>
      </c>
      <c r="E929" t="s">
        <v>4</v>
      </c>
      <c r="F929">
        <v>3875185</v>
      </c>
      <c r="G929">
        <v>28603</v>
      </c>
      <c r="H929">
        <v>22</v>
      </c>
      <c r="I929">
        <v>3903810</v>
      </c>
      <c r="J929">
        <v>58514</v>
      </c>
      <c r="K929">
        <v>88</v>
      </c>
      <c r="L929">
        <v>2299492</v>
      </c>
      <c r="M929">
        <v>2358094</v>
      </c>
    </row>
    <row r="930" spans="1:13">
      <c r="A930">
        <v>1001</v>
      </c>
      <c r="B930" s="331">
        <v>46162.843055555553</v>
      </c>
      <c r="C930" t="s">
        <v>1133</v>
      </c>
      <c r="D930" t="s">
        <v>1133</v>
      </c>
      <c r="E930" t="s">
        <v>4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</row>
    <row r="931" spans="1:13">
      <c r="A931">
        <v>1002</v>
      </c>
      <c r="B931" s="331">
        <v>46162.843055555553</v>
      </c>
      <c r="C931" t="s">
        <v>1067</v>
      </c>
      <c r="D931" t="s">
        <v>1067</v>
      </c>
      <c r="E931" t="s">
        <v>4</v>
      </c>
      <c r="F931">
        <v>614520</v>
      </c>
      <c r="G931">
        <v>10393</v>
      </c>
      <c r="H931">
        <v>0</v>
      </c>
      <c r="I931">
        <v>624913</v>
      </c>
      <c r="J931">
        <v>21317</v>
      </c>
      <c r="K931">
        <v>0</v>
      </c>
      <c r="L931">
        <v>373176</v>
      </c>
      <c r="M931">
        <v>394493</v>
      </c>
    </row>
    <row r="932" spans="1:13">
      <c r="A932">
        <v>1003</v>
      </c>
      <c r="B932" s="331">
        <v>46162.843055555553</v>
      </c>
      <c r="C932" t="s">
        <v>24</v>
      </c>
      <c r="D932" t="s">
        <v>24</v>
      </c>
      <c r="E932" t="s">
        <v>4</v>
      </c>
      <c r="F932">
        <v>1881464</v>
      </c>
      <c r="G932">
        <v>27828</v>
      </c>
      <c r="H932">
        <v>163</v>
      </c>
      <c r="I932">
        <v>1909455</v>
      </c>
      <c r="J932">
        <v>56490</v>
      </c>
      <c r="K932">
        <v>234</v>
      </c>
      <c r="L932">
        <v>1124543</v>
      </c>
      <c r="M932">
        <v>1181267</v>
      </c>
    </row>
    <row r="933" spans="1:13">
      <c r="A933">
        <v>1004</v>
      </c>
      <c r="B933" s="331">
        <v>46162.843055555553</v>
      </c>
      <c r="C933" t="s">
        <v>131</v>
      </c>
      <c r="D933" t="s">
        <v>131</v>
      </c>
      <c r="E933" t="s">
        <v>4</v>
      </c>
      <c r="F933">
        <v>3873884</v>
      </c>
      <c r="G933">
        <v>29211</v>
      </c>
      <c r="H933">
        <v>25</v>
      </c>
      <c r="I933">
        <v>3903120</v>
      </c>
      <c r="J933">
        <v>59698</v>
      </c>
      <c r="K933">
        <v>111</v>
      </c>
      <c r="L933">
        <v>2300594</v>
      </c>
      <c r="M933">
        <v>2360403</v>
      </c>
    </row>
    <row r="934" spans="1:13">
      <c r="A934">
        <v>1005</v>
      </c>
      <c r="B934" s="331">
        <v>46162.841666666667</v>
      </c>
      <c r="C934" t="s">
        <v>26</v>
      </c>
      <c r="D934" t="s">
        <v>26</v>
      </c>
      <c r="E934" t="s">
        <v>4</v>
      </c>
      <c r="F934">
        <v>1901904</v>
      </c>
      <c r="G934">
        <v>25267</v>
      </c>
      <c r="H934">
        <v>161</v>
      </c>
      <c r="I934">
        <v>1927332</v>
      </c>
      <c r="J934">
        <v>55315</v>
      </c>
      <c r="K934">
        <v>253</v>
      </c>
      <c r="L934">
        <v>1142460</v>
      </c>
      <c r="M934">
        <v>1198028</v>
      </c>
    </row>
    <row r="935" spans="1:13">
      <c r="A935">
        <v>1006</v>
      </c>
      <c r="B935" s="331">
        <v>46162.841666666667</v>
      </c>
      <c r="C935" t="s">
        <v>20</v>
      </c>
      <c r="D935" t="s">
        <v>20</v>
      </c>
      <c r="E935" t="s">
        <v>4</v>
      </c>
      <c r="F935">
        <v>6092207</v>
      </c>
      <c r="G935">
        <v>61845</v>
      </c>
      <c r="H935">
        <v>762</v>
      </c>
      <c r="I935">
        <v>6154814</v>
      </c>
      <c r="J935">
        <v>121716</v>
      </c>
      <c r="K935">
        <v>1341</v>
      </c>
      <c r="L935">
        <v>3473674</v>
      </c>
      <c r="M935">
        <v>3596731</v>
      </c>
    </row>
    <row r="936" spans="1:13">
      <c r="A936">
        <v>1008</v>
      </c>
      <c r="B936" s="331">
        <v>46162.841666666667</v>
      </c>
      <c r="C936" t="s">
        <v>690</v>
      </c>
      <c r="D936" t="s">
        <v>690</v>
      </c>
      <c r="E936" t="s">
        <v>4</v>
      </c>
      <c r="F936">
        <v>1601627</v>
      </c>
      <c r="G936">
        <v>15641</v>
      </c>
      <c r="H936">
        <v>0</v>
      </c>
      <c r="I936">
        <v>1617268</v>
      </c>
      <c r="J936">
        <v>29731</v>
      </c>
      <c r="K936">
        <v>0</v>
      </c>
      <c r="L936">
        <v>947850</v>
      </c>
      <c r="M936">
        <v>977581</v>
      </c>
    </row>
    <row r="937" spans="1:13">
      <c r="A937">
        <v>1009</v>
      </c>
      <c r="B937" s="331">
        <v>46162.841666666667</v>
      </c>
      <c r="C937" t="s">
        <v>22</v>
      </c>
      <c r="D937" t="s">
        <v>22</v>
      </c>
      <c r="E937" t="s">
        <v>4</v>
      </c>
      <c r="F937">
        <v>2851976</v>
      </c>
      <c r="G937">
        <v>36210</v>
      </c>
      <c r="H937">
        <v>382</v>
      </c>
      <c r="I937">
        <v>2888568</v>
      </c>
      <c r="J937">
        <v>62575</v>
      </c>
      <c r="K937">
        <v>675</v>
      </c>
      <c r="L937">
        <v>1623128</v>
      </c>
      <c r="M937">
        <v>1686378</v>
      </c>
    </row>
    <row r="938" spans="1:13">
      <c r="A938">
        <v>1010</v>
      </c>
      <c r="B938" s="331">
        <v>46162.841666666667</v>
      </c>
      <c r="C938" t="s">
        <v>1068</v>
      </c>
      <c r="D938" t="s">
        <v>1068</v>
      </c>
      <c r="E938" t="s">
        <v>4</v>
      </c>
      <c r="F938">
        <v>616035</v>
      </c>
      <c r="G938">
        <v>10436</v>
      </c>
      <c r="H938">
        <v>0</v>
      </c>
      <c r="I938">
        <v>626471</v>
      </c>
      <c r="J938">
        <v>21399</v>
      </c>
      <c r="K938">
        <v>0</v>
      </c>
      <c r="L938">
        <v>373779</v>
      </c>
      <c r="M938">
        <v>395178</v>
      </c>
    </row>
    <row r="939" spans="1:13">
      <c r="A939">
        <v>1011</v>
      </c>
      <c r="B939" s="331">
        <v>46162.841666666667</v>
      </c>
      <c r="C939" t="s">
        <v>336</v>
      </c>
      <c r="D939" t="s">
        <v>336</v>
      </c>
      <c r="E939" t="s">
        <v>4</v>
      </c>
      <c r="F939">
        <v>726195</v>
      </c>
      <c r="G939">
        <v>3521</v>
      </c>
      <c r="H939">
        <v>0</v>
      </c>
      <c r="I939">
        <v>729716</v>
      </c>
      <c r="J939">
        <v>5002</v>
      </c>
      <c r="K939">
        <v>0</v>
      </c>
      <c r="L939">
        <v>430694</v>
      </c>
      <c r="M939">
        <v>435696</v>
      </c>
    </row>
    <row r="940" spans="1:13">
      <c r="A940">
        <v>1012</v>
      </c>
      <c r="B940" s="331">
        <v>46162.841666666667</v>
      </c>
      <c r="C940" t="s">
        <v>108</v>
      </c>
      <c r="D940" t="s">
        <v>108</v>
      </c>
      <c r="E940" t="s">
        <v>4</v>
      </c>
      <c r="F940">
        <v>4460341</v>
      </c>
      <c r="G940">
        <v>49002</v>
      </c>
      <c r="H940">
        <v>655</v>
      </c>
      <c r="I940">
        <v>4509998</v>
      </c>
      <c r="J940">
        <v>94002</v>
      </c>
      <c r="K940">
        <v>1169</v>
      </c>
      <c r="L940">
        <v>2573326</v>
      </c>
      <c r="M940">
        <v>2668497</v>
      </c>
    </row>
    <row r="941" spans="1:13">
      <c r="A941">
        <v>1013</v>
      </c>
      <c r="B941" s="331">
        <v>46162.841666666667</v>
      </c>
      <c r="C941" t="s">
        <v>131</v>
      </c>
      <c r="D941" t="s">
        <v>131</v>
      </c>
      <c r="E941" t="s">
        <v>4</v>
      </c>
      <c r="F941">
        <v>3874117</v>
      </c>
      <c r="G941">
        <v>28949</v>
      </c>
      <c r="H941">
        <v>24</v>
      </c>
      <c r="I941">
        <v>3903090</v>
      </c>
      <c r="J941">
        <v>59535</v>
      </c>
      <c r="K941">
        <v>111</v>
      </c>
      <c r="L941">
        <v>2300724</v>
      </c>
      <c r="M941">
        <v>2360370</v>
      </c>
    </row>
    <row r="942" spans="1:13">
      <c r="A942">
        <v>1014</v>
      </c>
      <c r="B942" s="331">
        <v>46162.841666666667</v>
      </c>
      <c r="C942" t="s">
        <v>35</v>
      </c>
      <c r="D942" t="s">
        <v>35</v>
      </c>
      <c r="E942" t="s">
        <v>4</v>
      </c>
      <c r="F942">
        <v>3935527</v>
      </c>
      <c r="G942">
        <v>27265</v>
      </c>
      <c r="H942">
        <v>20</v>
      </c>
      <c r="I942">
        <v>3962812</v>
      </c>
      <c r="J942">
        <v>54986</v>
      </c>
      <c r="K942">
        <v>84</v>
      </c>
      <c r="L942">
        <v>2337121</v>
      </c>
      <c r="M942">
        <v>2392191</v>
      </c>
    </row>
    <row r="943" spans="1:13">
      <c r="A943">
        <v>1015</v>
      </c>
      <c r="B943" s="331">
        <v>46162.841666666667</v>
      </c>
      <c r="C943" t="s">
        <v>21</v>
      </c>
      <c r="D943" t="s">
        <v>21</v>
      </c>
      <c r="E943" t="s">
        <v>4</v>
      </c>
      <c r="F943">
        <v>5705116</v>
      </c>
      <c r="G943">
        <v>56505</v>
      </c>
      <c r="H943">
        <v>650</v>
      </c>
      <c r="I943">
        <v>5762271</v>
      </c>
      <c r="J943">
        <v>105386</v>
      </c>
      <c r="K943">
        <v>1199</v>
      </c>
      <c r="L943">
        <v>3290190</v>
      </c>
      <c r="M943">
        <v>3396775</v>
      </c>
    </row>
    <row r="944" spans="1:13">
      <c r="A944">
        <v>1016</v>
      </c>
      <c r="B944" s="331">
        <v>46162.841666666667</v>
      </c>
      <c r="C944" t="s">
        <v>106</v>
      </c>
      <c r="D944" t="s">
        <v>106</v>
      </c>
      <c r="E944" t="s">
        <v>4</v>
      </c>
      <c r="F944">
        <v>2975981</v>
      </c>
      <c r="G944">
        <v>39472</v>
      </c>
      <c r="H944">
        <v>534</v>
      </c>
      <c r="I944">
        <v>3015987</v>
      </c>
      <c r="J944">
        <v>69236</v>
      </c>
      <c r="K944">
        <v>914</v>
      </c>
      <c r="L944">
        <v>1692291</v>
      </c>
      <c r="M944">
        <v>1762441</v>
      </c>
    </row>
    <row r="945" spans="1:13">
      <c r="A945">
        <v>1018</v>
      </c>
      <c r="B945" s="331">
        <v>46162.841666666667</v>
      </c>
      <c r="C945" t="s">
        <v>132</v>
      </c>
      <c r="D945" t="s">
        <v>132</v>
      </c>
      <c r="E945" t="s">
        <v>4</v>
      </c>
      <c r="F945">
        <v>3875357</v>
      </c>
      <c r="G945">
        <v>28657</v>
      </c>
      <c r="H945">
        <v>21</v>
      </c>
      <c r="I945">
        <v>3904035</v>
      </c>
      <c r="J945">
        <v>58518</v>
      </c>
      <c r="K945">
        <v>85</v>
      </c>
      <c r="L945">
        <v>2299560</v>
      </c>
      <c r="M945">
        <v>2358163</v>
      </c>
    </row>
    <row r="946" spans="1:13">
      <c r="A946">
        <v>1019</v>
      </c>
      <c r="B946" s="331">
        <v>46162.841666666667</v>
      </c>
      <c r="C946" t="s">
        <v>1112</v>
      </c>
      <c r="D946" t="s">
        <v>1112</v>
      </c>
      <c r="E946" t="s">
        <v>4</v>
      </c>
      <c r="F946">
        <v>866052</v>
      </c>
      <c r="G946">
        <v>6845</v>
      </c>
      <c r="H946">
        <v>0</v>
      </c>
      <c r="I946">
        <v>872897</v>
      </c>
      <c r="J946">
        <v>13266</v>
      </c>
      <c r="K946">
        <v>0</v>
      </c>
      <c r="L946">
        <v>510384</v>
      </c>
      <c r="M946">
        <v>523650</v>
      </c>
    </row>
    <row r="947" spans="1:13">
      <c r="A947">
        <v>1020</v>
      </c>
      <c r="B947" s="331">
        <v>46162.841666666667</v>
      </c>
      <c r="C947" t="s">
        <v>1067</v>
      </c>
      <c r="D947" t="s">
        <v>1067</v>
      </c>
      <c r="E947" t="s">
        <v>4</v>
      </c>
      <c r="F947">
        <v>614480</v>
      </c>
      <c r="G947">
        <v>10394</v>
      </c>
      <c r="H947">
        <v>0</v>
      </c>
      <c r="I947">
        <v>624874</v>
      </c>
      <c r="J947">
        <v>21313</v>
      </c>
      <c r="K947">
        <v>0</v>
      </c>
      <c r="L947">
        <v>373193</v>
      </c>
      <c r="M947">
        <v>394506</v>
      </c>
    </row>
    <row r="948" spans="1:13">
      <c r="A948">
        <v>1021</v>
      </c>
      <c r="B948" s="331">
        <v>46162.841666666667</v>
      </c>
      <c r="C948" t="s">
        <v>691</v>
      </c>
      <c r="D948" t="s">
        <v>691</v>
      </c>
      <c r="E948" t="s">
        <v>4</v>
      </c>
      <c r="F948">
        <v>1599693</v>
      </c>
      <c r="G948">
        <v>15560</v>
      </c>
      <c r="H948">
        <v>0</v>
      </c>
      <c r="I948">
        <v>1615253</v>
      </c>
      <c r="J948">
        <v>29628</v>
      </c>
      <c r="K948">
        <v>0</v>
      </c>
      <c r="L948">
        <v>946044</v>
      </c>
      <c r="M948">
        <v>975672</v>
      </c>
    </row>
    <row r="949" spans="1:13">
      <c r="A949">
        <v>1022</v>
      </c>
      <c r="B949" s="331">
        <v>46162.841666666667</v>
      </c>
      <c r="C949" t="s">
        <v>689</v>
      </c>
      <c r="D949" t="s">
        <v>689</v>
      </c>
      <c r="E949" t="s">
        <v>4</v>
      </c>
      <c r="F949">
        <v>1921694</v>
      </c>
      <c r="G949">
        <v>17238</v>
      </c>
      <c r="H949">
        <v>0</v>
      </c>
      <c r="I949">
        <v>1938932</v>
      </c>
      <c r="J949">
        <v>31235</v>
      </c>
      <c r="K949">
        <v>0</v>
      </c>
      <c r="L949">
        <v>1125284</v>
      </c>
      <c r="M949">
        <v>1156519</v>
      </c>
    </row>
    <row r="950" spans="1:13">
      <c r="A950">
        <v>1023</v>
      </c>
      <c r="B950" s="331">
        <v>46162.841666666667</v>
      </c>
      <c r="C950" t="s">
        <v>17</v>
      </c>
      <c r="D950" t="s">
        <v>17</v>
      </c>
      <c r="E950" t="s">
        <v>4</v>
      </c>
      <c r="F950">
        <v>3685567</v>
      </c>
      <c r="G950">
        <v>47238</v>
      </c>
      <c r="H950">
        <v>497</v>
      </c>
      <c r="I950">
        <v>3733302</v>
      </c>
      <c r="J950">
        <v>108708</v>
      </c>
      <c r="K950">
        <v>960</v>
      </c>
      <c r="L950">
        <v>2118263</v>
      </c>
      <c r="M950">
        <v>2227931</v>
      </c>
    </row>
    <row r="951" spans="1:13">
      <c r="A951">
        <v>1024</v>
      </c>
      <c r="B951" s="331">
        <v>46162.841666666667</v>
      </c>
      <c r="C951" t="s">
        <v>29</v>
      </c>
      <c r="D951" t="s">
        <v>29</v>
      </c>
      <c r="E951" t="s">
        <v>4</v>
      </c>
      <c r="F951">
        <v>2275031</v>
      </c>
      <c r="G951">
        <v>23630</v>
      </c>
      <c r="H951">
        <v>25</v>
      </c>
      <c r="I951">
        <v>2298686</v>
      </c>
      <c r="J951">
        <v>77309</v>
      </c>
      <c r="K951">
        <v>110</v>
      </c>
      <c r="L951">
        <v>1364560</v>
      </c>
      <c r="M951">
        <v>1441979</v>
      </c>
    </row>
    <row r="952" spans="1:13">
      <c r="A952">
        <v>1026</v>
      </c>
      <c r="B952" s="331">
        <v>46162.841666666667</v>
      </c>
      <c r="C952" t="s">
        <v>34</v>
      </c>
      <c r="D952" t="s">
        <v>34</v>
      </c>
      <c r="E952" t="s">
        <v>4</v>
      </c>
      <c r="F952">
        <v>3815759</v>
      </c>
      <c r="G952">
        <v>28718</v>
      </c>
      <c r="H952">
        <v>25</v>
      </c>
      <c r="I952">
        <v>3844502</v>
      </c>
      <c r="J952">
        <v>63198</v>
      </c>
      <c r="K952">
        <v>97</v>
      </c>
      <c r="L952">
        <v>2280367</v>
      </c>
      <c r="M952">
        <v>2343662</v>
      </c>
    </row>
    <row r="953" spans="1:13">
      <c r="A953">
        <v>1027</v>
      </c>
      <c r="B953" s="331">
        <v>46162.841666666667</v>
      </c>
      <c r="C953" t="s">
        <v>346</v>
      </c>
      <c r="D953" t="s">
        <v>346</v>
      </c>
      <c r="E953" t="s">
        <v>4</v>
      </c>
      <c r="F953">
        <v>2447687</v>
      </c>
      <c r="G953">
        <v>29889</v>
      </c>
      <c r="H953">
        <v>0</v>
      </c>
      <c r="I953">
        <v>2477576</v>
      </c>
      <c r="J953">
        <v>51967</v>
      </c>
      <c r="K953">
        <v>0</v>
      </c>
      <c r="L953">
        <v>1405464</v>
      </c>
      <c r="M953">
        <v>1457431</v>
      </c>
    </row>
    <row r="954" spans="1:13">
      <c r="A954">
        <v>1028</v>
      </c>
      <c r="B954" s="331">
        <v>46162.841666666667</v>
      </c>
      <c r="C954" t="s">
        <v>16</v>
      </c>
      <c r="D954" t="s">
        <v>16</v>
      </c>
      <c r="E954" t="s">
        <v>4</v>
      </c>
      <c r="F954">
        <v>3294529</v>
      </c>
      <c r="G954">
        <v>44007</v>
      </c>
      <c r="H954">
        <v>522</v>
      </c>
      <c r="I954">
        <v>3339058</v>
      </c>
      <c r="J954">
        <v>106812</v>
      </c>
      <c r="K954">
        <v>1022</v>
      </c>
      <c r="L954">
        <v>1911243</v>
      </c>
      <c r="M954">
        <v>2019077</v>
      </c>
    </row>
    <row r="955" spans="1:13">
      <c r="A955">
        <v>1029</v>
      </c>
      <c r="B955" s="331">
        <v>46162.841666666667</v>
      </c>
      <c r="C955" t="s">
        <v>24</v>
      </c>
      <c r="D955" t="s">
        <v>24</v>
      </c>
      <c r="E955" t="s">
        <v>4</v>
      </c>
      <c r="F955">
        <v>1881375</v>
      </c>
      <c r="G955">
        <v>27957</v>
      </c>
      <c r="H955">
        <v>155</v>
      </c>
      <c r="I955">
        <v>1909487</v>
      </c>
      <c r="J955">
        <v>56563</v>
      </c>
      <c r="K955">
        <v>228</v>
      </c>
      <c r="L955">
        <v>1124526</v>
      </c>
      <c r="M955">
        <v>1181317</v>
      </c>
    </row>
    <row r="956" spans="1:13">
      <c r="A956">
        <v>1030</v>
      </c>
      <c r="B956" s="331">
        <v>46162.841666666667</v>
      </c>
      <c r="C956" t="s">
        <v>31</v>
      </c>
      <c r="D956" t="s">
        <v>31</v>
      </c>
      <c r="E956" t="s">
        <v>4</v>
      </c>
      <c r="F956">
        <v>2913687</v>
      </c>
      <c r="G956">
        <v>23394</v>
      </c>
      <c r="H956">
        <v>25</v>
      </c>
      <c r="I956">
        <v>2937106</v>
      </c>
      <c r="J956">
        <v>70945</v>
      </c>
      <c r="K956">
        <v>96</v>
      </c>
      <c r="L956">
        <v>1655864</v>
      </c>
      <c r="M956">
        <v>1726905</v>
      </c>
    </row>
    <row r="957" spans="1:13">
      <c r="A957">
        <v>1031</v>
      </c>
      <c r="B957" s="331">
        <v>46162.841666666667</v>
      </c>
      <c r="C957" t="s">
        <v>1111</v>
      </c>
      <c r="D957" t="s">
        <v>1111</v>
      </c>
      <c r="E957" t="s">
        <v>4</v>
      </c>
      <c r="F957">
        <v>860380</v>
      </c>
      <c r="G957">
        <v>6948</v>
      </c>
      <c r="H957">
        <v>0</v>
      </c>
      <c r="I957">
        <v>867328</v>
      </c>
      <c r="J957">
        <v>13413</v>
      </c>
      <c r="K957">
        <v>0</v>
      </c>
      <c r="L957">
        <v>506809</v>
      </c>
      <c r="M957">
        <v>520222</v>
      </c>
    </row>
    <row r="958" spans="1:13">
      <c r="A958">
        <v>1032</v>
      </c>
      <c r="B958" s="331">
        <v>46162.841666666667</v>
      </c>
      <c r="C958" t="s">
        <v>33</v>
      </c>
      <c r="D958" t="s">
        <v>33</v>
      </c>
      <c r="E958" t="s">
        <v>4</v>
      </c>
      <c r="F958">
        <v>3687918</v>
      </c>
      <c r="G958">
        <v>26512</v>
      </c>
      <c r="H958">
        <v>24</v>
      </c>
      <c r="I958">
        <v>3714454</v>
      </c>
      <c r="J958">
        <v>52147</v>
      </c>
      <c r="K958">
        <v>122</v>
      </c>
      <c r="L958">
        <v>2193937</v>
      </c>
      <c r="M958">
        <v>2246206</v>
      </c>
    </row>
    <row r="959" spans="1:13">
      <c r="A959">
        <v>1033</v>
      </c>
      <c r="B959" s="331">
        <v>46162.841666666667</v>
      </c>
      <c r="C959" t="s">
        <v>27</v>
      </c>
      <c r="D959" t="s">
        <v>27</v>
      </c>
      <c r="E959" t="s">
        <v>4</v>
      </c>
      <c r="F959">
        <v>1817383</v>
      </c>
      <c r="G959">
        <v>25083</v>
      </c>
      <c r="H959">
        <v>173</v>
      </c>
      <c r="I959">
        <v>1842639</v>
      </c>
      <c r="J959">
        <v>52319</v>
      </c>
      <c r="K959">
        <v>274</v>
      </c>
      <c r="L959">
        <v>1088534</v>
      </c>
      <c r="M959">
        <v>1141127</v>
      </c>
    </row>
    <row r="960" spans="1:13">
      <c r="A960">
        <v>1034</v>
      </c>
      <c r="B960" s="331">
        <v>46162.841666666667</v>
      </c>
      <c r="C960" t="s">
        <v>107</v>
      </c>
      <c r="D960" t="s">
        <v>107</v>
      </c>
      <c r="E960" t="s">
        <v>4</v>
      </c>
      <c r="F960">
        <v>4495052</v>
      </c>
      <c r="G960">
        <v>50428</v>
      </c>
      <c r="H960">
        <v>644</v>
      </c>
      <c r="I960">
        <v>4546124</v>
      </c>
      <c r="J960">
        <v>96196</v>
      </c>
      <c r="K960">
        <v>1118</v>
      </c>
      <c r="L960">
        <v>2592407</v>
      </c>
      <c r="M960">
        <v>2689721</v>
      </c>
    </row>
    <row r="961" spans="1:13">
      <c r="A961">
        <v>1035</v>
      </c>
      <c r="B961" s="331">
        <v>46162.841666666667</v>
      </c>
      <c r="C961" t="s">
        <v>105</v>
      </c>
      <c r="D961" t="s">
        <v>105</v>
      </c>
      <c r="E961" t="s">
        <v>4</v>
      </c>
      <c r="F961">
        <v>2478268</v>
      </c>
      <c r="G961">
        <v>27065</v>
      </c>
      <c r="H961">
        <v>183</v>
      </c>
      <c r="I961">
        <v>2505516</v>
      </c>
      <c r="J961">
        <v>52668</v>
      </c>
      <c r="K961">
        <v>283</v>
      </c>
      <c r="L961">
        <v>1465858</v>
      </c>
      <c r="M961">
        <v>1518809</v>
      </c>
    </row>
    <row r="962" spans="1:13">
      <c r="A962">
        <v>1036</v>
      </c>
      <c r="B962" s="331">
        <v>46162.841666666667</v>
      </c>
      <c r="C962" t="s">
        <v>1133</v>
      </c>
      <c r="D962" t="s">
        <v>1133</v>
      </c>
      <c r="E962" t="s">
        <v>4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</row>
    <row r="963" spans="1:13">
      <c r="A963">
        <v>1037</v>
      </c>
      <c r="B963" s="331">
        <v>46162.841666666667</v>
      </c>
      <c r="C963" t="s">
        <v>19</v>
      </c>
      <c r="D963" t="s">
        <v>19</v>
      </c>
      <c r="E963" t="s">
        <v>4</v>
      </c>
      <c r="F963">
        <v>5459885</v>
      </c>
      <c r="G963">
        <v>58261</v>
      </c>
      <c r="H963">
        <v>693</v>
      </c>
      <c r="I963">
        <v>5518839</v>
      </c>
      <c r="J963">
        <v>115424</v>
      </c>
      <c r="K963">
        <v>1241</v>
      </c>
      <c r="L963">
        <v>3151762</v>
      </c>
      <c r="M963">
        <v>3268427</v>
      </c>
    </row>
    <row r="964" spans="1:13">
      <c r="A964">
        <v>1038</v>
      </c>
      <c r="B964" s="331">
        <v>46162.841666666667</v>
      </c>
      <c r="C964" t="s">
        <v>32</v>
      </c>
      <c r="D964" t="s">
        <v>32</v>
      </c>
      <c r="E964" t="s">
        <v>4</v>
      </c>
      <c r="F964">
        <v>3600883</v>
      </c>
      <c r="G964">
        <v>26842</v>
      </c>
      <c r="H964">
        <v>26</v>
      </c>
      <c r="I964">
        <v>3627751</v>
      </c>
      <c r="J964">
        <v>56975</v>
      </c>
      <c r="K964">
        <v>98</v>
      </c>
      <c r="L964">
        <v>2139564</v>
      </c>
      <c r="M964">
        <v>2196637</v>
      </c>
    </row>
    <row r="965" spans="1:13">
      <c r="A965">
        <v>1039</v>
      </c>
      <c r="B965" s="331">
        <v>46162.841666666667</v>
      </c>
      <c r="C965" t="s">
        <v>345</v>
      </c>
      <c r="D965" t="s">
        <v>345</v>
      </c>
      <c r="E965" t="s">
        <v>4</v>
      </c>
      <c r="F965">
        <v>2018552</v>
      </c>
      <c r="G965">
        <v>27662</v>
      </c>
      <c r="H965">
        <v>0</v>
      </c>
      <c r="I965">
        <v>2046214</v>
      </c>
      <c r="J965">
        <v>45538</v>
      </c>
      <c r="K965">
        <v>0</v>
      </c>
      <c r="L965">
        <v>1141719</v>
      </c>
      <c r="M965">
        <v>1187257</v>
      </c>
    </row>
    <row r="966" spans="1:13">
      <c r="A966">
        <v>1040</v>
      </c>
      <c r="B966" s="331">
        <v>46162.841666666667</v>
      </c>
      <c r="C966" t="s">
        <v>18</v>
      </c>
      <c r="D966" t="s">
        <v>18</v>
      </c>
      <c r="E966" t="s">
        <v>4</v>
      </c>
      <c r="F966">
        <v>5725861</v>
      </c>
      <c r="G966">
        <v>60592</v>
      </c>
      <c r="H966">
        <v>750</v>
      </c>
      <c r="I966">
        <v>5787203</v>
      </c>
      <c r="J966">
        <v>124553</v>
      </c>
      <c r="K966">
        <v>1371</v>
      </c>
      <c r="L966">
        <v>3308349</v>
      </c>
      <c r="M966">
        <v>3434273</v>
      </c>
    </row>
    <row r="967" spans="1:13">
      <c r="A967">
        <v>1041</v>
      </c>
      <c r="B967" s="331">
        <v>46162.840277777781</v>
      </c>
      <c r="C967" t="s">
        <v>21</v>
      </c>
      <c r="D967" t="s">
        <v>21</v>
      </c>
      <c r="E967" t="s">
        <v>4</v>
      </c>
      <c r="F967">
        <v>5704713</v>
      </c>
      <c r="G967">
        <v>56456</v>
      </c>
      <c r="H967">
        <v>654</v>
      </c>
      <c r="I967">
        <v>5761823</v>
      </c>
      <c r="J967">
        <v>105299</v>
      </c>
      <c r="K967">
        <v>1191</v>
      </c>
      <c r="L967">
        <v>3290214</v>
      </c>
      <c r="M967">
        <v>3396704</v>
      </c>
    </row>
    <row r="968" spans="1:13">
      <c r="A968">
        <v>1042</v>
      </c>
      <c r="B968" s="331">
        <v>46162.840277777781</v>
      </c>
      <c r="C968" t="s">
        <v>345</v>
      </c>
      <c r="D968" t="s">
        <v>345</v>
      </c>
      <c r="E968" t="s">
        <v>4</v>
      </c>
      <c r="F968">
        <v>2018521</v>
      </c>
      <c r="G968">
        <v>27569</v>
      </c>
      <c r="H968">
        <v>0</v>
      </c>
      <c r="I968">
        <v>2046090</v>
      </c>
      <c r="J968">
        <v>45390</v>
      </c>
      <c r="K968">
        <v>0</v>
      </c>
      <c r="L968">
        <v>1141721</v>
      </c>
      <c r="M968">
        <v>1187111</v>
      </c>
    </row>
    <row r="969" spans="1:13">
      <c r="A969">
        <v>1043</v>
      </c>
      <c r="B969" s="331">
        <v>46162.840277777781</v>
      </c>
      <c r="C969" t="s">
        <v>336</v>
      </c>
      <c r="D969" t="s">
        <v>336</v>
      </c>
      <c r="E969" t="s">
        <v>4</v>
      </c>
      <c r="F969">
        <v>726360</v>
      </c>
      <c r="G969">
        <v>3577</v>
      </c>
      <c r="H969">
        <v>0</v>
      </c>
      <c r="I969">
        <v>729937</v>
      </c>
      <c r="J969">
        <v>5066</v>
      </c>
      <c r="K969">
        <v>0</v>
      </c>
      <c r="L969">
        <v>430751</v>
      </c>
      <c r="M969">
        <v>435817</v>
      </c>
    </row>
    <row r="970" spans="1:13">
      <c r="A970">
        <v>1044</v>
      </c>
      <c r="B970" s="331">
        <v>46162.840277777781</v>
      </c>
      <c r="C970" t="s">
        <v>349</v>
      </c>
      <c r="D970" t="s">
        <v>349</v>
      </c>
      <c r="E970" t="s">
        <v>372</v>
      </c>
      <c r="L970">
        <v>602092</v>
      </c>
      <c r="M970">
        <v>602092</v>
      </c>
    </row>
    <row r="971" spans="1:13">
      <c r="A971">
        <v>1046</v>
      </c>
      <c r="B971" s="331">
        <v>46162.840277777781</v>
      </c>
      <c r="C971" t="s">
        <v>1125</v>
      </c>
      <c r="D971" t="s">
        <v>1125</v>
      </c>
      <c r="E971" t="s">
        <v>372</v>
      </c>
      <c r="L971">
        <v>632402</v>
      </c>
      <c r="M971">
        <v>632402</v>
      </c>
    </row>
    <row r="972" spans="1:13">
      <c r="A972">
        <v>1047</v>
      </c>
      <c r="B972" s="331">
        <v>46162.840277777781</v>
      </c>
      <c r="C972" t="s">
        <v>894</v>
      </c>
      <c r="D972" t="s">
        <v>894</v>
      </c>
      <c r="E972" t="s">
        <v>372</v>
      </c>
      <c r="L972">
        <v>776914</v>
      </c>
      <c r="M972">
        <v>776914</v>
      </c>
    </row>
    <row r="973" spans="1:13">
      <c r="A973">
        <v>1048</v>
      </c>
      <c r="B973" s="331">
        <v>46162.840277777781</v>
      </c>
      <c r="C973" t="s">
        <v>106</v>
      </c>
      <c r="D973" t="s">
        <v>106</v>
      </c>
      <c r="E973" t="s">
        <v>4</v>
      </c>
      <c r="F973">
        <v>2975212</v>
      </c>
      <c r="G973">
        <v>39533</v>
      </c>
      <c r="H973">
        <v>535</v>
      </c>
      <c r="I973">
        <v>3015280</v>
      </c>
      <c r="J973">
        <v>69270</v>
      </c>
      <c r="K973">
        <v>913</v>
      </c>
      <c r="L973">
        <v>1692097</v>
      </c>
      <c r="M973">
        <v>1762280</v>
      </c>
    </row>
    <row r="974" spans="1:13">
      <c r="A974">
        <v>1049</v>
      </c>
      <c r="B974" s="331">
        <v>46162.840277777781</v>
      </c>
      <c r="C974" t="s">
        <v>20</v>
      </c>
      <c r="D974" t="s">
        <v>20</v>
      </c>
      <c r="E974" t="s">
        <v>4</v>
      </c>
      <c r="F974">
        <v>6092059</v>
      </c>
      <c r="G974">
        <v>61677</v>
      </c>
      <c r="H974">
        <v>759</v>
      </c>
      <c r="I974">
        <v>6154495</v>
      </c>
      <c r="J974">
        <v>121457</v>
      </c>
      <c r="K974">
        <v>1327</v>
      </c>
      <c r="L974">
        <v>3473772</v>
      </c>
      <c r="M974">
        <v>3596556</v>
      </c>
    </row>
    <row r="975" spans="1:13">
      <c r="A975">
        <v>1050</v>
      </c>
      <c r="B975" s="331">
        <v>46162.840277777781</v>
      </c>
      <c r="C975" t="s">
        <v>690</v>
      </c>
      <c r="D975" t="s">
        <v>690</v>
      </c>
      <c r="E975" t="s">
        <v>4</v>
      </c>
      <c r="F975">
        <v>1601870</v>
      </c>
      <c r="G975">
        <v>15692</v>
      </c>
      <c r="H975">
        <v>0</v>
      </c>
      <c r="I975">
        <v>1617562</v>
      </c>
      <c r="J975">
        <v>29738</v>
      </c>
      <c r="K975">
        <v>0</v>
      </c>
      <c r="L975">
        <v>948059</v>
      </c>
      <c r="M975">
        <v>977797</v>
      </c>
    </row>
    <row r="976" spans="1:13">
      <c r="A976">
        <v>1051</v>
      </c>
      <c r="B976" s="331">
        <v>46162.840277777781</v>
      </c>
      <c r="C976" t="s">
        <v>1111</v>
      </c>
      <c r="D976" t="s">
        <v>1111</v>
      </c>
      <c r="E976" t="s">
        <v>4</v>
      </c>
      <c r="F976">
        <v>860150</v>
      </c>
      <c r="G976">
        <v>6930</v>
      </c>
      <c r="H976">
        <v>0</v>
      </c>
      <c r="I976">
        <v>867080</v>
      </c>
      <c r="J976">
        <v>13384</v>
      </c>
      <c r="K976">
        <v>0</v>
      </c>
      <c r="L976">
        <v>506803</v>
      </c>
      <c r="M976">
        <v>520187</v>
      </c>
    </row>
    <row r="977" spans="1:13">
      <c r="A977">
        <v>1052</v>
      </c>
      <c r="B977" s="331">
        <v>46162.840277777781</v>
      </c>
      <c r="C977" t="s">
        <v>1133</v>
      </c>
      <c r="D977" t="s">
        <v>1133</v>
      </c>
      <c r="E977" t="s">
        <v>4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</row>
    <row r="978" spans="1:13">
      <c r="A978">
        <v>1053</v>
      </c>
      <c r="B978" s="331">
        <v>46162.840277777781</v>
      </c>
      <c r="C978" t="s">
        <v>1067</v>
      </c>
      <c r="D978" t="s">
        <v>1067</v>
      </c>
      <c r="E978" t="s">
        <v>4</v>
      </c>
      <c r="F978">
        <v>614427</v>
      </c>
      <c r="G978">
        <v>10530</v>
      </c>
      <c r="H978">
        <v>0</v>
      </c>
      <c r="I978">
        <v>624957</v>
      </c>
      <c r="J978">
        <v>21485</v>
      </c>
      <c r="K978">
        <v>0</v>
      </c>
      <c r="L978">
        <v>373174</v>
      </c>
      <c r="M978">
        <v>394659</v>
      </c>
    </row>
    <row r="979" spans="1:13">
      <c r="A979">
        <v>1054</v>
      </c>
      <c r="B979" s="331">
        <v>46162.840277777781</v>
      </c>
      <c r="C979" t="s">
        <v>1112</v>
      </c>
      <c r="D979" t="s">
        <v>1112</v>
      </c>
      <c r="E979" t="s">
        <v>4</v>
      </c>
      <c r="F979">
        <v>865871</v>
      </c>
      <c r="G979">
        <v>6819</v>
      </c>
      <c r="H979">
        <v>0</v>
      </c>
      <c r="I979">
        <v>872690</v>
      </c>
      <c r="J979">
        <v>13233</v>
      </c>
      <c r="K979">
        <v>0</v>
      </c>
      <c r="L979">
        <v>510375</v>
      </c>
      <c r="M979">
        <v>523608</v>
      </c>
    </row>
    <row r="980" spans="1:13">
      <c r="A980">
        <v>1055</v>
      </c>
      <c r="B980" s="331">
        <v>46162.840277777781</v>
      </c>
      <c r="C980" t="s">
        <v>689</v>
      </c>
      <c r="D980" t="s">
        <v>689</v>
      </c>
      <c r="E980" t="s">
        <v>4</v>
      </c>
      <c r="F980">
        <v>1921384</v>
      </c>
      <c r="G980">
        <v>17285</v>
      </c>
      <c r="H980">
        <v>0</v>
      </c>
      <c r="I980">
        <v>1938669</v>
      </c>
      <c r="J980">
        <v>31326</v>
      </c>
      <c r="K980">
        <v>0</v>
      </c>
      <c r="L980">
        <v>1125205</v>
      </c>
      <c r="M980">
        <v>1156531</v>
      </c>
    </row>
    <row r="981" spans="1:13">
      <c r="A981">
        <v>1056</v>
      </c>
      <c r="B981" s="331">
        <v>46162.840277777781</v>
      </c>
      <c r="C981" t="s">
        <v>35</v>
      </c>
      <c r="D981" t="s">
        <v>35</v>
      </c>
      <c r="E981" t="s">
        <v>4</v>
      </c>
      <c r="F981">
        <v>3935945</v>
      </c>
      <c r="G981">
        <v>27124</v>
      </c>
      <c r="H981">
        <v>20</v>
      </c>
      <c r="I981">
        <v>3963089</v>
      </c>
      <c r="J981">
        <v>54857</v>
      </c>
      <c r="K981">
        <v>85</v>
      </c>
      <c r="L981">
        <v>2337348</v>
      </c>
      <c r="M981">
        <v>2392290</v>
      </c>
    </row>
    <row r="982" spans="1:13">
      <c r="A982">
        <v>1057</v>
      </c>
      <c r="B982" s="331">
        <v>46162.840277777781</v>
      </c>
      <c r="C982" t="s">
        <v>32</v>
      </c>
      <c r="D982" t="s">
        <v>32</v>
      </c>
      <c r="E982" t="s">
        <v>4</v>
      </c>
      <c r="F982">
        <v>3601232</v>
      </c>
      <c r="G982">
        <v>26729</v>
      </c>
      <c r="H982">
        <v>24</v>
      </c>
      <c r="I982">
        <v>3627985</v>
      </c>
      <c r="J982">
        <v>56810</v>
      </c>
      <c r="K982">
        <v>98</v>
      </c>
      <c r="L982">
        <v>2139745</v>
      </c>
      <c r="M982">
        <v>2196653</v>
      </c>
    </row>
    <row r="983" spans="1:13">
      <c r="A983">
        <v>1058</v>
      </c>
      <c r="B983" s="331">
        <v>46162.840277777781</v>
      </c>
      <c r="C983" t="s">
        <v>27</v>
      </c>
      <c r="D983" t="s">
        <v>27</v>
      </c>
      <c r="E983" t="s">
        <v>4</v>
      </c>
      <c r="F983">
        <v>1817273</v>
      </c>
      <c r="G983">
        <v>25095</v>
      </c>
      <c r="H983">
        <v>171</v>
      </c>
      <c r="I983">
        <v>1842539</v>
      </c>
      <c r="J983">
        <v>52347</v>
      </c>
      <c r="K983">
        <v>269</v>
      </c>
      <c r="L983">
        <v>1088545</v>
      </c>
      <c r="M983">
        <v>1141161</v>
      </c>
    </row>
    <row r="984" spans="1:13">
      <c r="A984">
        <v>1060</v>
      </c>
      <c r="B984" s="331">
        <v>46162.840277777781</v>
      </c>
      <c r="C984" t="s">
        <v>24</v>
      </c>
      <c r="D984" t="s">
        <v>24</v>
      </c>
      <c r="E984" t="s">
        <v>4</v>
      </c>
      <c r="F984">
        <v>1881319</v>
      </c>
      <c r="G984">
        <v>27827</v>
      </c>
      <c r="H984">
        <v>149</v>
      </c>
      <c r="I984">
        <v>1909295</v>
      </c>
      <c r="J984">
        <v>56569</v>
      </c>
      <c r="K984">
        <v>223</v>
      </c>
      <c r="L984">
        <v>1124476</v>
      </c>
      <c r="M984">
        <v>1181268</v>
      </c>
    </row>
    <row r="985" spans="1:13">
      <c r="A985">
        <v>1061</v>
      </c>
      <c r="B985" s="331">
        <v>46162.840277777781</v>
      </c>
      <c r="C985" t="s">
        <v>26</v>
      </c>
      <c r="D985" t="s">
        <v>26</v>
      </c>
      <c r="E985" t="s">
        <v>4</v>
      </c>
      <c r="F985">
        <v>1901985</v>
      </c>
      <c r="G985">
        <v>25360</v>
      </c>
      <c r="H985">
        <v>158</v>
      </c>
      <c r="I985">
        <v>1927503</v>
      </c>
      <c r="J985">
        <v>55447</v>
      </c>
      <c r="K985">
        <v>250</v>
      </c>
      <c r="L985">
        <v>1142571</v>
      </c>
      <c r="M985">
        <v>1198268</v>
      </c>
    </row>
    <row r="986" spans="1:13">
      <c r="A986">
        <v>1062</v>
      </c>
      <c r="B986" s="331">
        <v>46162.840277777781</v>
      </c>
      <c r="C986" t="s">
        <v>132</v>
      </c>
      <c r="D986" t="s">
        <v>132</v>
      </c>
      <c r="E986" t="s">
        <v>4</v>
      </c>
      <c r="F986">
        <v>3875840</v>
      </c>
      <c r="G986">
        <v>28650</v>
      </c>
      <c r="H986">
        <v>20</v>
      </c>
      <c r="I986">
        <v>3904510</v>
      </c>
      <c r="J986">
        <v>58378</v>
      </c>
      <c r="K986">
        <v>85</v>
      </c>
      <c r="L986">
        <v>2299823</v>
      </c>
      <c r="M986">
        <v>2358286</v>
      </c>
    </row>
    <row r="987" spans="1:13">
      <c r="A987">
        <v>1063</v>
      </c>
      <c r="B987" s="331">
        <v>46162.840277777781</v>
      </c>
      <c r="C987" t="s">
        <v>346</v>
      </c>
      <c r="D987" t="s">
        <v>346</v>
      </c>
      <c r="E987" t="s">
        <v>4</v>
      </c>
      <c r="F987">
        <v>2447355</v>
      </c>
      <c r="G987">
        <v>30007</v>
      </c>
      <c r="H987">
        <v>0</v>
      </c>
      <c r="I987">
        <v>2477362</v>
      </c>
      <c r="J987">
        <v>52038</v>
      </c>
      <c r="K987">
        <v>0</v>
      </c>
      <c r="L987">
        <v>1405409</v>
      </c>
      <c r="M987">
        <v>1457447</v>
      </c>
    </row>
    <row r="988" spans="1:13">
      <c r="A988">
        <v>1064</v>
      </c>
      <c r="B988" s="331">
        <v>46162.840277777781</v>
      </c>
      <c r="C988" t="s">
        <v>22</v>
      </c>
      <c r="D988" t="s">
        <v>22</v>
      </c>
      <c r="E988" t="s">
        <v>4</v>
      </c>
      <c r="F988">
        <v>2852000</v>
      </c>
      <c r="G988">
        <v>36081</v>
      </c>
      <c r="H988">
        <v>383</v>
      </c>
      <c r="I988">
        <v>2888464</v>
      </c>
      <c r="J988">
        <v>62443</v>
      </c>
      <c r="K988">
        <v>675</v>
      </c>
      <c r="L988">
        <v>1623170</v>
      </c>
      <c r="M988">
        <v>1686288</v>
      </c>
    </row>
    <row r="989" spans="1:13">
      <c r="A989">
        <v>1065</v>
      </c>
      <c r="B989" s="331">
        <v>46162.840277777781</v>
      </c>
      <c r="C989" t="s">
        <v>1068</v>
      </c>
      <c r="D989" t="s">
        <v>1068</v>
      </c>
      <c r="E989" t="s">
        <v>4</v>
      </c>
      <c r="F989">
        <v>616007</v>
      </c>
      <c r="G989">
        <v>10548</v>
      </c>
      <c r="H989">
        <v>0</v>
      </c>
      <c r="I989">
        <v>626555</v>
      </c>
      <c r="J989">
        <v>21527</v>
      </c>
      <c r="K989">
        <v>0</v>
      </c>
      <c r="L989">
        <v>373785</v>
      </c>
      <c r="M989">
        <v>395312</v>
      </c>
    </row>
    <row r="990" spans="1:13">
      <c r="A990">
        <v>1066</v>
      </c>
      <c r="B990" s="331">
        <v>46162.840277777781</v>
      </c>
      <c r="C990" t="s">
        <v>896</v>
      </c>
      <c r="D990" t="s">
        <v>896</v>
      </c>
      <c r="E990" t="s">
        <v>372</v>
      </c>
      <c r="L990">
        <v>776622</v>
      </c>
      <c r="M990">
        <v>776622</v>
      </c>
    </row>
    <row r="991" spans="1:13">
      <c r="A991">
        <v>1067</v>
      </c>
      <c r="B991" s="331">
        <v>46162.840277777781</v>
      </c>
      <c r="C991" t="s">
        <v>348</v>
      </c>
      <c r="D991" t="s">
        <v>348</v>
      </c>
      <c r="E991" t="s">
        <v>372</v>
      </c>
      <c r="L991">
        <v>616647</v>
      </c>
      <c r="M991">
        <v>616647</v>
      </c>
    </row>
    <row r="992" spans="1:13">
      <c r="A992">
        <v>1068</v>
      </c>
      <c r="B992" s="331">
        <v>46162.840277777781</v>
      </c>
      <c r="C992" t="s">
        <v>893</v>
      </c>
      <c r="D992" t="s">
        <v>893</v>
      </c>
      <c r="E992" t="s">
        <v>372</v>
      </c>
      <c r="L992">
        <v>785971</v>
      </c>
      <c r="M992">
        <v>785971</v>
      </c>
    </row>
    <row r="993" spans="1:13">
      <c r="A993">
        <v>1069</v>
      </c>
      <c r="B993" s="331">
        <v>46162.840277777781</v>
      </c>
      <c r="C993" t="s">
        <v>581</v>
      </c>
      <c r="D993" t="s">
        <v>581</v>
      </c>
      <c r="E993" t="s">
        <v>372</v>
      </c>
      <c r="L993">
        <v>519343</v>
      </c>
      <c r="M993">
        <v>519343</v>
      </c>
    </row>
    <row r="994" spans="1:13">
      <c r="A994">
        <v>1070</v>
      </c>
      <c r="B994" s="331">
        <v>46162.840277777781</v>
      </c>
      <c r="C994" t="s">
        <v>1080</v>
      </c>
      <c r="D994" t="s">
        <v>1080</v>
      </c>
      <c r="E994" t="s">
        <v>372</v>
      </c>
      <c r="L994">
        <v>681584</v>
      </c>
      <c r="M994">
        <v>681584</v>
      </c>
    </row>
    <row r="995" spans="1:13">
      <c r="A995">
        <v>1071</v>
      </c>
      <c r="B995" s="331">
        <v>46162.840277777781</v>
      </c>
      <c r="C995" t="s">
        <v>582</v>
      </c>
      <c r="D995" t="s">
        <v>582</v>
      </c>
      <c r="E995" t="s">
        <v>372</v>
      </c>
      <c r="L995">
        <v>522302</v>
      </c>
      <c r="M995">
        <v>522302</v>
      </c>
    </row>
    <row r="996" spans="1:13">
      <c r="A996">
        <v>1072</v>
      </c>
      <c r="B996" s="331">
        <v>46162.840277777781</v>
      </c>
      <c r="C996" t="s">
        <v>108</v>
      </c>
      <c r="D996" t="s">
        <v>108</v>
      </c>
      <c r="E996" t="s">
        <v>4</v>
      </c>
      <c r="F996">
        <v>4459819</v>
      </c>
      <c r="G996">
        <v>49060</v>
      </c>
      <c r="H996">
        <v>652</v>
      </c>
      <c r="I996">
        <v>4509531</v>
      </c>
      <c r="J996">
        <v>93994</v>
      </c>
      <c r="K996">
        <v>1173</v>
      </c>
      <c r="L996">
        <v>2573263</v>
      </c>
      <c r="M996">
        <v>2668430</v>
      </c>
    </row>
    <row r="997" spans="1:13">
      <c r="A997">
        <v>1073</v>
      </c>
      <c r="B997" s="331">
        <v>46162.840277777781</v>
      </c>
      <c r="C997" t="s">
        <v>17</v>
      </c>
      <c r="D997" t="s">
        <v>17</v>
      </c>
      <c r="E997" t="s">
        <v>4</v>
      </c>
      <c r="F997">
        <v>3685308</v>
      </c>
      <c r="G997">
        <v>47150</v>
      </c>
      <c r="H997">
        <v>499</v>
      </c>
      <c r="I997">
        <v>3732957</v>
      </c>
      <c r="J997">
        <v>108565</v>
      </c>
      <c r="K997">
        <v>971</v>
      </c>
      <c r="L997">
        <v>2118340</v>
      </c>
      <c r="M997">
        <v>2227876</v>
      </c>
    </row>
    <row r="998" spans="1:13">
      <c r="A998">
        <v>1074</v>
      </c>
      <c r="B998" s="331">
        <v>46162.840277777781</v>
      </c>
      <c r="C998" t="s">
        <v>350</v>
      </c>
      <c r="D998" t="s">
        <v>350</v>
      </c>
      <c r="E998" t="s">
        <v>372</v>
      </c>
      <c r="L998">
        <v>611749</v>
      </c>
      <c r="M998">
        <v>611749</v>
      </c>
    </row>
    <row r="999" spans="1:13">
      <c r="A999">
        <v>1075</v>
      </c>
      <c r="B999" s="331">
        <v>46162.840277777781</v>
      </c>
      <c r="C999" t="s">
        <v>895</v>
      </c>
      <c r="D999" t="s">
        <v>895</v>
      </c>
      <c r="E999" t="s">
        <v>372</v>
      </c>
      <c r="L999">
        <v>777974</v>
      </c>
      <c r="M999">
        <v>777974</v>
      </c>
    </row>
    <row r="1000" spans="1:13">
      <c r="A1000">
        <v>1076</v>
      </c>
      <c r="B1000" s="331">
        <v>46162.840277777781</v>
      </c>
      <c r="C1000" t="s">
        <v>29</v>
      </c>
      <c r="D1000" t="s">
        <v>29</v>
      </c>
      <c r="E1000" t="s">
        <v>4</v>
      </c>
      <c r="F1000">
        <v>2274918</v>
      </c>
      <c r="G1000">
        <v>23683</v>
      </c>
      <c r="H1000">
        <v>25</v>
      </c>
      <c r="I1000">
        <v>2298626</v>
      </c>
      <c r="J1000">
        <v>77332</v>
      </c>
      <c r="K1000">
        <v>111</v>
      </c>
      <c r="L1000">
        <v>1364481</v>
      </c>
      <c r="M1000">
        <v>1441924</v>
      </c>
    </row>
    <row r="1001" spans="1:13">
      <c r="A1001">
        <v>1077</v>
      </c>
      <c r="B1001" s="331">
        <v>46162.840277777781</v>
      </c>
      <c r="C1001" t="s">
        <v>34</v>
      </c>
      <c r="D1001" t="s">
        <v>34</v>
      </c>
      <c r="E1001" t="s">
        <v>4</v>
      </c>
      <c r="F1001">
        <v>3816001</v>
      </c>
      <c r="G1001">
        <v>28543</v>
      </c>
      <c r="H1001">
        <v>25</v>
      </c>
      <c r="I1001">
        <v>3844569</v>
      </c>
      <c r="J1001">
        <v>63030</v>
      </c>
      <c r="K1001">
        <v>96</v>
      </c>
      <c r="L1001">
        <v>2280396</v>
      </c>
      <c r="M1001">
        <v>2343522</v>
      </c>
    </row>
    <row r="1002" spans="1:13">
      <c r="A1002">
        <v>1078</v>
      </c>
      <c r="B1002" s="331">
        <v>46162.840277777781</v>
      </c>
      <c r="C1002" t="s">
        <v>131</v>
      </c>
      <c r="D1002" t="s">
        <v>131</v>
      </c>
      <c r="E1002" t="s">
        <v>4</v>
      </c>
      <c r="F1002">
        <v>3874304</v>
      </c>
      <c r="G1002">
        <v>28789</v>
      </c>
      <c r="H1002">
        <v>25</v>
      </c>
      <c r="I1002">
        <v>3903118</v>
      </c>
      <c r="J1002">
        <v>59300</v>
      </c>
      <c r="K1002">
        <v>111</v>
      </c>
      <c r="L1002">
        <v>2300829</v>
      </c>
      <c r="M1002">
        <v>2360240</v>
      </c>
    </row>
    <row r="1003" spans="1:13">
      <c r="A1003">
        <v>1079</v>
      </c>
      <c r="B1003" s="331">
        <v>46162.840277777781</v>
      </c>
      <c r="C1003" t="s">
        <v>105</v>
      </c>
      <c r="D1003" t="s">
        <v>105</v>
      </c>
      <c r="E1003" t="s">
        <v>4</v>
      </c>
      <c r="F1003">
        <v>2478267</v>
      </c>
      <c r="G1003">
        <v>27116</v>
      </c>
      <c r="H1003">
        <v>173</v>
      </c>
      <c r="I1003">
        <v>2505556</v>
      </c>
      <c r="J1003">
        <v>52786</v>
      </c>
      <c r="K1003">
        <v>274</v>
      </c>
      <c r="L1003">
        <v>1465847</v>
      </c>
      <c r="M1003">
        <v>1518907</v>
      </c>
    </row>
    <row r="1004" spans="1:13">
      <c r="A1004">
        <v>1080</v>
      </c>
      <c r="B1004" s="331">
        <v>46162.840277777781</v>
      </c>
      <c r="C1004" t="s">
        <v>691</v>
      </c>
      <c r="D1004" t="s">
        <v>691</v>
      </c>
      <c r="E1004" t="s">
        <v>4</v>
      </c>
      <c r="F1004">
        <v>1599334</v>
      </c>
      <c r="G1004">
        <v>15630</v>
      </c>
      <c r="H1004">
        <v>0</v>
      </c>
      <c r="I1004">
        <v>1614964</v>
      </c>
      <c r="J1004">
        <v>29651</v>
      </c>
      <c r="K1004">
        <v>0</v>
      </c>
      <c r="L1004">
        <v>946022</v>
      </c>
      <c r="M1004">
        <v>975673</v>
      </c>
    </row>
    <row r="1005" spans="1:13">
      <c r="A1005">
        <v>1081</v>
      </c>
      <c r="B1005" s="331">
        <v>46162.840277777781</v>
      </c>
      <c r="C1005" t="s">
        <v>16</v>
      </c>
      <c r="D1005" t="s">
        <v>16</v>
      </c>
      <c r="E1005" t="s">
        <v>4</v>
      </c>
      <c r="F1005">
        <v>3294304</v>
      </c>
      <c r="G1005">
        <v>43914</v>
      </c>
      <c r="H1005">
        <v>537</v>
      </c>
      <c r="I1005">
        <v>3338755</v>
      </c>
      <c r="J1005">
        <v>106784</v>
      </c>
      <c r="K1005">
        <v>1032</v>
      </c>
      <c r="L1005">
        <v>1911314</v>
      </c>
      <c r="M1005">
        <v>2019130</v>
      </c>
    </row>
    <row r="1006" spans="1:13">
      <c r="A1006">
        <v>1082</v>
      </c>
      <c r="B1006" s="331">
        <v>46162.840277777781</v>
      </c>
      <c r="C1006" t="s">
        <v>107</v>
      </c>
      <c r="D1006" t="s">
        <v>107</v>
      </c>
      <c r="E1006" t="s">
        <v>4</v>
      </c>
      <c r="F1006">
        <v>4494860</v>
      </c>
      <c r="G1006">
        <v>50506</v>
      </c>
      <c r="H1006">
        <v>656</v>
      </c>
      <c r="I1006">
        <v>4546022</v>
      </c>
      <c r="J1006">
        <v>96238</v>
      </c>
      <c r="K1006">
        <v>1128</v>
      </c>
      <c r="L1006">
        <v>2592549</v>
      </c>
      <c r="M1006">
        <v>2689915</v>
      </c>
    </row>
    <row r="1007" spans="1:13">
      <c r="A1007">
        <v>1083</v>
      </c>
      <c r="B1007" s="331">
        <v>46162.840277777781</v>
      </c>
      <c r="C1007" t="s">
        <v>580</v>
      </c>
      <c r="D1007" t="s">
        <v>580</v>
      </c>
      <c r="E1007" t="s">
        <v>372</v>
      </c>
      <c r="L1007">
        <v>552234</v>
      </c>
      <c r="M1007">
        <v>552234</v>
      </c>
    </row>
    <row r="1008" spans="1:13">
      <c r="A1008">
        <v>1084</v>
      </c>
      <c r="B1008" s="331">
        <v>46162.840277777781</v>
      </c>
      <c r="C1008" t="s">
        <v>18</v>
      </c>
      <c r="D1008" t="s">
        <v>18</v>
      </c>
      <c r="E1008" t="s">
        <v>4</v>
      </c>
      <c r="F1008">
        <v>5726048</v>
      </c>
      <c r="G1008">
        <v>60583</v>
      </c>
      <c r="H1008">
        <v>755</v>
      </c>
      <c r="I1008">
        <v>5787386</v>
      </c>
      <c r="J1008">
        <v>124473</v>
      </c>
      <c r="K1008">
        <v>1378</v>
      </c>
      <c r="L1008">
        <v>3308718</v>
      </c>
      <c r="M1008">
        <v>3434569</v>
      </c>
    </row>
    <row r="1009" spans="1:13">
      <c r="A1009">
        <v>1085</v>
      </c>
      <c r="B1009" s="331">
        <v>46162.840277777781</v>
      </c>
      <c r="C1009" t="s">
        <v>583</v>
      </c>
      <c r="D1009" t="s">
        <v>583</v>
      </c>
      <c r="E1009" t="s">
        <v>372</v>
      </c>
      <c r="L1009">
        <v>523236</v>
      </c>
      <c r="M1009">
        <v>523236</v>
      </c>
    </row>
    <row r="1010" spans="1:13">
      <c r="A1010">
        <v>1086</v>
      </c>
      <c r="B1010" s="331">
        <v>46162.840277777781</v>
      </c>
      <c r="C1010" t="s">
        <v>31</v>
      </c>
      <c r="D1010" t="s">
        <v>31</v>
      </c>
      <c r="E1010" t="s">
        <v>4</v>
      </c>
      <c r="F1010">
        <v>2913922</v>
      </c>
      <c r="G1010">
        <v>23234</v>
      </c>
      <c r="H1010">
        <v>25</v>
      </c>
      <c r="I1010">
        <v>2937181</v>
      </c>
      <c r="J1010">
        <v>70785</v>
      </c>
      <c r="K1010">
        <v>97</v>
      </c>
      <c r="L1010">
        <v>1656041</v>
      </c>
      <c r="M1010">
        <v>1726923</v>
      </c>
    </row>
    <row r="1011" spans="1:13">
      <c r="A1011">
        <v>1087</v>
      </c>
      <c r="B1011" s="331">
        <v>46162.840277777781</v>
      </c>
      <c r="C1011" t="s">
        <v>19</v>
      </c>
      <c r="D1011" t="s">
        <v>19</v>
      </c>
      <c r="E1011" t="s">
        <v>4</v>
      </c>
      <c r="F1011">
        <v>5459062</v>
      </c>
      <c r="G1011">
        <v>58361</v>
      </c>
      <c r="H1011">
        <v>696</v>
      </c>
      <c r="I1011">
        <v>5518119</v>
      </c>
      <c r="J1011">
        <v>115522</v>
      </c>
      <c r="K1011">
        <v>1241</v>
      </c>
      <c r="L1011">
        <v>3151655</v>
      </c>
      <c r="M1011">
        <v>3268418</v>
      </c>
    </row>
    <row r="1012" spans="1:13">
      <c r="A1012">
        <v>1089</v>
      </c>
      <c r="B1012" s="331">
        <v>46162.840277777781</v>
      </c>
      <c r="C1012" t="s">
        <v>33</v>
      </c>
      <c r="D1012" t="s">
        <v>33</v>
      </c>
      <c r="E1012" t="s">
        <v>4</v>
      </c>
      <c r="F1012">
        <v>3687935</v>
      </c>
      <c r="G1012">
        <v>26519</v>
      </c>
      <c r="H1012">
        <v>25</v>
      </c>
      <c r="I1012">
        <v>3714479</v>
      </c>
      <c r="J1012">
        <v>52065</v>
      </c>
      <c r="K1012">
        <v>123</v>
      </c>
      <c r="L1012">
        <v>2193891</v>
      </c>
      <c r="M1012">
        <v>2246079</v>
      </c>
    </row>
    <row r="1013" spans="1:13">
      <c r="A1013">
        <v>1090</v>
      </c>
      <c r="B1013" s="331">
        <v>46162.840277777781</v>
      </c>
      <c r="C1013" t="s">
        <v>1081</v>
      </c>
      <c r="D1013" t="s">
        <v>1081</v>
      </c>
      <c r="E1013" t="s">
        <v>372</v>
      </c>
      <c r="L1013">
        <v>645614</v>
      </c>
      <c r="M1013">
        <v>645614</v>
      </c>
    </row>
    <row r="1014" spans="1:13">
      <c r="A1014">
        <v>1091</v>
      </c>
      <c r="B1014" s="331">
        <v>46162.838888888888</v>
      </c>
      <c r="C1014" t="s">
        <v>31</v>
      </c>
      <c r="D1014" t="s">
        <v>31</v>
      </c>
      <c r="E1014" t="s">
        <v>4</v>
      </c>
      <c r="F1014">
        <v>2914225</v>
      </c>
      <c r="G1014">
        <v>23395</v>
      </c>
      <c r="H1014">
        <v>25</v>
      </c>
      <c r="I1014">
        <v>2937645</v>
      </c>
      <c r="J1014">
        <v>70884</v>
      </c>
      <c r="K1014">
        <v>97</v>
      </c>
      <c r="L1014">
        <v>1656271</v>
      </c>
      <c r="M1014">
        <v>1727252</v>
      </c>
    </row>
    <row r="1015" spans="1:13">
      <c r="A1015">
        <v>1092</v>
      </c>
      <c r="B1015" s="331">
        <v>46162.838888888888</v>
      </c>
      <c r="C1015" t="s">
        <v>105</v>
      </c>
      <c r="D1015" t="s">
        <v>105</v>
      </c>
      <c r="E1015" t="s">
        <v>4</v>
      </c>
      <c r="F1015">
        <v>2478011</v>
      </c>
      <c r="G1015">
        <v>27053</v>
      </c>
      <c r="H1015">
        <v>173</v>
      </c>
      <c r="I1015">
        <v>2505237</v>
      </c>
      <c r="J1015">
        <v>52686</v>
      </c>
      <c r="K1015">
        <v>278</v>
      </c>
      <c r="L1015">
        <v>1465832</v>
      </c>
      <c r="M1015">
        <v>1518796</v>
      </c>
    </row>
    <row r="1016" spans="1:13">
      <c r="A1016">
        <v>1093</v>
      </c>
      <c r="B1016" s="331">
        <v>46162.838888888888</v>
      </c>
      <c r="C1016" t="s">
        <v>21</v>
      </c>
      <c r="D1016" t="s">
        <v>21</v>
      </c>
      <c r="E1016" t="s">
        <v>4</v>
      </c>
      <c r="F1016">
        <v>5703878</v>
      </c>
      <c r="G1016">
        <v>56681</v>
      </c>
      <c r="H1016">
        <v>641</v>
      </c>
      <c r="I1016">
        <v>5761200</v>
      </c>
      <c r="J1016">
        <v>105549</v>
      </c>
      <c r="K1016">
        <v>1191</v>
      </c>
      <c r="L1016">
        <v>3290069</v>
      </c>
      <c r="M1016">
        <v>3396809</v>
      </c>
    </row>
    <row r="1017" spans="1:13">
      <c r="A1017">
        <v>1094</v>
      </c>
      <c r="B1017" s="331">
        <v>46162.838888888888</v>
      </c>
      <c r="C1017" t="s">
        <v>106</v>
      </c>
      <c r="D1017" t="s">
        <v>106</v>
      </c>
      <c r="E1017" t="s">
        <v>4</v>
      </c>
      <c r="F1017">
        <v>2974967</v>
      </c>
      <c r="G1017">
        <v>39663</v>
      </c>
      <c r="H1017">
        <v>536</v>
      </c>
      <c r="I1017">
        <v>3015166</v>
      </c>
      <c r="J1017">
        <v>69317</v>
      </c>
      <c r="K1017">
        <v>911</v>
      </c>
      <c r="L1017">
        <v>1692120</v>
      </c>
      <c r="M1017">
        <v>1762348</v>
      </c>
    </row>
    <row r="1018" spans="1:13">
      <c r="A1018">
        <v>1095</v>
      </c>
      <c r="B1018" s="331">
        <v>46162.838888888888</v>
      </c>
      <c r="C1018" t="s">
        <v>336</v>
      </c>
      <c r="D1018" t="s">
        <v>336</v>
      </c>
      <c r="E1018" t="s">
        <v>4</v>
      </c>
      <c r="F1018">
        <v>726437</v>
      </c>
      <c r="G1018">
        <v>3471</v>
      </c>
      <c r="H1018">
        <v>0</v>
      </c>
      <c r="I1018">
        <v>729908</v>
      </c>
      <c r="J1018">
        <v>4971</v>
      </c>
      <c r="K1018">
        <v>0</v>
      </c>
      <c r="L1018">
        <v>430796</v>
      </c>
      <c r="M1018">
        <v>435767</v>
      </c>
    </row>
    <row r="1019" spans="1:13">
      <c r="A1019">
        <v>1096</v>
      </c>
      <c r="B1019" s="331">
        <v>46162.838888888888</v>
      </c>
      <c r="C1019" t="s">
        <v>345</v>
      </c>
      <c r="D1019" t="s">
        <v>345</v>
      </c>
      <c r="E1019" t="s">
        <v>4</v>
      </c>
      <c r="F1019">
        <v>2018496</v>
      </c>
      <c r="G1019">
        <v>27658</v>
      </c>
      <c r="H1019">
        <v>0</v>
      </c>
      <c r="I1019">
        <v>2046154</v>
      </c>
      <c r="J1019">
        <v>45463</v>
      </c>
      <c r="K1019">
        <v>0</v>
      </c>
      <c r="L1019">
        <v>1141773</v>
      </c>
      <c r="M1019">
        <v>1187236</v>
      </c>
    </row>
    <row r="1020" spans="1:13">
      <c r="A1020">
        <v>1097</v>
      </c>
      <c r="B1020" s="331">
        <v>46162.838888888888</v>
      </c>
      <c r="C1020" t="s">
        <v>29</v>
      </c>
      <c r="D1020" t="s">
        <v>29</v>
      </c>
      <c r="E1020" t="s">
        <v>4</v>
      </c>
      <c r="F1020">
        <v>2275164</v>
      </c>
      <c r="G1020">
        <v>23556</v>
      </c>
      <c r="H1020">
        <v>26</v>
      </c>
      <c r="I1020">
        <v>2298746</v>
      </c>
      <c r="J1020">
        <v>77182</v>
      </c>
      <c r="K1020">
        <v>110</v>
      </c>
      <c r="L1020">
        <v>1364611</v>
      </c>
      <c r="M1020">
        <v>1441903</v>
      </c>
    </row>
    <row r="1021" spans="1:13">
      <c r="A1021">
        <v>1098</v>
      </c>
      <c r="B1021" s="331">
        <v>46162.838888888888</v>
      </c>
      <c r="C1021" t="s">
        <v>691</v>
      </c>
      <c r="D1021" t="s">
        <v>691</v>
      </c>
      <c r="E1021" t="s">
        <v>4</v>
      </c>
      <c r="F1021">
        <v>1599407</v>
      </c>
      <c r="G1021">
        <v>15636</v>
      </c>
      <c r="H1021">
        <v>0</v>
      </c>
      <c r="I1021">
        <v>1615043</v>
      </c>
      <c r="J1021">
        <v>29640</v>
      </c>
      <c r="K1021">
        <v>0</v>
      </c>
      <c r="L1021">
        <v>946109</v>
      </c>
      <c r="M1021">
        <v>975749</v>
      </c>
    </row>
    <row r="1022" spans="1:13">
      <c r="A1022">
        <v>1099</v>
      </c>
      <c r="B1022" s="331">
        <v>46162.838888888888</v>
      </c>
      <c r="C1022" t="s">
        <v>22</v>
      </c>
      <c r="D1022" t="s">
        <v>22</v>
      </c>
      <c r="E1022" t="s">
        <v>4</v>
      </c>
      <c r="F1022">
        <v>2851566</v>
      </c>
      <c r="G1022">
        <v>36197</v>
      </c>
      <c r="H1022">
        <v>379</v>
      </c>
      <c r="I1022">
        <v>2888142</v>
      </c>
      <c r="J1022">
        <v>62523</v>
      </c>
      <c r="K1022">
        <v>670</v>
      </c>
      <c r="L1022">
        <v>1623114</v>
      </c>
      <c r="M1022">
        <v>1686307</v>
      </c>
    </row>
    <row r="1023" spans="1:13">
      <c r="A1023">
        <v>1100</v>
      </c>
      <c r="B1023" s="331">
        <v>46162.838888888888</v>
      </c>
      <c r="C1023" t="s">
        <v>689</v>
      </c>
      <c r="D1023" t="s">
        <v>689</v>
      </c>
      <c r="E1023" t="s">
        <v>4</v>
      </c>
      <c r="F1023">
        <v>1920778</v>
      </c>
      <c r="G1023">
        <v>17287</v>
      </c>
      <c r="H1023">
        <v>0</v>
      </c>
      <c r="I1023">
        <v>1938065</v>
      </c>
      <c r="J1023">
        <v>31256</v>
      </c>
      <c r="K1023">
        <v>0</v>
      </c>
      <c r="L1023">
        <v>1124984</v>
      </c>
      <c r="M1023">
        <v>1156240</v>
      </c>
    </row>
    <row r="1024" spans="1:13">
      <c r="A1024">
        <v>1101</v>
      </c>
      <c r="B1024" s="331">
        <v>46162.838888888888</v>
      </c>
      <c r="C1024" t="s">
        <v>17</v>
      </c>
      <c r="D1024" t="s">
        <v>17</v>
      </c>
      <c r="E1024" t="s">
        <v>4</v>
      </c>
      <c r="F1024">
        <v>3684811</v>
      </c>
      <c r="G1024">
        <v>47278</v>
      </c>
      <c r="H1024">
        <v>503</v>
      </c>
      <c r="I1024">
        <v>3732592</v>
      </c>
      <c r="J1024">
        <v>108658</v>
      </c>
      <c r="K1024">
        <v>975</v>
      </c>
      <c r="L1024">
        <v>2118266</v>
      </c>
      <c r="M1024">
        <v>2227899</v>
      </c>
    </row>
    <row r="1025" spans="1:13">
      <c r="A1025">
        <v>1103</v>
      </c>
      <c r="B1025" s="331">
        <v>46162.838888888888</v>
      </c>
      <c r="C1025" t="s">
        <v>108</v>
      </c>
      <c r="D1025" t="s">
        <v>108</v>
      </c>
      <c r="E1025" t="s">
        <v>4</v>
      </c>
      <c r="F1025">
        <v>4459514</v>
      </c>
      <c r="G1025">
        <v>49245</v>
      </c>
      <c r="H1025">
        <v>680</v>
      </c>
      <c r="I1025">
        <v>4509439</v>
      </c>
      <c r="J1025">
        <v>94114</v>
      </c>
      <c r="K1025">
        <v>1200</v>
      </c>
      <c r="L1025">
        <v>2573129</v>
      </c>
      <c r="M1025">
        <v>2668443</v>
      </c>
    </row>
    <row r="1026" spans="1:13">
      <c r="A1026">
        <v>1104</v>
      </c>
      <c r="B1026" s="331">
        <v>46162.838888888888</v>
      </c>
      <c r="C1026" t="s">
        <v>132</v>
      </c>
      <c r="D1026" t="s">
        <v>132</v>
      </c>
      <c r="E1026" t="s">
        <v>4</v>
      </c>
      <c r="F1026">
        <v>3875783</v>
      </c>
      <c r="G1026">
        <v>28617</v>
      </c>
      <c r="H1026">
        <v>20</v>
      </c>
      <c r="I1026">
        <v>3904420</v>
      </c>
      <c r="J1026">
        <v>58397</v>
      </c>
      <c r="K1026">
        <v>86</v>
      </c>
      <c r="L1026">
        <v>2299900</v>
      </c>
      <c r="M1026">
        <v>2358383</v>
      </c>
    </row>
    <row r="1027" spans="1:13">
      <c r="A1027">
        <v>1105</v>
      </c>
      <c r="B1027" s="331">
        <v>46162.838888888888</v>
      </c>
      <c r="C1027" t="s">
        <v>24</v>
      </c>
      <c r="D1027" t="s">
        <v>24</v>
      </c>
      <c r="E1027" t="s">
        <v>4</v>
      </c>
      <c r="F1027">
        <v>1881333</v>
      </c>
      <c r="G1027">
        <v>27845</v>
      </c>
      <c r="H1027">
        <v>156</v>
      </c>
      <c r="I1027">
        <v>1909334</v>
      </c>
      <c r="J1027">
        <v>56555</v>
      </c>
      <c r="K1027">
        <v>230</v>
      </c>
      <c r="L1027">
        <v>1124531</v>
      </c>
      <c r="M1027">
        <v>1181316</v>
      </c>
    </row>
    <row r="1028" spans="1:13">
      <c r="A1028">
        <v>1106</v>
      </c>
      <c r="B1028" s="331">
        <v>46162.838888888888</v>
      </c>
      <c r="C1028" t="s">
        <v>1133</v>
      </c>
      <c r="D1028" t="s">
        <v>1133</v>
      </c>
      <c r="E1028" t="s">
        <v>4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</row>
    <row r="1029" spans="1:13">
      <c r="A1029">
        <v>1107</v>
      </c>
      <c r="B1029" s="331">
        <v>46162.838888888888</v>
      </c>
      <c r="C1029" t="s">
        <v>20</v>
      </c>
      <c r="D1029" t="s">
        <v>20</v>
      </c>
      <c r="E1029" t="s">
        <v>4</v>
      </c>
      <c r="F1029">
        <v>6091591</v>
      </c>
      <c r="G1029">
        <v>61706</v>
      </c>
      <c r="H1029">
        <v>759</v>
      </c>
      <c r="I1029">
        <v>6154056</v>
      </c>
      <c r="J1029">
        <v>121539</v>
      </c>
      <c r="K1029">
        <v>1336</v>
      </c>
      <c r="L1029">
        <v>3473884</v>
      </c>
      <c r="M1029">
        <v>3596759</v>
      </c>
    </row>
    <row r="1030" spans="1:13">
      <c r="A1030">
        <v>1108</v>
      </c>
      <c r="B1030" s="331">
        <v>46162.838888888888</v>
      </c>
      <c r="C1030" t="s">
        <v>27</v>
      </c>
      <c r="D1030" t="s">
        <v>27</v>
      </c>
      <c r="E1030" t="s">
        <v>4</v>
      </c>
      <c r="F1030">
        <v>1817336</v>
      </c>
      <c r="G1030">
        <v>25101</v>
      </c>
      <c r="H1030">
        <v>168</v>
      </c>
      <c r="I1030">
        <v>1842605</v>
      </c>
      <c r="J1030">
        <v>52243</v>
      </c>
      <c r="K1030">
        <v>271</v>
      </c>
      <c r="L1030">
        <v>1088622</v>
      </c>
      <c r="M1030">
        <v>1141136</v>
      </c>
    </row>
    <row r="1031" spans="1:13">
      <c r="A1031">
        <v>1110</v>
      </c>
      <c r="B1031" s="331">
        <v>46162.838888888888</v>
      </c>
      <c r="C1031" t="s">
        <v>1111</v>
      </c>
      <c r="D1031" t="s">
        <v>1111</v>
      </c>
      <c r="E1031" t="s">
        <v>4</v>
      </c>
      <c r="F1031">
        <v>860046</v>
      </c>
      <c r="G1031">
        <v>6893</v>
      </c>
      <c r="H1031">
        <v>0</v>
      </c>
      <c r="I1031">
        <v>866939</v>
      </c>
      <c r="J1031">
        <v>13369</v>
      </c>
      <c r="K1031">
        <v>0</v>
      </c>
      <c r="L1031">
        <v>506820</v>
      </c>
      <c r="M1031">
        <v>520189</v>
      </c>
    </row>
    <row r="1032" spans="1:13">
      <c r="A1032">
        <v>1111</v>
      </c>
      <c r="B1032" s="331">
        <v>46162.838888888888</v>
      </c>
      <c r="C1032" t="s">
        <v>1112</v>
      </c>
      <c r="D1032" t="s">
        <v>1112</v>
      </c>
      <c r="E1032" t="s">
        <v>4</v>
      </c>
      <c r="F1032">
        <v>865738</v>
      </c>
      <c r="G1032">
        <v>6832</v>
      </c>
      <c r="H1032">
        <v>0</v>
      </c>
      <c r="I1032">
        <v>872570</v>
      </c>
      <c r="J1032">
        <v>13229</v>
      </c>
      <c r="K1032">
        <v>0</v>
      </c>
      <c r="L1032">
        <v>510319</v>
      </c>
      <c r="M1032">
        <v>523548</v>
      </c>
    </row>
    <row r="1033" spans="1:13">
      <c r="A1033">
        <v>1112</v>
      </c>
      <c r="B1033" s="331">
        <v>46162.838888888888</v>
      </c>
      <c r="C1033" t="s">
        <v>26</v>
      </c>
      <c r="D1033" t="s">
        <v>26</v>
      </c>
      <c r="E1033" t="s">
        <v>4</v>
      </c>
      <c r="F1033">
        <v>1901925</v>
      </c>
      <c r="G1033">
        <v>25479</v>
      </c>
      <c r="H1033">
        <v>149</v>
      </c>
      <c r="I1033">
        <v>1927553</v>
      </c>
      <c r="J1033">
        <v>55537</v>
      </c>
      <c r="K1033">
        <v>249</v>
      </c>
      <c r="L1033">
        <v>1142643</v>
      </c>
      <c r="M1033">
        <v>1198429</v>
      </c>
    </row>
    <row r="1034" spans="1:13">
      <c r="A1034">
        <v>1113</v>
      </c>
      <c r="B1034" s="331">
        <v>46162.838888888888</v>
      </c>
      <c r="C1034" t="s">
        <v>107</v>
      </c>
      <c r="D1034" t="s">
        <v>107</v>
      </c>
      <c r="E1034" t="s">
        <v>4</v>
      </c>
      <c r="F1034">
        <v>4494439</v>
      </c>
      <c r="G1034">
        <v>50453</v>
      </c>
      <c r="H1034">
        <v>655</v>
      </c>
      <c r="I1034">
        <v>4545547</v>
      </c>
      <c r="J1034">
        <v>96252</v>
      </c>
      <c r="K1034">
        <v>1133</v>
      </c>
      <c r="L1034">
        <v>2592540</v>
      </c>
      <c r="M1034">
        <v>2689925</v>
      </c>
    </row>
    <row r="1035" spans="1:13">
      <c r="A1035">
        <v>1114</v>
      </c>
      <c r="B1035" s="331">
        <v>46162.838888888888</v>
      </c>
      <c r="C1035" t="s">
        <v>131</v>
      </c>
      <c r="D1035" t="s">
        <v>131</v>
      </c>
      <c r="E1035" t="s">
        <v>4</v>
      </c>
      <c r="F1035">
        <v>3874108</v>
      </c>
      <c r="G1035">
        <v>29006</v>
      </c>
      <c r="H1035">
        <v>24</v>
      </c>
      <c r="I1035">
        <v>3903138</v>
      </c>
      <c r="J1035">
        <v>59485</v>
      </c>
      <c r="K1035">
        <v>110</v>
      </c>
      <c r="L1035">
        <v>2300875</v>
      </c>
      <c r="M1035">
        <v>2360470</v>
      </c>
    </row>
    <row r="1036" spans="1:13">
      <c r="A1036">
        <v>1115</v>
      </c>
      <c r="B1036" s="331">
        <v>46162.838888888888</v>
      </c>
      <c r="C1036" t="s">
        <v>35</v>
      </c>
      <c r="D1036" t="s">
        <v>35</v>
      </c>
      <c r="E1036" t="s">
        <v>4</v>
      </c>
      <c r="F1036">
        <v>3935948</v>
      </c>
      <c r="G1036">
        <v>27119</v>
      </c>
      <c r="H1036">
        <v>19</v>
      </c>
      <c r="I1036">
        <v>3963086</v>
      </c>
      <c r="J1036">
        <v>54816</v>
      </c>
      <c r="K1036">
        <v>83</v>
      </c>
      <c r="L1036">
        <v>2337426</v>
      </c>
      <c r="M1036">
        <v>2392325</v>
      </c>
    </row>
    <row r="1037" spans="1:13">
      <c r="A1037">
        <v>1116</v>
      </c>
      <c r="B1037" s="331">
        <v>46162.838888888888</v>
      </c>
      <c r="C1037" t="s">
        <v>346</v>
      </c>
      <c r="D1037" t="s">
        <v>346</v>
      </c>
      <c r="E1037" t="s">
        <v>4</v>
      </c>
      <c r="F1037">
        <v>2446966</v>
      </c>
      <c r="G1037">
        <v>30120</v>
      </c>
      <c r="H1037">
        <v>0</v>
      </c>
      <c r="I1037">
        <v>2477086</v>
      </c>
      <c r="J1037">
        <v>52122</v>
      </c>
      <c r="K1037">
        <v>0</v>
      </c>
      <c r="L1037">
        <v>1405262</v>
      </c>
      <c r="M1037">
        <v>1457384</v>
      </c>
    </row>
    <row r="1038" spans="1:13">
      <c r="A1038">
        <v>1117</v>
      </c>
      <c r="B1038" s="331">
        <v>46162.838888888888</v>
      </c>
      <c r="C1038" t="s">
        <v>33</v>
      </c>
      <c r="D1038" t="s">
        <v>33</v>
      </c>
      <c r="E1038" t="s">
        <v>4</v>
      </c>
      <c r="F1038">
        <v>3687995</v>
      </c>
      <c r="G1038">
        <v>26578</v>
      </c>
      <c r="H1038">
        <v>26</v>
      </c>
      <c r="I1038">
        <v>3714599</v>
      </c>
      <c r="J1038">
        <v>52052</v>
      </c>
      <c r="K1038">
        <v>124</v>
      </c>
      <c r="L1038">
        <v>2194031</v>
      </c>
      <c r="M1038">
        <v>2246207</v>
      </c>
    </row>
    <row r="1039" spans="1:13">
      <c r="A1039">
        <v>1118</v>
      </c>
      <c r="B1039" s="331">
        <v>46162.838888888888</v>
      </c>
      <c r="C1039" t="s">
        <v>32</v>
      </c>
      <c r="D1039" t="s">
        <v>32</v>
      </c>
      <c r="E1039" t="s">
        <v>4</v>
      </c>
      <c r="F1039">
        <v>3601396</v>
      </c>
      <c r="G1039">
        <v>26651</v>
      </c>
      <c r="H1039">
        <v>25</v>
      </c>
      <c r="I1039">
        <v>3628072</v>
      </c>
      <c r="J1039">
        <v>56733</v>
      </c>
      <c r="K1039">
        <v>100</v>
      </c>
      <c r="L1039">
        <v>2139846</v>
      </c>
      <c r="M1039">
        <v>2196679</v>
      </c>
    </row>
    <row r="1040" spans="1:13">
      <c r="A1040">
        <v>1119</v>
      </c>
      <c r="B1040" s="331">
        <v>46162.838888888888</v>
      </c>
      <c r="C1040" t="s">
        <v>690</v>
      </c>
      <c r="D1040" t="s">
        <v>690</v>
      </c>
      <c r="E1040" t="s">
        <v>4</v>
      </c>
      <c r="F1040">
        <v>1601564</v>
      </c>
      <c r="G1040">
        <v>15682</v>
      </c>
      <c r="H1040">
        <v>0</v>
      </c>
      <c r="I1040">
        <v>1617246</v>
      </c>
      <c r="J1040">
        <v>29757</v>
      </c>
      <c r="K1040">
        <v>0</v>
      </c>
      <c r="L1040">
        <v>947970</v>
      </c>
      <c r="M1040">
        <v>977727</v>
      </c>
    </row>
    <row r="1041" spans="1:13">
      <c r="A1041">
        <v>1121</v>
      </c>
      <c r="B1041" s="331">
        <v>46162.838888888888</v>
      </c>
      <c r="C1041" t="s">
        <v>1068</v>
      </c>
      <c r="D1041" t="s">
        <v>1068</v>
      </c>
      <c r="E1041" t="s">
        <v>4</v>
      </c>
      <c r="F1041">
        <v>615911</v>
      </c>
      <c r="G1041">
        <v>10517</v>
      </c>
      <c r="H1041">
        <v>0</v>
      </c>
      <c r="I1041">
        <v>626428</v>
      </c>
      <c r="J1041">
        <v>21513</v>
      </c>
      <c r="K1041">
        <v>0</v>
      </c>
      <c r="L1041">
        <v>373788</v>
      </c>
      <c r="M1041">
        <v>395301</v>
      </c>
    </row>
    <row r="1042" spans="1:13">
      <c r="A1042">
        <v>1122</v>
      </c>
      <c r="B1042" s="331">
        <v>46162.838888888888</v>
      </c>
      <c r="C1042" t="s">
        <v>16</v>
      </c>
      <c r="D1042" t="s">
        <v>16</v>
      </c>
      <c r="E1042" t="s">
        <v>4</v>
      </c>
      <c r="F1042">
        <v>3293996</v>
      </c>
      <c r="G1042">
        <v>43965</v>
      </c>
      <c r="H1042">
        <v>536</v>
      </c>
      <c r="I1042">
        <v>3338497</v>
      </c>
      <c r="J1042">
        <v>106787</v>
      </c>
      <c r="K1042">
        <v>1042</v>
      </c>
      <c r="L1042">
        <v>1911305</v>
      </c>
      <c r="M1042">
        <v>2019134</v>
      </c>
    </row>
    <row r="1043" spans="1:13">
      <c r="A1043">
        <v>1123</v>
      </c>
      <c r="B1043" s="331">
        <v>46162.838888888888</v>
      </c>
      <c r="C1043" t="s">
        <v>19</v>
      </c>
      <c r="D1043" t="s">
        <v>19</v>
      </c>
      <c r="E1043" t="s">
        <v>4</v>
      </c>
      <c r="F1043">
        <v>5458555</v>
      </c>
      <c r="G1043">
        <v>58272</v>
      </c>
      <c r="H1043">
        <v>710</v>
      </c>
      <c r="I1043">
        <v>5517537</v>
      </c>
      <c r="J1043">
        <v>115426</v>
      </c>
      <c r="K1043">
        <v>1256</v>
      </c>
      <c r="L1043">
        <v>3151659</v>
      </c>
      <c r="M1043">
        <v>3268341</v>
      </c>
    </row>
    <row r="1044" spans="1:13">
      <c r="A1044">
        <v>1124</v>
      </c>
      <c r="B1044" s="331">
        <v>46162.838888888888</v>
      </c>
      <c r="C1044" t="s">
        <v>18</v>
      </c>
      <c r="D1044" t="s">
        <v>18</v>
      </c>
      <c r="E1044" t="s">
        <v>4</v>
      </c>
      <c r="F1044">
        <v>5725352</v>
      </c>
      <c r="G1044">
        <v>60570</v>
      </c>
      <c r="H1044">
        <v>768</v>
      </c>
      <c r="I1044">
        <v>5786690</v>
      </c>
      <c r="J1044">
        <v>124449</v>
      </c>
      <c r="K1044">
        <v>1391</v>
      </c>
      <c r="L1044">
        <v>3308591</v>
      </c>
      <c r="M1044">
        <v>3434431</v>
      </c>
    </row>
    <row r="1045" spans="1:13">
      <c r="A1045">
        <v>1125</v>
      </c>
      <c r="B1045" s="331">
        <v>46162.838888888888</v>
      </c>
      <c r="C1045" t="s">
        <v>34</v>
      </c>
      <c r="D1045" t="s">
        <v>34</v>
      </c>
      <c r="E1045" t="s">
        <v>4</v>
      </c>
      <c r="F1045">
        <v>3816052</v>
      </c>
      <c r="G1045">
        <v>28493</v>
      </c>
      <c r="H1045">
        <v>24</v>
      </c>
      <c r="I1045">
        <v>3844569</v>
      </c>
      <c r="J1045">
        <v>62980</v>
      </c>
      <c r="K1045">
        <v>95</v>
      </c>
      <c r="L1045">
        <v>2280440</v>
      </c>
      <c r="M1045">
        <v>2343515</v>
      </c>
    </row>
    <row r="1046" spans="1:13">
      <c r="A1046">
        <v>1126</v>
      </c>
      <c r="B1046" s="331">
        <v>46162.838888888888</v>
      </c>
      <c r="C1046" t="s">
        <v>1067</v>
      </c>
      <c r="D1046" t="s">
        <v>1067</v>
      </c>
      <c r="E1046" t="s">
        <v>4</v>
      </c>
      <c r="F1046">
        <v>614313</v>
      </c>
      <c r="G1046">
        <v>10546</v>
      </c>
      <c r="H1046">
        <v>0</v>
      </c>
      <c r="I1046">
        <v>624859</v>
      </c>
      <c r="J1046">
        <v>21472</v>
      </c>
      <c r="K1046">
        <v>0</v>
      </c>
      <c r="L1046">
        <v>373194</v>
      </c>
      <c r="M1046">
        <v>394666</v>
      </c>
    </row>
    <row r="1047" spans="1:13">
      <c r="A1047">
        <v>1127</v>
      </c>
      <c r="B1047" s="331">
        <v>46162.837500000001</v>
      </c>
      <c r="C1047" t="s">
        <v>336</v>
      </c>
      <c r="D1047" t="s">
        <v>336</v>
      </c>
      <c r="E1047" t="s">
        <v>4</v>
      </c>
      <c r="F1047">
        <v>726362</v>
      </c>
      <c r="G1047">
        <v>3525</v>
      </c>
      <c r="H1047">
        <v>0</v>
      </c>
      <c r="I1047">
        <v>729887</v>
      </c>
      <c r="J1047">
        <v>5015</v>
      </c>
      <c r="K1047">
        <v>0</v>
      </c>
      <c r="L1047">
        <v>430739</v>
      </c>
      <c r="M1047">
        <v>435754</v>
      </c>
    </row>
    <row r="1048" spans="1:13">
      <c r="A1048">
        <v>1128</v>
      </c>
      <c r="B1048" s="331">
        <v>46162.837500000001</v>
      </c>
      <c r="C1048" t="s">
        <v>107</v>
      </c>
      <c r="D1048" t="s">
        <v>107</v>
      </c>
      <c r="E1048" t="s">
        <v>4</v>
      </c>
      <c r="F1048">
        <v>4493504</v>
      </c>
      <c r="G1048">
        <v>50593</v>
      </c>
      <c r="H1048">
        <v>659</v>
      </c>
      <c r="I1048">
        <v>4544756</v>
      </c>
      <c r="J1048">
        <v>96392</v>
      </c>
      <c r="K1048">
        <v>1136</v>
      </c>
      <c r="L1048">
        <v>2592218</v>
      </c>
      <c r="M1048">
        <v>2689746</v>
      </c>
    </row>
    <row r="1049" spans="1:13">
      <c r="A1049">
        <v>1129</v>
      </c>
      <c r="B1049" s="331">
        <v>46162.837500000001</v>
      </c>
      <c r="C1049" t="s">
        <v>19</v>
      </c>
      <c r="D1049" t="s">
        <v>19</v>
      </c>
      <c r="E1049" t="s">
        <v>4</v>
      </c>
      <c r="F1049">
        <v>5457587</v>
      </c>
      <c r="G1049">
        <v>58445</v>
      </c>
      <c r="H1049">
        <v>725</v>
      </c>
      <c r="I1049">
        <v>5516757</v>
      </c>
      <c r="J1049">
        <v>115516</v>
      </c>
      <c r="K1049">
        <v>1274</v>
      </c>
      <c r="L1049">
        <v>3151509</v>
      </c>
      <c r="M1049">
        <v>3268299</v>
      </c>
    </row>
    <row r="1050" spans="1:13">
      <c r="A1050">
        <v>1130</v>
      </c>
      <c r="B1050" s="331">
        <v>46162.837500000001</v>
      </c>
      <c r="C1050" t="s">
        <v>346</v>
      </c>
      <c r="D1050" t="s">
        <v>346</v>
      </c>
      <c r="E1050" t="s">
        <v>4</v>
      </c>
      <c r="F1050">
        <v>2446599</v>
      </c>
      <c r="G1050">
        <v>30155</v>
      </c>
      <c r="H1050">
        <v>0</v>
      </c>
      <c r="I1050">
        <v>2476754</v>
      </c>
      <c r="J1050">
        <v>52132</v>
      </c>
      <c r="K1050">
        <v>0</v>
      </c>
      <c r="L1050">
        <v>1405231</v>
      </c>
      <c r="M1050">
        <v>1457363</v>
      </c>
    </row>
    <row r="1051" spans="1:13">
      <c r="A1051">
        <v>1131</v>
      </c>
      <c r="B1051" s="331">
        <v>46162.837500000001</v>
      </c>
      <c r="C1051" t="s">
        <v>32</v>
      </c>
      <c r="D1051" t="s">
        <v>32</v>
      </c>
      <c r="E1051" t="s">
        <v>4</v>
      </c>
      <c r="F1051">
        <v>3601264</v>
      </c>
      <c r="G1051">
        <v>26804</v>
      </c>
      <c r="H1051">
        <v>26</v>
      </c>
      <c r="I1051">
        <v>3628094</v>
      </c>
      <c r="J1051">
        <v>56905</v>
      </c>
      <c r="K1051">
        <v>97</v>
      </c>
      <c r="L1051">
        <v>2139813</v>
      </c>
      <c r="M1051">
        <v>2196815</v>
      </c>
    </row>
    <row r="1052" spans="1:13">
      <c r="A1052">
        <v>1132</v>
      </c>
      <c r="B1052" s="331">
        <v>46162.837500000001</v>
      </c>
      <c r="C1052" t="s">
        <v>106</v>
      </c>
      <c r="D1052" t="s">
        <v>106</v>
      </c>
      <c r="E1052" t="s">
        <v>4</v>
      </c>
      <c r="F1052">
        <v>2974572</v>
      </c>
      <c r="G1052">
        <v>39677</v>
      </c>
      <c r="H1052">
        <v>540</v>
      </c>
      <c r="I1052">
        <v>3014789</v>
      </c>
      <c r="J1052">
        <v>69313</v>
      </c>
      <c r="K1052">
        <v>925</v>
      </c>
      <c r="L1052">
        <v>1692072</v>
      </c>
      <c r="M1052">
        <v>1762310</v>
      </c>
    </row>
    <row r="1053" spans="1:13">
      <c r="A1053">
        <v>1133</v>
      </c>
      <c r="B1053" s="331">
        <v>46162.837500000001</v>
      </c>
      <c r="C1053" t="s">
        <v>1111</v>
      </c>
      <c r="D1053" t="s">
        <v>1111</v>
      </c>
      <c r="E1053" t="s">
        <v>4</v>
      </c>
      <c r="F1053">
        <v>860308</v>
      </c>
      <c r="G1053">
        <v>6844</v>
      </c>
      <c r="H1053">
        <v>0</v>
      </c>
      <c r="I1053">
        <v>867152</v>
      </c>
      <c r="J1053">
        <v>13345</v>
      </c>
      <c r="K1053">
        <v>0</v>
      </c>
      <c r="L1053">
        <v>506931</v>
      </c>
      <c r="M1053">
        <v>520276</v>
      </c>
    </row>
    <row r="1054" spans="1:13">
      <c r="A1054">
        <v>1134</v>
      </c>
      <c r="B1054" s="331">
        <v>46162.837500000001</v>
      </c>
      <c r="C1054" t="s">
        <v>29</v>
      </c>
      <c r="D1054" t="s">
        <v>29</v>
      </c>
      <c r="E1054" t="s">
        <v>4</v>
      </c>
      <c r="F1054">
        <v>2275250</v>
      </c>
      <c r="G1054">
        <v>23577</v>
      </c>
      <c r="H1054">
        <v>25</v>
      </c>
      <c r="I1054">
        <v>2298852</v>
      </c>
      <c r="J1054">
        <v>77264</v>
      </c>
      <c r="K1054">
        <v>110</v>
      </c>
      <c r="L1054">
        <v>1364711</v>
      </c>
      <c r="M1054">
        <v>1442085</v>
      </c>
    </row>
    <row r="1055" spans="1:13">
      <c r="A1055">
        <v>1135</v>
      </c>
      <c r="B1055" s="331">
        <v>46162.837500000001</v>
      </c>
      <c r="C1055" t="s">
        <v>691</v>
      </c>
      <c r="D1055" t="s">
        <v>691</v>
      </c>
      <c r="E1055" t="s">
        <v>4</v>
      </c>
      <c r="F1055">
        <v>1599334</v>
      </c>
      <c r="G1055">
        <v>15653</v>
      </c>
      <c r="H1055">
        <v>0</v>
      </c>
      <c r="I1055">
        <v>1614987</v>
      </c>
      <c r="J1055">
        <v>29665</v>
      </c>
      <c r="K1055">
        <v>0</v>
      </c>
      <c r="L1055">
        <v>946176</v>
      </c>
      <c r="M1055">
        <v>975841</v>
      </c>
    </row>
    <row r="1056" spans="1:13">
      <c r="A1056">
        <v>1136</v>
      </c>
      <c r="B1056" s="331">
        <v>46162.837500000001</v>
      </c>
      <c r="C1056" t="s">
        <v>689</v>
      </c>
      <c r="D1056" t="s">
        <v>689</v>
      </c>
      <c r="E1056" t="s">
        <v>4</v>
      </c>
      <c r="F1056">
        <v>1920743</v>
      </c>
      <c r="G1056">
        <v>17274</v>
      </c>
      <c r="H1056">
        <v>0</v>
      </c>
      <c r="I1056">
        <v>1938017</v>
      </c>
      <c r="J1056">
        <v>31188</v>
      </c>
      <c r="K1056">
        <v>0</v>
      </c>
      <c r="L1056">
        <v>1125029</v>
      </c>
      <c r="M1056">
        <v>1156217</v>
      </c>
    </row>
    <row r="1057" spans="1:13">
      <c r="A1057">
        <v>1137</v>
      </c>
      <c r="B1057" s="331">
        <v>46162.837500000001</v>
      </c>
      <c r="C1057" t="s">
        <v>108</v>
      </c>
      <c r="D1057" t="s">
        <v>108</v>
      </c>
      <c r="E1057" t="s">
        <v>4</v>
      </c>
      <c r="F1057">
        <v>4459263</v>
      </c>
      <c r="G1057">
        <v>49246</v>
      </c>
      <c r="H1057">
        <v>670</v>
      </c>
      <c r="I1057">
        <v>4509179</v>
      </c>
      <c r="J1057">
        <v>94123</v>
      </c>
      <c r="K1057">
        <v>1190</v>
      </c>
      <c r="L1057">
        <v>2573235</v>
      </c>
      <c r="M1057">
        <v>2668548</v>
      </c>
    </row>
    <row r="1058" spans="1:13">
      <c r="A1058">
        <v>1138</v>
      </c>
      <c r="B1058" s="331">
        <v>46162.837500000001</v>
      </c>
      <c r="C1058" t="s">
        <v>132</v>
      </c>
      <c r="D1058" t="s">
        <v>132</v>
      </c>
      <c r="E1058" t="s">
        <v>4</v>
      </c>
      <c r="F1058">
        <v>3875856</v>
      </c>
      <c r="G1058">
        <v>28700</v>
      </c>
      <c r="H1058">
        <v>18</v>
      </c>
      <c r="I1058">
        <v>3904574</v>
      </c>
      <c r="J1058">
        <v>58409</v>
      </c>
      <c r="K1058">
        <v>87</v>
      </c>
      <c r="L1058">
        <v>2300033</v>
      </c>
      <c r="M1058">
        <v>2358529</v>
      </c>
    </row>
    <row r="1059" spans="1:13">
      <c r="A1059">
        <v>1139</v>
      </c>
      <c r="B1059" s="331">
        <v>46162.837500000001</v>
      </c>
      <c r="C1059" t="s">
        <v>18</v>
      </c>
      <c r="D1059" t="s">
        <v>18</v>
      </c>
      <c r="E1059" t="s">
        <v>4</v>
      </c>
      <c r="F1059">
        <v>5724069</v>
      </c>
      <c r="G1059">
        <v>60725</v>
      </c>
      <c r="H1059">
        <v>779</v>
      </c>
      <c r="I1059">
        <v>5785573</v>
      </c>
      <c r="J1059">
        <v>124580</v>
      </c>
      <c r="K1059">
        <v>1402</v>
      </c>
      <c r="L1059">
        <v>3308305</v>
      </c>
      <c r="M1059">
        <v>3434287</v>
      </c>
    </row>
    <row r="1060" spans="1:13">
      <c r="A1060">
        <v>1140</v>
      </c>
      <c r="B1060" s="331">
        <v>46162.837500000001</v>
      </c>
      <c r="C1060" t="s">
        <v>20</v>
      </c>
      <c r="D1060" t="s">
        <v>20</v>
      </c>
      <c r="E1060" t="s">
        <v>4</v>
      </c>
      <c r="F1060">
        <v>6090770</v>
      </c>
      <c r="G1060">
        <v>61880</v>
      </c>
      <c r="H1060">
        <v>760</v>
      </c>
      <c r="I1060">
        <v>6153410</v>
      </c>
      <c r="J1060">
        <v>121710</v>
      </c>
      <c r="K1060">
        <v>1329</v>
      </c>
      <c r="L1060">
        <v>3473808</v>
      </c>
      <c r="M1060">
        <v>3596847</v>
      </c>
    </row>
    <row r="1061" spans="1:13">
      <c r="A1061">
        <v>1141</v>
      </c>
      <c r="B1061" s="331">
        <v>46162.837500000001</v>
      </c>
      <c r="C1061" t="s">
        <v>1067</v>
      </c>
      <c r="D1061" t="s">
        <v>1067</v>
      </c>
      <c r="E1061" t="s">
        <v>4</v>
      </c>
      <c r="F1061">
        <v>614438</v>
      </c>
      <c r="G1061">
        <v>10481</v>
      </c>
      <c r="H1061">
        <v>0</v>
      </c>
      <c r="I1061">
        <v>624919</v>
      </c>
      <c r="J1061">
        <v>21404</v>
      </c>
      <c r="K1061">
        <v>0</v>
      </c>
      <c r="L1061">
        <v>373286</v>
      </c>
      <c r="M1061">
        <v>394690</v>
      </c>
    </row>
    <row r="1062" spans="1:13">
      <c r="A1062">
        <v>1142</v>
      </c>
      <c r="B1062" s="331">
        <v>46162.837500000001</v>
      </c>
      <c r="C1062" t="s">
        <v>1068</v>
      </c>
      <c r="D1062" t="s">
        <v>1068</v>
      </c>
      <c r="E1062" t="s">
        <v>4</v>
      </c>
      <c r="F1062">
        <v>615969</v>
      </c>
      <c r="G1062">
        <v>10486</v>
      </c>
      <c r="H1062">
        <v>0</v>
      </c>
      <c r="I1062">
        <v>626455</v>
      </c>
      <c r="J1062">
        <v>21417</v>
      </c>
      <c r="K1062">
        <v>0</v>
      </c>
      <c r="L1062">
        <v>373817</v>
      </c>
      <c r="M1062">
        <v>395234</v>
      </c>
    </row>
    <row r="1063" spans="1:13">
      <c r="A1063">
        <v>1144</v>
      </c>
      <c r="B1063" s="331">
        <v>46162.837500000001</v>
      </c>
      <c r="C1063" t="s">
        <v>22</v>
      </c>
      <c r="D1063" t="s">
        <v>22</v>
      </c>
      <c r="E1063" t="s">
        <v>4</v>
      </c>
      <c r="F1063">
        <v>2851250</v>
      </c>
      <c r="G1063">
        <v>36200</v>
      </c>
      <c r="H1063">
        <v>392</v>
      </c>
      <c r="I1063">
        <v>2887842</v>
      </c>
      <c r="J1063">
        <v>62394</v>
      </c>
      <c r="K1063">
        <v>686</v>
      </c>
      <c r="L1063">
        <v>1623098</v>
      </c>
      <c r="M1063">
        <v>1686178</v>
      </c>
    </row>
    <row r="1064" spans="1:13">
      <c r="A1064">
        <v>1145</v>
      </c>
      <c r="B1064" s="331">
        <v>46162.837500000001</v>
      </c>
      <c r="C1064" t="s">
        <v>35</v>
      </c>
      <c r="D1064" t="s">
        <v>35</v>
      </c>
      <c r="E1064" t="s">
        <v>4</v>
      </c>
      <c r="F1064">
        <v>3936243</v>
      </c>
      <c r="G1064">
        <v>26917</v>
      </c>
      <c r="H1064">
        <v>18</v>
      </c>
      <c r="I1064">
        <v>3963178</v>
      </c>
      <c r="J1064">
        <v>54704</v>
      </c>
      <c r="K1064">
        <v>80</v>
      </c>
      <c r="L1064">
        <v>2337564</v>
      </c>
      <c r="M1064">
        <v>2392348</v>
      </c>
    </row>
    <row r="1065" spans="1:13">
      <c r="A1065">
        <v>1146</v>
      </c>
      <c r="B1065" s="331">
        <v>46162.837500000001</v>
      </c>
      <c r="C1065" t="s">
        <v>1112</v>
      </c>
      <c r="D1065" t="s">
        <v>1112</v>
      </c>
      <c r="E1065" t="s">
        <v>4</v>
      </c>
      <c r="F1065">
        <v>865808</v>
      </c>
      <c r="G1065">
        <v>6803</v>
      </c>
      <c r="H1065">
        <v>0</v>
      </c>
      <c r="I1065">
        <v>872611</v>
      </c>
      <c r="J1065">
        <v>13195</v>
      </c>
      <c r="K1065">
        <v>0</v>
      </c>
      <c r="L1065">
        <v>510383</v>
      </c>
      <c r="M1065">
        <v>523578</v>
      </c>
    </row>
    <row r="1066" spans="1:13">
      <c r="A1066">
        <v>1147</v>
      </c>
      <c r="B1066" s="331">
        <v>46162.837500000001</v>
      </c>
      <c r="C1066" t="s">
        <v>345</v>
      </c>
      <c r="D1066" t="s">
        <v>345</v>
      </c>
      <c r="E1066" t="s">
        <v>4</v>
      </c>
      <c r="F1066">
        <v>2018351</v>
      </c>
      <c r="G1066">
        <v>27700</v>
      </c>
      <c r="H1066">
        <v>0</v>
      </c>
      <c r="I1066">
        <v>2046051</v>
      </c>
      <c r="J1066">
        <v>45474</v>
      </c>
      <c r="K1066">
        <v>0</v>
      </c>
      <c r="L1066">
        <v>1141711</v>
      </c>
      <c r="M1066">
        <v>1187185</v>
      </c>
    </row>
    <row r="1067" spans="1:13">
      <c r="A1067">
        <v>1148</v>
      </c>
      <c r="B1067" s="331">
        <v>46162.837500000001</v>
      </c>
      <c r="C1067" t="s">
        <v>31</v>
      </c>
      <c r="D1067" t="s">
        <v>31</v>
      </c>
      <c r="E1067" t="s">
        <v>4</v>
      </c>
      <c r="F1067">
        <v>2914113</v>
      </c>
      <c r="G1067">
        <v>23503</v>
      </c>
      <c r="H1067">
        <v>25</v>
      </c>
      <c r="I1067">
        <v>2937641</v>
      </c>
      <c r="J1067">
        <v>70996</v>
      </c>
      <c r="K1067">
        <v>96</v>
      </c>
      <c r="L1067">
        <v>1656186</v>
      </c>
      <c r="M1067">
        <v>1727278</v>
      </c>
    </row>
    <row r="1068" spans="1:13">
      <c r="A1068">
        <v>1149</v>
      </c>
      <c r="B1068" s="331">
        <v>46162.837500000001</v>
      </c>
      <c r="C1068" t="s">
        <v>27</v>
      </c>
      <c r="D1068" t="s">
        <v>27</v>
      </c>
      <c r="E1068" t="s">
        <v>4</v>
      </c>
      <c r="F1068">
        <v>1817358</v>
      </c>
      <c r="G1068">
        <v>25173</v>
      </c>
      <c r="H1068">
        <v>156</v>
      </c>
      <c r="I1068">
        <v>1842687</v>
      </c>
      <c r="J1068">
        <v>52292</v>
      </c>
      <c r="K1068">
        <v>262</v>
      </c>
      <c r="L1068">
        <v>1088650</v>
      </c>
      <c r="M1068">
        <v>1141204</v>
      </c>
    </row>
    <row r="1069" spans="1:13">
      <c r="A1069">
        <v>1150</v>
      </c>
      <c r="B1069" s="331">
        <v>46162.837500000001</v>
      </c>
      <c r="C1069" t="s">
        <v>690</v>
      </c>
      <c r="D1069" t="s">
        <v>690</v>
      </c>
      <c r="E1069" t="s">
        <v>4</v>
      </c>
      <c r="F1069">
        <v>1601534</v>
      </c>
      <c r="G1069">
        <v>15660</v>
      </c>
      <c r="H1069">
        <v>0</v>
      </c>
      <c r="I1069">
        <v>1617194</v>
      </c>
      <c r="J1069">
        <v>29730</v>
      </c>
      <c r="K1069">
        <v>0</v>
      </c>
      <c r="L1069">
        <v>948042</v>
      </c>
      <c r="M1069">
        <v>977772</v>
      </c>
    </row>
    <row r="1070" spans="1:13">
      <c r="A1070">
        <v>1151</v>
      </c>
      <c r="B1070" s="331">
        <v>46162.837500000001</v>
      </c>
      <c r="C1070" t="s">
        <v>105</v>
      </c>
      <c r="D1070" t="s">
        <v>105</v>
      </c>
      <c r="E1070" t="s">
        <v>4</v>
      </c>
      <c r="F1070">
        <v>2478135</v>
      </c>
      <c r="G1070">
        <v>27201</v>
      </c>
      <c r="H1070">
        <v>179</v>
      </c>
      <c r="I1070">
        <v>2505515</v>
      </c>
      <c r="J1070">
        <v>52805</v>
      </c>
      <c r="K1070">
        <v>279</v>
      </c>
      <c r="L1070">
        <v>1465916</v>
      </c>
      <c r="M1070">
        <v>1519000</v>
      </c>
    </row>
    <row r="1071" spans="1:13">
      <c r="A1071">
        <v>1152</v>
      </c>
      <c r="B1071" s="331">
        <v>46162.837500000001</v>
      </c>
      <c r="C1071" t="s">
        <v>1133</v>
      </c>
      <c r="D1071" t="s">
        <v>1133</v>
      </c>
      <c r="E1071" t="s">
        <v>4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</row>
    <row r="1072" spans="1:13">
      <c r="A1072">
        <v>1153</v>
      </c>
      <c r="B1072" s="331">
        <v>46162.837500000001</v>
      </c>
      <c r="C1072" t="s">
        <v>131</v>
      </c>
      <c r="D1072" t="s">
        <v>131</v>
      </c>
      <c r="E1072" t="s">
        <v>4</v>
      </c>
      <c r="F1072">
        <v>3874457</v>
      </c>
      <c r="G1072">
        <v>28867</v>
      </c>
      <c r="H1072">
        <v>23</v>
      </c>
      <c r="I1072">
        <v>3903347</v>
      </c>
      <c r="J1072">
        <v>59409</v>
      </c>
      <c r="K1072">
        <v>109</v>
      </c>
      <c r="L1072">
        <v>2300937</v>
      </c>
      <c r="M1072">
        <v>2360455</v>
      </c>
    </row>
    <row r="1073" spans="1:13">
      <c r="A1073">
        <v>1154</v>
      </c>
      <c r="B1073" s="331">
        <v>46162.837500000001</v>
      </c>
      <c r="C1073" t="s">
        <v>16</v>
      </c>
      <c r="D1073" t="s">
        <v>16</v>
      </c>
      <c r="E1073" t="s">
        <v>4</v>
      </c>
      <c r="F1073">
        <v>3293237</v>
      </c>
      <c r="G1073">
        <v>44144</v>
      </c>
      <c r="H1073">
        <v>545</v>
      </c>
      <c r="I1073">
        <v>3337926</v>
      </c>
      <c r="J1073">
        <v>106951</v>
      </c>
      <c r="K1073">
        <v>1035</v>
      </c>
      <c r="L1073">
        <v>1911110</v>
      </c>
      <c r="M1073">
        <v>2019096</v>
      </c>
    </row>
    <row r="1074" spans="1:13">
      <c r="A1074">
        <v>1155</v>
      </c>
      <c r="B1074" s="331">
        <v>46162.837500000001</v>
      </c>
      <c r="C1074" t="s">
        <v>26</v>
      </c>
      <c r="D1074" t="s">
        <v>26</v>
      </c>
      <c r="E1074" t="s">
        <v>4</v>
      </c>
      <c r="F1074">
        <v>1901866</v>
      </c>
      <c r="G1074">
        <v>25405</v>
      </c>
      <c r="H1074">
        <v>161</v>
      </c>
      <c r="I1074">
        <v>1927432</v>
      </c>
      <c r="J1074">
        <v>55528</v>
      </c>
      <c r="K1074">
        <v>256</v>
      </c>
      <c r="L1074">
        <v>1142709</v>
      </c>
      <c r="M1074">
        <v>1198493</v>
      </c>
    </row>
    <row r="1075" spans="1:13">
      <c r="A1075">
        <v>1157</v>
      </c>
      <c r="B1075" s="331">
        <v>46162.837500000001</v>
      </c>
      <c r="C1075" t="s">
        <v>33</v>
      </c>
      <c r="D1075" t="s">
        <v>33</v>
      </c>
      <c r="E1075" t="s">
        <v>4</v>
      </c>
      <c r="F1075">
        <v>3688284</v>
      </c>
      <c r="G1075">
        <v>26367</v>
      </c>
      <c r="H1075">
        <v>26</v>
      </c>
      <c r="I1075">
        <v>3714677</v>
      </c>
      <c r="J1075">
        <v>51894</v>
      </c>
      <c r="K1075">
        <v>121</v>
      </c>
      <c r="L1075">
        <v>2194221</v>
      </c>
      <c r="M1075">
        <v>2246236</v>
      </c>
    </row>
    <row r="1076" spans="1:13">
      <c r="A1076">
        <v>1158</v>
      </c>
      <c r="B1076" s="331">
        <v>46162.837500000001</v>
      </c>
      <c r="C1076" t="s">
        <v>17</v>
      </c>
      <c r="D1076" t="s">
        <v>17</v>
      </c>
      <c r="E1076" t="s">
        <v>4</v>
      </c>
      <c r="F1076">
        <v>3684148</v>
      </c>
      <c r="G1076">
        <v>47422</v>
      </c>
      <c r="H1076">
        <v>485</v>
      </c>
      <c r="I1076">
        <v>3732055</v>
      </c>
      <c r="J1076">
        <v>108696</v>
      </c>
      <c r="K1076">
        <v>956</v>
      </c>
      <c r="L1076">
        <v>2118208</v>
      </c>
      <c r="M1076">
        <v>2227860</v>
      </c>
    </row>
    <row r="1077" spans="1:13">
      <c r="A1077">
        <v>1159</v>
      </c>
      <c r="B1077" s="331">
        <v>46162.837500000001</v>
      </c>
      <c r="C1077" t="s">
        <v>24</v>
      </c>
      <c r="D1077" t="s">
        <v>24</v>
      </c>
      <c r="E1077" t="s">
        <v>4</v>
      </c>
      <c r="F1077">
        <v>1881129</v>
      </c>
      <c r="G1077">
        <v>27849</v>
      </c>
      <c r="H1077">
        <v>166</v>
      </c>
      <c r="I1077">
        <v>1909144</v>
      </c>
      <c r="J1077">
        <v>56603</v>
      </c>
      <c r="K1077">
        <v>235</v>
      </c>
      <c r="L1077">
        <v>1124520</v>
      </c>
      <c r="M1077">
        <v>1181358</v>
      </c>
    </row>
    <row r="1078" spans="1:13">
      <c r="A1078">
        <v>1161</v>
      </c>
      <c r="B1078" s="331">
        <v>46162.837500000001</v>
      </c>
      <c r="C1078" t="s">
        <v>21</v>
      </c>
      <c r="D1078" t="s">
        <v>21</v>
      </c>
      <c r="E1078" t="s">
        <v>4</v>
      </c>
      <c r="F1078">
        <v>5703097</v>
      </c>
      <c r="G1078">
        <v>56805</v>
      </c>
      <c r="H1078">
        <v>655</v>
      </c>
      <c r="I1078">
        <v>5760557</v>
      </c>
      <c r="J1078">
        <v>105629</v>
      </c>
      <c r="K1078">
        <v>1196</v>
      </c>
      <c r="L1078">
        <v>3289972</v>
      </c>
      <c r="M1078">
        <v>3396797</v>
      </c>
    </row>
    <row r="1079" spans="1:13">
      <c r="A1079">
        <v>1162</v>
      </c>
      <c r="B1079" s="331">
        <v>46162.837500000001</v>
      </c>
      <c r="C1079" t="s">
        <v>34</v>
      </c>
      <c r="D1079" t="s">
        <v>34</v>
      </c>
      <c r="E1079" t="s">
        <v>4</v>
      </c>
      <c r="F1079">
        <v>3816217</v>
      </c>
      <c r="G1079">
        <v>28495</v>
      </c>
      <c r="H1079">
        <v>25</v>
      </c>
      <c r="I1079">
        <v>3844737</v>
      </c>
      <c r="J1079">
        <v>62996</v>
      </c>
      <c r="K1079">
        <v>95</v>
      </c>
      <c r="L1079">
        <v>2280638</v>
      </c>
      <c r="M1079">
        <v>2343729</v>
      </c>
    </row>
    <row r="1080" spans="1:13">
      <c r="A1080">
        <v>1163</v>
      </c>
      <c r="B1080" s="331">
        <v>46162.836805555555</v>
      </c>
      <c r="C1080" t="s">
        <v>581</v>
      </c>
      <c r="D1080" t="s">
        <v>581</v>
      </c>
      <c r="E1080" t="s">
        <v>372</v>
      </c>
      <c r="L1080">
        <v>519346</v>
      </c>
      <c r="M1080">
        <v>519346</v>
      </c>
    </row>
    <row r="1081" spans="1:13">
      <c r="A1081">
        <v>1164</v>
      </c>
      <c r="B1081" s="331">
        <v>46162.836805555555</v>
      </c>
      <c r="C1081" t="s">
        <v>348</v>
      </c>
      <c r="D1081" t="s">
        <v>348</v>
      </c>
      <c r="E1081" t="s">
        <v>372</v>
      </c>
      <c r="L1081">
        <v>616768</v>
      </c>
      <c r="M1081">
        <v>616768</v>
      </c>
    </row>
    <row r="1082" spans="1:13">
      <c r="A1082">
        <v>1165</v>
      </c>
      <c r="B1082" s="331">
        <v>46162.836805555555</v>
      </c>
      <c r="C1082" t="s">
        <v>894</v>
      </c>
      <c r="D1082" t="s">
        <v>894</v>
      </c>
      <c r="E1082" t="s">
        <v>372</v>
      </c>
      <c r="L1082">
        <v>776967</v>
      </c>
      <c r="M1082">
        <v>776967</v>
      </c>
    </row>
    <row r="1083" spans="1:13">
      <c r="A1083">
        <v>1166</v>
      </c>
      <c r="B1083" s="331">
        <v>46162.836805555555</v>
      </c>
      <c r="C1083" t="s">
        <v>350</v>
      </c>
      <c r="D1083" t="s">
        <v>350</v>
      </c>
      <c r="E1083" t="s">
        <v>372</v>
      </c>
      <c r="L1083">
        <v>612071</v>
      </c>
      <c r="M1083">
        <v>612071</v>
      </c>
    </row>
    <row r="1084" spans="1:13">
      <c r="A1084">
        <v>1167</v>
      </c>
      <c r="B1084" s="331">
        <v>46162.836805555555</v>
      </c>
      <c r="C1084" t="s">
        <v>582</v>
      </c>
      <c r="D1084" t="s">
        <v>582</v>
      </c>
      <c r="E1084" t="s">
        <v>372</v>
      </c>
      <c r="L1084">
        <v>522494</v>
      </c>
      <c r="M1084">
        <v>522494</v>
      </c>
    </row>
    <row r="1085" spans="1:13">
      <c r="A1085">
        <v>1168</v>
      </c>
      <c r="B1085" s="331">
        <v>46162.836805555555</v>
      </c>
      <c r="C1085" t="s">
        <v>1125</v>
      </c>
      <c r="D1085" t="s">
        <v>1125</v>
      </c>
      <c r="E1085" t="s">
        <v>372</v>
      </c>
      <c r="L1085">
        <v>632552</v>
      </c>
      <c r="M1085">
        <v>632552</v>
      </c>
    </row>
    <row r="1086" spans="1:13">
      <c r="A1086">
        <v>1169</v>
      </c>
      <c r="B1086" s="331">
        <v>46162.836805555555</v>
      </c>
      <c r="C1086" t="s">
        <v>583</v>
      </c>
      <c r="D1086" t="s">
        <v>583</v>
      </c>
      <c r="E1086" t="s">
        <v>372</v>
      </c>
      <c r="L1086">
        <v>523278</v>
      </c>
      <c r="M1086">
        <v>523278</v>
      </c>
    </row>
    <row r="1087" spans="1:13">
      <c r="A1087">
        <v>1170</v>
      </c>
      <c r="B1087" s="331">
        <v>46162.836805555555</v>
      </c>
      <c r="C1087" t="s">
        <v>896</v>
      </c>
      <c r="D1087" t="s">
        <v>896</v>
      </c>
      <c r="E1087" t="s">
        <v>372</v>
      </c>
      <c r="L1087">
        <v>776530</v>
      </c>
      <c r="M1087">
        <v>776530</v>
      </c>
    </row>
    <row r="1088" spans="1:13">
      <c r="A1088">
        <v>1171</v>
      </c>
      <c r="B1088" s="331">
        <v>46162.836805555555</v>
      </c>
      <c r="C1088" t="s">
        <v>349</v>
      </c>
      <c r="D1088" t="s">
        <v>349</v>
      </c>
      <c r="E1088" t="s">
        <v>372</v>
      </c>
      <c r="L1088">
        <v>602212</v>
      </c>
      <c r="M1088">
        <v>602212</v>
      </c>
    </row>
    <row r="1089" spans="1:13">
      <c r="A1089">
        <v>1172</v>
      </c>
      <c r="B1089" s="331">
        <v>46162.836805555555</v>
      </c>
      <c r="C1089" t="s">
        <v>1080</v>
      </c>
      <c r="D1089" t="s">
        <v>1080</v>
      </c>
      <c r="E1089" t="s">
        <v>372</v>
      </c>
      <c r="L1089">
        <v>681526</v>
      </c>
      <c r="M1089">
        <v>681526</v>
      </c>
    </row>
    <row r="1090" spans="1:13">
      <c r="A1090">
        <v>1173</v>
      </c>
      <c r="B1090" s="331">
        <v>46162.836805555555</v>
      </c>
      <c r="C1090" t="s">
        <v>893</v>
      </c>
      <c r="D1090" t="s">
        <v>893</v>
      </c>
      <c r="E1090" t="s">
        <v>372</v>
      </c>
      <c r="L1090">
        <v>786159</v>
      </c>
      <c r="M1090">
        <v>786159</v>
      </c>
    </row>
    <row r="1091" spans="1:13">
      <c r="A1091">
        <v>1174</v>
      </c>
      <c r="B1091" s="331">
        <v>46162.836805555555</v>
      </c>
      <c r="C1091" t="s">
        <v>895</v>
      </c>
      <c r="D1091" t="s">
        <v>895</v>
      </c>
      <c r="E1091" t="s">
        <v>372</v>
      </c>
      <c r="L1091">
        <v>777998</v>
      </c>
      <c r="M1091">
        <v>777998</v>
      </c>
    </row>
    <row r="1092" spans="1:13">
      <c r="A1092">
        <v>1175</v>
      </c>
      <c r="B1092" s="331">
        <v>46162.836805555555</v>
      </c>
      <c r="C1092" t="s">
        <v>1081</v>
      </c>
      <c r="D1092" t="s">
        <v>1081</v>
      </c>
      <c r="E1092" t="s">
        <v>372</v>
      </c>
      <c r="L1092">
        <v>645686</v>
      </c>
      <c r="M1092">
        <v>645686</v>
      </c>
    </row>
    <row r="1093" spans="1:13">
      <c r="A1093">
        <v>1176</v>
      </c>
      <c r="B1093" s="331">
        <v>46162.836805555555</v>
      </c>
      <c r="C1093" t="s">
        <v>580</v>
      </c>
      <c r="D1093" t="s">
        <v>580</v>
      </c>
      <c r="E1093" t="s">
        <v>372</v>
      </c>
      <c r="L1093">
        <v>552554</v>
      </c>
      <c r="M1093">
        <v>552554</v>
      </c>
    </row>
    <row r="1094" spans="1:13">
      <c r="A1094">
        <v>1177</v>
      </c>
      <c r="B1094" s="331">
        <v>46162.836111111108</v>
      </c>
      <c r="C1094" t="s">
        <v>19</v>
      </c>
      <c r="D1094" t="s">
        <v>19</v>
      </c>
      <c r="E1094" t="s">
        <v>4</v>
      </c>
      <c r="F1094">
        <v>5456353</v>
      </c>
      <c r="G1094">
        <v>58721</v>
      </c>
      <c r="H1094">
        <v>734</v>
      </c>
      <c r="I1094">
        <v>5515808</v>
      </c>
      <c r="J1094">
        <v>115753</v>
      </c>
      <c r="K1094">
        <v>1291</v>
      </c>
      <c r="L1094">
        <v>3151117</v>
      </c>
      <c r="M1094">
        <v>3268161</v>
      </c>
    </row>
    <row r="1095" spans="1:13">
      <c r="A1095">
        <v>1178</v>
      </c>
      <c r="B1095" s="331">
        <v>46162.836111111108</v>
      </c>
      <c r="C1095" t="s">
        <v>1111</v>
      </c>
      <c r="D1095" t="s">
        <v>1111</v>
      </c>
      <c r="E1095" t="s">
        <v>4</v>
      </c>
      <c r="F1095">
        <v>860049</v>
      </c>
      <c r="G1095">
        <v>6928</v>
      </c>
      <c r="H1095">
        <v>0</v>
      </c>
      <c r="I1095">
        <v>866977</v>
      </c>
      <c r="J1095">
        <v>13406</v>
      </c>
      <c r="K1095">
        <v>0</v>
      </c>
      <c r="L1095">
        <v>506836</v>
      </c>
      <c r="M1095">
        <v>520242</v>
      </c>
    </row>
    <row r="1096" spans="1:13">
      <c r="A1096">
        <v>1179</v>
      </c>
      <c r="B1096" s="331">
        <v>46162.836111111108</v>
      </c>
      <c r="C1096" t="s">
        <v>690</v>
      </c>
      <c r="D1096" t="s">
        <v>690</v>
      </c>
      <c r="E1096" t="s">
        <v>4</v>
      </c>
      <c r="F1096">
        <v>1601224</v>
      </c>
      <c r="G1096">
        <v>15720</v>
      </c>
      <c r="H1096">
        <v>0</v>
      </c>
      <c r="I1096">
        <v>1616944</v>
      </c>
      <c r="J1096">
        <v>29780</v>
      </c>
      <c r="K1096">
        <v>0</v>
      </c>
      <c r="L1096">
        <v>947996</v>
      </c>
      <c r="M1096">
        <v>977776</v>
      </c>
    </row>
    <row r="1097" spans="1:13">
      <c r="A1097">
        <v>1181</v>
      </c>
      <c r="B1097" s="331">
        <v>46162.836111111108</v>
      </c>
      <c r="C1097" t="s">
        <v>31</v>
      </c>
      <c r="D1097" t="s">
        <v>31</v>
      </c>
      <c r="E1097" t="s">
        <v>4</v>
      </c>
      <c r="F1097">
        <v>2914122</v>
      </c>
      <c r="G1097">
        <v>23539</v>
      </c>
      <c r="H1097">
        <v>24</v>
      </c>
      <c r="I1097">
        <v>2937685</v>
      </c>
      <c r="J1097">
        <v>71071</v>
      </c>
      <c r="K1097">
        <v>96</v>
      </c>
      <c r="L1097">
        <v>1656183</v>
      </c>
      <c r="M1097">
        <v>1727350</v>
      </c>
    </row>
    <row r="1098" spans="1:13">
      <c r="A1098">
        <v>1182</v>
      </c>
      <c r="B1098" s="331">
        <v>46162.836111111108</v>
      </c>
      <c r="C1098" t="s">
        <v>336</v>
      </c>
      <c r="D1098" t="s">
        <v>336</v>
      </c>
      <c r="E1098" t="s">
        <v>4</v>
      </c>
      <c r="F1098">
        <v>726384</v>
      </c>
      <c r="G1098">
        <v>3514</v>
      </c>
      <c r="H1098">
        <v>0</v>
      </c>
      <c r="I1098">
        <v>729898</v>
      </c>
      <c r="J1098">
        <v>5037</v>
      </c>
      <c r="K1098">
        <v>0</v>
      </c>
      <c r="L1098">
        <v>430779</v>
      </c>
      <c r="M1098">
        <v>435816</v>
      </c>
    </row>
    <row r="1099" spans="1:13">
      <c r="A1099">
        <v>1183</v>
      </c>
      <c r="B1099" s="331">
        <v>46162.836111111108</v>
      </c>
      <c r="C1099" t="s">
        <v>22</v>
      </c>
      <c r="D1099" t="s">
        <v>22</v>
      </c>
      <c r="E1099" t="s">
        <v>4</v>
      </c>
      <c r="F1099">
        <v>2850549</v>
      </c>
      <c r="G1099">
        <v>36513</v>
      </c>
      <c r="H1099">
        <v>390</v>
      </c>
      <c r="I1099">
        <v>2887452</v>
      </c>
      <c r="J1099">
        <v>62634</v>
      </c>
      <c r="K1099">
        <v>682</v>
      </c>
      <c r="L1099">
        <v>1622877</v>
      </c>
      <c r="M1099">
        <v>1686193</v>
      </c>
    </row>
    <row r="1100" spans="1:13">
      <c r="A1100">
        <v>1184</v>
      </c>
      <c r="B1100" s="331">
        <v>46162.836111111108</v>
      </c>
      <c r="C1100" t="s">
        <v>105</v>
      </c>
      <c r="D1100" t="s">
        <v>105</v>
      </c>
      <c r="E1100" t="s">
        <v>4</v>
      </c>
      <c r="F1100">
        <v>2478290</v>
      </c>
      <c r="G1100">
        <v>27089</v>
      </c>
      <c r="H1100">
        <v>195</v>
      </c>
      <c r="I1100">
        <v>2505574</v>
      </c>
      <c r="J1100">
        <v>52710</v>
      </c>
      <c r="K1100">
        <v>296</v>
      </c>
      <c r="L1100">
        <v>1465995</v>
      </c>
      <c r="M1100">
        <v>1519001</v>
      </c>
    </row>
    <row r="1101" spans="1:13">
      <c r="A1101">
        <v>1185</v>
      </c>
      <c r="B1101" s="331">
        <v>46162.836111111108</v>
      </c>
      <c r="C1101" t="s">
        <v>21</v>
      </c>
      <c r="D1101" t="s">
        <v>21</v>
      </c>
      <c r="E1101" t="s">
        <v>4</v>
      </c>
      <c r="F1101">
        <v>5701642</v>
      </c>
      <c r="G1101">
        <v>57138</v>
      </c>
      <c r="H1101">
        <v>657</v>
      </c>
      <c r="I1101">
        <v>5759437</v>
      </c>
      <c r="J1101">
        <v>105966</v>
      </c>
      <c r="K1101">
        <v>1197</v>
      </c>
      <c r="L1101">
        <v>3289505</v>
      </c>
      <c r="M1101">
        <v>3396668</v>
      </c>
    </row>
    <row r="1102" spans="1:13">
      <c r="A1102">
        <v>1186</v>
      </c>
      <c r="B1102" s="331">
        <v>46162.836111111108</v>
      </c>
      <c r="C1102" t="s">
        <v>34</v>
      </c>
      <c r="D1102" t="s">
        <v>34</v>
      </c>
      <c r="E1102" t="s">
        <v>4</v>
      </c>
      <c r="F1102">
        <v>3816145</v>
      </c>
      <c r="G1102">
        <v>28587</v>
      </c>
      <c r="H1102">
        <v>25</v>
      </c>
      <c r="I1102">
        <v>3844757</v>
      </c>
      <c r="J1102">
        <v>63052</v>
      </c>
      <c r="K1102">
        <v>97</v>
      </c>
      <c r="L1102">
        <v>2280660</v>
      </c>
      <c r="M1102">
        <v>2343809</v>
      </c>
    </row>
    <row r="1103" spans="1:13">
      <c r="A1103">
        <v>1187</v>
      </c>
      <c r="B1103" s="331">
        <v>46162.836111111108</v>
      </c>
      <c r="C1103" t="s">
        <v>108</v>
      </c>
      <c r="D1103" t="s">
        <v>108</v>
      </c>
      <c r="E1103" t="s">
        <v>4</v>
      </c>
      <c r="F1103">
        <v>4457920</v>
      </c>
      <c r="G1103">
        <v>49464</v>
      </c>
      <c r="H1103">
        <v>659</v>
      </c>
      <c r="I1103">
        <v>4508043</v>
      </c>
      <c r="J1103">
        <v>94381</v>
      </c>
      <c r="K1103">
        <v>1174</v>
      </c>
      <c r="L1103">
        <v>2572814</v>
      </c>
      <c r="M1103">
        <v>2668369</v>
      </c>
    </row>
    <row r="1104" spans="1:13">
      <c r="A1104">
        <v>1188</v>
      </c>
      <c r="B1104" s="331">
        <v>46162.836111111108</v>
      </c>
      <c r="C1104" t="s">
        <v>691</v>
      </c>
      <c r="D1104" t="s">
        <v>691</v>
      </c>
      <c r="E1104" t="s">
        <v>4</v>
      </c>
      <c r="F1104">
        <v>1599098</v>
      </c>
      <c r="G1104">
        <v>15562</v>
      </c>
      <c r="H1104">
        <v>0</v>
      </c>
      <c r="I1104">
        <v>1614660</v>
      </c>
      <c r="J1104">
        <v>29552</v>
      </c>
      <c r="K1104">
        <v>0</v>
      </c>
      <c r="L1104">
        <v>946130</v>
      </c>
      <c r="M1104">
        <v>975682</v>
      </c>
    </row>
    <row r="1105" spans="1:13">
      <c r="A1105">
        <v>1190</v>
      </c>
      <c r="B1105" s="331">
        <v>46162.836111111108</v>
      </c>
      <c r="C1105" t="s">
        <v>24</v>
      </c>
      <c r="D1105" t="s">
        <v>24</v>
      </c>
      <c r="E1105" t="s">
        <v>4</v>
      </c>
      <c r="F1105">
        <v>1881089</v>
      </c>
      <c r="G1105">
        <v>27972</v>
      </c>
      <c r="H1105">
        <v>157</v>
      </c>
      <c r="I1105">
        <v>1909218</v>
      </c>
      <c r="J1105">
        <v>56640</v>
      </c>
      <c r="K1105">
        <v>227</v>
      </c>
      <c r="L1105">
        <v>1124525</v>
      </c>
      <c r="M1105">
        <v>1181392</v>
      </c>
    </row>
    <row r="1106" spans="1:13">
      <c r="A1106">
        <v>1191</v>
      </c>
      <c r="B1106" s="331">
        <v>46162.836111111108</v>
      </c>
      <c r="C1106" t="s">
        <v>132</v>
      </c>
      <c r="D1106" t="s">
        <v>132</v>
      </c>
      <c r="E1106" t="s">
        <v>4</v>
      </c>
      <c r="F1106">
        <v>3875853</v>
      </c>
      <c r="G1106">
        <v>28795</v>
      </c>
      <c r="H1106">
        <v>19</v>
      </c>
      <c r="I1106">
        <v>3904667</v>
      </c>
      <c r="J1106">
        <v>58501</v>
      </c>
      <c r="K1106">
        <v>86</v>
      </c>
      <c r="L1106">
        <v>2300055</v>
      </c>
      <c r="M1106">
        <v>2358642</v>
      </c>
    </row>
    <row r="1107" spans="1:13">
      <c r="A1107">
        <v>1192</v>
      </c>
      <c r="B1107" s="331">
        <v>46162.836111111108</v>
      </c>
      <c r="C1107" t="s">
        <v>107</v>
      </c>
      <c r="D1107" t="s">
        <v>107</v>
      </c>
      <c r="E1107" t="s">
        <v>4</v>
      </c>
      <c r="F1107">
        <v>4492551</v>
      </c>
      <c r="G1107">
        <v>50752</v>
      </c>
      <c r="H1107">
        <v>675</v>
      </c>
      <c r="I1107">
        <v>4543978</v>
      </c>
      <c r="J1107">
        <v>96481</v>
      </c>
      <c r="K1107">
        <v>1156</v>
      </c>
      <c r="L1107">
        <v>2591955</v>
      </c>
      <c r="M1107">
        <v>2689592</v>
      </c>
    </row>
    <row r="1108" spans="1:13">
      <c r="A1108">
        <v>1193</v>
      </c>
      <c r="B1108" s="331">
        <v>46162.836111111108</v>
      </c>
      <c r="C1108" t="s">
        <v>33</v>
      </c>
      <c r="D1108" t="s">
        <v>33</v>
      </c>
      <c r="E1108" t="s">
        <v>4</v>
      </c>
      <c r="F1108">
        <v>3688186</v>
      </c>
      <c r="G1108">
        <v>26386</v>
      </c>
      <c r="H1108">
        <v>25</v>
      </c>
      <c r="I1108">
        <v>3714597</v>
      </c>
      <c r="J1108">
        <v>52015</v>
      </c>
      <c r="K1108">
        <v>122</v>
      </c>
      <c r="L1108">
        <v>2194197</v>
      </c>
      <c r="M1108">
        <v>2246334</v>
      </c>
    </row>
    <row r="1109" spans="1:13">
      <c r="A1109">
        <v>1194</v>
      </c>
      <c r="B1109" s="331">
        <v>46162.836111111108</v>
      </c>
      <c r="C1109" t="s">
        <v>18</v>
      </c>
      <c r="D1109" t="s">
        <v>18</v>
      </c>
      <c r="E1109" t="s">
        <v>4</v>
      </c>
      <c r="F1109">
        <v>5722966</v>
      </c>
      <c r="G1109">
        <v>60873</v>
      </c>
      <c r="H1109">
        <v>781</v>
      </c>
      <c r="I1109">
        <v>5784620</v>
      </c>
      <c r="J1109">
        <v>124692</v>
      </c>
      <c r="K1109">
        <v>1404</v>
      </c>
      <c r="L1109">
        <v>3308024</v>
      </c>
      <c r="M1109">
        <v>3434120</v>
      </c>
    </row>
    <row r="1110" spans="1:13">
      <c r="A1110">
        <v>1195</v>
      </c>
      <c r="B1110" s="331">
        <v>46162.836111111108</v>
      </c>
      <c r="C1110" t="s">
        <v>689</v>
      </c>
      <c r="D1110" t="s">
        <v>689</v>
      </c>
      <c r="E1110" t="s">
        <v>4</v>
      </c>
      <c r="F1110">
        <v>1920426</v>
      </c>
      <c r="G1110">
        <v>17422</v>
      </c>
      <c r="H1110">
        <v>0</v>
      </c>
      <c r="I1110">
        <v>1937848</v>
      </c>
      <c r="J1110">
        <v>31297</v>
      </c>
      <c r="K1110">
        <v>0</v>
      </c>
      <c r="L1110">
        <v>1124835</v>
      </c>
      <c r="M1110">
        <v>1156132</v>
      </c>
    </row>
    <row r="1111" spans="1:13">
      <c r="A1111">
        <v>1196</v>
      </c>
      <c r="B1111" s="331">
        <v>46162.836111111108</v>
      </c>
      <c r="C1111" t="s">
        <v>17</v>
      </c>
      <c r="D1111" t="s">
        <v>17</v>
      </c>
      <c r="E1111" t="s">
        <v>4</v>
      </c>
      <c r="F1111">
        <v>3683297</v>
      </c>
      <c r="G1111">
        <v>47541</v>
      </c>
      <c r="H1111">
        <v>505</v>
      </c>
      <c r="I1111">
        <v>3731343</v>
      </c>
      <c r="J1111">
        <v>108802</v>
      </c>
      <c r="K1111">
        <v>979</v>
      </c>
      <c r="L1111">
        <v>2117969</v>
      </c>
      <c r="M1111">
        <v>2227750</v>
      </c>
    </row>
    <row r="1112" spans="1:13">
      <c r="A1112">
        <v>1197</v>
      </c>
      <c r="B1112" s="331">
        <v>46162.836111111108</v>
      </c>
      <c r="C1112" t="s">
        <v>29</v>
      </c>
      <c r="D1112" t="s">
        <v>29</v>
      </c>
      <c r="E1112" t="s">
        <v>4</v>
      </c>
      <c r="F1112">
        <v>2275146</v>
      </c>
      <c r="G1112">
        <v>23582</v>
      </c>
      <c r="H1112">
        <v>25</v>
      </c>
      <c r="I1112">
        <v>2298753</v>
      </c>
      <c r="J1112">
        <v>77257</v>
      </c>
      <c r="K1112">
        <v>110</v>
      </c>
      <c r="L1112">
        <v>1364717</v>
      </c>
      <c r="M1112">
        <v>1442084</v>
      </c>
    </row>
    <row r="1113" spans="1:13">
      <c r="A1113">
        <v>1198</v>
      </c>
      <c r="B1113" s="331">
        <v>46162.836111111108</v>
      </c>
      <c r="C1113" t="s">
        <v>20</v>
      </c>
      <c r="D1113" t="s">
        <v>20</v>
      </c>
      <c r="E1113" t="s">
        <v>4</v>
      </c>
      <c r="F1113">
        <v>6089525</v>
      </c>
      <c r="G1113">
        <v>62115</v>
      </c>
      <c r="H1113">
        <v>755</v>
      </c>
      <c r="I1113">
        <v>6152395</v>
      </c>
      <c r="J1113">
        <v>121859</v>
      </c>
      <c r="K1113">
        <v>1332</v>
      </c>
      <c r="L1113">
        <v>3473492</v>
      </c>
      <c r="M1113">
        <v>3596683</v>
      </c>
    </row>
    <row r="1114" spans="1:13">
      <c r="A1114">
        <v>1199</v>
      </c>
      <c r="B1114" s="331">
        <v>46162.836111111108</v>
      </c>
      <c r="C1114" t="s">
        <v>1068</v>
      </c>
      <c r="D1114" t="s">
        <v>1068</v>
      </c>
      <c r="E1114" t="s">
        <v>4</v>
      </c>
      <c r="F1114">
        <v>615928</v>
      </c>
      <c r="G1114">
        <v>10426</v>
      </c>
      <c r="H1114">
        <v>0</v>
      </c>
      <c r="I1114">
        <v>626354</v>
      </c>
      <c r="J1114">
        <v>21326</v>
      </c>
      <c r="K1114">
        <v>0</v>
      </c>
      <c r="L1114">
        <v>373771</v>
      </c>
      <c r="M1114">
        <v>395097</v>
      </c>
    </row>
    <row r="1115" spans="1:13">
      <c r="A1115">
        <v>1200</v>
      </c>
      <c r="B1115" s="331">
        <v>46162.836111111108</v>
      </c>
      <c r="C1115" t="s">
        <v>131</v>
      </c>
      <c r="D1115" t="s">
        <v>131</v>
      </c>
      <c r="E1115" t="s">
        <v>4</v>
      </c>
      <c r="F1115">
        <v>3874240</v>
      </c>
      <c r="G1115">
        <v>29065</v>
      </c>
      <c r="H1115">
        <v>24</v>
      </c>
      <c r="I1115">
        <v>3903329</v>
      </c>
      <c r="J1115">
        <v>59571</v>
      </c>
      <c r="K1115">
        <v>107</v>
      </c>
      <c r="L1115">
        <v>2300900</v>
      </c>
      <c r="M1115">
        <v>2360578</v>
      </c>
    </row>
    <row r="1116" spans="1:13">
      <c r="A1116">
        <v>1202</v>
      </c>
      <c r="B1116" s="331">
        <v>46162.836111111108</v>
      </c>
      <c r="C1116" t="s">
        <v>26</v>
      </c>
      <c r="D1116" t="s">
        <v>26</v>
      </c>
      <c r="E1116" t="s">
        <v>4</v>
      </c>
      <c r="F1116">
        <v>1901879</v>
      </c>
      <c r="G1116">
        <v>25459</v>
      </c>
      <c r="H1116">
        <v>161</v>
      </c>
      <c r="I1116">
        <v>1927499</v>
      </c>
      <c r="J1116">
        <v>55485</v>
      </c>
      <c r="K1116">
        <v>256</v>
      </c>
      <c r="L1116">
        <v>1142737</v>
      </c>
      <c r="M1116">
        <v>1198478</v>
      </c>
    </row>
    <row r="1117" spans="1:13">
      <c r="A1117">
        <v>1203</v>
      </c>
      <c r="B1117" s="331">
        <v>46162.836111111108</v>
      </c>
      <c r="C1117" t="s">
        <v>345</v>
      </c>
      <c r="D1117" t="s">
        <v>345</v>
      </c>
      <c r="E1117" t="s">
        <v>4</v>
      </c>
      <c r="F1117">
        <v>2017653</v>
      </c>
      <c r="G1117">
        <v>27818</v>
      </c>
      <c r="H1117">
        <v>0</v>
      </c>
      <c r="I1117">
        <v>2045471</v>
      </c>
      <c r="J1117">
        <v>45610</v>
      </c>
      <c r="K1117">
        <v>0</v>
      </c>
      <c r="L1117">
        <v>1141524</v>
      </c>
      <c r="M1117">
        <v>1187134</v>
      </c>
    </row>
    <row r="1118" spans="1:13">
      <c r="A1118">
        <v>1204</v>
      </c>
      <c r="B1118" s="331">
        <v>46162.836111111108</v>
      </c>
      <c r="C1118" t="s">
        <v>1133</v>
      </c>
      <c r="D1118" t="s">
        <v>1133</v>
      </c>
      <c r="E1118" t="s">
        <v>4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</row>
    <row r="1119" spans="1:13">
      <c r="A1119">
        <v>1205</v>
      </c>
      <c r="B1119" s="331">
        <v>46162.836111111108</v>
      </c>
      <c r="C1119" t="s">
        <v>1112</v>
      </c>
      <c r="D1119" t="s">
        <v>1112</v>
      </c>
      <c r="E1119" t="s">
        <v>4</v>
      </c>
      <c r="F1119">
        <v>865677</v>
      </c>
      <c r="G1119">
        <v>6746</v>
      </c>
      <c r="H1119">
        <v>0</v>
      </c>
      <c r="I1119">
        <v>872423</v>
      </c>
      <c r="J1119">
        <v>13170</v>
      </c>
      <c r="K1119">
        <v>0</v>
      </c>
      <c r="L1119">
        <v>510330</v>
      </c>
      <c r="M1119">
        <v>523500</v>
      </c>
    </row>
    <row r="1120" spans="1:13">
      <c r="A1120">
        <v>1206</v>
      </c>
      <c r="B1120" s="331">
        <v>46162.836111111108</v>
      </c>
      <c r="C1120" t="s">
        <v>16</v>
      </c>
      <c r="D1120" t="s">
        <v>16</v>
      </c>
      <c r="E1120" t="s">
        <v>4</v>
      </c>
      <c r="F1120">
        <v>3292360</v>
      </c>
      <c r="G1120">
        <v>44344</v>
      </c>
      <c r="H1120">
        <v>542</v>
      </c>
      <c r="I1120">
        <v>3337246</v>
      </c>
      <c r="J1120">
        <v>107080</v>
      </c>
      <c r="K1120">
        <v>1035</v>
      </c>
      <c r="L1120">
        <v>1910938</v>
      </c>
      <c r="M1120">
        <v>2019053</v>
      </c>
    </row>
    <row r="1121" spans="1:13">
      <c r="A1121">
        <v>1207</v>
      </c>
      <c r="B1121" s="331">
        <v>46162.836111111108</v>
      </c>
      <c r="C1121" t="s">
        <v>35</v>
      </c>
      <c r="D1121" t="s">
        <v>35</v>
      </c>
      <c r="E1121" t="s">
        <v>4</v>
      </c>
      <c r="F1121">
        <v>3936402</v>
      </c>
      <c r="G1121">
        <v>26888</v>
      </c>
      <c r="H1121">
        <v>17</v>
      </c>
      <c r="I1121">
        <v>3963307</v>
      </c>
      <c r="J1121">
        <v>54670</v>
      </c>
      <c r="K1121">
        <v>78</v>
      </c>
      <c r="L1121">
        <v>2337742</v>
      </c>
      <c r="M1121">
        <v>2392490</v>
      </c>
    </row>
    <row r="1122" spans="1:13">
      <c r="A1122">
        <v>1208</v>
      </c>
      <c r="B1122" s="331">
        <v>46162.836111111108</v>
      </c>
      <c r="C1122" t="s">
        <v>346</v>
      </c>
      <c r="D1122" t="s">
        <v>346</v>
      </c>
      <c r="E1122" t="s">
        <v>4</v>
      </c>
      <c r="F1122">
        <v>2445803</v>
      </c>
      <c r="G1122">
        <v>30203</v>
      </c>
      <c r="H1122">
        <v>0</v>
      </c>
      <c r="I1122">
        <v>2476006</v>
      </c>
      <c r="J1122">
        <v>52125</v>
      </c>
      <c r="K1122">
        <v>0</v>
      </c>
      <c r="L1122">
        <v>1404933</v>
      </c>
      <c r="M1122">
        <v>1457058</v>
      </c>
    </row>
    <row r="1123" spans="1:13">
      <c r="A1123">
        <v>1209</v>
      </c>
      <c r="B1123" s="331">
        <v>46162.836111111108</v>
      </c>
      <c r="C1123" t="s">
        <v>32</v>
      </c>
      <c r="D1123" t="s">
        <v>32</v>
      </c>
      <c r="E1123" t="s">
        <v>4</v>
      </c>
      <c r="F1123">
        <v>3601303</v>
      </c>
      <c r="G1123">
        <v>26866</v>
      </c>
      <c r="H1123">
        <v>27</v>
      </c>
      <c r="I1123">
        <v>3628196</v>
      </c>
      <c r="J1123">
        <v>56988</v>
      </c>
      <c r="K1123">
        <v>95</v>
      </c>
      <c r="L1123">
        <v>2139865</v>
      </c>
      <c r="M1123">
        <v>2196948</v>
      </c>
    </row>
    <row r="1124" spans="1:13">
      <c r="A1124">
        <v>1210</v>
      </c>
      <c r="B1124" s="331">
        <v>46162.836111111108</v>
      </c>
      <c r="C1124" t="s">
        <v>106</v>
      </c>
      <c r="D1124" t="s">
        <v>106</v>
      </c>
      <c r="E1124" t="s">
        <v>4</v>
      </c>
      <c r="F1124">
        <v>2973847</v>
      </c>
      <c r="G1124">
        <v>39862</v>
      </c>
      <c r="H1124">
        <v>535</v>
      </c>
      <c r="I1124">
        <v>3014244</v>
      </c>
      <c r="J1124">
        <v>69469</v>
      </c>
      <c r="K1124">
        <v>919</v>
      </c>
      <c r="L1124">
        <v>1691894</v>
      </c>
      <c r="M1124">
        <v>1762282</v>
      </c>
    </row>
    <row r="1125" spans="1:13">
      <c r="A1125">
        <v>1211</v>
      </c>
      <c r="B1125" s="331">
        <v>46162.836111111108</v>
      </c>
      <c r="C1125" t="s">
        <v>1067</v>
      </c>
      <c r="D1125" t="s">
        <v>1067</v>
      </c>
      <c r="E1125" t="s">
        <v>4</v>
      </c>
      <c r="F1125">
        <v>614494</v>
      </c>
      <c r="G1125">
        <v>10522</v>
      </c>
      <c r="H1125">
        <v>0</v>
      </c>
      <c r="I1125">
        <v>625016</v>
      </c>
      <c r="J1125">
        <v>21424</v>
      </c>
      <c r="K1125">
        <v>0</v>
      </c>
      <c r="L1125">
        <v>373288</v>
      </c>
      <c r="M1125">
        <v>394712</v>
      </c>
    </row>
    <row r="1126" spans="1:13">
      <c r="A1126">
        <v>1212</v>
      </c>
      <c r="B1126" s="331">
        <v>46162.836111111108</v>
      </c>
      <c r="C1126" t="s">
        <v>27</v>
      </c>
      <c r="D1126" t="s">
        <v>27</v>
      </c>
      <c r="E1126" t="s">
        <v>4</v>
      </c>
      <c r="F1126">
        <v>1817380</v>
      </c>
      <c r="G1126">
        <v>25120</v>
      </c>
      <c r="H1126">
        <v>168</v>
      </c>
      <c r="I1126">
        <v>1842668</v>
      </c>
      <c r="J1126">
        <v>52233</v>
      </c>
      <c r="K1126">
        <v>274</v>
      </c>
      <c r="L1126">
        <v>1088687</v>
      </c>
      <c r="M1126">
        <v>1141194</v>
      </c>
    </row>
    <row r="1127" spans="1:13">
      <c r="A1127">
        <v>1213</v>
      </c>
      <c r="B1127" s="331">
        <v>46162.834722222222</v>
      </c>
      <c r="C1127" t="s">
        <v>107</v>
      </c>
      <c r="D1127" t="s">
        <v>107</v>
      </c>
      <c r="E1127" t="s">
        <v>4</v>
      </c>
      <c r="F1127">
        <v>4490966</v>
      </c>
      <c r="G1127">
        <v>50997</v>
      </c>
      <c r="H1127">
        <v>662</v>
      </c>
      <c r="I1127">
        <v>4542625</v>
      </c>
      <c r="J1127">
        <v>96626</v>
      </c>
      <c r="K1127">
        <v>1158</v>
      </c>
      <c r="L1127">
        <v>2591530</v>
      </c>
      <c r="M1127">
        <v>2689314</v>
      </c>
    </row>
    <row r="1128" spans="1:13">
      <c r="A1128">
        <v>1214</v>
      </c>
      <c r="B1128" s="331">
        <v>46162.834722222222</v>
      </c>
      <c r="C1128" t="s">
        <v>16</v>
      </c>
      <c r="D1128" t="s">
        <v>16</v>
      </c>
      <c r="E1128" t="s">
        <v>4</v>
      </c>
      <c r="F1128">
        <v>3291752</v>
      </c>
      <c r="G1128">
        <v>44307</v>
      </c>
      <c r="H1128">
        <v>539</v>
      </c>
      <c r="I1128">
        <v>3336598</v>
      </c>
      <c r="J1128">
        <v>107038</v>
      </c>
      <c r="K1128">
        <v>1042</v>
      </c>
      <c r="L1128">
        <v>1910915</v>
      </c>
      <c r="M1128">
        <v>2018995</v>
      </c>
    </row>
    <row r="1129" spans="1:13">
      <c r="A1129">
        <v>1215</v>
      </c>
      <c r="B1129" s="331">
        <v>46162.834722222222</v>
      </c>
      <c r="C1129" t="s">
        <v>26</v>
      </c>
      <c r="D1129" t="s">
        <v>26</v>
      </c>
      <c r="E1129" t="s">
        <v>4</v>
      </c>
      <c r="F1129">
        <v>1901593</v>
      </c>
      <c r="G1129">
        <v>25304</v>
      </c>
      <c r="H1129">
        <v>166</v>
      </c>
      <c r="I1129">
        <v>1927063</v>
      </c>
      <c r="J1129">
        <v>55291</v>
      </c>
      <c r="K1129">
        <v>258</v>
      </c>
      <c r="L1129">
        <v>1142776</v>
      </c>
      <c r="M1129">
        <v>1198325</v>
      </c>
    </row>
    <row r="1130" spans="1:13">
      <c r="A1130">
        <v>1216</v>
      </c>
      <c r="B1130" s="331">
        <v>46162.834722222222</v>
      </c>
      <c r="C1130" t="s">
        <v>21</v>
      </c>
      <c r="D1130" t="s">
        <v>21</v>
      </c>
      <c r="E1130" t="s">
        <v>4</v>
      </c>
      <c r="F1130">
        <v>5700391</v>
      </c>
      <c r="G1130">
        <v>57177</v>
      </c>
      <c r="H1130">
        <v>661</v>
      </c>
      <c r="I1130">
        <v>5758229</v>
      </c>
      <c r="J1130">
        <v>106008</v>
      </c>
      <c r="K1130">
        <v>1210</v>
      </c>
      <c r="L1130">
        <v>3289229</v>
      </c>
      <c r="M1130">
        <v>3396447</v>
      </c>
    </row>
    <row r="1131" spans="1:13">
      <c r="A1131">
        <v>1217</v>
      </c>
      <c r="B1131" s="331">
        <v>46162.834722222222</v>
      </c>
      <c r="C1131" t="s">
        <v>19</v>
      </c>
      <c r="D1131" t="s">
        <v>19</v>
      </c>
      <c r="E1131" t="s">
        <v>4</v>
      </c>
      <c r="F1131">
        <v>5455193</v>
      </c>
      <c r="G1131">
        <v>58789</v>
      </c>
      <c r="H1131">
        <v>720</v>
      </c>
      <c r="I1131">
        <v>5514702</v>
      </c>
      <c r="J1131">
        <v>115813</v>
      </c>
      <c r="K1131">
        <v>1277</v>
      </c>
      <c r="L1131">
        <v>3150931</v>
      </c>
      <c r="M1131">
        <v>3268021</v>
      </c>
    </row>
    <row r="1132" spans="1:13">
      <c r="A1132">
        <v>1218</v>
      </c>
      <c r="B1132" s="331">
        <v>46162.834722222222</v>
      </c>
      <c r="C1132" t="s">
        <v>106</v>
      </c>
      <c r="D1132" t="s">
        <v>106</v>
      </c>
      <c r="E1132" t="s">
        <v>4</v>
      </c>
      <c r="F1132">
        <v>2972976</v>
      </c>
      <c r="G1132">
        <v>39889</v>
      </c>
      <c r="H1132">
        <v>523</v>
      </c>
      <c r="I1132">
        <v>3013388</v>
      </c>
      <c r="J1132">
        <v>69528</v>
      </c>
      <c r="K1132">
        <v>912</v>
      </c>
      <c r="L1132">
        <v>1691714</v>
      </c>
      <c r="M1132">
        <v>1762154</v>
      </c>
    </row>
    <row r="1133" spans="1:13">
      <c r="A1133">
        <v>1219</v>
      </c>
      <c r="B1133" s="331">
        <v>46162.834722222222</v>
      </c>
      <c r="C1133" t="s">
        <v>336</v>
      </c>
      <c r="D1133" t="s">
        <v>336</v>
      </c>
      <c r="E1133" t="s">
        <v>4</v>
      </c>
      <c r="F1133">
        <v>726326</v>
      </c>
      <c r="G1133">
        <v>3610</v>
      </c>
      <c r="H1133">
        <v>0</v>
      </c>
      <c r="I1133">
        <v>729936</v>
      </c>
      <c r="J1133">
        <v>5114</v>
      </c>
      <c r="K1133">
        <v>0</v>
      </c>
      <c r="L1133">
        <v>430763</v>
      </c>
      <c r="M1133">
        <v>435877</v>
      </c>
    </row>
    <row r="1134" spans="1:13">
      <c r="A1134">
        <v>1220</v>
      </c>
      <c r="B1134" s="331">
        <v>46162.834722222222</v>
      </c>
      <c r="C1134" t="s">
        <v>345</v>
      </c>
      <c r="D1134" t="s">
        <v>345</v>
      </c>
      <c r="E1134" t="s">
        <v>4</v>
      </c>
      <c r="F1134">
        <v>2016993</v>
      </c>
      <c r="G1134">
        <v>27771</v>
      </c>
      <c r="H1134">
        <v>0</v>
      </c>
      <c r="I1134">
        <v>2044764</v>
      </c>
      <c r="J1134">
        <v>45567</v>
      </c>
      <c r="K1134">
        <v>0</v>
      </c>
      <c r="L1134">
        <v>1141356</v>
      </c>
      <c r="M1134">
        <v>1186923</v>
      </c>
    </row>
    <row r="1135" spans="1:13">
      <c r="A1135">
        <v>1221</v>
      </c>
      <c r="B1135" s="331">
        <v>46162.834722222222</v>
      </c>
      <c r="C1135" t="s">
        <v>689</v>
      </c>
      <c r="D1135" t="s">
        <v>689</v>
      </c>
      <c r="E1135" t="s">
        <v>4</v>
      </c>
      <c r="F1135">
        <v>1920185</v>
      </c>
      <c r="G1135">
        <v>17476</v>
      </c>
      <c r="H1135">
        <v>0</v>
      </c>
      <c r="I1135">
        <v>1937661</v>
      </c>
      <c r="J1135">
        <v>31301</v>
      </c>
      <c r="K1135">
        <v>0</v>
      </c>
      <c r="L1135">
        <v>1124844</v>
      </c>
      <c r="M1135">
        <v>1156145</v>
      </c>
    </row>
    <row r="1136" spans="1:13">
      <c r="A1136">
        <v>1222</v>
      </c>
      <c r="B1136" s="331">
        <v>46162.834722222222</v>
      </c>
      <c r="C1136" t="s">
        <v>1067</v>
      </c>
      <c r="D1136" t="s">
        <v>1067</v>
      </c>
      <c r="E1136" t="s">
        <v>4</v>
      </c>
      <c r="F1136">
        <v>614549</v>
      </c>
      <c r="G1136">
        <v>10436</v>
      </c>
      <c r="H1136">
        <v>0</v>
      </c>
      <c r="I1136">
        <v>624985</v>
      </c>
      <c r="J1136">
        <v>21314</v>
      </c>
      <c r="K1136">
        <v>0</v>
      </c>
      <c r="L1136">
        <v>373312</v>
      </c>
      <c r="M1136">
        <v>394626</v>
      </c>
    </row>
    <row r="1137" spans="1:13">
      <c r="A1137">
        <v>1223</v>
      </c>
      <c r="B1137" s="331">
        <v>46162.834722222222</v>
      </c>
      <c r="C1137" t="s">
        <v>34</v>
      </c>
      <c r="D1137" t="s">
        <v>34</v>
      </c>
      <c r="E1137" t="s">
        <v>4</v>
      </c>
      <c r="F1137">
        <v>3816180</v>
      </c>
      <c r="G1137">
        <v>28423</v>
      </c>
      <c r="H1137">
        <v>26</v>
      </c>
      <c r="I1137">
        <v>3844629</v>
      </c>
      <c r="J1137">
        <v>62870</v>
      </c>
      <c r="K1137">
        <v>99</v>
      </c>
      <c r="L1137">
        <v>2280806</v>
      </c>
      <c r="M1137">
        <v>2343775</v>
      </c>
    </row>
    <row r="1138" spans="1:13">
      <c r="A1138">
        <v>1224</v>
      </c>
      <c r="B1138" s="331">
        <v>46162.834722222222</v>
      </c>
      <c r="C1138" t="s">
        <v>35</v>
      </c>
      <c r="D1138" t="s">
        <v>35</v>
      </c>
      <c r="E1138" t="s">
        <v>4</v>
      </c>
      <c r="F1138">
        <v>3936153</v>
      </c>
      <c r="G1138">
        <v>27064</v>
      </c>
      <c r="H1138">
        <v>18</v>
      </c>
      <c r="I1138">
        <v>3963235</v>
      </c>
      <c r="J1138">
        <v>54805</v>
      </c>
      <c r="K1138">
        <v>79</v>
      </c>
      <c r="L1138">
        <v>2337741</v>
      </c>
      <c r="M1138">
        <v>2392625</v>
      </c>
    </row>
    <row r="1139" spans="1:13">
      <c r="A1139">
        <v>1225</v>
      </c>
      <c r="B1139" s="331">
        <v>46162.834722222222</v>
      </c>
      <c r="C1139" t="s">
        <v>33</v>
      </c>
      <c r="D1139" t="s">
        <v>33</v>
      </c>
      <c r="E1139" t="s">
        <v>4</v>
      </c>
      <c r="F1139">
        <v>3687612</v>
      </c>
      <c r="G1139">
        <v>26690</v>
      </c>
      <c r="H1139">
        <v>25</v>
      </c>
      <c r="I1139">
        <v>3714327</v>
      </c>
      <c r="J1139">
        <v>52304</v>
      </c>
      <c r="K1139">
        <v>121</v>
      </c>
      <c r="L1139">
        <v>2194102</v>
      </c>
      <c r="M1139">
        <v>2246527</v>
      </c>
    </row>
    <row r="1140" spans="1:13">
      <c r="A1140">
        <v>1226</v>
      </c>
      <c r="B1140" s="331">
        <v>46162.834722222222</v>
      </c>
      <c r="C1140" t="s">
        <v>20</v>
      </c>
      <c r="D1140" t="s">
        <v>20</v>
      </c>
      <c r="E1140" t="s">
        <v>4</v>
      </c>
      <c r="F1140">
        <v>6088255</v>
      </c>
      <c r="G1140">
        <v>62443</v>
      </c>
      <c r="H1140">
        <v>767</v>
      </c>
      <c r="I1140">
        <v>6151465</v>
      </c>
      <c r="J1140">
        <v>122117</v>
      </c>
      <c r="K1140">
        <v>1345</v>
      </c>
      <c r="L1140">
        <v>3473165</v>
      </c>
      <c r="M1140">
        <v>3596627</v>
      </c>
    </row>
    <row r="1141" spans="1:13">
      <c r="A1141">
        <v>1227</v>
      </c>
      <c r="B1141" s="331">
        <v>46162.834722222222</v>
      </c>
      <c r="C1141" t="s">
        <v>108</v>
      </c>
      <c r="D1141" t="s">
        <v>108</v>
      </c>
      <c r="E1141" t="s">
        <v>4</v>
      </c>
      <c r="F1141">
        <v>4456402</v>
      </c>
      <c r="G1141">
        <v>49808</v>
      </c>
      <c r="H1141">
        <v>647</v>
      </c>
      <c r="I1141">
        <v>4506857</v>
      </c>
      <c r="J1141">
        <v>94760</v>
      </c>
      <c r="K1141">
        <v>1157</v>
      </c>
      <c r="L1141">
        <v>2572419</v>
      </c>
      <c r="M1141">
        <v>2668336</v>
      </c>
    </row>
    <row r="1142" spans="1:13">
      <c r="A1142">
        <v>1230</v>
      </c>
      <c r="B1142" s="331">
        <v>46162.834722222222</v>
      </c>
      <c r="C1142" t="s">
        <v>18</v>
      </c>
      <c r="D1142" t="s">
        <v>18</v>
      </c>
      <c r="E1142" t="s">
        <v>4</v>
      </c>
      <c r="F1142">
        <v>5721658</v>
      </c>
      <c r="G1142">
        <v>60990</v>
      </c>
      <c r="H1142">
        <v>786</v>
      </c>
      <c r="I1142">
        <v>5783434</v>
      </c>
      <c r="J1142">
        <v>124840</v>
      </c>
      <c r="K1142">
        <v>1413</v>
      </c>
      <c r="L1142">
        <v>3307721</v>
      </c>
      <c r="M1142">
        <v>3433974</v>
      </c>
    </row>
    <row r="1143" spans="1:13">
      <c r="A1143">
        <v>1231</v>
      </c>
      <c r="B1143" s="331">
        <v>46162.834722222222</v>
      </c>
      <c r="C1143" t="s">
        <v>1112</v>
      </c>
      <c r="D1143" t="s">
        <v>1112</v>
      </c>
      <c r="E1143" t="s">
        <v>4</v>
      </c>
      <c r="F1143">
        <v>865644</v>
      </c>
      <c r="G1143">
        <v>6843</v>
      </c>
      <c r="H1143">
        <v>0</v>
      </c>
      <c r="I1143">
        <v>872487</v>
      </c>
      <c r="J1143">
        <v>13237</v>
      </c>
      <c r="K1143">
        <v>0</v>
      </c>
      <c r="L1143">
        <v>510324</v>
      </c>
      <c r="M1143">
        <v>523561</v>
      </c>
    </row>
    <row r="1144" spans="1:13">
      <c r="A1144">
        <v>1232</v>
      </c>
      <c r="B1144" s="331">
        <v>46162.834722222222</v>
      </c>
      <c r="C1144" t="s">
        <v>132</v>
      </c>
      <c r="D1144" t="s">
        <v>132</v>
      </c>
      <c r="E1144" t="s">
        <v>4</v>
      </c>
      <c r="F1144">
        <v>3875508</v>
      </c>
      <c r="G1144">
        <v>28695</v>
      </c>
      <c r="H1144">
        <v>20</v>
      </c>
      <c r="I1144">
        <v>3904223</v>
      </c>
      <c r="J1144">
        <v>58483</v>
      </c>
      <c r="K1144">
        <v>86</v>
      </c>
      <c r="L1144">
        <v>2300139</v>
      </c>
      <c r="M1144">
        <v>2358708</v>
      </c>
    </row>
    <row r="1145" spans="1:13">
      <c r="A1145">
        <v>1233</v>
      </c>
      <c r="B1145" s="331">
        <v>46162.834722222222</v>
      </c>
      <c r="C1145" t="s">
        <v>27</v>
      </c>
      <c r="D1145" t="s">
        <v>27</v>
      </c>
      <c r="E1145" t="s">
        <v>4</v>
      </c>
      <c r="F1145">
        <v>1817242</v>
      </c>
      <c r="G1145">
        <v>24971</v>
      </c>
      <c r="H1145">
        <v>159</v>
      </c>
      <c r="I1145">
        <v>1842372</v>
      </c>
      <c r="J1145">
        <v>52056</v>
      </c>
      <c r="K1145">
        <v>267</v>
      </c>
      <c r="L1145">
        <v>1088751</v>
      </c>
      <c r="M1145">
        <v>1141074</v>
      </c>
    </row>
    <row r="1146" spans="1:13">
      <c r="A1146">
        <v>1234</v>
      </c>
      <c r="B1146" s="331">
        <v>46162.834722222222</v>
      </c>
      <c r="C1146" t="s">
        <v>24</v>
      </c>
      <c r="D1146" t="s">
        <v>24</v>
      </c>
      <c r="E1146" t="s">
        <v>4</v>
      </c>
      <c r="F1146">
        <v>1881061</v>
      </c>
      <c r="G1146">
        <v>27968</v>
      </c>
      <c r="H1146">
        <v>166</v>
      </c>
      <c r="I1146">
        <v>1909195</v>
      </c>
      <c r="J1146">
        <v>56587</v>
      </c>
      <c r="K1146">
        <v>235</v>
      </c>
      <c r="L1146">
        <v>1124611</v>
      </c>
      <c r="M1146">
        <v>1181433</v>
      </c>
    </row>
    <row r="1147" spans="1:13">
      <c r="A1147">
        <v>1235</v>
      </c>
      <c r="B1147" s="331">
        <v>46162.834722222222</v>
      </c>
      <c r="C1147" t="s">
        <v>131</v>
      </c>
      <c r="D1147" t="s">
        <v>131</v>
      </c>
      <c r="E1147" t="s">
        <v>4</v>
      </c>
      <c r="F1147">
        <v>3874032</v>
      </c>
      <c r="G1147">
        <v>29035</v>
      </c>
      <c r="H1147">
        <v>24</v>
      </c>
      <c r="I1147">
        <v>3903091</v>
      </c>
      <c r="J1147">
        <v>59543</v>
      </c>
      <c r="K1147">
        <v>107</v>
      </c>
      <c r="L1147">
        <v>2300930</v>
      </c>
      <c r="M1147">
        <v>2360580</v>
      </c>
    </row>
    <row r="1148" spans="1:13">
      <c r="A1148">
        <v>1236</v>
      </c>
      <c r="B1148" s="331">
        <v>46162.834722222222</v>
      </c>
      <c r="C1148" t="s">
        <v>1133</v>
      </c>
      <c r="D1148" t="s">
        <v>1133</v>
      </c>
      <c r="E1148" t="s">
        <v>4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</row>
    <row r="1149" spans="1:13">
      <c r="A1149">
        <v>1237</v>
      </c>
      <c r="B1149" s="331">
        <v>46162.834722222222</v>
      </c>
      <c r="C1149" t="s">
        <v>29</v>
      </c>
      <c r="D1149" t="s">
        <v>29</v>
      </c>
      <c r="E1149" t="s">
        <v>4</v>
      </c>
      <c r="F1149">
        <v>2275320</v>
      </c>
      <c r="G1149">
        <v>23578</v>
      </c>
      <c r="H1149">
        <v>26</v>
      </c>
      <c r="I1149">
        <v>2298924</v>
      </c>
      <c r="J1149">
        <v>77263</v>
      </c>
      <c r="K1149">
        <v>110</v>
      </c>
      <c r="L1149">
        <v>1364838</v>
      </c>
      <c r="M1149">
        <v>1442211</v>
      </c>
    </row>
    <row r="1150" spans="1:13">
      <c r="A1150">
        <v>1238</v>
      </c>
      <c r="B1150" s="331">
        <v>46162.834722222222</v>
      </c>
      <c r="C1150" t="s">
        <v>22</v>
      </c>
      <c r="D1150" t="s">
        <v>22</v>
      </c>
      <c r="E1150" t="s">
        <v>4</v>
      </c>
      <c r="F1150">
        <v>2849723</v>
      </c>
      <c r="G1150">
        <v>36556</v>
      </c>
      <c r="H1150">
        <v>385</v>
      </c>
      <c r="I1150">
        <v>2886664</v>
      </c>
      <c r="J1150">
        <v>62751</v>
      </c>
      <c r="K1150">
        <v>682</v>
      </c>
      <c r="L1150">
        <v>1622697</v>
      </c>
      <c r="M1150">
        <v>1686130</v>
      </c>
    </row>
    <row r="1151" spans="1:13">
      <c r="A1151">
        <v>1239</v>
      </c>
      <c r="B1151" s="331">
        <v>46162.834722222222</v>
      </c>
      <c r="C1151" t="s">
        <v>691</v>
      </c>
      <c r="D1151" t="s">
        <v>691</v>
      </c>
      <c r="E1151" t="s">
        <v>4</v>
      </c>
      <c r="F1151">
        <v>1598745</v>
      </c>
      <c r="G1151">
        <v>15660</v>
      </c>
      <c r="H1151">
        <v>0</v>
      </c>
      <c r="I1151">
        <v>1614405</v>
      </c>
      <c r="J1151">
        <v>29587</v>
      </c>
      <c r="K1151">
        <v>0</v>
      </c>
      <c r="L1151">
        <v>946008</v>
      </c>
      <c r="M1151">
        <v>975595</v>
      </c>
    </row>
    <row r="1152" spans="1:13">
      <c r="A1152">
        <v>1240</v>
      </c>
      <c r="B1152" s="331">
        <v>46162.834722222222</v>
      </c>
      <c r="C1152" t="s">
        <v>31</v>
      </c>
      <c r="D1152" t="s">
        <v>31</v>
      </c>
      <c r="E1152" t="s">
        <v>4</v>
      </c>
      <c r="F1152">
        <v>2914001</v>
      </c>
      <c r="G1152">
        <v>23535</v>
      </c>
      <c r="H1152">
        <v>25</v>
      </c>
      <c r="I1152">
        <v>2937561</v>
      </c>
      <c r="J1152">
        <v>71071</v>
      </c>
      <c r="K1152">
        <v>95</v>
      </c>
      <c r="L1152">
        <v>1656199</v>
      </c>
      <c r="M1152">
        <v>1727365</v>
      </c>
    </row>
    <row r="1153" spans="1:13">
      <c r="A1153">
        <v>1241</v>
      </c>
      <c r="B1153" s="331">
        <v>46162.834722222222</v>
      </c>
      <c r="C1153" t="s">
        <v>346</v>
      </c>
      <c r="D1153" t="s">
        <v>346</v>
      </c>
      <c r="E1153" t="s">
        <v>4</v>
      </c>
      <c r="F1153">
        <v>2445132</v>
      </c>
      <c r="G1153">
        <v>30191</v>
      </c>
      <c r="H1153">
        <v>0</v>
      </c>
      <c r="I1153">
        <v>2475323</v>
      </c>
      <c r="J1153">
        <v>52113</v>
      </c>
      <c r="K1153">
        <v>0</v>
      </c>
      <c r="L1153">
        <v>1404790</v>
      </c>
      <c r="M1153">
        <v>1456903</v>
      </c>
    </row>
    <row r="1154" spans="1:13">
      <c r="A1154">
        <v>1242</v>
      </c>
      <c r="B1154" s="331">
        <v>46162.834722222222</v>
      </c>
      <c r="C1154" t="s">
        <v>105</v>
      </c>
      <c r="D1154" t="s">
        <v>105</v>
      </c>
      <c r="E1154" t="s">
        <v>4</v>
      </c>
      <c r="F1154">
        <v>2478157</v>
      </c>
      <c r="G1154">
        <v>26971</v>
      </c>
      <c r="H1154">
        <v>194</v>
      </c>
      <c r="I1154">
        <v>2505322</v>
      </c>
      <c r="J1154">
        <v>52631</v>
      </c>
      <c r="K1154">
        <v>289</v>
      </c>
      <c r="L1154">
        <v>1466055</v>
      </c>
      <c r="M1154">
        <v>1518975</v>
      </c>
    </row>
    <row r="1155" spans="1:13">
      <c r="A1155">
        <v>1243</v>
      </c>
      <c r="B1155" s="331">
        <v>46162.834722222222</v>
      </c>
      <c r="C1155" t="s">
        <v>1068</v>
      </c>
      <c r="D1155" t="s">
        <v>1068</v>
      </c>
      <c r="E1155" t="s">
        <v>4</v>
      </c>
      <c r="F1155">
        <v>616029</v>
      </c>
      <c r="G1155">
        <v>10433</v>
      </c>
      <c r="H1155">
        <v>0</v>
      </c>
      <c r="I1155">
        <v>626462</v>
      </c>
      <c r="J1155">
        <v>21334</v>
      </c>
      <c r="K1155">
        <v>0</v>
      </c>
      <c r="L1155">
        <v>373872</v>
      </c>
      <c r="M1155">
        <v>395206</v>
      </c>
    </row>
    <row r="1156" spans="1:13">
      <c r="A1156">
        <v>1244</v>
      </c>
      <c r="B1156" s="331">
        <v>46162.834722222222</v>
      </c>
      <c r="C1156" t="s">
        <v>32</v>
      </c>
      <c r="D1156" t="s">
        <v>32</v>
      </c>
      <c r="E1156" t="s">
        <v>4</v>
      </c>
      <c r="F1156">
        <v>3600957</v>
      </c>
      <c r="G1156">
        <v>26785</v>
      </c>
      <c r="H1156">
        <v>27</v>
      </c>
      <c r="I1156">
        <v>3627769</v>
      </c>
      <c r="J1156">
        <v>56917</v>
      </c>
      <c r="K1156">
        <v>97</v>
      </c>
      <c r="L1156">
        <v>2139836</v>
      </c>
      <c r="M1156">
        <v>2196850</v>
      </c>
    </row>
    <row r="1157" spans="1:13">
      <c r="A1157">
        <v>1245</v>
      </c>
      <c r="B1157" s="331">
        <v>46162.834722222222</v>
      </c>
      <c r="C1157" t="s">
        <v>690</v>
      </c>
      <c r="D1157" t="s">
        <v>690</v>
      </c>
      <c r="E1157" t="s">
        <v>4</v>
      </c>
      <c r="F1157">
        <v>1601386</v>
      </c>
      <c r="G1157">
        <v>15797</v>
      </c>
      <c r="H1157">
        <v>0</v>
      </c>
      <c r="I1157">
        <v>1617183</v>
      </c>
      <c r="J1157">
        <v>29816</v>
      </c>
      <c r="K1157">
        <v>0</v>
      </c>
      <c r="L1157">
        <v>948039</v>
      </c>
      <c r="M1157">
        <v>977855</v>
      </c>
    </row>
    <row r="1158" spans="1:13">
      <c r="A1158">
        <v>1247</v>
      </c>
      <c r="B1158" s="331">
        <v>46162.834722222222</v>
      </c>
      <c r="C1158" t="s">
        <v>17</v>
      </c>
      <c r="D1158" t="s">
        <v>17</v>
      </c>
      <c r="E1158" t="s">
        <v>4</v>
      </c>
      <c r="F1158">
        <v>3682227</v>
      </c>
      <c r="G1158">
        <v>47586</v>
      </c>
      <c r="H1158">
        <v>500</v>
      </c>
      <c r="I1158">
        <v>3730313</v>
      </c>
      <c r="J1158">
        <v>108783</v>
      </c>
      <c r="K1158">
        <v>973</v>
      </c>
      <c r="L1158">
        <v>2117719</v>
      </c>
      <c r="M1158">
        <v>2227475</v>
      </c>
    </row>
    <row r="1159" spans="1:13">
      <c r="A1159">
        <v>1248</v>
      </c>
      <c r="B1159" s="331">
        <v>46162.834722222222</v>
      </c>
      <c r="C1159" t="s">
        <v>1111</v>
      </c>
      <c r="D1159" t="s">
        <v>1111</v>
      </c>
      <c r="E1159" t="s">
        <v>4</v>
      </c>
      <c r="F1159">
        <v>859941</v>
      </c>
      <c r="G1159">
        <v>6916</v>
      </c>
      <c r="H1159">
        <v>0</v>
      </c>
      <c r="I1159">
        <v>866857</v>
      </c>
      <c r="J1159">
        <v>13361</v>
      </c>
      <c r="K1159">
        <v>0</v>
      </c>
      <c r="L1159">
        <v>506846</v>
      </c>
      <c r="M1159">
        <v>520207</v>
      </c>
    </row>
    <row r="1160" spans="1:13">
      <c r="A1160">
        <v>1249</v>
      </c>
      <c r="B1160" s="331">
        <v>46162.833333333336</v>
      </c>
      <c r="C1160" t="s">
        <v>350</v>
      </c>
      <c r="D1160" t="s">
        <v>350</v>
      </c>
      <c r="E1160" t="s">
        <v>372</v>
      </c>
      <c r="L1160">
        <v>612060</v>
      </c>
      <c r="M1160">
        <v>612060</v>
      </c>
    </row>
    <row r="1161" spans="1:13">
      <c r="A1161">
        <v>1250</v>
      </c>
      <c r="B1161" s="331">
        <v>46162.833333333336</v>
      </c>
      <c r="C1161" t="s">
        <v>1081</v>
      </c>
      <c r="D1161" t="s">
        <v>1081</v>
      </c>
      <c r="E1161" t="s">
        <v>372</v>
      </c>
      <c r="L1161">
        <v>645934</v>
      </c>
      <c r="M1161">
        <v>645934</v>
      </c>
    </row>
    <row r="1162" spans="1:13">
      <c r="A1162">
        <v>1251</v>
      </c>
      <c r="B1162" s="331">
        <v>46162.833333333336</v>
      </c>
      <c r="C1162" t="s">
        <v>349</v>
      </c>
      <c r="D1162" t="s">
        <v>349</v>
      </c>
      <c r="E1162" t="s">
        <v>372</v>
      </c>
      <c r="L1162">
        <v>602195</v>
      </c>
      <c r="M1162">
        <v>602195</v>
      </c>
    </row>
    <row r="1163" spans="1:13">
      <c r="A1163">
        <v>1252</v>
      </c>
      <c r="B1163" s="331">
        <v>46162.833333333336</v>
      </c>
      <c r="C1163" t="s">
        <v>131</v>
      </c>
      <c r="D1163" t="s">
        <v>131</v>
      </c>
      <c r="E1163" t="s">
        <v>4</v>
      </c>
      <c r="F1163">
        <v>3874391</v>
      </c>
      <c r="G1163">
        <v>29040</v>
      </c>
      <c r="H1163">
        <v>24</v>
      </c>
      <c r="I1163">
        <v>3903455</v>
      </c>
      <c r="J1163">
        <v>59511</v>
      </c>
      <c r="K1163">
        <v>108</v>
      </c>
      <c r="L1163">
        <v>2301293</v>
      </c>
      <c r="M1163">
        <v>2360912</v>
      </c>
    </row>
    <row r="1164" spans="1:13">
      <c r="A1164">
        <v>1253</v>
      </c>
      <c r="B1164" s="331">
        <v>46162.833333333336</v>
      </c>
      <c r="C1164" t="s">
        <v>1111</v>
      </c>
      <c r="D1164" t="s">
        <v>1111</v>
      </c>
      <c r="E1164" t="s">
        <v>4</v>
      </c>
      <c r="F1164">
        <v>860160</v>
      </c>
      <c r="G1164">
        <v>6837</v>
      </c>
      <c r="H1164">
        <v>0</v>
      </c>
      <c r="I1164">
        <v>866997</v>
      </c>
      <c r="J1164">
        <v>13285</v>
      </c>
      <c r="K1164">
        <v>0</v>
      </c>
      <c r="L1164">
        <v>507059</v>
      </c>
      <c r="M1164">
        <v>520344</v>
      </c>
    </row>
    <row r="1165" spans="1:13">
      <c r="A1165">
        <v>1254</v>
      </c>
      <c r="B1165" s="331">
        <v>46162.833333333336</v>
      </c>
      <c r="C1165" t="s">
        <v>346</v>
      </c>
      <c r="D1165" t="s">
        <v>346</v>
      </c>
      <c r="E1165" t="s">
        <v>4</v>
      </c>
      <c r="F1165">
        <v>2444634</v>
      </c>
      <c r="G1165">
        <v>30220</v>
      </c>
      <c r="H1165">
        <v>0</v>
      </c>
      <c r="I1165">
        <v>2474854</v>
      </c>
      <c r="J1165">
        <v>52157</v>
      </c>
      <c r="K1165">
        <v>0</v>
      </c>
      <c r="L1165">
        <v>1404723</v>
      </c>
      <c r="M1165">
        <v>1456880</v>
      </c>
    </row>
    <row r="1166" spans="1:13">
      <c r="A1166">
        <v>1255</v>
      </c>
      <c r="B1166" s="331">
        <v>46162.833333333336</v>
      </c>
      <c r="C1166" t="s">
        <v>894</v>
      </c>
      <c r="D1166" t="s">
        <v>894</v>
      </c>
      <c r="E1166" t="s">
        <v>372</v>
      </c>
      <c r="L1166">
        <v>776761</v>
      </c>
      <c r="M1166">
        <v>776761</v>
      </c>
    </row>
    <row r="1167" spans="1:13">
      <c r="A1167">
        <v>1257</v>
      </c>
      <c r="B1167" s="331">
        <v>46162.833333333336</v>
      </c>
      <c r="C1167" t="s">
        <v>580</v>
      </c>
      <c r="D1167" t="s">
        <v>580</v>
      </c>
      <c r="E1167" t="s">
        <v>372</v>
      </c>
      <c r="L1167">
        <v>552702</v>
      </c>
      <c r="M1167">
        <v>552702</v>
      </c>
    </row>
    <row r="1168" spans="1:13">
      <c r="A1168">
        <v>1258</v>
      </c>
      <c r="B1168" s="331">
        <v>46162.833333333336</v>
      </c>
      <c r="C1168" t="s">
        <v>1080</v>
      </c>
      <c r="D1168" t="s">
        <v>1080</v>
      </c>
      <c r="E1168" t="s">
        <v>372</v>
      </c>
      <c r="L1168">
        <v>681768</v>
      </c>
      <c r="M1168">
        <v>681768</v>
      </c>
    </row>
    <row r="1169" spans="1:13">
      <c r="A1169">
        <v>1259</v>
      </c>
      <c r="B1169" s="331">
        <v>46162.833333333336</v>
      </c>
      <c r="C1169" t="s">
        <v>583</v>
      </c>
      <c r="D1169" t="s">
        <v>583</v>
      </c>
      <c r="E1169" t="s">
        <v>372</v>
      </c>
      <c r="L1169">
        <v>523373</v>
      </c>
      <c r="M1169">
        <v>523373</v>
      </c>
    </row>
    <row r="1170" spans="1:13">
      <c r="A1170">
        <v>1260</v>
      </c>
      <c r="B1170" s="331">
        <v>46162.833333333336</v>
      </c>
      <c r="C1170" t="s">
        <v>1133</v>
      </c>
      <c r="D1170" t="s">
        <v>1133</v>
      </c>
      <c r="E1170" t="s">
        <v>4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</row>
    <row r="1171" spans="1:13">
      <c r="A1171">
        <v>1261</v>
      </c>
      <c r="B1171" s="331">
        <v>46162.833333333336</v>
      </c>
      <c r="C1171" t="s">
        <v>108</v>
      </c>
      <c r="D1171" t="s">
        <v>108</v>
      </c>
      <c r="E1171" t="s">
        <v>4</v>
      </c>
      <c r="F1171">
        <v>4455844</v>
      </c>
      <c r="G1171">
        <v>49815</v>
      </c>
      <c r="H1171">
        <v>670</v>
      </c>
      <c r="I1171">
        <v>4506329</v>
      </c>
      <c r="J1171">
        <v>94677</v>
      </c>
      <c r="K1171">
        <v>1174</v>
      </c>
      <c r="L1171">
        <v>2572227</v>
      </c>
      <c r="M1171">
        <v>2668078</v>
      </c>
    </row>
    <row r="1172" spans="1:13">
      <c r="A1172">
        <v>1262</v>
      </c>
      <c r="B1172" s="331">
        <v>46162.833333333336</v>
      </c>
      <c r="C1172" t="s">
        <v>21</v>
      </c>
      <c r="D1172" t="s">
        <v>21</v>
      </c>
      <c r="E1172" t="s">
        <v>4</v>
      </c>
      <c r="F1172">
        <v>5699072</v>
      </c>
      <c r="G1172">
        <v>57301</v>
      </c>
      <c r="H1172">
        <v>667</v>
      </c>
      <c r="I1172">
        <v>5757040</v>
      </c>
      <c r="J1172">
        <v>106159</v>
      </c>
      <c r="K1172">
        <v>1212</v>
      </c>
      <c r="L1172">
        <v>3288911</v>
      </c>
      <c r="M1172">
        <v>3396282</v>
      </c>
    </row>
    <row r="1173" spans="1:13">
      <c r="A1173">
        <v>1263</v>
      </c>
      <c r="B1173" s="331">
        <v>46162.833333333336</v>
      </c>
      <c r="C1173" t="s">
        <v>20</v>
      </c>
      <c r="D1173" t="s">
        <v>20</v>
      </c>
      <c r="E1173" t="s">
        <v>4</v>
      </c>
      <c r="F1173">
        <v>6087814</v>
      </c>
      <c r="G1173">
        <v>62538</v>
      </c>
      <c r="H1173">
        <v>763</v>
      </c>
      <c r="I1173">
        <v>6151115</v>
      </c>
      <c r="J1173">
        <v>122115</v>
      </c>
      <c r="K1173">
        <v>1341</v>
      </c>
      <c r="L1173">
        <v>3473131</v>
      </c>
      <c r="M1173">
        <v>3596587</v>
      </c>
    </row>
    <row r="1174" spans="1:13">
      <c r="A1174">
        <v>1264</v>
      </c>
      <c r="B1174" s="331">
        <v>46162.833333333336</v>
      </c>
      <c r="C1174" t="s">
        <v>32</v>
      </c>
      <c r="D1174" t="s">
        <v>32</v>
      </c>
      <c r="E1174" t="s">
        <v>4</v>
      </c>
      <c r="F1174">
        <v>3600906</v>
      </c>
      <c r="G1174">
        <v>26859</v>
      </c>
      <c r="H1174">
        <v>28</v>
      </c>
      <c r="I1174">
        <v>3627793</v>
      </c>
      <c r="J1174">
        <v>56925</v>
      </c>
      <c r="K1174">
        <v>98</v>
      </c>
      <c r="L1174">
        <v>2139981</v>
      </c>
      <c r="M1174">
        <v>2197004</v>
      </c>
    </row>
    <row r="1175" spans="1:13">
      <c r="A1175">
        <v>1265</v>
      </c>
      <c r="B1175" s="331">
        <v>46162.833333333336</v>
      </c>
      <c r="C1175" t="s">
        <v>581</v>
      </c>
      <c r="D1175" t="s">
        <v>581</v>
      </c>
      <c r="E1175" t="s">
        <v>372</v>
      </c>
      <c r="L1175">
        <v>519280</v>
      </c>
      <c r="M1175">
        <v>519280</v>
      </c>
    </row>
    <row r="1176" spans="1:13">
      <c r="A1176">
        <v>1266</v>
      </c>
      <c r="B1176" s="331">
        <v>46162.833333333336</v>
      </c>
      <c r="C1176" t="s">
        <v>336</v>
      </c>
      <c r="D1176" t="s">
        <v>336</v>
      </c>
      <c r="E1176" t="s">
        <v>4</v>
      </c>
      <c r="F1176">
        <v>726314</v>
      </c>
      <c r="G1176">
        <v>3516</v>
      </c>
      <c r="H1176">
        <v>0</v>
      </c>
      <c r="I1176">
        <v>729830</v>
      </c>
      <c r="J1176">
        <v>5021</v>
      </c>
      <c r="K1176">
        <v>0</v>
      </c>
      <c r="L1176">
        <v>430799</v>
      </c>
      <c r="M1176">
        <v>435820</v>
      </c>
    </row>
    <row r="1177" spans="1:13">
      <c r="A1177">
        <v>1267</v>
      </c>
      <c r="B1177" s="331">
        <v>46162.833333333336</v>
      </c>
      <c r="C1177" t="s">
        <v>17</v>
      </c>
      <c r="D1177" t="s">
        <v>17</v>
      </c>
      <c r="E1177" t="s">
        <v>4</v>
      </c>
      <c r="F1177">
        <v>3682082</v>
      </c>
      <c r="G1177">
        <v>47557</v>
      </c>
      <c r="H1177">
        <v>502</v>
      </c>
      <c r="I1177">
        <v>3730141</v>
      </c>
      <c r="J1177">
        <v>108797</v>
      </c>
      <c r="K1177">
        <v>980</v>
      </c>
      <c r="L1177">
        <v>2117741</v>
      </c>
      <c r="M1177">
        <v>2227518</v>
      </c>
    </row>
    <row r="1178" spans="1:13">
      <c r="A1178">
        <v>1268</v>
      </c>
      <c r="B1178" s="331">
        <v>46162.833333333336</v>
      </c>
      <c r="C1178" t="s">
        <v>132</v>
      </c>
      <c r="D1178" t="s">
        <v>132</v>
      </c>
      <c r="E1178" t="s">
        <v>4</v>
      </c>
      <c r="F1178">
        <v>3875502</v>
      </c>
      <c r="G1178">
        <v>28684</v>
      </c>
      <c r="H1178">
        <v>20</v>
      </c>
      <c r="I1178">
        <v>3904206</v>
      </c>
      <c r="J1178">
        <v>58485</v>
      </c>
      <c r="K1178">
        <v>88</v>
      </c>
      <c r="L1178">
        <v>2300286</v>
      </c>
      <c r="M1178">
        <v>2358859</v>
      </c>
    </row>
    <row r="1179" spans="1:13">
      <c r="A1179">
        <v>1269</v>
      </c>
      <c r="B1179" s="331">
        <v>46162.833333333336</v>
      </c>
      <c r="C1179" t="s">
        <v>107</v>
      </c>
      <c r="D1179" t="s">
        <v>107</v>
      </c>
      <c r="E1179" t="s">
        <v>4</v>
      </c>
      <c r="F1179">
        <v>4490198</v>
      </c>
      <c r="G1179">
        <v>50908</v>
      </c>
      <c r="H1179">
        <v>667</v>
      </c>
      <c r="I1179">
        <v>4541773</v>
      </c>
      <c r="J1179">
        <v>96628</v>
      </c>
      <c r="K1179">
        <v>1146</v>
      </c>
      <c r="L1179">
        <v>2591294</v>
      </c>
      <c r="M1179">
        <v>2689068</v>
      </c>
    </row>
    <row r="1180" spans="1:13">
      <c r="A1180">
        <v>1270</v>
      </c>
      <c r="B1180" s="331">
        <v>46162.833333333336</v>
      </c>
      <c r="C1180" t="s">
        <v>35</v>
      </c>
      <c r="D1180" t="s">
        <v>35</v>
      </c>
      <c r="E1180" t="s">
        <v>4</v>
      </c>
      <c r="F1180">
        <v>3936024</v>
      </c>
      <c r="G1180">
        <v>26918</v>
      </c>
      <c r="H1180">
        <v>18</v>
      </c>
      <c r="I1180">
        <v>3962960</v>
      </c>
      <c r="J1180">
        <v>54761</v>
      </c>
      <c r="K1180">
        <v>82</v>
      </c>
      <c r="L1180">
        <v>2337891</v>
      </c>
      <c r="M1180">
        <v>2392734</v>
      </c>
    </row>
    <row r="1181" spans="1:13">
      <c r="A1181">
        <v>1272</v>
      </c>
      <c r="B1181" s="331">
        <v>46162.833333333336</v>
      </c>
      <c r="C1181" t="s">
        <v>1068</v>
      </c>
      <c r="D1181" t="s">
        <v>1068</v>
      </c>
      <c r="E1181" t="s">
        <v>4</v>
      </c>
      <c r="F1181">
        <v>615994</v>
      </c>
      <c r="G1181">
        <v>10445</v>
      </c>
      <c r="H1181">
        <v>0</v>
      </c>
      <c r="I1181">
        <v>626439</v>
      </c>
      <c r="J1181">
        <v>21353</v>
      </c>
      <c r="K1181">
        <v>0</v>
      </c>
      <c r="L1181">
        <v>373917</v>
      </c>
      <c r="M1181">
        <v>395270</v>
      </c>
    </row>
    <row r="1182" spans="1:13">
      <c r="A1182">
        <v>1273</v>
      </c>
      <c r="B1182" s="331">
        <v>46162.833333333336</v>
      </c>
      <c r="C1182" t="s">
        <v>689</v>
      </c>
      <c r="D1182" t="s">
        <v>689</v>
      </c>
      <c r="E1182" t="s">
        <v>4</v>
      </c>
      <c r="F1182">
        <v>1920190</v>
      </c>
      <c r="G1182">
        <v>17478</v>
      </c>
      <c r="H1182">
        <v>0</v>
      </c>
      <c r="I1182">
        <v>1937668</v>
      </c>
      <c r="J1182">
        <v>31308</v>
      </c>
      <c r="K1182">
        <v>0</v>
      </c>
      <c r="L1182">
        <v>1124941</v>
      </c>
      <c r="M1182">
        <v>1156249</v>
      </c>
    </row>
    <row r="1183" spans="1:13">
      <c r="A1183">
        <v>1274</v>
      </c>
      <c r="B1183" s="331">
        <v>46162.833333333336</v>
      </c>
      <c r="C1183" t="s">
        <v>582</v>
      </c>
      <c r="D1183" t="s">
        <v>582</v>
      </c>
      <c r="E1183" t="s">
        <v>372</v>
      </c>
      <c r="L1183">
        <v>522438</v>
      </c>
      <c r="M1183">
        <v>522438</v>
      </c>
    </row>
    <row r="1184" spans="1:13">
      <c r="A1184">
        <v>1275</v>
      </c>
      <c r="B1184" s="331">
        <v>46162.833333333336</v>
      </c>
      <c r="C1184" t="s">
        <v>348</v>
      </c>
      <c r="D1184" t="s">
        <v>348</v>
      </c>
      <c r="E1184" t="s">
        <v>372</v>
      </c>
      <c r="L1184">
        <v>617055</v>
      </c>
      <c r="M1184">
        <v>617055</v>
      </c>
    </row>
    <row r="1185" spans="1:13">
      <c r="A1185">
        <v>1276</v>
      </c>
      <c r="B1185" s="331">
        <v>46162.833333333336</v>
      </c>
      <c r="C1185" t="s">
        <v>105</v>
      </c>
      <c r="D1185" t="s">
        <v>105</v>
      </c>
      <c r="E1185" t="s">
        <v>4</v>
      </c>
      <c r="F1185">
        <v>2478050</v>
      </c>
      <c r="G1185">
        <v>26995</v>
      </c>
      <c r="H1185">
        <v>193</v>
      </c>
      <c r="I1185">
        <v>2505238</v>
      </c>
      <c r="J1185">
        <v>52596</v>
      </c>
      <c r="K1185">
        <v>284</v>
      </c>
      <c r="L1185">
        <v>1466024</v>
      </c>
      <c r="M1185">
        <v>1518904</v>
      </c>
    </row>
    <row r="1186" spans="1:13">
      <c r="A1186">
        <v>1277</v>
      </c>
      <c r="B1186" s="331">
        <v>46162.833333333336</v>
      </c>
      <c r="C1186" t="s">
        <v>24</v>
      </c>
      <c r="D1186" t="s">
        <v>24</v>
      </c>
      <c r="E1186" t="s">
        <v>4</v>
      </c>
      <c r="F1186">
        <v>1881026</v>
      </c>
      <c r="G1186">
        <v>27896</v>
      </c>
      <c r="H1186">
        <v>174</v>
      </c>
      <c r="I1186">
        <v>1909096</v>
      </c>
      <c r="J1186">
        <v>56493</v>
      </c>
      <c r="K1186">
        <v>242</v>
      </c>
      <c r="L1186">
        <v>1124726</v>
      </c>
      <c r="M1186">
        <v>1181461</v>
      </c>
    </row>
    <row r="1187" spans="1:13">
      <c r="A1187">
        <v>1278</v>
      </c>
      <c r="B1187" s="331">
        <v>46162.833333333336</v>
      </c>
      <c r="C1187" t="s">
        <v>22</v>
      </c>
      <c r="D1187" t="s">
        <v>22</v>
      </c>
      <c r="E1187" t="s">
        <v>4</v>
      </c>
      <c r="F1187">
        <v>2849126</v>
      </c>
      <c r="G1187">
        <v>36692</v>
      </c>
      <c r="H1187">
        <v>391</v>
      </c>
      <c r="I1187">
        <v>2886209</v>
      </c>
      <c r="J1187">
        <v>62862</v>
      </c>
      <c r="K1187">
        <v>680</v>
      </c>
      <c r="L1187">
        <v>1622593</v>
      </c>
      <c r="M1187">
        <v>1686135</v>
      </c>
    </row>
    <row r="1188" spans="1:13">
      <c r="A1188">
        <v>1279</v>
      </c>
      <c r="B1188" s="331">
        <v>46162.833333333336</v>
      </c>
      <c r="C1188" t="s">
        <v>690</v>
      </c>
      <c r="D1188" t="s">
        <v>690</v>
      </c>
      <c r="E1188" t="s">
        <v>4</v>
      </c>
      <c r="F1188">
        <v>1601438</v>
      </c>
      <c r="G1188">
        <v>15827</v>
      </c>
      <c r="H1188">
        <v>0</v>
      </c>
      <c r="I1188">
        <v>1617265</v>
      </c>
      <c r="J1188">
        <v>29800</v>
      </c>
      <c r="K1188">
        <v>0</v>
      </c>
      <c r="L1188">
        <v>948161</v>
      </c>
      <c r="M1188">
        <v>977961</v>
      </c>
    </row>
    <row r="1189" spans="1:13">
      <c r="A1189">
        <v>1281</v>
      </c>
      <c r="B1189" s="331">
        <v>46162.833333333336</v>
      </c>
      <c r="C1189" t="s">
        <v>1067</v>
      </c>
      <c r="D1189" t="s">
        <v>1067</v>
      </c>
      <c r="E1189" t="s">
        <v>4</v>
      </c>
      <c r="F1189">
        <v>614603</v>
      </c>
      <c r="G1189">
        <v>10308</v>
      </c>
      <c r="H1189">
        <v>0</v>
      </c>
      <c r="I1189">
        <v>624911</v>
      </c>
      <c r="J1189">
        <v>21183</v>
      </c>
      <c r="K1189">
        <v>0</v>
      </c>
      <c r="L1189">
        <v>373342</v>
      </c>
      <c r="M1189">
        <v>394525</v>
      </c>
    </row>
    <row r="1190" spans="1:13">
      <c r="A1190">
        <v>1282</v>
      </c>
      <c r="B1190" s="331">
        <v>46162.833333333336</v>
      </c>
      <c r="C1190" t="s">
        <v>1112</v>
      </c>
      <c r="D1190" t="s">
        <v>1112</v>
      </c>
      <c r="E1190" t="s">
        <v>4</v>
      </c>
      <c r="F1190">
        <v>865817</v>
      </c>
      <c r="G1190">
        <v>6802</v>
      </c>
      <c r="H1190">
        <v>0</v>
      </c>
      <c r="I1190">
        <v>872619</v>
      </c>
      <c r="J1190">
        <v>13169</v>
      </c>
      <c r="K1190">
        <v>0</v>
      </c>
      <c r="L1190">
        <v>510440</v>
      </c>
      <c r="M1190">
        <v>523609</v>
      </c>
    </row>
    <row r="1191" spans="1:13">
      <c r="A1191">
        <v>1283</v>
      </c>
      <c r="B1191" s="331">
        <v>46162.833333333336</v>
      </c>
      <c r="C1191" t="s">
        <v>896</v>
      </c>
      <c r="D1191" t="s">
        <v>896</v>
      </c>
      <c r="E1191" t="s">
        <v>372</v>
      </c>
      <c r="L1191">
        <v>776533</v>
      </c>
      <c r="M1191">
        <v>776533</v>
      </c>
    </row>
    <row r="1192" spans="1:13">
      <c r="A1192">
        <v>1284</v>
      </c>
      <c r="B1192" s="331">
        <v>46162.833333333336</v>
      </c>
      <c r="C1192" t="s">
        <v>1125</v>
      </c>
      <c r="D1192" t="s">
        <v>1125</v>
      </c>
      <c r="E1192" t="s">
        <v>372</v>
      </c>
      <c r="L1192">
        <v>632828</v>
      </c>
      <c r="M1192">
        <v>632828</v>
      </c>
    </row>
    <row r="1193" spans="1:13">
      <c r="A1193">
        <v>1285</v>
      </c>
      <c r="B1193" s="331">
        <v>46162.833333333336</v>
      </c>
      <c r="C1193" t="s">
        <v>345</v>
      </c>
      <c r="D1193" t="s">
        <v>345</v>
      </c>
      <c r="E1193" t="s">
        <v>4</v>
      </c>
      <c r="F1193">
        <v>2016554</v>
      </c>
      <c r="G1193">
        <v>27759</v>
      </c>
      <c r="H1193">
        <v>0</v>
      </c>
      <c r="I1193">
        <v>2044313</v>
      </c>
      <c r="J1193">
        <v>45615</v>
      </c>
      <c r="K1193">
        <v>0</v>
      </c>
      <c r="L1193">
        <v>1141231</v>
      </c>
      <c r="M1193">
        <v>1186846</v>
      </c>
    </row>
    <row r="1194" spans="1:13">
      <c r="A1194">
        <v>1286</v>
      </c>
      <c r="B1194" s="331">
        <v>46162.833333333336</v>
      </c>
      <c r="C1194" t="s">
        <v>16</v>
      </c>
      <c r="D1194" t="s">
        <v>16</v>
      </c>
      <c r="E1194" t="s">
        <v>4</v>
      </c>
      <c r="F1194">
        <v>3291630</v>
      </c>
      <c r="G1194">
        <v>44251</v>
      </c>
      <c r="H1194">
        <v>528</v>
      </c>
      <c r="I1194">
        <v>3336409</v>
      </c>
      <c r="J1194">
        <v>106941</v>
      </c>
      <c r="K1194">
        <v>1030</v>
      </c>
      <c r="L1194">
        <v>1910952</v>
      </c>
      <c r="M1194">
        <v>2018923</v>
      </c>
    </row>
    <row r="1195" spans="1:13">
      <c r="A1195">
        <v>1287</v>
      </c>
      <c r="B1195" s="331">
        <v>46162.833333333336</v>
      </c>
      <c r="C1195" t="s">
        <v>31</v>
      </c>
      <c r="D1195" t="s">
        <v>31</v>
      </c>
      <c r="E1195" t="s">
        <v>4</v>
      </c>
      <c r="F1195">
        <v>2914127</v>
      </c>
      <c r="G1195">
        <v>23360</v>
      </c>
      <c r="H1195">
        <v>25</v>
      </c>
      <c r="I1195">
        <v>2937512</v>
      </c>
      <c r="J1195">
        <v>70950</v>
      </c>
      <c r="K1195">
        <v>95</v>
      </c>
      <c r="L1195">
        <v>1656349</v>
      </c>
      <c r="M1195">
        <v>1727394</v>
      </c>
    </row>
    <row r="1196" spans="1:13">
      <c r="A1196">
        <v>1288</v>
      </c>
      <c r="B1196" s="331">
        <v>46162.833333333336</v>
      </c>
      <c r="C1196" t="s">
        <v>33</v>
      </c>
      <c r="D1196" t="s">
        <v>33</v>
      </c>
      <c r="E1196" t="s">
        <v>4</v>
      </c>
      <c r="F1196">
        <v>3687653</v>
      </c>
      <c r="G1196">
        <v>26641</v>
      </c>
      <c r="H1196">
        <v>28</v>
      </c>
      <c r="I1196">
        <v>3714322</v>
      </c>
      <c r="J1196">
        <v>52236</v>
      </c>
      <c r="K1196">
        <v>124</v>
      </c>
      <c r="L1196">
        <v>2194307</v>
      </c>
      <c r="M1196">
        <v>2246667</v>
      </c>
    </row>
    <row r="1197" spans="1:13">
      <c r="A1197">
        <v>1289</v>
      </c>
      <c r="B1197" s="331">
        <v>46162.833333333336</v>
      </c>
      <c r="C1197" t="s">
        <v>893</v>
      </c>
      <c r="D1197" t="s">
        <v>893</v>
      </c>
      <c r="E1197" t="s">
        <v>372</v>
      </c>
      <c r="L1197">
        <v>786247</v>
      </c>
      <c r="M1197">
        <v>786247</v>
      </c>
    </row>
    <row r="1198" spans="1:13">
      <c r="A1198">
        <v>1290</v>
      </c>
      <c r="B1198" s="331">
        <v>46162.833333333336</v>
      </c>
      <c r="C1198" t="s">
        <v>27</v>
      </c>
      <c r="D1198" t="s">
        <v>27</v>
      </c>
      <c r="E1198" t="s">
        <v>4</v>
      </c>
      <c r="F1198">
        <v>1817310</v>
      </c>
      <c r="G1198">
        <v>24965</v>
      </c>
      <c r="H1198">
        <v>151</v>
      </c>
      <c r="I1198">
        <v>1842426</v>
      </c>
      <c r="J1198">
        <v>52008</v>
      </c>
      <c r="K1198">
        <v>258</v>
      </c>
      <c r="L1198">
        <v>1088801</v>
      </c>
      <c r="M1198">
        <v>1141067</v>
      </c>
    </row>
    <row r="1199" spans="1:13">
      <c r="A1199">
        <v>1291</v>
      </c>
      <c r="B1199" s="331">
        <v>46162.833333333336</v>
      </c>
      <c r="C1199" t="s">
        <v>29</v>
      </c>
      <c r="D1199" t="s">
        <v>29</v>
      </c>
      <c r="E1199" t="s">
        <v>4</v>
      </c>
      <c r="F1199">
        <v>2275251</v>
      </c>
      <c r="G1199">
        <v>23593</v>
      </c>
      <c r="H1199">
        <v>27</v>
      </c>
      <c r="I1199">
        <v>2298871</v>
      </c>
      <c r="J1199">
        <v>77213</v>
      </c>
      <c r="K1199">
        <v>109</v>
      </c>
      <c r="L1199">
        <v>1364888</v>
      </c>
      <c r="M1199">
        <v>1442210</v>
      </c>
    </row>
    <row r="1200" spans="1:13">
      <c r="A1200">
        <v>1292</v>
      </c>
      <c r="B1200" s="331">
        <v>46162.833333333336</v>
      </c>
      <c r="C1200" t="s">
        <v>18</v>
      </c>
      <c r="D1200" t="s">
        <v>18</v>
      </c>
      <c r="E1200" t="s">
        <v>4</v>
      </c>
      <c r="F1200">
        <v>5720730</v>
      </c>
      <c r="G1200">
        <v>61074</v>
      </c>
      <c r="H1200">
        <v>779</v>
      </c>
      <c r="I1200">
        <v>5782583</v>
      </c>
      <c r="J1200">
        <v>124919</v>
      </c>
      <c r="K1200">
        <v>1414</v>
      </c>
      <c r="L1200">
        <v>3307541</v>
      </c>
      <c r="M1200">
        <v>3433874</v>
      </c>
    </row>
    <row r="1201" spans="1:13">
      <c r="A1201">
        <v>1293</v>
      </c>
      <c r="B1201" s="331">
        <v>46162.833333333336</v>
      </c>
      <c r="C1201" t="s">
        <v>691</v>
      </c>
      <c r="D1201" t="s">
        <v>691</v>
      </c>
      <c r="E1201" t="s">
        <v>4</v>
      </c>
      <c r="F1201">
        <v>1598966</v>
      </c>
      <c r="G1201">
        <v>15601</v>
      </c>
      <c r="H1201">
        <v>0</v>
      </c>
      <c r="I1201">
        <v>1614567</v>
      </c>
      <c r="J1201">
        <v>29502</v>
      </c>
      <c r="K1201">
        <v>0</v>
      </c>
      <c r="L1201">
        <v>946120</v>
      </c>
      <c r="M1201">
        <v>975622</v>
      </c>
    </row>
    <row r="1202" spans="1:13">
      <c r="A1202">
        <v>1294</v>
      </c>
      <c r="B1202" s="331">
        <v>46162.833333333336</v>
      </c>
      <c r="C1202" t="s">
        <v>26</v>
      </c>
      <c r="D1202" t="s">
        <v>26</v>
      </c>
      <c r="E1202" t="s">
        <v>4</v>
      </c>
      <c r="F1202">
        <v>1901727</v>
      </c>
      <c r="G1202">
        <v>25141</v>
      </c>
      <c r="H1202">
        <v>157</v>
      </c>
      <c r="I1202">
        <v>1927025</v>
      </c>
      <c r="J1202">
        <v>55137</v>
      </c>
      <c r="K1202">
        <v>251</v>
      </c>
      <c r="L1202">
        <v>1142872</v>
      </c>
      <c r="M1202">
        <v>1198260</v>
      </c>
    </row>
    <row r="1203" spans="1:13">
      <c r="A1203">
        <v>1295</v>
      </c>
      <c r="B1203" s="331">
        <v>46162.833333333336</v>
      </c>
      <c r="C1203" t="s">
        <v>34</v>
      </c>
      <c r="D1203" t="s">
        <v>34</v>
      </c>
      <c r="E1203" t="s">
        <v>4</v>
      </c>
      <c r="F1203">
        <v>3816178</v>
      </c>
      <c r="G1203">
        <v>28451</v>
      </c>
      <c r="H1203">
        <v>27</v>
      </c>
      <c r="I1203">
        <v>3844656</v>
      </c>
      <c r="J1203">
        <v>62954</v>
      </c>
      <c r="K1203">
        <v>101</v>
      </c>
      <c r="L1203">
        <v>2280971</v>
      </c>
      <c r="M1203">
        <v>2344026</v>
      </c>
    </row>
    <row r="1204" spans="1:13">
      <c r="A1204">
        <v>1296</v>
      </c>
      <c r="B1204" s="331">
        <v>46162.833333333336</v>
      </c>
      <c r="C1204" t="s">
        <v>19</v>
      </c>
      <c r="D1204" t="s">
        <v>19</v>
      </c>
      <c r="E1204" t="s">
        <v>4</v>
      </c>
      <c r="F1204">
        <v>5454246</v>
      </c>
      <c r="G1204">
        <v>58755</v>
      </c>
      <c r="H1204">
        <v>707</v>
      </c>
      <c r="I1204">
        <v>5513708</v>
      </c>
      <c r="J1204">
        <v>115774</v>
      </c>
      <c r="K1204">
        <v>1250</v>
      </c>
      <c r="L1204">
        <v>3150764</v>
      </c>
      <c r="M1204">
        <v>3267788</v>
      </c>
    </row>
    <row r="1205" spans="1:13">
      <c r="A1205">
        <v>1297</v>
      </c>
      <c r="B1205" s="331">
        <v>46162.833333333336</v>
      </c>
      <c r="C1205" t="s">
        <v>106</v>
      </c>
      <c r="D1205" t="s">
        <v>106</v>
      </c>
      <c r="E1205" t="s">
        <v>4</v>
      </c>
      <c r="F1205">
        <v>2972331</v>
      </c>
      <c r="G1205">
        <v>39997</v>
      </c>
      <c r="H1205">
        <v>534</v>
      </c>
      <c r="I1205">
        <v>3012862</v>
      </c>
      <c r="J1205">
        <v>69614</v>
      </c>
      <c r="K1205">
        <v>920</v>
      </c>
      <c r="L1205">
        <v>1691455</v>
      </c>
      <c r="M1205">
        <v>1761989</v>
      </c>
    </row>
    <row r="1206" spans="1:13">
      <c r="A1206">
        <v>1298</v>
      </c>
      <c r="B1206" s="331">
        <v>46162.833333333336</v>
      </c>
      <c r="C1206" t="s">
        <v>895</v>
      </c>
      <c r="D1206" t="s">
        <v>895</v>
      </c>
      <c r="E1206" t="s">
        <v>372</v>
      </c>
      <c r="L1206">
        <v>777944</v>
      </c>
      <c r="M1206">
        <v>777944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"/>
  <sheetViews>
    <sheetView workbookViewId="0">
      <selection activeCell="E2" sqref="E2"/>
    </sheetView>
  </sheetViews>
  <sheetFormatPr defaultRowHeight="15"/>
  <cols>
    <col min="4" max="4" width="11.28515625" bestFit="1" customWidth="1"/>
    <col min="5" max="5" width="13.140625" bestFit="1" customWidth="1"/>
    <col min="8" max="8" width="13.7109375" bestFit="1" customWidth="1"/>
    <col min="9" max="9" width="11.28515625" bestFit="1" customWidth="1"/>
    <col min="10" max="10" width="13.28515625" bestFit="1" customWidth="1"/>
    <col min="11" max="11" width="13.140625" bestFit="1" customWidth="1"/>
    <col min="12" max="12" width="12.5703125" bestFit="1" customWidth="1"/>
    <col min="13" max="13" width="13.140625" bestFit="1" customWidth="1"/>
    <col min="14" max="15" width="13.28515625" bestFit="1" customWidth="1"/>
    <col min="16" max="16" width="13.140625" bestFit="1" customWidth="1"/>
    <col min="17" max="17" width="13.28515625" bestFit="1" customWidth="1"/>
    <col min="18" max="18" width="13" bestFit="1" customWidth="1"/>
    <col min="19" max="21" width="20.140625" bestFit="1" customWidth="1"/>
  </cols>
  <sheetData>
    <row r="1" spans="1:21" ht="60">
      <c r="A1" s="48" t="s">
        <v>0</v>
      </c>
      <c r="B1" s="48" t="s">
        <v>113</v>
      </c>
      <c r="C1" s="48" t="s">
        <v>43</v>
      </c>
      <c r="D1" s="48" t="s">
        <v>1</v>
      </c>
      <c r="E1" s="48" t="s">
        <v>114</v>
      </c>
      <c r="F1" s="48" t="s">
        <v>115</v>
      </c>
      <c r="G1" s="48" t="s">
        <v>116</v>
      </c>
      <c r="H1" s="48" t="s">
        <v>117</v>
      </c>
      <c r="I1" s="48" t="s">
        <v>118</v>
      </c>
      <c r="J1" s="48" t="s">
        <v>119</v>
      </c>
      <c r="K1" s="48" t="s">
        <v>120</v>
      </c>
      <c r="L1" s="48" t="s">
        <v>121</v>
      </c>
      <c r="M1" s="48" t="s">
        <v>122</v>
      </c>
      <c r="N1" s="48" t="s">
        <v>123</v>
      </c>
      <c r="O1" s="48" t="s">
        <v>124</v>
      </c>
      <c r="P1" s="48" t="s">
        <v>125</v>
      </c>
      <c r="Q1" s="48" t="s">
        <v>126</v>
      </c>
      <c r="R1" s="48" t="s">
        <v>127</v>
      </c>
      <c r="S1" s="48" t="s">
        <v>128</v>
      </c>
      <c r="T1" s="48" t="s">
        <v>129</v>
      </c>
      <c r="U1" s="48" t="s">
        <v>130</v>
      </c>
    </row>
    <row r="2" spans="1:21">
      <c r="A2" s="49">
        <v>1</v>
      </c>
      <c r="B2" s="50" t="s">
        <v>250</v>
      </c>
      <c r="C2" s="50" t="s">
        <v>251</v>
      </c>
      <c r="D2" s="52">
        <v>33824</v>
      </c>
      <c r="E2" s="52">
        <v>1249695</v>
      </c>
      <c r="F2" s="52">
        <v>100</v>
      </c>
      <c r="G2" s="52">
        <v>42.78</v>
      </c>
      <c r="H2" s="52">
        <v>99.98</v>
      </c>
      <c r="I2" s="50" t="s">
        <v>38</v>
      </c>
      <c r="J2" s="52">
        <v>95584.57</v>
      </c>
      <c r="K2" s="52">
        <v>7887.95</v>
      </c>
      <c r="L2" s="52">
        <v>0.67</v>
      </c>
      <c r="M2" s="52">
        <v>103472.52</v>
      </c>
      <c r="N2" s="52">
        <v>1540933</v>
      </c>
      <c r="O2" s="52">
        <v>94310.04</v>
      </c>
      <c r="P2" s="52">
        <v>94302.92</v>
      </c>
      <c r="Q2" s="52">
        <v>8625.23</v>
      </c>
      <c r="R2" s="52">
        <v>94.97</v>
      </c>
      <c r="S2" s="51">
        <v>45057.878472222219</v>
      </c>
      <c r="T2" s="51">
        <v>45057.880219907405</v>
      </c>
    </row>
    <row r="3" spans="1:21">
      <c r="A3" s="49">
        <v>2</v>
      </c>
      <c r="B3" s="50" t="s">
        <v>252</v>
      </c>
      <c r="C3" s="50" t="s">
        <v>251</v>
      </c>
      <c r="D3" s="52">
        <v>27045</v>
      </c>
      <c r="E3" s="52">
        <v>938502</v>
      </c>
      <c r="F3" s="52">
        <v>100</v>
      </c>
      <c r="G3" s="52">
        <v>32.18</v>
      </c>
      <c r="H3" s="52">
        <v>99.98</v>
      </c>
      <c r="I3" s="50" t="s">
        <v>38</v>
      </c>
      <c r="J3" s="52">
        <v>69503.31</v>
      </c>
      <c r="K3" s="52">
        <v>5865.06</v>
      </c>
      <c r="L3" s="52">
        <v>0.49</v>
      </c>
      <c r="M3" s="52">
        <v>75368.37</v>
      </c>
      <c r="N3" s="52">
        <v>1151461</v>
      </c>
      <c r="O3" s="52">
        <v>68134.899999999994</v>
      </c>
      <c r="P3" s="52">
        <v>68129.89</v>
      </c>
      <c r="Q3" s="52">
        <v>6155.9</v>
      </c>
      <c r="R3" s="52">
        <v>95.64</v>
      </c>
      <c r="S3" s="51">
        <v>45057.878472222219</v>
      </c>
      <c r="T3" s="51">
        <v>45057.880219907405</v>
      </c>
    </row>
    <row r="4" spans="1:21">
      <c r="A4" s="49">
        <v>3</v>
      </c>
      <c r="B4" s="50" t="s">
        <v>253</v>
      </c>
      <c r="C4" s="50" t="s">
        <v>251</v>
      </c>
      <c r="D4" s="52">
        <v>27394</v>
      </c>
      <c r="E4" s="52">
        <v>936170</v>
      </c>
      <c r="F4" s="52">
        <v>100</v>
      </c>
      <c r="G4" s="52">
        <v>32.119999999999997</v>
      </c>
      <c r="H4" s="52">
        <v>99.98</v>
      </c>
      <c r="I4" s="50" t="s">
        <v>38</v>
      </c>
      <c r="J4" s="52">
        <v>70063.94</v>
      </c>
      <c r="K4" s="52">
        <v>5866.42</v>
      </c>
      <c r="L4" s="52">
        <v>0.49</v>
      </c>
      <c r="M4" s="52">
        <v>75930.36</v>
      </c>
      <c r="N4" s="52">
        <v>1147352</v>
      </c>
      <c r="O4" s="52">
        <v>68500.070000000007</v>
      </c>
      <c r="P4" s="52">
        <v>68495.34</v>
      </c>
      <c r="Q4" s="52">
        <v>6170.76</v>
      </c>
      <c r="R4" s="52">
        <v>95.78</v>
      </c>
      <c r="S4" s="51">
        <v>45057.878472222219</v>
      </c>
      <c r="T4" s="51">
        <v>45057.880219907405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0"/>
  <sheetViews>
    <sheetView zoomScale="85" zoomScaleNormal="85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Q36" sqref="Q36:Q38"/>
    </sheetView>
  </sheetViews>
  <sheetFormatPr defaultRowHeight="15"/>
  <cols>
    <col min="1" max="1" width="8.7109375" style="122"/>
    <col min="4" max="4" width="9" bestFit="1" customWidth="1"/>
    <col min="5" max="6" width="12.7109375" customWidth="1"/>
    <col min="7" max="7" width="12.7109375" bestFit="1" customWidth="1"/>
    <col min="8" max="8" width="12.7109375" style="47" hidden="1" customWidth="1"/>
    <col min="9" max="9" width="12.7109375" bestFit="1" customWidth="1"/>
    <col min="10" max="12" width="11.140625" bestFit="1" customWidth="1"/>
    <col min="13" max="13" width="14.28515625" style="78" customWidth="1"/>
    <col min="14" max="15" width="12.28515625" style="79" customWidth="1"/>
    <col min="16" max="16" width="12.28515625" style="79" hidden="1" customWidth="1"/>
    <col min="17" max="17" width="12.28515625" style="139" customWidth="1"/>
    <col min="18" max="18" width="11" customWidth="1"/>
    <col min="19" max="19" width="8.85546875" hidden="1" customWidth="1"/>
    <col min="20" max="20" width="12.140625" style="47" bestFit="1" customWidth="1"/>
    <col min="21" max="21" width="8.85546875" hidden="1" customWidth="1"/>
    <col min="22" max="22" width="10.42578125" bestFit="1" customWidth="1"/>
    <col min="23" max="23" width="26" bestFit="1" customWidth="1"/>
    <col min="24" max="24" width="14.7109375" bestFit="1" customWidth="1"/>
    <col min="25" max="25" width="13.28515625" bestFit="1" customWidth="1"/>
    <col min="26" max="26" width="11.7109375" customWidth="1"/>
    <col min="27" max="27" width="13.28515625" bestFit="1" customWidth="1"/>
    <col min="28" max="28" width="14.28515625" bestFit="1" customWidth="1"/>
    <col min="29" max="29" width="12.85546875" customWidth="1"/>
    <col min="30" max="30" width="14.28515625" customWidth="1"/>
    <col min="31" max="31" width="13.28515625" bestFit="1" customWidth="1"/>
    <col min="32" max="32" width="11.140625" bestFit="1" customWidth="1"/>
    <col min="34" max="34" width="13.28515625" bestFit="1" customWidth="1"/>
  </cols>
  <sheetData>
    <row r="1" spans="1:29">
      <c r="W1">
        <f>70/120</f>
        <v>0.58333333333333337</v>
      </c>
    </row>
    <row r="2" spans="1:29" s="5" customFormat="1">
      <c r="A2" s="123" t="s">
        <v>234</v>
      </c>
      <c r="D2" s="80" t="str">
        <f>Input_TaiNguyenNode__GGSN_Daily!A4</f>
        <v>14/08/2024</v>
      </c>
      <c r="F2" s="5">
        <f>F6/E6</f>
        <v>0.50278229672312946</v>
      </c>
      <c r="H2" s="119"/>
      <c r="M2" s="81"/>
      <c r="N2" s="82"/>
      <c r="O2" s="82"/>
      <c r="P2" s="82"/>
      <c r="Q2" s="140"/>
      <c r="T2" s="119"/>
      <c r="U2" s="1220" t="s">
        <v>235</v>
      </c>
      <c r="V2" s="1220"/>
    </row>
    <row r="3" spans="1:29" ht="38.25">
      <c r="A3" s="6" t="s">
        <v>0</v>
      </c>
      <c r="B3" s="6" t="s">
        <v>7</v>
      </c>
      <c r="C3" s="6" t="s">
        <v>43</v>
      </c>
      <c r="D3" s="7" t="s">
        <v>103</v>
      </c>
      <c r="E3" s="6" t="s">
        <v>236</v>
      </c>
      <c r="F3" s="6" t="s">
        <v>237</v>
      </c>
      <c r="G3" s="6" t="s">
        <v>265</v>
      </c>
      <c r="H3" s="9" t="s">
        <v>260</v>
      </c>
      <c r="I3" s="6" t="s">
        <v>264</v>
      </c>
      <c r="J3" s="6" t="s">
        <v>52</v>
      </c>
      <c r="K3" s="6" t="s">
        <v>238</v>
      </c>
      <c r="L3" s="6" t="s">
        <v>239</v>
      </c>
      <c r="M3" s="6" t="s">
        <v>53</v>
      </c>
      <c r="N3" s="6" t="s">
        <v>54</v>
      </c>
      <c r="O3" s="6" t="s">
        <v>55</v>
      </c>
      <c r="P3" s="83" t="s">
        <v>56</v>
      </c>
      <c r="Q3" s="9" t="s">
        <v>267</v>
      </c>
      <c r="R3" s="6" t="s">
        <v>57</v>
      </c>
      <c r="S3" s="83" t="s">
        <v>240</v>
      </c>
      <c r="T3" s="9" t="s">
        <v>258</v>
      </c>
      <c r="U3" s="6" t="s">
        <v>57</v>
      </c>
      <c r="V3" s="84" t="s">
        <v>235</v>
      </c>
      <c r="W3" s="85"/>
      <c r="X3" s="1221" t="s">
        <v>241</v>
      </c>
      <c r="Y3" s="1222"/>
      <c r="Z3" s="86" t="s">
        <v>242</v>
      </c>
      <c r="AA3" s="87"/>
      <c r="AB3" s="78" t="s">
        <v>243</v>
      </c>
      <c r="AC3" s="78" t="s">
        <v>244</v>
      </c>
    </row>
    <row r="4" spans="1:29">
      <c r="A4" s="88">
        <v>1</v>
      </c>
      <c r="B4" s="89" t="s">
        <v>58</v>
      </c>
      <c r="C4" s="89" t="s">
        <v>4</v>
      </c>
      <c r="D4" s="90" t="s">
        <v>15</v>
      </c>
      <c r="E4" s="91">
        <f>VLOOKUP($B4,Input_TaiNguyenNode__GGSN_Daily!$D:$AC,4,FALSE)</f>
        <v>61702.46</v>
      </c>
      <c r="F4" s="91">
        <f>VLOOKUP($B4,Input_TaiNguyenNode__GGSN_Daily!$D:$AC,8,FALSE)</f>
        <v>33826.19</v>
      </c>
      <c r="G4" s="91">
        <v>60000</v>
      </c>
      <c r="H4" s="103">
        <v>70000</v>
      </c>
      <c r="I4" s="91" t="e">
        <f>VLOOKUP(B4,Resource_GGSN_by_NPMS!B:AD,83,FALSE)</f>
        <v>#REF!</v>
      </c>
      <c r="J4" s="1223">
        <f>E4+E5</f>
        <v>124274.26000000001</v>
      </c>
      <c r="K4" s="1223">
        <f>F4+F5</f>
        <v>67981.23000000001</v>
      </c>
      <c r="L4" s="1223">
        <f>G4+G5</f>
        <v>120000</v>
      </c>
      <c r="M4" s="1224" t="s">
        <v>59</v>
      </c>
      <c r="N4" s="1225">
        <f>J4</f>
        <v>124274.26000000001</v>
      </c>
      <c r="O4" s="1225">
        <v>120000</v>
      </c>
      <c r="P4" s="1225">
        <v>120000</v>
      </c>
      <c r="Q4" s="1229">
        <v>120000</v>
      </c>
      <c r="R4" s="1214">
        <f>N4/O4</f>
        <v>1.0356188333333334</v>
      </c>
      <c r="S4" s="1227">
        <f>N4/P4</f>
        <v>1.0356188333333334</v>
      </c>
      <c r="T4" s="1208">
        <f>(J4-K4)/O4</f>
        <v>0.46910858333333333</v>
      </c>
      <c r="U4" s="1214">
        <f>(J4-F4)*1.1/O4</f>
        <v>0.82910730833333357</v>
      </c>
      <c r="V4" s="92" t="s">
        <v>245</v>
      </c>
      <c r="W4" s="92"/>
      <c r="X4" s="54">
        <f>E4-F4</f>
        <v>27876.269999999997</v>
      </c>
      <c r="Y4" s="93">
        <f>X4+X5</f>
        <v>56293.03</v>
      </c>
      <c r="Z4" s="94">
        <f>Y4*1.1/O4</f>
        <v>0.51601944166666669</v>
      </c>
      <c r="AA4" s="54"/>
      <c r="AB4" s="54">
        <v>32890</v>
      </c>
      <c r="AC4" s="54">
        <v>33116.22</v>
      </c>
    </row>
    <row r="5" spans="1:29">
      <c r="A5" s="88">
        <f>A4+1</f>
        <v>2</v>
      </c>
      <c r="B5" s="89" t="s">
        <v>60</v>
      </c>
      <c r="C5" s="89" t="s">
        <v>4</v>
      </c>
      <c r="D5" s="90" t="s">
        <v>15</v>
      </c>
      <c r="E5" s="91">
        <f>VLOOKUP(B5,Input_TaiNguyenNode__GGSN_Daily!D:AC,4,FALSE)</f>
        <v>62571.8</v>
      </c>
      <c r="F5" s="91">
        <f>VLOOKUP($B5,Input_TaiNguyenNode__GGSN_Daily!$D:$AC,8,FALSE)</f>
        <v>34155.040000000001</v>
      </c>
      <c r="G5" s="91">
        <v>60000</v>
      </c>
      <c r="H5" s="103">
        <v>70000</v>
      </c>
      <c r="I5" s="91" t="e">
        <f>VLOOKUP(B5,Resource_GGSN_by_NPMS!B:AD,83,FALSE)</f>
        <v>#REF!</v>
      </c>
      <c r="J5" s="1223"/>
      <c r="K5" s="1223"/>
      <c r="L5" s="1223"/>
      <c r="M5" s="1224"/>
      <c r="N5" s="1226"/>
      <c r="O5" s="1226"/>
      <c r="P5" s="1226"/>
      <c r="Q5" s="1230"/>
      <c r="R5" s="1215"/>
      <c r="S5" s="1228"/>
      <c r="T5" s="1210"/>
      <c r="U5" s="1215"/>
      <c r="V5" s="92" t="s">
        <v>245</v>
      </c>
      <c r="W5" s="92"/>
      <c r="X5" s="54">
        <f>E5-F5</f>
        <v>28416.760000000002</v>
      </c>
      <c r="AB5" s="54">
        <v>0</v>
      </c>
      <c r="AC5" s="54">
        <v>0</v>
      </c>
    </row>
    <row r="6" spans="1:29">
      <c r="A6" s="88">
        <f t="shared" ref="A6:A38" si="0">A5+1</f>
        <v>3</v>
      </c>
      <c r="B6" s="89" t="s">
        <v>61</v>
      </c>
      <c r="C6" s="89" t="s">
        <v>4</v>
      </c>
      <c r="D6" s="90" t="s">
        <v>15</v>
      </c>
      <c r="E6" s="91">
        <f>VLOOKUP(B6,Input_TaiNguyenNode__GGSN_Daily!D:AC,4,FALSE)</f>
        <v>54843.18</v>
      </c>
      <c r="F6" s="91">
        <f>VLOOKUP($B6,Input_TaiNguyenNode__GGSN_Daily!$D:$AC,8,FALSE)</f>
        <v>27574.18</v>
      </c>
      <c r="G6" s="91">
        <v>60000</v>
      </c>
      <c r="H6" s="103">
        <v>80000</v>
      </c>
      <c r="I6" s="91" t="e">
        <f>VLOOKUP(B6,Resource_GGSN_by_NPMS!B:AD,83,FALSE)</f>
        <v>#REF!</v>
      </c>
      <c r="J6" s="1231">
        <f>SUM(E6:E14)</f>
        <v>633565.03</v>
      </c>
      <c r="K6" s="1231">
        <f>SUM(F6:F14)+SUM(E13:E14)*0.3</f>
        <v>310898.56400000001</v>
      </c>
      <c r="L6" s="1231">
        <f>SUM(G6:G14)</f>
        <v>840000</v>
      </c>
      <c r="M6" s="1234" t="s">
        <v>62</v>
      </c>
      <c r="N6" s="1231">
        <f>J6</f>
        <v>633565.03</v>
      </c>
      <c r="O6" s="1231">
        <f>52*8000</f>
        <v>416000</v>
      </c>
      <c r="P6" s="1237">
        <v>400000</v>
      </c>
      <c r="Q6" s="959">
        <f>52*8000</f>
        <v>416000</v>
      </c>
      <c r="R6" s="1240">
        <f>N6/O6</f>
        <v>1.5229928605769232</v>
      </c>
      <c r="S6" s="1243">
        <f>N6/P6</f>
        <v>1.583912575</v>
      </c>
      <c r="T6" s="1205">
        <f>(J6-K6)/O6</f>
        <v>0.77564054326923082</v>
      </c>
      <c r="U6" s="1219">
        <f>(J6-F6-F7-F10+20000*0.7)*1.1/O6</f>
        <v>1.5173539086538466</v>
      </c>
      <c r="V6" s="92" t="s">
        <v>245</v>
      </c>
      <c r="W6" s="92"/>
      <c r="X6" s="54">
        <f>E6-F6</f>
        <v>27269</v>
      </c>
      <c r="Y6" s="54">
        <f>SUM(X6:X14)</f>
        <v>322955.74999999994</v>
      </c>
      <c r="Z6" s="94">
        <f>Y6*1.1/O6</f>
        <v>0.85396953124999986</v>
      </c>
      <c r="AB6" s="54">
        <v>143194.03999999998</v>
      </c>
      <c r="AC6" s="54">
        <v>127266</v>
      </c>
    </row>
    <row r="7" spans="1:29">
      <c r="A7" s="88">
        <f t="shared" si="0"/>
        <v>4</v>
      </c>
      <c r="B7" s="89" t="s">
        <v>63</v>
      </c>
      <c r="C7" s="89" t="s">
        <v>4</v>
      </c>
      <c r="D7" s="90" t="s">
        <v>15</v>
      </c>
      <c r="E7" s="91">
        <f>VLOOKUP(B7,Input_TaiNguyenNode__GGSN_Daily!D:AC,4,FALSE)</f>
        <v>61411.57</v>
      </c>
      <c r="F7" s="91">
        <v>5254.72</v>
      </c>
      <c r="G7" s="91">
        <v>60000</v>
      </c>
      <c r="H7" s="103">
        <v>80000</v>
      </c>
      <c r="I7" s="91" t="e">
        <f>VLOOKUP(B7,Resource_GGSN_by_NPMS!B:AD,83,FALSE)</f>
        <v>#REF!</v>
      </c>
      <c r="J7" s="1232"/>
      <c r="K7" s="1232"/>
      <c r="L7" s="1232"/>
      <c r="M7" s="1235"/>
      <c r="N7" s="1232"/>
      <c r="O7" s="1232"/>
      <c r="P7" s="1238"/>
      <c r="Q7" s="960"/>
      <c r="R7" s="1241"/>
      <c r="S7" s="1244"/>
      <c r="T7" s="1206"/>
      <c r="U7" s="1219"/>
      <c r="V7" s="92" t="s">
        <v>245</v>
      </c>
      <c r="W7" s="92"/>
      <c r="X7" s="54">
        <f t="shared" ref="X7:X38" si="1">E7-F7</f>
        <v>56156.85</v>
      </c>
      <c r="AB7" s="54">
        <v>0</v>
      </c>
      <c r="AC7" s="54">
        <v>0</v>
      </c>
    </row>
    <row r="8" spans="1:29">
      <c r="A8" s="88">
        <f t="shared" si="0"/>
        <v>5</v>
      </c>
      <c r="B8" s="34" t="s">
        <v>64</v>
      </c>
      <c r="C8" s="34" t="s">
        <v>4</v>
      </c>
      <c r="D8" s="35" t="s">
        <v>15</v>
      </c>
      <c r="E8" s="36">
        <f>VLOOKUP(B8,Input_TaiNguyenNode__GGSN_Daily!D:AC,4,FALSE)</f>
        <v>108445.23</v>
      </c>
      <c r="F8" s="36">
        <f>VLOOKUP($B8,Input_TaiNguyenNode__GGSN_Daily!$D:$AC,8,FALSE)</f>
        <v>58228.98</v>
      </c>
      <c r="G8" s="36">
        <v>130000</v>
      </c>
      <c r="H8" s="131">
        <v>150000</v>
      </c>
      <c r="I8" s="91" t="e">
        <f>VLOOKUP(B8,Resource_GGSN_by_NPMS!B:AD,83,FALSE)</f>
        <v>#REF!</v>
      </c>
      <c r="J8" s="1232"/>
      <c r="K8" s="1232"/>
      <c r="L8" s="1232"/>
      <c r="M8" s="1235"/>
      <c r="N8" s="1232"/>
      <c r="O8" s="1232"/>
      <c r="P8" s="1238"/>
      <c r="Q8" s="960"/>
      <c r="R8" s="1241"/>
      <c r="S8" s="1244"/>
      <c r="T8" s="1206"/>
      <c r="U8" s="1219"/>
      <c r="V8" s="92" t="s">
        <v>245</v>
      </c>
      <c r="W8" s="92"/>
      <c r="X8" s="54">
        <f t="shared" si="1"/>
        <v>50216.249999999993</v>
      </c>
      <c r="AB8" s="54">
        <v>0</v>
      </c>
      <c r="AC8" s="54">
        <v>0</v>
      </c>
    </row>
    <row r="9" spans="1:29">
      <c r="A9" s="88">
        <f t="shared" si="0"/>
        <v>6</v>
      </c>
      <c r="B9" s="34" t="s">
        <v>65</v>
      </c>
      <c r="C9" s="34" t="s">
        <v>4</v>
      </c>
      <c r="D9" s="35" t="s">
        <v>15</v>
      </c>
      <c r="E9" s="36">
        <f>VLOOKUP(B9,Input_TaiNguyenNode__GGSN_Daily!D:AC,4,FALSE)</f>
        <v>106231.56</v>
      </c>
      <c r="F9" s="36">
        <f>VLOOKUP($B9,Input_TaiNguyenNode__GGSN_Daily!$D:$AC,8,FALSE)</f>
        <v>57755.69</v>
      </c>
      <c r="G9" s="36">
        <v>130000</v>
      </c>
      <c r="H9" s="103">
        <v>150000</v>
      </c>
      <c r="I9" s="91" t="e">
        <f>VLOOKUP(B9,Resource_GGSN_by_NPMS!B:AD,83,FALSE)</f>
        <v>#REF!</v>
      </c>
      <c r="J9" s="1232"/>
      <c r="K9" s="1232"/>
      <c r="L9" s="1232"/>
      <c r="M9" s="1235"/>
      <c r="N9" s="1232"/>
      <c r="O9" s="1232"/>
      <c r="P9" s="1238"/>
      <c r="Q9" s="960"/>
      <c r="R9" s="1241"/>
      <c r="S9" s="1244"/>
      <c r="T9" s="1206"/>
      <c r="U9" s="1219"/>
      <c r="V9" s="92" t="s">
        <v>245</v>
      </c>
      <c r="W9" s="92"/>
      <c r="X9" s="54">
        <f t="shared" si="1"/>
        <v>48475.869999999995</v>
      </c>
      <c r="AB9" s="54">
        <v>0</v>
      </c>
      <c r="AC9" s="54">
        <v>0</v>
      </c>
    </row>
    <row r="10" spans="1:29">
      <c r="A10" s="88">
        <f t="shared" si="0"/>
        <v>7</v>
      </c>
      <c r="B10" s="34" t="s">
        <v>66</v>
      </c>
      <c r="C10" s="34" t="s">
        <v>4</v>
      </c>
      <c r="D10" s="35" t="s">
        <v>15</v>
      </c>
      <c r="E10" s="36">
        <f>VLOOKUP(B10,Input_TaiNguyenNode__GGSN_Daily!D:AC,4,FALSE)</f>
        <v>77001.42</v>
      </c>
      <c r="F10" s="36">
        <f>VLOOKUP($B10,Input_TaiNguyenNode__GGSN_Daily!$D:$AC,8,FALSE)</f>
        <v>40900.47</v>
      </c>
      <c r="G10" s="36">
        <v>80000</v>
      </c>
      <c r="H10" s="103">
        <v>100000</v>
      </c>
      <c r="I10" s="91" t="e">
        <f>VLOOKUP(B10,Resource_GGSN_by_NPMS!B:AD,83,FALSE)</f>
        <v>#REF!</v>
      </c>
      <c r="J10" s="1232"/>
      <c r="K10" s="1232"/>
      <c r="L10" s="1232"/>
      <c r="M10" s="1235"/>
      <c r="N10" s="1232"/>
      <c r="O10" s="1232"/>
      <c r="P10" s="1238"/>
      <c r="Q10" s="960"/>
      <c r="R10" s="1241"/>
      <c r="S10" s="1244"/>
      <c r="T10" s="1206"/>
      <c r="U10" s="1219"/>
      <c r="V10" s="92" t="s">
        <v>245</v>
      </c>
      <c r="X10" s="54">
        <f t="shared" si="1"/>
        <v>36100.949999999997</v>
      </c>
      <c r="AB10" s="54">
        <v>0</v>
      </c>
      <c r="AC10" s="54">
        <v>0</v>
      </c>
    </row>
    <row r="11" spans="1:29">
      <c r="A11" s="88">
        <f t="shared" si="0"/>
        <v>8</v>
      </c>
      <c r="B11" s="34" t="s">
        <v>67</v>
      </c>
      <c r="C11" s="34" t="s">
        <v>4</v>
      </c>
      <c r="D11" s="35" t="s">
        <v>15</v>
      </c>
      <c r="E11" s="36">
        <f>VLOOKUP(B11,Input_TaiNguyenNode__GGSN_Daily!D:AC,4,FALSE)</f>
        <v>108911.94</v>
      </c>
      <c r="F11" s="36">
        <f>VLOOKUP($B11,Input_TaiNguyenNode__GGSN_Daily!$D:$AC,8,FALSE)</f>
        <v>59303.63</v>
      </c>
      <c r="G11" s="36">
        <v>130000</v>
      </c>
      <c r="H11" s="103">
        <v>150000</v>
      </c>
      <c r="I11" s="91" t="e">
        <f>VLOOKUP(B11,Resource_GGSN_by_NPMS!B:AD,83,FALSE)</f>
        <v>#REF!</v>
      </c>
      <c r="J11" s="1232"/>
      <c r="K11" s="1232"/>
      <c r="L11" s="1232"/>
      <c r="M11" s="1235"/>
      <c r="N11" s="1232"/>
      <c r="O11" s="1232"/>
      <c r="P11" s="1238"/>
      <c r="Q11" s="960"/>
      <c r="R11" s="1241"/>
      <c r="S11" s="1244"/>
      <c r="T11" s="1206"/>
      <c r="U11" s="1219"/>
      <c r="V11" s="92" t="s">
        <v>245</v>
      </c>
      <c r="X11" s="54">
        <f t="shared" si="1"/>
        <v>49608.310000000005</v>
      </c>
      <c r="Z11" s="94"/>
      <c r="AB11" s="54">
        <v>0</v>
      </c>
      <c r="AC11" s="54">
        <v>0</v>
      </c>
    </row>
    <row r="12" spans="1:29">
      <c r="A12" s="88">
        <f t="shared" si="0"/>
        <v>9</v>
      </c>
      <c r="B12" s="89" t="s">
        <v>68</v>
      </c>
      <c r="C12" s="89" t="s">
        <v>4</v>
      </c>
      <c r="D12" s="90" t="s">
        <v>15</v>
      </c>
      <c r="E12" s="91">
        <f>VLOOKUP(B12,Input_TaiNguyenNode__GGSN_Daily!D:AC,4,FALSE)</f>
        <v>108850.65</v>
      </c>
      <c r="F12" s="91">
        <f>VLOOKUP($B12,Input_TaiNguyenNode__GGSN_Daily!$D:$AC,8,FALSE)</f>
        <v>59520.05</v>
      </c>
      <c r="G12" s="91">
        <v>130000</v>
      </c>
      <c r="H12" s="103">
        <v>150000</v>
      </c>
      <c r="I12" s="91" t="e">
        <f>VLOOKUP(B12,Resource_GGSN_by_NPMS!B:AD,83,FALSE)</f>
        <v>#REF!</v>
      </c>
      <c r="J12" s="1232"/>
      <c r="K12" s="1232"/>
      <c r="L12" s="1232"/>
      <c r="M12" s="1235"/>
      <c r="N12" s="1232"/>
      <c r="O12" s="1232"/>
      <c r="P12" s="1238"/>
      <c r="Q12" s="960"/>
      <c r="R12" s="1241"/>
      <c r="S12" s="1244"/>
      <c r="T12" s="1206"/>
      <c r="U12" s="1219"/>
      <c r="V12" s="92" t="s">
        <v>245</v>
      </c>
      <c r="W12" s="57">
        <f>(N6+40000)/O6</f>
        <v>1.6191467067307692</v>
      </c>
      <c r="X12" s="54">
        <f t="shared" si="1"/>
        <v>49330.599999999991</v>
      </c>
      <c r="AB12" s="54">
        <v>0</v>
      </c>
      <c r="AC12" s="54">
        <v>0</v>
      </c>
    </row>
    <row r="13" spans="1:29">
      <c r="A13" s="88">
        <f t="shared" si="0"/>
        <v>10</v>
      </c>
      <c r="B13" s="95" t="s">
        <v>256</v>
      </c>
      <c r="C13" s="95" t="s">
        <v>249</v>
      </c>
      <c r="D13" s="90" t="s">
        <v>15</v>
      </c>
      <c r="E13" s="91">
        <f>VLOOKUP(B13,Input_TaiNguyenNode__GGSN_Daily!D:AC,4,FALSE)</f>
        <v>2071.56</v>
      </c>
      <c r="F13" s="97"/>
      <c r="G13" s="97">
        <v>60000</v>
      </c>
      <c r="H13" s="97">
        <v>60000</v>
      </c>
      <c r="I13" s="91"/>
      <c r="J13" s="1232"/>
      <c r="K13" s="1232"/>
      <c r="L13" s="1232"/>
      <c r="M13" s="1235"/>
      <c r="N13" s="1232"/>
      <c r="O13" s="1232"/>
      <c r="P13" s="1238"/>
      <c r="Q13" s="960"/>
      <c r="R13" s="1241"/>
      <c r="S13" s="1244"/>
      <c r="T13" s="1206"/>
      <c r="U13" s="1219"/>
      <c r="V13" s="92" t="s">
        <v>245</v>
      </c>
      <c r="W13" s="57"/>
      <c r="X13" s="54"/>
      <c r="AB13" s="54"/>
      <c r="AC13" s="54"/>
    </row>
    <row r="14" spans="1:29">
      <c r="A14" s="88">
        <f t="shared" si="0"/>
        <v>11</v>
      </c>
      <c r="B14" s="95" t="s">
        <v>248</v>
      </c>
      <c r="C14" s="95" t="s">
        <v>249</v>
      </c>
      <c r="D14" s="96" t="s">
        <v>15</v>
      </c>
      <c r="E14" s="91">
        <f>VLOOKUP(B14,Input_TaiNguyenNode__GGSN_Daily!D:AC,4,FALSE)</f>
        <v>5797.92</v>
      </c>
      <c r="F14" s="97"/>
      <c r="G14" s="97">
        <v>60000</v>
      </c>
      <c r="H14" s="97">
        <v>60000</v>
      </c>
      <c r="I14" s="91"/>
      <c r="J14" s="1233"/>
      <c r="K14" s="1233"/>
      <c r="L14" s="1233"/>
      <c r="M14" s="1236"/>
      <c r="N14" s="1233"/>
      <c r="O14" s="1233"/>
      <c r="P14" s="1239"/>
      <c r="Q14" s="961"/>
      <c r="R14" s="1242"/>
      <c r="S14" s="1245"/>
      <c r="T14" s="1207"/>
      <c r="U14" s="1219"/>
      <c r="V14" s="92" t="s">
        <v>245</v>
      </c>
      <c r="X14" s="54">
        <f t="shared" si="1"/>
        <v>5797.92</v>
      </c>
      <c r="AB14" s="54"/>
      <c r="AC14" s="54"/>
    </row>
    <row r="15" spans="1:29" s="137" customFormat="1">
      <c r="A15" s="128">
        <f>A12+1</f>
        <v>10</v>
      </c>
      <c r="B15" s="129" t="s">
        <v>69</v>
      </c>
      <c r="C15" s="129" t="s">
        <v>4</v>
      </c>
      <c r="D15" s="130" t="s">
        <v>15</v>
      </c>
      <c r="E15" s="131">
        <f>VLOOKUP(B15,Input_TaiNguyenNode__GGSN_Daily!D:AC,4,FALSE)</f>
        <v>124189</v>
      </c>
      <c r="F15" s="131">
        <f>VLOOKUP($B15,Input_TaiNguyenNode__GGSN_Daily!$D:$AC,8,FALSE)</f>
        <v>67358.289999999994</v>
      </c>
      <c r="G15" s="131">
        <v>200000</v>
      </c>
      <c r="H15" s="131">
        <v>130000</v>
      </c>
      <c r="I15" s="91" t="e">
        <f>VLOOKUP(B15,Resource_GGSN_by_NPMS!B:AD,83,FALSE)</f>
        <v>#REF!</v>
      </c>
      <c r="J15" s="933">
        <f>SUM(E15:E18)</f>
        <v>491528.63</v>
      </c>
      <c r="K15" s="933">
        <f>F15+F16+F17+F18</f>
        <v>268192.25999999995</v>
      </c>
      <c r="L15" s="933">
        <f>G17+G18+G17+G18</f>
        <v>800000</v>
      </c>
      <c r="M15" s="1246" t="s">
        <v>70</v>
      </c>
      <c r="N15" s="1289">
        <f>J15</f>
        <v>491528.63</v>
      </c>
      <c r="O15" s="933">
        <v>416000</v>
      </c>
      <c r="P15" s="1252">
        <v>312000</v>
      </c>
      <c r="Q15" s="959">
        <f>52*8000</f>
        <v>416000</v>
      </c>
      <c r="R15" s="965">
        <f>N15/O15</f>
        <v>1.1815592067307692</v>
      </c>
      <c r="S15" s="1216">
        <f>N15/P15</f>
        <v>1.5754122756410256</v>
      </c>
      <c r="T15" s="1290">
        <f>(J15-K15)/O15</f>
        <v>0.53686627403846165</v>
      </c>
      <c r="U15" s="1211">
        <f>(J15-F15)*1.1/O15</f>
        <v>1.121604264423077</v>
      </c>
      <c r="V15" s="134" t="s">
        <v>245</v>
      </c>
      <c r="W15" s="134"/>
      <c r="X15" s="135">
        <f>E15-F15</f>
        <v>56830.710000000006</v>
      </c>
      <c r="Y15" s="135">
        <f>SUM(X15:X16)</f>
        <v>113713.08</v>
      </c>
      <c r="Z15" s="136">
        <f>Y15*1.1/O15</f>
        <v>0.30068362500000001</v>
      </c>
      <c r="AB15" s="135" t="e">
        <v>#VALUE!</v>
      </c>
      <c r="AC15" s="135" t="e">
        <v>#VALUE!</v>
      </c>
    </row>
    <row r="16" spans="1:29" s="137" customFormat="1">
      <c r="A16" s="128">
        <f t="shared" si="0"/>
        <v>11</v>
      </c>
      <c r="B16" s="129" t="s">
        <v>71</v>
      </c>
      <c r="C16" s="129" t="s">
        <v>4</v>
      </c>
      <c r="D16" s="130" t="s">
        <v>15</v>
      </c>
      <c r="E16" s="131">
        <f>VLOOKUP(B16,Input_TaiNguyenNode__GGSN_Daily!D:AC,4,FALSE)</f>
        <v>125106.69</v>
      </c>
      <c r="F16" s="131">
        <f>VLOOKUP($B16,Input_TaiNguyenNode__GGSN_Daily!$D:$AC,8,FALSE)</f>
        <v>68224.320000000007</v>
      </c>
      <c r="G16" s="131">
        <v>200000</v>
      </c>
      <c r="H16" s="131">
        <v>130000</v>
      </c>
      <c r="I16" s="91" t="e">
        <f>VLOOKUP(B16,Resource_GGSN_by_NPMS!B:AD,83,FALSE)</f>
        <v>#REF!</v>
      </c>
      <c r="J16" s="934"/>
      <c r="K16" s="934"/>
      <c r="L16" s="934"/>
      <c r="M16" s="1247"/>
      <c r="N16" s="963"/>
      <c r="O16" s="934"/>
      <c r="P16" s="1254"/>
      <c r="Q16" s="960"/>
      <c r="R16" s="966"/>
      <c r="S16" s="1218"/>
      <c r="T16" s="1291"/>
      <c r="U16" s="1213"/>
      <c r="V16" s="134" t="s">
        <v>245</v>
      </c>
      <c r="W16" s="134"/>
      <c r="X16" s="135">
        <f>E16-F16</f>
        <v>56882.369999999995</v>
      </c>
      <c r="AB16" s="135" t="e">
        <v>#VALUE!</v>
      </c>
      <c r="AC16" s="135" t="e">
        <v>#VALUE!</v>
      </c>
    </row>
    <row r="17" spans="1:29" s="137" customFormat="1">
      <c r="A17" s="128">
        <f>A14+1</f>
        <v>12</v>
      </c>
      <c r="B17" s="129" t="s">
        <v>277</v>
      </c>
      <c r="C17" s="129" t="s">
        <v>4</v>
      </c>
      <c r="D17" s="130" t="s">
        <v>15</v>
      </c>
      <c r="E17" s="131">
        <f>VLOOKUP(B17,Input_TaiNguyenNode__GGSN_Daily!D:AC,4,FALSE)</f>
        <v>121080.75</v>
      </c>
      <c r="F17" s="131">
        <f>VLOOKUP($B17,Input_TaiNguyenNode__GGSN_Daily!$D:$AC,8,FALSE)</f>
        <v>66389.61</v>
      </c>
      <c r="G17" s="131">
        <v>200000</v>
      </c>
      <c r="H17" s="131">
        <v>130000</v>
      </c>
      <c r="I17" s="91" t="e">
        <f>VLOOKUP(B17,Resource_GGSN_by_NPMS!B:AD,83,FALSE)</f>
        <v>#REF!</v>
      </c>
      <c r="J17" s="934"/>
      <c r="K17" s="934"/>
      <c r="L17" s="934"/>
      <c r="M17" s="1247"/>
      <c r="N17" s="963"/>
      <c r="O17" s="934"/>
      <c r="P17" s="1252">
        <v>312000</v>
      </c>
      <c r="Q17" s="960"/>
      <c r="R17" s="966"/>
      <c r="S17" s="1216">
        <f>N17/P17</f>
        <v>0</v>
      </c>
      <c r="T17" s="1291"/>
      <c r="U17" s="1211" t="e">
        <f>(J17-F17)*1.1/O17</f>
        <v>#DIV/0!</v>
      </c>
      <c r="V17" s="134" t="s">
        <v>245</v>
      </c>
      <c r="W17" s="134"/>
      <c r="X17" s="135">
        <f t="shared" si="1"/>
        <v>54691.14</v>
      </c>
      <c r="Y17" s="135">
        <f>SUM(X17:X18)</f>
        <v>109623.29000000001</v>
      </c>
      <c r="Z17" s="136" t="e">
        <f>Y17*1.1/O17</f>
        <v>#DIV/0!</v>
      </c>
      <c r="AB17" s="135" t="e">
        <v>#VALUE!</v>
      </c>
      <c r="AC17" s="135" t="e">
        <v>#VALUE!</v>
      </c>
    </row>
    <row r="18" spans="1:29" s="137" customFormat="1">
      <c r="A18" s="128">
        <f t="shared" si="0"/>
        <v>13</v>
      </c>
      <c r="B18" s="129" t="s">
        <v>278</v>
      </c>
      <c r="C18" s="129" t="s">
        <v>4</v>
      </c>
      <c r="D18" s="130" t="s">
        <v>15</v>
      </c>
      <c r="E18" s="131">
        <f>VLOOKUP(B18,Input_TaiNguyenNode__GGSN_Daily!D:AC,4,FALSE)</f>
        <v>121152.19</v>
      </c>
      <c r="F18" s="131">
        <f>VLOOKUP($B18,Input_TaiNguyenNode__GGSN_Daily!$D:$AC,8,FALSE)</f>
        <v>66220.039999999994</v>
      </c>
      <c r="G18" s="131">
        <v>200000</v>
      </c>
      <c r="H18" s="131">
        <v>130000</v>
      </c>
      <c r="I18" s="91" t="e">
        <f>VLOOKUP(B18,Resource_GGSN_by_NPMS!B:AD,83,FALSE)</f>
        <v>#REF!</v>
      </c>
      <c r="J18" s="935"/>
      <c r="K18" s="935"/>
      <c r="L18" s="935"/>
      <c r="M18" s="1248"/>
      <c r="N18" s="964"/>
      <c r="O18" s="935"/>
      <c r="P18" s="1254"/>
      <c r="Q18" s="961"/>
      <c r="R18" s="967"/>
      <c r="S18" s="1218"/>
      <c r="T18" s="1292"/>
      <c r="U18" s="1213"/>
      <c r="V18" s="134" t="s">
        <v>245</v>
      </c>
      <c r="W18" s="134"/>
      <c r="X18" s="135">
        <f t="shared" si="1"/>
        <v>54932.150000000009</v>
      </c>
      <c r="AB18" s="135" t="e">
        <v>#VALUE!</v>
      </c>
      <c r="AC18" s="135" t="e">
        <v>#VALUE!</v>
      </c>
    </row>
    <row r="19" spans="1:29" s="137" customFormat="1">
      <c r="A19" s="128">
        <f t="shared" si="0"/>
        <v>14</v>
      </c>
      <c r="B19" s="129" t="s">
        <v>72</v>
      </c>
      <c r="C19" s="129" t="s">
        <v>4</v>
      </c>
      <c r="D19" s="130" t="s">
        <v>15</v>
      </c>
      <c r="E19" s="131">
        <f>VLOOKUP(B19,Input_TaiNguyenNode__GGSN_Daily!D:AC,4,FALSE)</f>
        <v>125682.64</v>
      </c>
      <c r="F19" s="131">
        <f>VLOOKUP($B19,Input_TaiNguyenNode__GGSN_Daily!$D:$AC,8,FALSE)</f>
        <v>68974.289999999994</v>
      </c>
      <c r="G19" s="131">
        <v>200000</v>
      </c>
      <c r="H19" s="131">
        <v>130000</v>
      </c>
      <c r="I19" s="91" t="e">
        <f>VLOOKUP(B19,Resource_GGSN_by_NPMS!B:AD,83,FALSE)</f>
        <v>#REF!</v>
      </c>
      <c r="J19" s="933">
        <f>SUM(E19:E21)</f>
        <v>374706.92</v>
      </c>
      <c r="K19" s="933">
        <f>F19+F20+F21</f>
        <v>205019.43</v>
      </c>
      <c r="L19" s="933">
        <f>G19+G20+G21</f>
        <v>600000</v>
      </c>
      <c r="M19" s="1246" t="s">
        <v>73</v>
      </c>
      <c r="N19" s="1249">
        <f>J19</f>
        <v>374706.92</v>
      </c>
      <c r="O19" s="1252">
        <v>416000</v>
      </c>
      <c r="P19" s="1252">
        <v>312000</v>
      </c>
      <c r="Q19" s="1255">
        <f>52*8000</f>
        <v>416000</v>
      </c>
      <c r="R19" s="1216">
        <f>N19/O19</f>
        <v>0.9007377884615384</v>
      </c>
      <c r="S19" s="1216">
        <f>N19/P19</f>
        <v>1.2009837179487179</v>
      </c>
      <c r="T19" s="1211">
        <f>(J19-K19)/O19</f>
        <v>0.40790262019230766</v>
      </c>
      <c r="U19" s="1211">
        <f>(J19-F19)*1.1/O19</f>
        <v>0.80842762740384622</v>
      </c>
      <c r="V19" s="134" t="s">
        <v>245</v>
      </c>
      <c r="W19" s="138">
        <f>(N6+20000)/O6</f>
        <v>1.5710697836538463</v>
      </c>
      <c r="X19" s="135">
        <f t="shared" si="1"/>
        <v>56708.350000000006</v>
      </c>
      <c r="Y19" s="135">
        <f>SUM(X19:X21)</f>
        <v>169687.49</v>
      </c>
      <c r="Z19" s="136">
        <f>Y19*1.1/O19</f>
        <v>0.44869288221153847</v>
      </c>
      <c r="AB19" s="135" t="e">
        <v>#VALUE!</v>
      </c>
      <c r="AC19" s="135" t="e">
        <v>#VALUE!</v>
      </c>
    </row>
    <row r="20" spans="1:29" s="137" customFormat="1">
      <c r="A20" s="128">
        <f>A18+1</f>
        <v>14</v>
      </c>
      <c r="B20" s="129" t="s">
        <v>74</v>
      </c>
      <c r="C20" s="129" t="s">
        <v>4</v>
      </c>
      <c r="D20" s="130" t="s">
        <v>15</v>
      </c>
      <c r="E20" s="131">
        <f>VLOOKUP(B20,Input_TaiNguyenNode__GGSN_Daily!D:AC,4,FALSE)</f>
        <v>126166.51</v>
      </c>
      <c r="F20" s="131">
        <f>VLOOKUP($B20,Input_TaiNguyenNode__GGSN_Daily!$D:$AC,8,FALSE)</f>
        <v>68461.41</v>
      </c>
      <c r="G20" s="131">
        <v>200000</v>
      </c>
      <c r="H20" s="131">
        <v>130000</v>
      </c>
      <c r="I20" s="91" t="e">
        <f>VLOOKUP(B20,Resource_GGSN_by_NPMS!B:AD,83,FALSE)</f>
        <v>#REF!</v>
      </c>
      <c r="J20" s="934"/>
      <c r="K20" s="934"/>
      <c r="L20" s="934"/>
      <c r="M20" s="1247"/>
      <c r="N20" s="1250"/>
      <c r="O20" s="1253"/>
      <c r="P20" s="1253"/>
      <c r="Q20" s="1256"/>
      <c r="R20" s="1217"/>
      <c r="S20" s="1217"/>
      <c r="T20" s="1212"/>
      <c r="U20" s="1212"/>
      <c r="V20" s="134" t="s">
        <v>245</v>
      </c>
      <c r="W20" s="134"/>
      <c r="X20" s="135">
        <f>E20-F20</f>
        <v>57705.099999999991</v>
      </c>
      <c r="AB20" s="135" t="e">
        <v>#VALUE!</v>
      </c>
      <c r="AC20" s="135" t="e">
        <v>#VALUE!</v>
      </c>
    </row>
    <row r="21" spans="1:29" s="137" customFormat="1">
      <c r="A21" s="128">
        <f>A19+1</f>
        <v>15</v>
      </c>
      <c r="B21" s="129" t="s">
        <v>279</v>
      </c>
      <c r="C21" s="129" t="s">
        <v>4</v>
      </c>
      <c r="D21" s="130" t="s">
        <v>15</v>
      </c>
      <c r="E21" s="131">
        <f>VLOOKUP(B21,Input_TaiNguyenNode__GGSN_Daily!D:AC,4,FALSE)</f>
        <v>122857.77</v>
      </c>
      <c r="F21" s="131">
        <f>VLOOKUP($B21,Input_TaiNguyenNode__GGSN_Daily!$D:$AC,8,FALSE)</f>
        <v>67583.73</v>
      </c>
      <c r="G21" s="131">
        <v>200000</v>
      </c>
      <c r="H21" s="131">
        <v>130000</v>
      </c>
      <c r="I21" s="91" t="e">
        <f>VLOOKUP(B21,Resource_GGSN_by_NPMS!B:AD,83,FALSE)</f>
        <v>#REF!</v>
      </c>
      <c r="J21" s="935"/>
      <c r="K21" s="935"/>
      <c r="L21" s="935"/>
      <c r="M21" s="1248"/>
      <c r="N21" s="1251"/>
      <c r="O21" s="1254"/>
      <c r="P21" s="1254"/>
      <c r="Q21" s="1257"/>
      <c r="R21" s="1218"/>
      <c r="S21" s="1218"/>
      <c r="T21" s="1213"/>
      <c r="U21" s="1213"/>
      <c r="V21" s="134" t="s">
        <v>245</v>
      </c>
      <c r="W21" s="134"/>
      <c r="X21" s="135">
        <f t="shared" si="1"/>
        <v>55274.040000000008</v>
      </c>
      <c r="AB21" s="135" t="e">
        <v>#VALUE!</v>
      </c>
      <c r="AC21" s="135" t="e">
        <v>#VALUE!</v>
      </c>
    </row>
    <row r="22" spans="1:29">
      <c r="A22" s="88">
        <f t="shared" si="0"/>
        <v>16</v>
      </c>
      <c r="B22" s="39" t="s">
        <v>75</v>
      </c>
      <c r="C22" s="39" t="s">
        <v>4</v>
      </c>
      <c r="D22" s="40" t="s">
        <v>25</v>
      </c>
      <c r="E22" s="41">
        <f>VLOOKUP(B22,Input_TaiNguyenNode__GGSN_Daily!D:AC,4,FALSE)</f>
        <v>49123.78</v>
      </c>
      <c r="F22" s="41">
        <f>VLOOKUP($B22,Input_TaiNguyenNode__GGSN_Daily!$D:$AC,8,FALSE)</f>
        <v>10070.82</v>
      </c>
      <c r="G22" s="41">
        <v>60000</v>
      </c>
      <c r="H22" s="103">
        <v>70000</v>
      </c>
      <c r="I22" s="91" t="e">
        <f>VLOOKUP(B22,Resource_GGSN_by_NPMS!B:AD,83,FALSE)</f>
        <v>#REF!</v>
      </c>
      <c r="J22" s="1262">
        <f>E22+E23</f>
        <v>94720.59</v>
      </c>
      <c r="K22" s="1262">
        <f>F22+F23</f>
        <v>20201.96</v>
      </c>
      <c r="L22" s="1262">
        <f>G22+G23</f>
        <v>120000</v>
      </c>
      <c r="M22" s="1264" t="s">
        <v>76</v>
      </c>
      <c r="N22" s="1262">
        <f>J22</f>
        <v>94720.59</v>
      </c>
      <c r="O22" s="1258">
        <v>120000</v>
      </c>
      <c r="P22" s="1258">
        <v>120000</v>
      </c>
      <c r="Q22" s="1229">
        <v>120000</v>
      </c>
      <c r="R22" s="1260">
        <f>N22/O22</f>
        <v>0.78933825000000002</v>
      </c>
      <c r="S22" s="1227">
        <f>N22/P22</f>
        <v>0.78933825000000002</v>
      </c>
      <c r="T22" s="1205">
        <f>(J22-K22)/O22</f>
        <v>0.6209885833333334</v>
      </c>
      <c r="U22" s="1214">
        <f>(J22-F22)*1.1/O22</f>
        <v>0.77595622500000005</v>
      </c>
      <c r="V22" s="92" t="s">
        <v>245</v>
      </c>
      <c r="W22" s="92"/>
      <c r="X22" s="54">
        <f t="shared" si="1"/>
        <v>39052.959999999999</v>
      </c>
      <c r="Y22" s="54">
        <f>SUM(X22:X23)</f>
        <v>74518.63</v>
      </c>
      <c r="Z22" s="94">
        <f>Y22*1.1/O22</f>
        <v>0.68308744166666679</v>
      </c>
      <c r="AB22" s="54" t="e">
        <v>#VALUE!</v>
      </c>
      <c r="AC22" s="54" t="e">
        <v>#VALUE!</v>
      </c>
    </row>
    <row r="23" spans="1:29">
      <c r="A23" s="88">
        <f t="shared" si="0"/>
        <v>17</v>
      </c>
      <c r="B23" s="39" t="s">
        <v>77</v>
      </c>
      <c r="C23" s="39" t="s">
        <v>4</v>
      </c>
      <c r="D23" s="40" t="s">
        <v>25</v>
      </c>
      <c r="E23" s="41">
        <f>VLOOKUP(B23,Input_TaiNguyenNode__GGSN_Daily!D:AC,4,FALSE)</f>
        <v>45596.81</v>
      </c>
      <c r="F23" s="41">
        <f>VLOOKUP($B23,Input_TaiNguyenNode__GGSN_Daily!$D:$AC,8,FALSE)</f>
        <v>10131.14</v>
      </c>
      <c r="G23" s="41">
        <v>60000</v>
      </c>
      <c r="H23" s="103">
        <v>70000</v>
      </c>
      <c r="I23" s="91" t="e">
        <f>VLOOKUP(B23,Resource_GGSN_by_NPMS!B:AD,83,FALSE)</f>
        <v>#REF!</v>
      </c>
      <c r="J23" s="1263"/>
      <c r="K23" s="1263"/>
      <c r="L23" s="1263"/>
      <c r="M23" s="1265"/>
      <c r="N23" s="1263"/>
      <c r="O23" s="1259"/>
      <c r="P23" s="1259"/>
      <c r="Q23" s="1230"/>
      <c r="R23" s="1261"/>
      <c r="S23" s="1228"/>
      <c r="T23" s="1207"/>
      <c r="U23" s="1215"/>
      <c r="V23" s="92" t="s">
        <v>245</v>
      </c>
      <c r="W23" s="92"/>
      <c r="X23" s="54">
        <f t="shared" si="1"/>
        <v>35465.67</v>
      </c>
      <c r="AB23" s="54" t="e">
        <v>#VALUE!</v>
      </c>
      <c r="AC23" s="54" t="e">
        <v>#VALUE!</v>
      </c>
    </row>
    <row r="24" spans="1:29">
      <c r="A24" s="88">
        <f t="shared" si="0"/>
        <v>18</v>
      </c>
      <c r="B24" s="39" t="s">
        <v>78</v>
      </c>
      <c r="C24" s="39" t="s">
        <v>4</v>
      </c>
      <c r="D24" s="40" t="s">
        <v>25</v>
      </c>
      <c r="E24" s="41">
        <f>VLOOKUP(B24,Input_TaiNguyenNode__GGSN_Daily!D:AC,4,FALSE)</f>
        <v>69718.570000000007</v>
      </c>
      <c r="F24" s="41">
        <f>VLOOKUP($B24,Input_TaiNguyenNode__GGSN_Daily!$D:$AC,8,FALSE)</f>
        <v>36313.129999999997</v>
      </c>
      <c r="G24" s="41">
        <v>60000</v>
      </c>
      <c r="H24" s="103">
        <v>70000</v>
      </c>
      <c r="I24" s="91" t="e">
        <f>VLOOKUP(B24,Resource_GGSN_by_NPMS!B:AD,83,FALSE)</f>
        <v>#REF!</v>
      </c>
      <c r="J24" s="1262">
        <f>E24+E25</f>
        <v>135610</v>
      </c>
      <c r="K24" s="1262">
        <f>F24+F25</f>
        <v>70317.820000000007</v>
      </c>
      <c r="L24" s="1262">
        <f>G24+G25</f>
        <v>150000</v>
      </c>
      <c r="M24" s="1264" t="s">
        <v>79</v>
      </c>
      <c r="N24" s="1258">
        <f>J24</f>
        <v>135610</v>
      </c>
      <c r="O24" s="1262">
        <v>208000</v>
      </c>
      <c r="P24" s="1266">
        <v>200000</v>
      </c>
      <c r="Q24" s="959">
        <f>52*8000</f>
        <v>416000</v>
      </c>
      <c r="R24" s="1260">
        <f>N24/O24</f>
        <v>0.65197115384615389</v>
      </c>
      <c r="S24" s="1268">
        <f>N24/P24</f>
        <v>0.67805000000000004</v>
      </c>
      <c r="T24" s="1205">
        <f>(J24-K24)/O24</f>
        <v>0.3139047115384615</v>
      </c>
      <c r="U24" s="1214">
        <f>(J24-F24)*1.1/O24</f>
        <v>0.52512767788461534</v>
      </c>
      <c r="V24" s="92" t="s">
        <v>245</v>
      </c>
      <c r="W24" s="92" t="s">
        <v>247</v>
      </c>
      <c r="X24" s="54">
        <f t="shared" si="1"/>
        <v>33405.44000000001</v>
      </c>
      <c r="Y24" s="54">
        <f>SUM(X24:X25)</f>
        <v>65292.18</v>
      </c>
      <c r="Z24" s="94">
        <f>Y24*1.1/O24</f>
        <v>0.34529518269230769</v>
      </c>
      <c r="AB24" s="54" t="e">
        <v>#VALUE!</v>
      </c>
      <c r="AC24" s="54" t="e">
        <v>#VALUE!</v>
      </c>
    </row>
    <row r="25" spans="1:29">
      <c r="A25" s="88">
        <f t="shared" si="0"/>
        <v>19</v>
      </c>
      <c r="B25" s="39" t="s">
        <v>80</v>
      </c>
      <c r="C25" s="39" t="s">
        <v>4</v>
      </c>
      <c r="D25" s="40" t="s">
        <v>25</v>
      </c>
      <c r="E25" s="41">
        <f>VLOOKUP(B25,Input_TaiNguyenNode__GGSN_Daily!D:AC,4,FALSE)</f>
        <v>65891.429999999993</v>
      </c>
      <c r="F25" s="41">
        <f>VLOOKUP($B25,Input_TaiNguyenNode__GGSN_Daily!$D:$AC,8,FALSE)</f>
        <v>34004.69</v>
      </c>
      <c r="G25" s="41">
        <v>90000</v>
      </c>
      <c r="H25" s="103">
        <v>110000</v>
      </c>
      <c r="I25" s="91" t="e">
        <f>VLOOKUP(B25,Resource_GGSN_by_NPMS!B:AD,83,FALSE)</f>
        <v>#REF!</v>
      </c>
      <c r="J25" s="1263"/>
      <c r="K25" s="1263"/>
      <c r="L25" s="1263"/>
      <c r="M25" s="1265"/>
      <c r="N25" s="1259"/>
      <c r="O25" s="1263"/>
      <c r="P25" s="1267"/>
      <c r="Q25" s="961"/>
      <c r="R25" s="1261"/>
      <c r="S25" s="1269"/>
      <c r="T25" s="1207"/>
      <c r="U25" s="1215"/>
      <c r="V25" s="92" t="s">
        <v>245</v>
      </c>
      <c r="W25" s="92" t="s">
        <v>246</v>
      </c>
      <c r="X25" s="54">
        <f t="shared" si="1"/>
        <v>31886.739999999991</v>
      </c>
      <c r="AB25" s="54" t="e">
        <v>#VALUE!</v>
      </c>
      <c r="AC25" s="54" t="e">
        <v>#VALUE!</v>
      </c>
    </row>
    <row r="26" spans="1:29" s="137" customFormat="1">
      <c r="A26" s="128">
        <f t="shared" si="0"/>
        <v>20</v>
      </c>
      <c r="B26" s="129" t="s">
        <v>81</v>
      </c>
      <c r="C26" s="129" t="s">
        <v>4</v>
      </c>
      <c r="D26" s="130" t="s">
        <v>25</v>
      </c>
      <c r="E26" s="131">
        <f>VLOOKUP(B26,Input_TaiNguyenNode__GGSN_Daily!D:AC,4,FALSE)</f>
        <v>112474.37</v>
      </c>
      <c r="F26" s="131">
        <f>VLOOKUP($B26,Input_TaiNguyenNode__GGSN_Daily!$D:$AC,8,FALSE)</f>
        <v>57988.76</v>
      </c>
      <c r="G26" s="131">
        <v>150000</v>
      </c>
      <c r="H26" s="131">
        <v>130000</v>
      </c>
      <c r="I26" s="91" t="e">
        <f>VLOOKUP(B26,Resource_GGSN_by_NPMS!B:AD,83,FALSE)</f>
        <v>#REF!</v>
      </c>
      <c r="J26" s="933">
        <f>SUM(E26:E28)</f>
        <v>335820.07</v>
      </c>
      <c r="K26" s="933">
        <f>F26+F28</f>
        <v>114836.75</v>
      </c>
      <c r="L26" s="933">
        <f>G26+G28</f>
        <v>300000</v>
      </c>
      <c r="M26" s="1246" t="s">
        <v>82</v>
      </c>
      <c r="N26" s="1249">
        <f>J26</f>
        <v>335820.07</v>
      </c>
      <c r="O26" s="933">
        <f>5*52000</f>
        <v>260000</v>
      </c>
      <c r="P26" s="933">
        <v>208000</v>
      </c>
      <c r="Q26" s="959">
        <f>52*8000</f>
        <v>416000</v>
      </c>
      <c r="R26" s="1216">
        <f>N26/O26</f>
        <v>1.2916156538461538</v>
      </c>
      <c r="S26" s="1216">
        <f>N26/P26</f>
        <v>1.6145195673076924</v>
      </c>
      <c r="T26" s="1216">
        <f>(J26-K26)/O26</f>
        <v>0.84993584615384621</v>
      </c>
      <c r="U26" s="1211">
        <f>(J26-F26)*1.1/O26</f>
        <v>1.1754401576923079</v>
      </c>
      <c r="V26" s="134" t="s">
        <v>245</v>
      </c>
      <c r="W26" s="134"/>
      <c r="X26" s="135">
        <f t="shared" si="1"/>
        <v>54485.609999999993</v>
      </c>
      <c r="Y26" s="135">
        <f>SUM(X26:X28)</f>
        <v>163163.93</v>
      </c>
      <c r="Z26" s="136">
        <f>Y26*1.1/O26</f>
        <v>0.69030893461538467</v>
      </c>
      <c r="AB26" s="135" t="e">
        <v>#VALUE!</v>
      </c>
      <c r="AC26" s="135" t="e">
        <v>#VALUE!</v>
      </c>
    </row>
    <row r="27" spans="1:29" s="137" customFormat="1">
      <c r="A27" s="128">
        <f>A25+1</f>
        <v>20</v>
      </c>
      <c r="B27" s="129" t="s">
        <v>83</v>
      </c>
      <c r="C27" s="129" t="s">
        <v>4</v>
      </c>
      <c r="D27" s="130" t="s">
        <v>25</v>
      </c>
      <c r="E27" s="131">
        <f>VLOOKUP(B27,Input_TaiNguyenNode__GGSN_Daily!D:AC,4,FALSE)</f>
        <v>112075.64</v>
      </c>
      <c r="F27" s="131">
        <f>VLOOKUP($B27,Input_TaiNguyenNode__GGSN_Daily!$D:$AC,8,FALSE)</f>
        <v>57819.39</v>
      </c>
      <c r="G27" s="131">
        <v>150000</v>
      </c>
      <c r="H27" s="131">
        <v>130000</v>
      </c>
      <c r="I27" s="91" t="e">
        <f>VLOOKUP(B27,Resource_GGSN_by_NPMS!B:AD,83,FALSE)</f>
        <v>#REF!</v>
      </c>
      <c r="J27" s="934"/>
      <c r="K27" s="934"/>
      <c r="L27" s="934"/>
      <c r="M27" s="1247"/>
      <c r="N27" s="1250"/>
      <c r="O27" s="934"/>
      <c r="P27" s="934"/>
      <c r="Q27" s="960"/>
      <c r="R27" s="1217"/>
      <c r="S27" s="1217"/>
      <c r="T27" s="1217"/>
      <c r="U27" s="1212"/>
      <c r="V27" s="134" t="s">
        <v>245</v>
      </c>
      <c r="W27" s="134"/>
      <c r="X27" s="135">
        <f>E27-F27</f>
        <v>54256.25</v>
      </c>
      <c r="AB27" s="135" t="e">
        <v>#VALUE!</v>
      </c>
      <c r="AC27" s="135" t="e">
        <v>#VALUE!</v>
      </c>
    </row>
    <row r="28" spans="1:29" s="137" customFormat="1">
      <c r="A28" s="128">
        <f>A26+1</f>
        <v>21</v>
      </c>
      <c r="B28" s="129" t="s">
        <v>276</v>
      </c>
      <c r="C28" s="129" t="s">
        <v>4</v>
      </c>
      <c r="D28" s="130" t="s">
        <v>25</v>
      </c>
      <c r="E28" s="131">
        <f>VLOOKUP(B28,Input_TaiNguyenNode__GGSN_Daily!D:AC,4,FALSE)</f>
        <v>111270.06</v>
      </c>
      <c r="F28" s="131">
        <f>VLOOKUP($B28,Input_TaiNguyenNode__GGSN_Daily!$D:$AC,8,FALSE)</f>
        <v>56847.99</v>
      </c>
      <c r="G28" s="131">
        <v>150000</v>
      </c>
      <c r="H28" s="131">
        <v>130000</v>
      </c>
      <c r="I28" s="91" t="e">
        <f>VLOOKUP(B28,Resource_GGSN_by_NPMS!B:AD,83,FALSE)</f>
        <v>#REF!</v>
      </c>
      <c r="J28" s="935"/>
      <c r="K28" s="935"/>
      <c r="L28" s="935"/>
      <c r="M28" s="1248"/>
      <c r="N28" s="1251"/>
      <c r="O28" s="935"/>
      <c r="P28" s="935"/>
      <c r="Q28" s="961"/>
      <c r="R28" s="1218"/>
      <c r="S28" s="1218"/>
      <c r="T28" s="1218"/>
      <c r="U28" s="1213"/>
      <c r="V28" s="134" t="s">
        <v>245</v>
      </c>
      <c r="W28" s="134"/>
      <c r="X28" s="135">
        <f t="shared" si="1"/>
        <v>54422.07</v>
      </c>
      <c r="AB28" s="135" t="e">
        <v>#VALUE!</v>
      </c>
      <c r="AC28" s="135" t="e">
        <v>#VALUE!</v>
      </c>
    </row>
    <row r="29" spans="1:29">
      <c r="A29" s="88">
        <f t="shared" si="0"/>
        <v>22</v>
      </c>
      <c r="B29" s="98" t="s">
        <v>84</v>
      </c>
      <c r="C29" s="98" t="s">
        <v>4</v>
      </c>
      <c r="D29" s="99" t="s">
        <v>30</v>
      </c>
      <c r="E29" s="100">
        <f>VLOOKUP(B29,Input_TaiNguyenNode__GGSN_Daily!D:AC,4,FALSE)</f>
        <v>47490.99</v>
      </c>
      <c r="F29" s="100">
        <f>VLOOKUP($B29,Input_TaiNguyenNode__GGSN_Daily!$D:$AC,8,FALSE)</f>
        <v>24718.16</v>
      </c>
      <c r="G29" s="100">
        <v>60000</v>
      </c>
      <c r="H29" s="103">
        <v>80000</v>
      </c>
      <c r="I29" s="91" t="e">
        <f>VLOOKUP(B29,Resource_GGSN_by_NPMS!B:AD,83,FALSE)</f>
        <v>#REF!</v>
      </c>
      <c r="J29" s="1270">
        <f>E29+E30</f>
        <v>104808.28</v>
      </c>
      <c r="K29" s="1270">
        <f>F29+F30</f>
        <v>54093.17</v>
      </c>
      <c r="L29" s="1270">
        <f>G29+G30</f>
        <v>120000</v>
      </c>
      <c r="M29" s="1272" t="s">
        <v>85</v>
      </c>
      <c r="N29" s="1273">
        <f>J29</f>
        <v>104808.28</v>
      </c>
      <c r="O29" s="1273">
        <v>120000</v>
      </c>
      <c r="P29" s="1273">
        <v>120000</v>
      </c>
      <c r="Q29" s="1229">
        <v>120000</v>
      </c>
      <c r="R29" s="1275">
        <f>N29/O29</f>
        <v>0.87340233333333328</v>
      </c>
      <c r="S29" s="1227">
        <f>N29/P29</f>
        <v>0.87340233333333328</v>
      </c>
      <c r="T29" s="1205">
        <f>(J29-K29)/O29</f>
        <v>0.42262591666666666</v>
      </c>
      <c r="U29" s="1214">
        <f>(J29-F29)*1.1/O29</f>
        <v>0.73415943333333333</v>
      </c>
      <c r="V29" s="92" t="s">
        <v>245</v>
      </c>
      <c r="X29" s="54">
        <f t="shared" si="1"/>
        <v>22772.829999999998</v>
      </c>
      <c r="Y29" s="54">
        <f>SUM(X29:X30)</f>
        <v>22772.829999999998</v>
      </c>
      <c r="Z29" s="94">
        <f>Y29*1.1/O29</f>
        <v>0.20875094166666669</v>
      </c>
      <c r="AB29" s="54" t="e">
        <v>#VALUE!</v>
      </c>
      <c r="AC29" s="54" t="e">
        <v>#VALUE!</v>
      </c>
    </row>
    <row r="30" spans="1:29">
      <c r="A30" s="88">
        <f t="shared" si="0"/>
        <v>23</v>
      </c>
      <c r="B30" s="98" t="s">
        <v>86</v>
      </c>
      <c r="C30" s="98" t="s">
        <v>4</v>
      </c>
      <c r="D30" s="99" t="s">
        <v>30</v>
      </c>
      <c r="E30" s="100">
        <f>VLOOKUP(B30,Input_TaiNguyenNode__GGSN_Daily!D:AC,4,FALSE)</f>
        <v>57317.29</v>
      </c>
      <c r="F30" s="100">
        <f>VLOOKUP($B30,Input_TaiNguyenNode__GGSN_Daily!$D:$AC,8,FALSE)</f>
        <v>29375.01</v>
      </c>
      <c r="G30" s="100">
        <v>60000</v>
      </c>
      <c r="H30" s="103">
        <v>80000</v>
      </c>
      <c r="I30" s="91" t="e">
        <f>VLOOKUP(B30,Resource_GGSN_by_NPMS!B:AD,83,FALSE)</f>
        <v>#REF!</v>
      </c>
      <c r="J30" s="1271"/>
      <c r="K30" s="1271"/>
      <c r="L30" s="1271"/>
      <c r="M30" s="1272"/>
      <c r="N30" s="1274"/>
      <c r="O30" s="1274"/>
      <c r="P30" s="1274"/>
      <c r="Q30" s="1230"/>
      <c r="R30" s="1276"/>
      <c r="S30" s="1228"/>
      <c r="T30" s="1207"/>
      <c r="U30" s="1215"/>
      <c r="V30" s="92" t="s">
        <v>245</v>
      </c>
      <c r="W30" s="54">
        <f>SUM(F11:F12,F9)</f>
        <v>176579.37</v>
      </c>
      <c r="X30" s="54"/>
      <c r="AB30" s="54" t="e">
        <v>#VALUE!</v>
      </c>
      <c r="AC30" s="54" t="e">
        <v>#VALUE!</v>
      </c>
    </row>
    <row r="31" spans="1:29">
      <c r="A31" s="88">
        <f t="shared" si="0"/>
        <v>24</v>
      </c>
      <c r="B31" s="98" t="s">
        <v>87</v>
      </c>
      <c r="C31" s="98" t="s">
        <v>4</v>
      </c>
      <c r="D31" s="99" t="s">
        <v>30</v>
      </c>
      <c r="E31" s="100">
        <f>VLOOKUP(B31,Input_TaiNguyenNode__GGSN_Daily!D:AC,4,FALSE)</f>
        <v>57626.65</v>
      </c>
      <c r="F31" s="100">
        <f>VLOOKUP($B31,Input_TaiNguyenNode__GGSN_Daily!$D:$AC,8,FALSE)</f>
        <v>28921.94</v>
      </c>
      <c r="G31" s="100">
        <v>60000</v>
      </c>
      <c r="H31" s="103">
        <v>80000</v>
      </c>
      <c r="I31" s="91" t="e">
        <f>VLOOKUP(B31,Resource_GGSN_by_NPMS!B:AD,83,FALSE)</f>
        <v>#REF!</v>
      </c>
      <c r="J31" s="1270">
        <f>SUM(E31:E33)</f>
        <v>283658.01</v>
      </c>
      <c r="K31" s="1270">
        <f>SUM(F31:F33)</f>
        <v>144323.5</v>
      </c>
      <c r="L31" s="1270">
        <f>SUM(G31:G33)</f>
        <v>310000</v>
      </c>
      <c r="M31" s="1278" t="s">
        <v>88</v>
      </c>
      <c r="N31" s="1270">
        <f>J31</f>
        <v>283658.01</v>
      </c>
      <c r="O31" s="1270">
        <v>364000</v>
      </c>
      <c r="P31" s="1270">
        <v>364000</v>
      </c>
      <c r="Q31" s="959">
        <f>52*8000</f>
        <v>416000</v>
      </c>
      <c r="R31" s="1281">
        <f>N31/O31</f>
        <v>0.77928024725274725</v>
      </c>
      <c r="S31" s="1284">
        <f>N31/P31</f>
        <v>0.77928024725274725</v>
      </c>
      <c r="T31" s="1205">
        <f>(J31-K31)/O31</f>
        <v>0.38278711538461541</v>
      </c>
      <c r="U31" s="3"/>
      <c r="V31" s="92" t="s">
        <v>245</v>
      </c>
      <c r="X31" s="54">
        <f t="shared" si="1"/>
        <v>28704.710000000003</v>
      </c>
      <c r="Y31" s="54">
        <f>SUM(X31:X33)</f>
        <v>139334.51</v>
      </c>
      <c r="Z31" s="94">
        <f>Y31*1.1/O31</f>
        <v>0.42106582692307692</v>
      </c>
      <c r="AB31" s="54" t="e">
        <v>#VALUE!</v>
      </c>
      <c r="AC31" s="54" t="e">
        <v>#VALUE!</v>
      </c>
    </row>
    <row r="32" spans="1:29">
      <c r="A32" s="88">
        <f t="shared" si="0"/>
        <v>25</v>
      </c>
      <c r="B32" s="98" t="s">
        <v>91</v>
      </c>
      <c r="C32" s="98" t="s">
        <v>4</v>
      </c>
      <c r="D32" s="99" t="s">
        <v>30</v>
      </c>
      <c r="E32" s="100">
        <f>VLOOKUP(B32,Input_TaiNguyenNode__GGSN_Daily!D:AC,4,FALSE)</f>
        <v>109166.62</v>
      </c>
      <c r="F32" s="100">
        <f>VLOOKUP($B32,Input_TaiNguyenNode__GGSN_Daily!$D:$AC,8,FALSE)</f>
        <v>55944.91</v>
      </c>
      <c r="G32" s="100">
        <v>120000</v>
      </c>
      <c r="H32" s="103">
        <v>150000</v>
      </c>
      <c r="I32" s="91" t="e">
        <f>VLOOKUP(B32,Resource_GGSN_by_NPMS!B:AD,83,FALSE)</f>
        <v>#REF!</v>
      </c>
      <c r="J32" s="1277"/>
      <c r="K32" s="1277"/>
      <c r="L32" s="1277"/>
      <c r="M32" s="1279"/>
      <c r="N32" s="1277"/>
      <c r="O32" s="1277"/>
      <c r="P32" s="1277"/>
      <c r="Q32" s="960"/>
      <c r="R32" s="1282"/>
      <c r="S32" s="1285"/>
      <c r="T32" s="1206"/>
      <c r="U32" s="3"/>
      <c r="V32" s="92" t="s">
        <v>245</v>
      </c>
      <c r="X32" s="54">
        <f t="shared" si="1"/>
        <v>53221.709999999992</v>
      </c>
      <c r="AB32" s="54" t="e">
        <v>#VALUE!</v>
      </c>
      <c r="AC32" s="54" t="e">
        <v>#VALUE!</v>
      </c>
    </row>
    <row r="33" spans="1:29">
      <c r="A33" s="88">
        <f t="shared" si="0"/>
        <v>26</v>
      </c>
      <c r="B33" s="98" t="s">
        <v>93</v>
      </c>
      <c r="C33" s="98" t="s">
        <v>4</v>
      </c>
      <c r="D33" s="99" t="s">
        <v>30</v>
      </c>
      <c r="E33" s="100">
        <f>VLOOKUP(B33,Input_TaiNguyenNode__GGSN_Daily!D:AC,4,FALSE)</f>
        <v>116864.74</v>
      </c>
      <c r="F33" s="100">
        <f>VLOOKUP($B33,Input_TaiNguyenNode__GGSN_Daily!$D:$AC,8,FALSE)</f>
        <v>59456.65</v>
      </c>
      <c r="G33" s="100">
        <v>130000</v>
      </c>
      <c r="H33" s="103">
        <v>140000</v>
      </c>
      <c r="I33" s="91" t="e">
        <f>VLOOKUP(B33,Resource_GGSN_by_NPMS!B:AD,83,FALSE)</f>
        <v>#REF!</v>
      </c>
      <c r="J33" s="1271"/>
      <c r="K33" s="1271"/>
      <c r="L33" s="1271"/>
      <c r="M33" s="1280"/>
      <c r="N33" s="1271"/>
      <c r="O33" s="1271"/>
      <c r="P33" s="1271"/>
      <c r="Q33" s="961"/>
      <c r="R33" s="1283"/>
      <c r="S33" s="897"/>
      <c r="T33" s="1207"/>
      <c r="U33" s="3"/>
      <c r="V33" s="92" t="s">
        <v>245</v>
      </c>
      <c r="X33" s="54">
        <f t="shared" si="1"/>
        <v>57408.090000000004</v>
      </c>
      <c r="AB33" s="54" t="e">
        <v>#VALUE!</v>
      </c>
      <c r="AC33" s="54" t="e">
        <v>#VALUE!</v>
      </c>
    </row>
    <row r="34" spans="1:29">
      <c r="A34" s="88">
        <f t="shared" si="0"/>
        <v>27</v>
      </c>
      <c r="B34" s="98" t="s">
        <v>89</v>
      </c>
      <c r="C34" s="98" t="s">
        <v>4</v>
      </c>
      <c r="D34" s="99" t="s">
        <v>30</v>
      </c>
      <c r="E34" s="100">
        <f>VLOOKUP(B34,Input_TaiNguyenNode__GGSN_Daily!D:AC,4,FALSE)</f>
        <v>57738.41</v>
      </c>
      <c r="F34" s="100">
        <f>VLOOKUP($B34,Input_TaiNguyenNode__GGSN_Daily!$D:$AC,8,FALSE)</f>
        <v>28945.84</v>
      </c>
      <c r="G34" s="100">
        <v>60000</v>
      </c>
      <c r="H34" s="103">
        <v>80000</v>
      </c>
      <c r="I34" s="91" t="e">
        <f>VLOOKUP(B34,Resource_GGSN_by_NPMS!B:AD,83,FALSE)</f>
        <v>#REF!</v>
      </c>
      <c r="J34" s="1270">
        <f>SUM(E34:E35)</f>
        <v>172390.74</v>
      </c>
      <c r="K34" s="1270">
        <f>SUM(F34:F35)</f>
        <v>87395.38</v>
      </c>
      <c r="L34" s="1270">
        <f>SUM(G34:G35)</f>
        <v>190000</v>
      </c>
      <c r="M34" s="1278" t="s">
        <v>92</v>
      </c>
      <c r="N34" s="1270">
        <f>J34</f>
        <v>172390.74</v>
      </c>
      <c r="O34" s="1270">
        <v>208000</v>
      </c>
      <c r="P34" s="1270">
        <v>208000</v>
      </c>
      <c r="Q34" s="959">
        <f>52*8000</f>
        <v>416000</v>
      </c>
      <c r="R34" s="1281">
        <f>N34/O34</f>
        <v>0.82880163461538459</v>
      </c>
      <c r="S34" s="1287">
        <f>N34/P34</f>
        <v>0.82880163461538459</v>
      </c>
      <c r="T34" s="1205">
        <f>(J34-K34)/O34</f>
        <v>0.40863153846153838</v>
      </c>
      <c r="U34" s="1214">
        <f>(J34-F34)*1.1/O34</f>
        <v>0.75860283653846161</v>
      </c>
      <c r="V34" s="92" t="s">
        <v>245</v>
      </c>
      <c r="W34" s="92"/>
      <c r="X34" s="54">
        <f t="shared" si="1"/>
        <v>28792.570000000003</v>
      </c>
      <c r="Y34" s="54">
        <f>SUM(X34:X35)</f>
        <v>84995.36</v>
      </c>
      <c r="Z34" s="94">
        <f>Y34*1.1/O34</f>
        <v>0.44949469230769235</v>
      </c>
    </row>
    <row r="35" spans="1:29">
      <c r="A35" s="88">
        <f t="shared" si="0"/>
        <v>28</v>
      </c>
      <c r="B35" s="98" t="s">
        <v>90</v>
      </c>
      <c r="C35" s="98" t="s">
        <v>4</v>
      </c>
      <c r="D35" s="99" t="s">
        <v>30</v>
      </c>
      <c r="E35" s="100">
        <f>VLOOKUP(B35,Input_TaiNguyenNode__GGSN_Daily!D:AC,4,FALSE)</f>
        <v>114652.33</v>
      </c>
      <c r="F35" s="100">
        <f>VLOOKUP($B35,Input_TaiNguyenNode__GGSN_Daily!$D:$AC,8,FALSE)</f>
        <v>58449.54</v>
      </c>
      <c r="G35" s="100">
        <v>130000</v>
      </c>
      <c r="H35" s="103">
        <v>150000</v>
      </c>
      <c r="I35" s="91" t="e">
        <f>VLOOKUP(B35,Resource_GGSN_by_NPMS!B:AD,83,FALSE)</f>
        <v>#REF!</v>
      </c>
      <c r="J35" s="1271"/>
      <c r="K35" s="1271"/>
      <c r="L35" s="1271"/>
      <c r="M35" s="1280"/>
      <c r="N35" s="1271"/>
      <c r="O35" s="1271"/>
      <c r="P35" s="1271"/>
      <c r="Q35" s="961"/>
      <c r="R35" s="1283"/>
      <c r="S35" s="1288"/>
      <c r="T35" s="1207"/>
      <c r="U35" s="1215"/>
      <c r="V35" s="92" t="s">
        <v>245</v>
      </c>
      <c r="W35" s="54"/>
      <c r="X35" s="54">
        <f t="shared" si="1"/>
        <v>56202.79</v>
      </c>
    </row>
    <row r="36" spans="1:29">
      <c r="A36" s="88">
        <f t="shared" si="0"/>
        <v>29</v>
      </c>
      <c r="B36" s="101" t="s">
        <v>250</v>
      </c>
      <c r="C36" s="101" t="s">
        <v>251</v>
      </c>
      <c r="D36" s="102" t="s">
        <v>30</v>
      </c>
      <c r="E36" s="103">
        <f>_xlfn.IFNA(VLOOKUP(B36,Input_TaiNguyenNode__GGSN_Daily!D:AC,4,FALSE),0)</f>
        <v>0</v>
      </c>
      <c r="F36" s="103">
        <f>_xlfn.IFNA(VLOOKUP($B36,Input_TaiNguyenNode__GGSN_Daily!$D:$AC,8,FALSE),0)</f>
        <v>0</v>
      </c>
      <c r="G36" s="133">
        <v>150000</v>
      </c>
      <c r="H36" s="103">
        <v>150000</v>
      </c>
      <c r="I36" s="91" t="e">
        <f>VLOOKUP(B36,Resource_GGSN_by_NPMS!B:AD,83,FALSE)</f>
        <v>#REF!</v>
      </c>
      <c r="J36" s="959">
        <f>SUM(E36:E38)</f>
        <v>0</v>
      </c>
      <c r="K36" s="959">
        <f>SUM(F36:F38)</f>
        <v>0</v>
      </c>
      <c r="L36" s="959">
        <f>SUM(G36:G38)</f>
        <v>450000</v>
      </c>
      <c r="M36" s="928" t="s">
        <v>317</v>
      </c>
      <c r="N36" s="1286">
        <f>J36</f>
        <v>0</v>
      </c>
      <c r="O36" s="1286">
        <v>260000</v>
      </c>
      <c r="P36" s="1286">
        <v>260000</v>
      </c>
      <c r="Q36" s="1286">
        <f>52*8000</f>
        <v>416000</v>
      </c>
      <c r="R36" s="1208">
        <f>N36/O36</f>
        <v>0</v>
      </c>
      <c r="S36" s="1208">
        <f>N36/P36</f>
        <v>0</v>
      </c>
      <c r="T36" s="1208"/>
      <c r="U36" s="3"/>
      <c r="V36" s="92" t="s">
        <v>245</v>
      </c>
      <c r="W36" s="54"/>
      <c r="X36" s="54">
        <f t="shared" si="1"/>
        <v>0</v>
      </c>
    </row>
    <row r="37" spans="1:29">
      <c r="A37" s="88">
        <f t="shared" si="0"/>
        <v>30</v>
      </c>
      <c r="B37" s="101" t="s">
        <v>252</v>
      </c>
      <c r="C37" s="101" t="s">
        <v>251</v>
      </c>
      <c r="D37" s="102" t="s">
        <v>30</v>
      </c>
      <c r="E37" s="103">
        <f>_xlfn.IFNA(VLOOKUP(B37,Input_TaiNguyenNode__GGSN_Daily!D:AC,4,FALSE),0)</f>
        <v>0</v>
      </c>
      <c r="F37" s="103">
        <f>_xlfn.IFNA(VLOOKUP($B37,Input_TaiNguyenNode__GGSN_Daily!$D:$AC,8,FALSE),0)</f>
        <v>0</v>
      </c>
      <c r="G37" s="133">
        <v>150000</v>
      </c>
      <c r="H37" s="103">
        <v>150000</v>
      </c>
      <c r="I37" s="91" t="e">
        <f>VLOOKUP(B37,Resource_GGSN_by_NPMS!B:AD,83,FALSE)</f>
        <v>#REF!</v>
      </c>
      <c r="J37" s="960"/>
      <c r="K37" s="960"/>
      <c r="L37" s="960"/>
      <c r="M37" s="925"/>
      <c r="N37" s="1005"/>
      <c r="O37" s="1005"/>
      <c r="P37" s="1005"/>
      <c r="Q37" s="1005"/>
      <c r="R37" s="1209"/>
      <c r="S37" s="1209"/>
      <c r="T37" s="1209"/>
      <c r="U37" s="3"/>
      <c r="V37" s="92" t="s">
        <v>245</v>
      </c>
      <c r="X37" s="54">
        <f t="shared" si="1"/>
        <v>0</v>
      </c>
    </row>
    <row r="38" spans="1:29">
      <c r="A38" s="88">
        <f t="shared" si="0"/>
        <v>31</v>
      </c>
      <c r="B38" s="101" t="s">
        <v>253</v>
      </c>
      <c r="C38" s="101" t="s">
        <v>251</v>
      </c>
      <c r="D38" s="102" t="s">
        <v>30</v>
      </c>
      <c r="E38" s="103">
        <f>_xlfn.IFNA(VLOOKUP(B38,Input_TaiNguyenNode__GGSN_Daily!D:AC,4,FALSE),0)</f>
        <v>0</v>
      </c>
      <c r="F38" s="103">
        <f>_xlfn.IFNA(VLOOKUP($B38,Input_TaiNguyenNode__GGSN_Daily!$D:$AC,8,FALSE),0)</f>
        <v>0</v>
      </c>
      <c r="G38" s="133">
        <v>150000</v>
      </c>
      <c r="H38" s="103">
        <v>150000</v>
      </c>
      <c r="I38" s="91" t="e">
        <f>VLOOKUP(B38,Resource_GGSN_by_NPMS!B:AD,83,FALSE)</f>
        <v>#REF!</v>
      </c>
      <c r="J38" s="961"/>
      <c r="K38" s="961"/>
      <c r="L38" s="961"/>
      <c r="M38" s="926"/>
      <c r="N38" s="1006"/>
      <c r="O38" s="1006"/>
      <c r="P38" s="1006"/>
      <c r="Q38" s="1006"/>
      <c r="R38" s="1210"/>
      <c r="S38" s="1210"/>
      <c r="T38" s="1210"/>
      <c r="U38" s="3"/>
      <c r="V38" s="92" t="s">
        <v>245</v>
      </c>
      <c r="W38" s="54"/>
      <c r="X38" s="54">
        <f t="shared" si="1"/>
        <v>0</v>
      </c>
    </row>
    <row r="39" spans="1:29">
      <c r="A39" s="124"/>
      <c r="B39" s="3"/>
      <c r="C39" s="3"/>
      <c r="D39" s="3"/>
      <c r="E39" s="104">
        <f>SUM(E4:E38)</f>
        <v>2751082.5300000003</v>
      </c>
      <c r="F39" s="104">
        <f>SUM(F4:F38)</f>
        <v>1398718.6099999999</v>
      </c>
      <c r="G39" s="104">
        <f>SUM(G4:G38)</f>
        <v>4150000</v>
      </c>
      <c r="H39" s="126">
        <f>SUM(H4:H38)</f>
        <v>3950000</v>
      </c>
      <c r="I39" s="104" t="e">
        <f>SUM(I4:I38)</f>
        <v>#REF!</v>
      </c>
      <c r="J39" s="104">
        <f>SUM(J4:J35)</f>
        <v>2751082.5300000003</v>
      </c>
      <c r="K39" s="104">
        <f>SUM(K4:K35)</f>
        <v>1343260.0639999998</v>
      </c>
      <c r="L39" s="104">
        <f>SUM(L4:L35)</f>
        <v>3550000</v>
      </c>
      <c r="M39" s="105"/>
      <c r="N39" s="104">
        <f>SUM(N4:N35)</f>
        <v>2751082.5300000003</v>
      </c>
      <c r="O39" s="104">
        <f>SUM(O4:O35)</f>
        <v>2648000</v>
      </c>
      <c r="P39" s="104">
        <f>SUM(P4:P38)</f>
        <v>2936000</v>
      </c>
      <c r="Q39" s="126">
        <f>SUM(Q4:Q35)</f>
        <v>3272000</v>
      </c>
      <c r="R39" s="106">
        <f>N39/O39</f>
        <v>1.0389284478851966</v>
      </c>
      <c r="T39" s="120">
        <f>(J39-K39)/O39</f>
        <v>0.53165500981873126</v>
      </c>
    </row>
    <row r="40" spans="1:29">
      <c r="A40" s="125"/>
      <c r="B40" s="53"/>
      <c r="C40" s="53"/>
      <c r="D40" s="53"/>
      <c r="E40" s="107"/>
      <c r="F40" s="107"/>
      <c r="G40" s="107"/>
      <c r="H40" s="127"/>
      <c r="I40" s="107"/>
      <c r="J40" s="107"/>
      <c r="K40" s="107"/>
      <c r="L40" s="107"/>
      <c r="M40" s="108"/>
      <c r="N40" s="107"/>
      <c r="O40" s="107"/>
      <c r="P40" s="107"/>
      <c r="Q40" s="127"/>
      <c r="R40" s="109"/>
      <c r="T40" s="121"/>
    </row>
  </sheetData>
  <mergeCells count="135">
    <mergeCell ref="S15:S16"/>
    <mergeCell ref="U15:U16"/>
    <mergeCell ref="J15:J18"/>
    <mergeCell ref="K15:K18"/>
    <mergeCell ref="M15:M18"/>
    <mergeCell ref="N15:N18"/>
    <mergeCell ref="O15:O18"/>
    <mergeCell ref="Q15:Q18"/>
    <mergeCell ref="R15:R18"/>
    <mergeCell ref="T15:T18"/>
    <mergeCell ref="L15:L18"/>
    <mergeCell ref="P15:P16"/>
    <mergeCell ref="P17:P18"/>
    <mergeCell ref="S17:S18"/>
    <mergeCell ref="J34:J35"/>
    <mergeCell ref="K34:K35"/>
    <mergeCell ref="L34:L35"/>
    <mergeCell ref="M34:M35"/>
    <mergeCell ref="N34:N35"/>
    <mergeCell ref="O34:O35"/>
    <mergeCell ref="P34:P35"/>
    <mergeCell ref="R34:R35"/>
    <mergeCell ref="S34:S35"/>
    <mergeCell ref="Q34:Q35"/>
    <mergeCell ref="J36:J38"/>
    <mergeCell ref="K36:K38"/>
    <mergeCell ref="L36:L38"/>
    <mergeCell ref="M36:M38"/>
    <mergeCell ref="N36:N38"/>
    <mergeCell ref="O36:O38"/>
    <mergeCell ref="P36:P38"/>
    <mergeCell ref="R36:R38"/>
    <mergeCell ref="S36:S38"/>
    <mergeCell ref="Q36:Q38"/>
    <mergeCell ref="J31:J33"/>
    <mergeCell ref="K31:K33"/>
    <mergeCell ref="L31:L33"/>
    <mergeCell ref="M31:M33"/>
    <mergeCell ref="N31:N33"/>
    <mergeCell ref="O31:O33"/>
    <mergeCell ref="P31:P33"/>
    <mergeCell ref="R31:R33"/>
    <mergeCell ref="S31:S33"/>
    <mergeCell ref="Q31:Q33"/>
    <mergeCell ref="J29:J30"/>
    <mergeCell ref="K29:K30"/>
    <mergeCell ref="L29:L30"/>
    <mergeCell ref="M29:M30"/>
    <mergeCell ref="N29:N30"/>
    <mergeCell ref="O29:O30"/>
    <mergeCell ref="P29:P30"/>
    <mergeCell ref="R29:R30"/>
    <mergeCell ref="S29:S30"/>
    <mergeCell ref="Q29:Q30"/>
    <mergeCell ref="J26:J28"/>
    <mergeCell ref="K26:K28"/>
    <mergeCell ref="L26:L28"/>
    <mergeCell ref="M26:M28"/>
    <mergeCell ref="N26:N28"/>
    <mergeCell ref="O26:O28"/>
    <mergeCell ref="P26:P28"/>
    <mergeCell ref="R26:R28"/>
    <mergeCell ref="S26:S28"/>
    <mergeCell ref="Q26:Q28"/>
    <mergeCell ref="P22:P23"/>
    <mergeCell ref="R22:R23"/>
    <mergeCell ref="S22:S23"/>
    <mergeCell ref="U22:U23"/>
    <mergeCell ref="J24:J25"/>
    <mergeCell ref="K24:K25"/>
    <mergeCell ref="L24:L25"/>
    <mergeCell ref="M24:M25"/>
    <mergeCell ref="N24:N25"/>
    <mergeCell ref="O24:O25"/>
    <mergeCell ref="J22:J23"/>
    <mergeCell ref="K22:K23"/>
    <mergeCell ref="L22:L23"/>
    <mergeCell ref="M22:M23"/>
    <mergeCell ref="N22:N23"/>
    <mergeCell ref="O22:O23"/>
    <mergeCell ref="P24:P25"/>
    <mergeCell ref="R24:R25"/>
    <mergeCell ref="S24:S25"/>
    <mergeCell ref="Q22:Q23"/>
    <mergeCell ref="Q24:Q25"/>
    <mergeCell ref="J19:J21"/>
    <mergeCell ref="K19:K21"/>
    <mergeCell ref="L19:L21"/>
    <mergeCell ref="M19:M21"/>
    <mergeCell ref="N19:N21"/>
    <mergeCell ref="O19:O21"/>
    <mergeCell ref="P19:P21"/>
    <mergeCell ref="R19:R21"/>
    <mergeCell ref="S19:S21"/>
    <mergeCell ref="Q19:Q21"/>
    <mergeCell ref="J6:J14"/>
    <mergeCell ref="K6:K14"/>
    <mergeCell ref="L6:L14"/>
    <mergeCell ref="M6:M14"/>
    <mergeCell ref="N6:N14"/>
    <mergeCell ref="O6:O14"/>
    <mergeCell ref="P6:P14"/>
    <mergeCell ref="R6:R14"/>
    <mergeCell ref="S6:S14"/>
    <mergeCell ref="Q6:Q14"/>
    <mergeCell ref="U2:V2"/>
    <mergeCell ref="X3:Y3"/>
    <mergeCell ref="J4:J5"/>
    <mergeCell ref="K4:K5"/>
    <mergeCell ref="L4:L5"/>
    <mergeCell ref="M4:M5"/>
    <mergeCell ref="N4:N5"/>
    <mergeCell ref="O4:O5"/>
    <mergeCell ref="P4:P5"/>
    <mergeCell ref="R4:R5"/>
    <mergeCell ref="S4:S5"/>
    <mergeCell ref="U4:U5"/>
    <mergeCell ref="Q4:Q5"/>
    <mergeCell ref="T31:T33"/>
    <mergeCell ref="T34:T35"/>
    <mergeCell ref="T36:T38"/>
    <mergeCell ref="U19:U21"/>
    <mergeCell ref="U24:U25"/>
    <mergeCell ref="T4:T5"/>
    <mergeCell ref="T6:T14"/>
    <mergeCell ref="T19:T21"/>
    <mergeCell ref="T22:T23"/>
    <mergeCell ref="T24:T25"/>
    <mergeCell ref="T26:T28"/>
    <mergeCell ref="U6:U14"/>
    <mergeCell ref="U17:U18"/>
    <mergeCell ref="U26:U28"/>
    <mergeCell ref="U29:U30"/>
    <mergeCell ref="T29:T30"/>
    <mergeCell ref="U34:U35"/>
  </mergeCells>
  <conditionalFormatting sqref="R1:R14 T1:T14 T19 R19 R21:R26 T21:T26 T28:T1048576 R28:R1048576">
    <cfRule type="cellIs" dxfId="3" priority="5" operator="greaterThan">
      <formula>1</formula>
    </cfRule>
  </conditionalFormatting>
  <conditionalFormatting sqref="R15 T15">
    <cfRule type="cellIs" dxfId="2" priority="3" operator="greaterThan">
      <formula>1</formula>
    </cfRule>
  </conditionalFormatting>
  <conditionalFormatting sqref="T20 R20">
    <cfRule type="cellIs" dxfId="1" priority="2" operator="greaterThan">
      <formula>1</formula>
    </cfRule>
  </conditionalFormatting>
  <conditionalFormatting sqref="R27 T27">
    <cfRule type="cellIs" dxfId="0" priority="1" operator="greaterThan">
      <formula>1</formula>
    </cfRule>
  </conditionalFormatting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selection activeCell="G6" sqref="G6"/>
    </sheetView>
  </sheetViews>
  <sheetFormatPr defaultRowHeight="15"/>
  <cols>
    <col min="1" max="1" width="17.42578125" bestFit="1" customWidth="1"/>
    <col min="2" max="2" width="16.28515625" bestFit="1" customWidth="1"/>
    <col min="4" max="4" width="21.7109375" bestFit="1" customWidth="1"/>
    <col min="5" max="5" width="13.42578125" bestFit="1" customWidth="1"/>
    <col min="6" max="6" width="20.140625" bestFit="1" customWidth="1"/>
    <col min="7" max="8" width="29.28515625" bestFit="1" customWidth="1"/>
  </cols>
  <sheetData>
    <row r="1" spans="1:8">
      <c r="A1" t="s">
        <v>308</v>
      </c>
      <c r="B1" t="s">
        <v>133</v>
      </c>
      <c r="C1" t="s">
        <v>135</v>
      </c>
      <c r="D1" t="s">
        <v>309</v>
      </c>
      <c r="E1" t="s">
        <v>310</v>
      </c>
      <c r="F1" t="s">
        <v>311</v>
      </c>
      <c r="G1" t="s">
        <v>312</v>
      </c>
      <c r="H1" t="s">
        <v>313</v>
      </c>
    </row>
    <row r="2" spans="1:8">
      <c r="A2">
        <v>21</v>
      </c>
      <c r="B2" t="s">
        <v>369</v>
      </c>
      <c r="C2" t="s">
        <v>250</v>
      </c>
      <c r="D2" s="75">
        <v>0</v>
      </c>
      <c r="E2" s="75">
        <v>0</v>
      </c>
      <c r="F2" s="75">
        <v>0</v>
      </c>
      <c r="G2" s="75">
        <v>0</v>
      </c>
      <c r="H2" s="75">
        <v>0</v>
      </c>
    </row>
    <row r="3" spans="1:8">
      <c r="A3">
        <v>21</v>
      </c>
      <c r="B3" t="s">
        <v>369</v>
      </c>
      <c r="C3" t="s">
        <v>252</v>
      </c>
      <c r="D3" s="75">
        <v>0</v>
      </c>
      <c r="E3" s="75">
        <v>0</v>
      </c>
      <c r="F3" s="75">
        <v>0</v>
      </c>
      <c r="G3" s="75">
        <v>0</v>
      </c>
      <c r="H3" s="75">
        <v>0</v>
      </c>
    </row>
    <row r="4" spans="1:8">
      <c r="A4">
        <v>21</v>
      </c>
      <c r="B4" t="s">
        <v>369</v>
      </c>
      <c r="C4" t="s">
        <v>253</v>
      </c>
      <c r="D4" s="75">
        <v>0</v>
      </c>
      <c r="E4" s="75">
        <v>0</v>
      </c>
      <c r="F4" s="75">
        <v>0</v>
      </c>
      <c r="G4" s="75">
        <v>0</v>
      </c>
      <c r="H4" s="75">
        <v>0</v>
      </c>
    </row>
    <row r="5" spans="1:8">
      <c r="A5">
        <v>21</v>
      </c>
      <c r="B5" t="s">
        <v>369</v>
      </c>
      <c r="C5" t="s">
        <v>338</v>
      </c>
      <c r="D5" s="75">
        <v>0</v>
      </c>
      <c r="E5" s="75">
        <v>0</v>
      </c>
      <c r="F5" s="75">
        <v>0</v>
      </c>
      <c r="G5" s="75">
        <v>0</v>
      </c>
      <c r="H5" s="75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selection activeCell="E14" sqref="E14"/>
    </sheetView>
  </sheetViews>
  <sheetFormatPr defaultRowHeight="15"/>
  <cols>
    <col min="1" max="1" width="16.28515625" bestFit="1" customWidth="1"/>
    <col min="3" max="3" width="11.5703125" bestFit="1" customWidth="1"/>
    <col min="5" max="5" width="23.42578125" bestFit="1" customWidth="1"/>
  </cols>
  <sheetData>
    <row r="1" spans="1:5">
      <c r="A1" t="s">
        <v>133</v>
      </c>
      <c r="B1" t="s">
        <v>135</v>
      </c>
      <c r="C1" t="s">
        <v>307</v>
      </c>
      <c r="D1" t="s">
        <v>306</v>
      </c>
      <c r="E1" t="s">
        <v>305</v>
      </c>
    </row>
    <row r="2" spans="1:5">
      <c r="A2" t="s">
        <v>369</v>
      </c>
      <c r="B2" t="s">
        <v>250</v>
      </c>
      <c r="C2" s="173">
        <v>0</v>
      </c>
      <c r="D2" s="173">
        <v>0</v>
      </c>
      <c r="E2" s="173">
        <v>0</v>
      </c>
    </row>
    <row r="3" spans="1:5">
      <c r="A3" t="s">
        <v>369</v>
      </c>
      <c r="B3" t="s">
        <v>252</v>
      </c>
      <c r="C3" s="173">
        <v>0</v>
      </c>
      <c r="D3" s="173">
        <v>0</v>
      </c>
      <c r="E3" s="173">
        <v>0</v>
      </c>
    </row>
    <row r="4" spans="1:5">
      <c r="A4" t="s">
        <v>369</v>
      </c>
      <c r="B4" t="s">
        <v>253</v>
      </c>
      <c r="C4" s="173">
        <v>0</v>
      </c>
      <c r="D4" s="173">
        <v>0</v>
      </c>
      <c r="E4" s="173">
        <v>0</v>
      </c>
    </row>
    <row r="5" spans="1:5">
      <c r="A5" t="s">
        <v>369</v>
      </c>
      <c r="B5" t="s">
        <v>338</v>
      </c>
      <c r="C5" s="173">
        <v>0</v>
      </c>
      <c r="D5" s="173">
        <v>0</v>
      </c>
      <c r="E5" s="173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>
      <selection activeCell="G23" sqref="G23"/>
    </sheetView>
  </sheetViews>
  <sheetFormatPr defaultRowHeight="15"/>
  <cols>
    <col min="1" max="1" width="17.85546875" bestFit="1" customWidth="1"/>
    <col min="2" max="2" width="9.85546875" bestFit="1" customWidth="1"/>
    <col min="4" max="4" width="23.42578125" bestFit="1" customWidth="1"/>
    <col min="5" max="5" width="44.5703125" bestFit="1" customWidth="1"/>
    <col min="6" max="6" width="23.140625" bestFit="1" customWidth="1"/>
    <col min="7" max="7" width="19" bestFit="1" customWidth="1"/>
  </cols>
  <sheetData>
    <row r="1" spans="1:7">
      <c r="A1" t="s">
        <v>188</v>
      </c>
      <c r="B1" t="s">
        <v>135</v>
      </c>
      <c r="C1" t="s">
        <v>503</v>
      </c>
      <c r="D1" t="s">
        <v>504</v>
      </c>
      <c r="E1" t="s">
        <v>505</v>
      </c>
      <c r="F1" t="s">
        <v>506</v>
      </c>
      <c r="G1" t="s">
        <v>507</v>
      </c>
    </row>
    <row r="2" spans="1:7">
      <c r="A2" t="s">
        <v>537</v>
      </c>
      <c r="B2" t="s">
        <v>175</v>
      </c>
      <c r="C2" t="s">
        <v>211</v>
      </c>
      <c r="D2" s="75">
        <v>983040</v>
      </c>
      <c r="E2" s="75">
        <v>659863</v>
      </c>
      <c r="F2" s="75">
        <v>323177</v>
      </c>
      <c r="G2">
        <v>32.880000000000003</v>
      </c>
    </row>
    <row r="3" spans="1:7">
      <c r="A3" t="s">
        <v>537</v>
      </c>
      <c r="B3" t="s">
        <v>176</v>
      </c>
      <c r="C3" t="s">
        <v>211</v>
      </c>
      <c r="D3" s="75">
        <v>983040</v>
      </c>
      <c r="E3" s="75">
        <v>648108</v>
      </c>
      <c r="F3" s="75">
        <v>334932</v>
      </c>
      <c r="G3">
        <v>34.07</v>
      </c>
    </row>
    <row r="4" spans="1:7">
      <c r="A4" t="s">
        <v>537</v>
      </c>
      <c r="B4" t="s">
        <v>177</v>
      </c>
      <c r="C4" t="s">
        <v>211</v>
      </c>
      <c r="D4" s="75">
        <v>1114112</v>
      </c>
      <c r="E4" s="75">
        <v>671568</v>
      </c>
      <c r="F4" s="75">
        <v>442544</v>
      </c>
      <c r="G4">
        <v>39.72</v>
      </c>
    </row>
    <row r="5" spans="1:7">
      <c r="A5" t="s">
        <v>537</v>
      </c>
      <c r="B5" t="s">
        <v>178</v>
      </c>
      <c r="C5" t="s">
        <v>211</v>
      </c>
      <c r="D5" s="75">
        <v>1245184</v>
      </c>
      <c r="E5" s="75">
        <v>820369</v>
      </c>
      <c r="F5" s="75">
        <v>424815</v>
      </c>
      <c r="G5">
        <v>34.119999999999997</v>
      </c>
    </row>
    <row r="6" spans="1:7">
      <c r="A6" t="s">
        <v>537</v>
      </c>
      <c r="B6" t="s">
        <v>179</v>
      </c>
      <c r="C6" t="s">
        <v>211</v>
      </c>
      <c r="D6" s="75">
        <v>2228224</v>
      </c>
      <c r="E6" s="75">
        <v>1521186</v>
      </c>
      <c r="F6" s="75">
        <v>707038</v>
      </c>
      <c r="G6">
        <v>31.73</v>
      </c>
    </row>
    <row r="7" spans="1:7">
      <c r="A7" t="s">
        <v>537</v>
      </c>
      <c r="B7" t="s">
        <v>180</v>
      </c>
      <c r="C7" t="s">
        <v>211</v>
      </c>
      <c r="D7" s="75">
        <v>2228224</v>
      </c>
      <c r="E7" s="75">
        <v>1519514</v>
      </c>
      <c r="F7" s="75">
        <v>708710</v>
      </c>
      <c r="G7">
        <v>31.81</v>
      </c>
    </row>
    <row r="8" spans="1:7">
      <c r="A8" t="s">
        <v>537</v>
      </c>
      <c r="B8" t="s">
        <v>275</v>
      </c>
      <c r="C8" t="s">
        <v>211</v>
      </c>
      <c r="D8" s="75">
        <v>2228224</v>
      </c>
      <c r="E8" s="75">
        <v>1528638</v>
      </c>
      <c r="F8" s="75">
        <v>699586</v>
      </c>
      <c r="G8">
        <v>31.4</v>
      </c>
    </row>
    <row r="9" spans="1:7">
      <c r="A9" t="s">
        <v>537</v>
      </c>
      <c r="B9" t="s">
        <v>538</v>
      </c>
      <c r="E9" s="75">
        <v>2097104</v>
      </c>
    </row>
    <row r="10" spans="1:7">
      <c r="A10" t="s">
        <v>537</v>
      </c>
      <c r="B10" t="s">
        <v>539</v>
      </c>
      <c r="E10" s="75">
        <v>2097104</v>
      </c>
    </row>
    <row r="11" spans="1:7">
      <c r="A11" t="s">
        <v>537</v>
      </c>
      <c r="B11" t="s">
        <v>161</v>
      </c>
      <c r="C11" t="s">
        <v>211</v>
      </c>
      <c r="D11" s="75">
        <v>983040</v>
      </c>
      <c r="E11" s="75">
        <v>982993</v>
      </c>
      <c r="F11">
        <v>47</v>
      </c>
      <c r="G11">
        <v>0</v>
      </c>
    </row>
    <row r="12" spans="1:7">
      <c r="A12" t="s">
        <v>537</v>
      </c>
      <c r="B12" t="s">
        <v>162</v>
      </c>
      <c r="C12" t="s">
        <v>211</v>
      </c>
      <c r="D12" s="75">
        <v>983040</v>
      </c>
      <c r="E12" s="75">
        <v>483096</v>
      </c>
      <c r="F12" s="75">
        <v>499944</v>
      </c>
      <c r="G12">
        <v>50.86</v>
      </c>
    </row>
    <row r="13" spans="1:7">
      <c r="A13" t="s">
        <v>537</v>
      </c>
      <c r="B13" t="s">
        <v>163</v>
      </c>
      <c r="C13" t="s">
        <v>211</v>
      </c>
      <c r="D13" s="75">
        <v>983040</v>
      </c>
      <c r="E13" s="75">
        <v>875099</v>
      </c>
      <c r="F13" s="75">
        <v>107941</v>
      </c>
      <c r="G13">
        <v>10.98</v>
      </c>
    </row>
    <row r="14" spans="1:7">
      <c r="A14" t="s">
        <v>537</v>
      </c>
      <c r="B14" t="s">
        <v>164</v>
      </c>
      <c r="C14" t="s">
        <v>211</v>
      </c>
      <c r="D14" s="75">
        <v>983040</v>
      </c>
      <c r="E14" s="75">
        <v>483096</v>
      </c>
      <c r="F14" s="75">
        <v>499944</v>
      </c>
      <c r="G14">
        <v>50.86</v>
      </c>
    </row>
    <row r="15" spans="1:7">
      <c r="A15" t="s">
        <v>537</v>
      </c>
      <c r="B15" t="s">
        <v>165</v>
      </c>
      <c r="C15" t="s">
        <v>211</v>
      </c>
      <c r="D15" s="75">
        <v>1900544</v>
      </c>
      <c r="E15" s="75">
        <v>973809</v>
      </c>
      <c r="F15" s="75">
        <v>926735</v>
      </c>
      <c r="G15">
        <v>48.76</v>
      </c>
    </row>
    <row r="16" spans="1:7">
      <c r="A16" t="s">
        <v>537</v>
      </c>
      <c r="B16" t="s">
        <v>166</v>
      </c>
      <c r="C16" t="s">
        <v>211</v>
      </c>
      <c r="D16" s="75">
        <v>1900544</v>
      </c>
      <c r="E16" s="75">
        <v>972680</v>
      </c>
      <c r="F16" s="75">
        <v>927864</v>
      </c>
      <c r="G16">
        <v>48.82</v>
      </c>
    </row>
    <row r="17" spans="1:7">
      <c r="A17" t="s">
        <v>537</v>
      </c>
      <c r="B17" t="s">
        <v>167</v>
      </c>
      <c r="C17" t="s">
        <v>211</v>
      </c>
      <c r="D17" s="75">
        <v>1507328</v>
      </c>
      <c r="E17" s="75">
        <v>670940</v>
      </c>
      <c r="F17" s="75">
        <v>836388</v>
      </c>
      <c r="G17">
        <v>55.49</v>
      </c>
    </row>
    <row r="18" spans="1:7">
      <c r="A18" t="s">
        <v>537</v>
      </c>
      <c r="B18" t="s">
        <v>168</v>
      </c>
      <c r="C18" t="s">
        <v>211</v>
      </c>
      <c r="D18" s="75">
        <v>1703936</v>
      </c>
      <c r="E18" s="75">
        <v>771453</v>
      </c>
      <c r="F18" s="75">
        <v>932483</v>
      </c>
      <c r="G18">
        <v>54.73</v>
      </c>
    </row>
    <row r="19" spans="1:7">
      <c r="A19" t="s">
        <v>537</v>
      </c>
      <c r="B19" t="s">
        <v>169</v>
      </c>
      <c r="C19" t="s">
        <v>211</v>
      </c>
      <c r="D19" s="75">
        <v>1703936</v>
      </c>
      <c r="E19" s="75">
        <v>770431</v>
      </c>
      <c r="F19" s="75">
        <v>933505</v>
      </c>
      <c r="G19">
        <v>54.79</v>
      </c>
    </row>
    <row r="20" spans="1:7">
      <c r="A20" t="s">
        <v>537</v>
      </c>
      <c r="B20" t="s">
        <v>170</v>
      </c>
      <c r="C20" t="s">
        <v>211</v>
      </c>
      <c r="D20" s="75">
        <v>1703936</v>
      </c>
      <c r="E20" s="75">
        <v>1337012</v>
      </c>
      <c r="F20" s="75">
        <v>940719</v>
      </c>
    </row>
    <row r="21" spans="1:7">
      <c r="A21" t="s">
        <v>537</v>
      </c>
      <c r="B21" t="s">
        <v>171</v>
      </c>
      <c r="C21" t="s">
        <v>211</v>
      </c>
      <c r="D21" s="75">
        <v>2228224</v>
      </c>
      <c r="E21" s="75">
        <v>1337012</v>
      </c>
      <c r="F21" s="75">
        <v>891212</v>
      </c>
    </row>
    <row r="22" spans="1:7">
      <c r="A22" t="s">
        <v>537</v>
      </c>
      <c r="B22" t="s">
        <v>172</v>
      </c>
      <c r="C22" t="s">
        <v>211</v>
      </c>
      <c r="D22" s="75">
        <v>2228224</v>
      </c>
      <c r="E22" s="75">
        <v>1248123</v>
      </c>
      <c r="F22" s="75">
        <v>980101</v>
      </c>
      <c r="G22">
        <v>43.99</v>
      </c>
    </row>
    <row r="23" spans="1:7">
      <c r="A23" t="s">
        <v>537</v>
      </c>
      <c r="B23" t="s">
        <v>173</v>
      </c>
      <c r="C23" t="s">
        <v>211</v>
      </c>
      <c r="D23" s="75">
        <v>2228224</v>
      </c>
      <c r="E23" s="75">
        <v>1241300</v>
      </c>
      <c r="F23" s="75">
        <v>986924</v>
      </c>
      <c r="G23">
        <v>44.29</v>
      </c>
    </row>
    <row r="24" spans="1:7">
      <c r="A24" t="s">
        <v>537</v>
      </c>
      <c r="B24" t="s">
        <v>272</v>
      </c>
      <c r="C24" t="s">
        <v>211</v>
      </c>
      <c r="D24" s="75">
        <v>2228224</v>
      </c>
      <c r="E24" s="75">
        <v>1202498</v>
      </c>
      <c r="F24" s="75">
        <v>1025726</v>
      </c>
      <c r="G24">
        <v>46.03</v>
      </c>
    </row>
    <row r="25" spans="1:7">
      <c r="A25" t="s">
        <v>537</v>
      </c>
      <c r="B25" t="s">
        <v>273</v>
      </c>
      <c r="C25" t="s">
        <v>211</v>
      </c>
      <c r="D25" s="75">
        <v>2228224</v>
      </c>
      <c r="E25" s="75">
        <v>1198977</v>
      </c>
      <c r="F25" s="75">
        <v>1029247</v>
      </c>
      <c r="G25">
        <v>46.19</v>
      </c>
    </row>
    <row r="26" spans="1:7">
      <c r="A26" t="s">
        <v>537</v>
      </c>
      <c r="B26" t="s">
        <v>274</v>
      </c>
      <c r="C26" t="s">
        <v>211</v>
      </c>
      <c r="D26" s="75">
        <v>2228224</v>
      </c>
      <c r="E26" s="75">
        <v>1100101</v>
      </c>
      <c r="F26" s="75">
        <v>1128123</v>
      </c>
      <c r="G26">
        <v>50.63</v>
      </c>
    </row>
    <row r="27" spans="1:7">
      <c r="A27" t="s">
        <v>537</v>
      </c>
      <c r="B27" t="s">
        <v>339</v>
      </c>
      <c r="C27" t="s">
        <v>211</v>
      </c>
      <c r="D27" s="75">
        <v>2228224</v>
      </c>
      <c r="E27" s="75">
        <v>1096006</v>
      </c>
      <c r="F27" s="75">
        <v>1132218</v>
      </c>
      <c r="G27">
        <v>50.81</v>
      </c>
    </row>
    <row r="28" spans="1:7">
      <c r="A28" t="s">
        <v>537</v>
      </c>
      <c r="B28" t="s">
        <v>540</v>
      </c>
      <c r="E28" s="75">
        <v>1441759</v>
      </c>
    </row>
    <row r="29" spans="1:7">
      <c r="A29" t="s">
        <v>537</v>
      </c>
      <c r="B29" t="s">
        <v>541</v>
      </c>
      <c r="E29" s="75">
        <v>1441759</v>
      </c>
    </row>
    <row r="30" spans="1:7">
      <c r="A30" t="s">
        <v>537</v>
      </c>
      <c r="B30" t="s">
        <v>542</v>
      </c>
      <c r="E30" s="75">
        <v>2097104</v>
      </c>
    </row>
    <row r="31" spans="1:7">
      <c r="A31" t="s">
        <v>537</v>
      </c>
      <c r="B31" t="s">
        <v>543</v>
      </c>
      <c r="E31" s="75">
        <v>2097104</v>
      </c>
    </row>
    <row r="32" spans="1:7">
      <c r="A32" t="s">
        <v>537</v>
      </c>
      <c r="B32" t="s">
        <v>181</v>
      </c>
      <c r="C32" t="s">
        <v>211</v>
      </c>
      <c r="D32" s="75">
        <v>1048576</v>
      </c>
      <c r="E32" s="75">
        <v>651081</v>
      </c>
      <c r="F32" s="75">
        <v>397495</v>
      </c>
      <c r="G32">
        <v>37.909999999999997</v>
      </c>
    </row>
    <row r="33" spans="1:7">
      <c r="A33" t="s">
        <v>537</v>
      </c>
      <c r="B33" t="s">
        <v>182</v>
      </c>
      <c r="C33" t="s">
        <v>211</v>
      </c>
      <c r="D33" s="75">
        <v>1048576</v>
      </c>
      <c r="E33" s="75">
        <v>666523</v>
      </c>
      <c r="F33" s="75">
        <v>382053</v>
      </c>
      <c r="G33">
        <v>36.44</v>
      </c>
    </row>
    <row r="34" spans="1:7">
      <c r="A34" t="s">
        <v>537</v>
      </c>
      <c r="B34" t="s">
        <v>183</v>
      </c>
      <c r="C34" t="s">
        <v>211</v>
      </c>
      <c r="D34" s="75">
        <v>1048576</v>
      </c>
      <c r="E34" s="75">
        <v>643574</v>
      </c>
      <c r="F34" s="75">
        <v>405002</v>
      </c>
      <c r="G34">
        <v>38.619999999999997</v>
      </c>
    </row>
    <row r="35" spans="1:7">
      <c r="A35" t="s">
        <v>537</v>
      </c>
      <c r="B35" t="s">
        <v>184</v>
      </c>
      <c r="C35" t="s">
        <v>211</v>
      </c>
      <c r="D35" s="75">
        <v>1048576</v>
      </c>
      <c r="E35" s="75">
        <v>670634</v>
      </c>
      <c r="F35" s="75">
        <v>377942</v>
      </c>
      <c r="G35">
        <v>36.04</v>
      </c>
    </row>
    <row r="36" spans="1:7">
      <c r="A36" t="s">
        <v>537</v>
      </c>
      <c r="B36" t="s">
        <v>185</v>
      </c>
      <c r="C36" t="s">
        <v>211</v>
      </c>
      <c r="D36" s="75">
        <v>1900544</v>
      </c>
      <c r="E36" s="75">
        <v>1123994</v>
      </c>
      <c r="F36" s="75">
        <v>776550</v>
      </c>
      <c r="G36">
        <v>40.86</v>
      </c>
    </row>
    <row r="37" spans="1:7">
      <c r="A37" t="s">
        <v>537</v>
      </c>
      <c r="B37" t="s">
        <v>186</v>
      </c>
      <c r="C37" t="s">
        <v>211</v>
      </c>
      <c r="D37" s="75">
        <v>1835008</v>
      </c>
      <c r="E37" s="75">
        <v>1113664</v>
      </c>
      <c r="F37" s="75">
        <v>721344</v>
      </c>
      <c r="G37">
        <v>39.31</v>
      </c>
    </row>
    <row r="38" spans="1:7">
      <c r="A38" t="s">
        <v>537</v>
      </c>
      <c r="B38" t="s">
        <v>187</v>
      </c>
      <c r="C38" t="s">
        <v>211</v>
      </c>
      <c r="D38" s="75">
        <v>1900544</v>
      </c>
      <c r="E38" s="75">
        <v>1114859</v>
      </c>
      <c r="F38" s="75">
        <v>785685</v>
      </c>
      <c r="G38">
        <v>41.34</v>
      </c>
    </row>
    <row r="39" spans="1:7">
      <c r="A39" t="s">
        <v>537</v>
      </c>
      <c r="B39" t="s">
        <v>326</v>
      </c>
      <c r="C39" t="s">
        <v>211</v>
      </c>
      <c r="D39" s="75">
        <v>2228224</v>
      </c>
      <c r="E39" s="75">
        <v>1403710</v>
      </c>
      <c r="F39" s="75">
        <v>824514</v>
      </c>
      <c r="G39">
        <v>37</v>
      </c>
    </row>
    <row r="40" spans="1:7">
      <c r="A40" t="s">
        <v>537</v>
      </c>
      <c r="B40" t="s">
        <v>544</v>
      </c>
      <c r="E40" s="75">
        <v>2097104</v>
      </c>
    </row>
    <row r="41" spans="1:7">
      <c r="A41" t="s">
        <v>537</v>
      </c>
      <c r="B41" t="s">
        <v>545</v>
      </c>
      <c r="E41" s="75">
        <v>2097104</v>
      </c>
    </row>
    <row r="42" spans="1:7">
      <c r="A42" t="s">
        <v>537</v>
      </c>
      <c r="B42" t="s">
        <v>546</v>
      </c>
      <c r="E42" s="75">
        <v>2097104</v>
      </c>
    </row>
    <row r="43" spans="1:7">
      <c r="A43" t="s">
        <v>537</v>
      </c>
      <c r="B43" t="s">
        <v>3</v>
      </c>
      <c r="C43" t="s">
        <v>3</v>
      </c>
      <c r="D43" s="75">
        <v>52559872</v>
      </c>
      <c r="E43" s="75">
        <v>47727113</v>
      </c>
      <c r="F43" s="75">
        <v>22396005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topLeftCell="A25" workbookViewId="0">
      <selection activeCell="E7" sqref="E7"/>
    </sheetView>
  </sheetViews>
  <sheetFormatPr defaultRowHeight="15"/>
  <cols>
    <col min="1" max="1" width="17.85546875" bestFit="1" customWidth="1"/>
    <col min="2" max="2" width="13.42578125" customWidth="1"/>
    <col min="3" max="3" width="9.28515625" bestFit="1" customWidth="1"/>
    <col min="4" max="4" width="21.85546875" bestFit="1" customWidth="1"/>
  </cols>
  <sheetData>
    <row r="1" spans="1:5">
      <c r="A1" t="s">
        <v>188</v>
      </c>
      <c r="B1" t="s">
        <v>1152</v>
      </c>
      <c r="C1" t="s">
        <v>135</v>
      </c>
      <c r="D1" t="s">
        <v>1153</v>
      </c>
    </row>
    <row r="2" spans="1:5">
      <c r="A2" t="s">
        <v>1154</v>
      </c>
      <c r="B2" t="s">
        <v>1155</v>
      </c>
      <c r="C2" t="s">
        <v>176</v>
      </c>
      <c r="D2" t="s">
        <v>1156</v>
      </c>
      <c r="E2">
        <v>436.02300000000002</v>
      </c>
    </row>
    <row r="3" spans="1:5">
      <c r="A3" t="s">
        <v>1154</v>
      </c>
      <c r="B3" t="s">
        <v>1155</v>
      </c>
      <c r="C3" t="s">
        <v>178</v>
      </c>
      <c r="D3" t="s">
        <v>1156</v>
      </c>
      <c r="E3">
        <v>553.21500000000003</v>
      </c>
    </row>
    <row r="4" spans="1:5">
      <c r="A4" t="s">
        <v>1154</v>
      </c>
      <c r="B4" t="s">
        <v>1155</v>
      </c>
      <c r="C4" t="s">
        <v>179</v>
      </c>
      <c r="D4" t="s">
        <v>1156</v>
      </c>
      <c r="E4" t="s">
        <v>1157</v>
      </c>
    </row>
    <row r="5" spans="1:5">
      <c r="A5" t="s">
        <v>1154</v>
      </c>
      <c r="B5" t="s">
        <v>1155</v>
      </c>
      <c r="C5" t="s">
        <v>180</v>
      </c>
      <c r="D5" t="s">
        <v>1156</v>
      </c>
      <c r="E5" t="s">
        <v>1158</v>
      </c>
    </row>
    <row r="6" spans="1:5">
      <c r="A6" t="s">
        <v>1154</v>
      </c>
      <c r="B6" t="s">
        <v>1155</v>
      </c>
      <c r="C6" t="s">
        <v>275</v>
      </c>
      <c r="D6" t="s">
        <v>1156</v>
      </c>
      <c r="E6" t="s">
        <v>1159</v>
      </c>
    </row>
    <row r="7" spans="1:5">
      <c r="A7" t="s">
        <v>1154</v>
      </c>
      <c r="B7" t="s">
        <v>1155</v>
      </c>
      <c r="C7" t="s">
        <v>1160</v>
      </c>
      <c r="D7" t="s">
        <v>1156</v>
      </c>
      <c r="E7">
        <v>201.102</v>
      </c>
    </row>
    <row r="8" spans="1:5">
      <c r="A8" t="s">
        <v>1154</v>
      </c>
      <c r="B8" t="s">
        <v>1155</v>
      </c>
      <c r="C8" t="s">
        <v>1161</v>
      </c>
      <c r="D8" t="s">
        <v>1156</v>
      </c>
      <c r="E8">
        <v>198.24700000000001</v>
      </c>
    </row>
    <row r="9" spans="1:5">
      <c r="A9" t="s">
        <v>1154</v>
      </c>
      <c r="B9" t="s">
        <v>1155</v>
      </c>
      <c r="C9" t="s">
        <v>161</v>
      </c>
      <c r="D9" t="s">
        <v>1156</v>
      </c>
      <c r="E9">
        <v>403.303</v>
      </c>
    </row>
    <row r="10" spans="1:5">
      <c r="A10" t="s">
        <v>1154</v>
      </c>
      <c r="B10" t="s">
        <v>1155</v>
      </c>
      <c r="C10" t="s">
        <v>162</v>
      </c>
      <c r="D10" t="s">
        <v>1156</v>
      </c>
      <c r="E10">
        <v>406.55599999999998</v>
      </c>
    </row>
    <row r="11" spans="1:5">
      <c r="A11" t="s">
        <v>1154</v>
      </c>
      <c r="B11" t="s">
        <v>1155</v>
      </c>
      <c r="C11" t="s">
        <v>163</v>
      </c>
      <c r="D11" t="s">
        <v>1156</v>
      </c>
      <c r="E11">
        <v>93.367999999999995</v>
      </c>
    </row>
    <row r="12" spans="1:5">
      <c r="A12" t="s">
        <v>1154</v>
      </c>
      <c r="B12" t="s">
        <v>1155</v>
      </c>
      <c r="C12" t="s">
        <v>164</v>
      </c>
      <c r="D12" t="s">
        <v>1156</v>
      </c>
      <c r="E12">
        <v>416.35</v>
      </c>
    </row>
    <row r="13" spans="1:5">
      <c r="A13" t="s">
        <v>1154</v>
      </c>
      <c r="B13" t="s">
        <v>1155</v>
      </c>
      <c r="C13" t="s">
        <v>167</v>
      </c>
      <c r="D13" t="s">
        <v>1156</v>
      </c>
      <c r="E13">
        <v>860.43</v>
      </c>
    </row>
    <row r="14" spans="1:5">
      <c r="A14" t="s">
        <v>1154</v>
      </c>
      <c r="B14" t="s">
        <v>1155</v>
      </c>
      <c r="C14" t="s">
        <v>168</v>
      </c>
      <c r="D14" t="s">
        <v>1156</v>
      </c>
      <c r="E14">
        <v>987.01199999999994</v>
      </c>
    </row>
    <row r="15" spans="1:5">
      <c r="A15" t="s">
        <v>1154</v>
      </c>
      <c r="B15" t="s">
        <v>1155</v>
      </c>
      <c r="C15" t="s">
        <v>169</v>
      </c>
      <c r="D15" t="s">
        <v>1156</v>
      </c>
      <c r="E15">
        <v>972.58199999999999</v>
      </c>
    </row>
    <row r="16" spans="1:5">
      <c r="A16" t="s">
        <v>1154</v>
      </c>
      <c r="B16" t="s">
        <v>1155</v>
      </c>
      <c r="C16" t="s">
        <v>170</v>
      </c>
      <c r="D16" t="s">
        <v>1156</v>
      </c>
      <c r="E16" t="s">
        <v>1162</v>
      </c>
    </row>
    <row r="17" spans="1:5">
      <c r="A17" t="s">
        <v>1154</v>
      </c>
      <c r="B17" t="s">
        <v>1155</v>
      </c>
      <c r="C17" t="s">
        <v>171</v>
      </c>
      <c r="D17" t="s">
        <v>1156</v>
      </c>
      <c r="E17" t="s">
        <v>1163</v>
      </c>
    </row>
    <row r="18" spans="1:5">
      <c r="A18" t="s">
        <v>1154</v>
      </c>
      <c r="B18" t="s">
        <v>1155</v>
      </c>
      <c r="C18" t="s">
        <v>172</v>
      </c>
      <c r="D18" t="s">
        <v>1156</v>
      </c>
      <c r="E18" t="s">
        <v>1151</v>
      </c>
    </row>
    <row r="19" spans="1:5">
      <c r="A19" t="s">
        <v>1154</v>
      </c>
      <c r="B19" t="s">
        <v>1155</v>
      </c>
      <c r="C19" t="s">
        <v>173</v>
      </c>
      <c r="D19" t="s">
        <v>1156</v>
      </c>
      <c r="E19">
        <v>639.26900000000001</v>
      </c>
    </row>
    <row r="20" spans="1:5">
      <c r="A20" t="s">
        <v>1154</v>
      </c>
      <c r="B20" t="s">
        <v>1155</v>
      </c>
      <c r="C20" t="s">
        <v>272</v>
      </c>
      <c r="D20" t="s">
        <v>1156</v>
      </c>
      <c r="E20" t="s">
        <v>1164</v>
      </c>
    </row>
    <row r="21" spans="1:5">
      <c r="A21" t="s">
        <v>1154</v>
      </c>
      <c r="B21" t="s">
        <v>1155</v>
      </c>
      <c r="C21" t="s">
        <v>273</v>
      </c>
      <c r="D21" t="s">
        <v>1156</v>
      </c>
      <c r="E21" t="s">
        <v>1165</v>
      </c>
    </row>
    <row r="22" spans="1:5">
      <c r="A22" t="s">
        <v>1154</v>
      </c>
      <c r="B22" t="s">
        <v>1155</v>
      </c>
      <c r="C22" t="s">
        <v>274</v>
      </c>
      <c r="D22" t="s">
        <v>1156</v>
      </c>
      <c r="E22" t="s">
        <v>1166</v>
      </c>
    </row>
    <row r="23" spans="1:5">
      <c r="A23" t="s">
        <v>1154</v>
      </c>
      <c r="B23" t="s">
        <v>1155</v>
      </c>
      <c r="C23" t="s">
        <v>339</v>
      </c>
      <c r="D23" t="s">
        <v>1156</v>
      </c>
      <c r="E23">
        <v>633.46299999999997</v>
      </c>
    </row>
    <row r="24" spans="1:5">
      <c r="A24" t="s">
        <v>1154</v>
      </c>
      <c r="B24" t="s">
        <v>1155</v>
      </c>
      <c r="C24" t="s">
        <v>1167</v>
      </c>
      <c r="D24" t="s">
        <v>1156</v>
      </c>
      <c r="E24">
        <v>911.32299999999998</v>
      </c>
    </row>
    <row r="25" spans="1:5">
      <c r="A25" t="s">
        <v>1154</v>
      </c>
      <c r="B25" t="s">
        <v>1155</v>
      </c>
      <c r="C25" t="s">
        <v>1168</v>
      </c>
      <c r="D25" t="s">
        <v>1156</v>
      </c>
      <c r="E25">
        <v>899.46199999999999</v>
      </c>
    </row>
    <row r="26" spans="1:5">
      <c r="A26" t="s">
        <v>1154</v>
      </c>
      <c r="B26" t="s">
        <v>1155</v>
      </c>
      <c r="C26" t="s">
        <v>1169</v>
      </c>
      <c r="D26" t="s">
        <v>1156</v>
      </c>
      <c r="E26" t="s">
        <v>1170</v>
      </c>
    </row>
    <row r="27" spans="1:5">
      <c r="A27" t="s">
        <v>1154</v>
      </c>
      <c r="B27" t="s">
        <v>1155</v>
      </c>
      <c r="C27" t="s">
        <v>1171</v>
      </c>
      <c r="D27" t="s">
        <v>1156</v>
      </c>
      <c r="E27" t="s">
        <v>1150</v>
      </c>
    </row>
    <row r="28" spans="1:5">
      <c r="A28" t="s">
        <v>1154</v>
      </c>
      <c r="B28" t="s">
        <v>1155</v>
      </c>
      <c r="C28" t="s">
        <v>1172</v>
      </c>
      <c r="D28" t="s">
        <v>1156</v>
      </c>
      <c r="E28">
        <v>767.15200000000004</v>
      </c>
    </row>
    <row r="29" spans="1:5">
      <c r="A29" t="s">
        <v>1154</v>
      </c>
      <c r="B29" t="s">
        <v>1155</v>
      </c>
      <c r="C29" t="s">
        <v>1173</v>
      </c>
      <c r="D29" t="s">
        <v>1156</v>
      </c>
      <c r="E29">
        <v>592.69600000000003</v>
      </c>
    </row>
    <row r="30" spans="1:5">
      <c r="A30" t="s">
        <v>1154</v>
      </c>
      <c r="B30" t="s">
        <v>1155</v>
      </c>
      <c r="C30" t="s">
        <v>1174</v>
      </c>
      <c r="D30" t="s">
        <v>1156</v>
      </c>
      <c r="E30">
        <v>804.99199999999996</v>
      </c>
    </row>
    <row r="31" spans="1:5">
      <c r="A31" t="s">
        <v>1154</v>
      </c>
      <c r="B31" t="s">
        <v>1155</v>
      </c>
      <c r="C31" t="s">
        <v>1175</v>
      </c>
      <c r="D31" t="s">
        <v>1156</v>
      </c>
      <c r="E31">
        <v>802.52099999999996</v>
      </c>
    </row>
    <row r="32" spans="1:5">
      <c r="A32" t="s">
        <v>1154</v>
      </c>
      <c r="B32" t="s">
        <v>1155</v>
      </c>
      <c r="C32" t="s">
        <v>181</v>
      </c>
      <c r="D32" t="s">
        <v>1156</v>
      </c>
      <c r="E32">
        <v>473.23099999999999</v>
      </c>
    </row>
    <row r="33" spans="1:5">
      <c r="A33" t="s">
        <v>1154</v>
      </c>
      <c r="B33" t="s">
        <v>1155</v>
      </c>
      <c r="C33" t="s">
        <v>182</v>
      </c>
      <c r="D33" t="s">
        <v>1156</v>
      </c>
      <c r="E33">
        <v>474.62599999999998</v>
      </c>
    </row>
    <row r="34" spans="1:5">
      <c r="A34" t="s">
        <v>1154</v>
      </c>
      <c r="B34" t="s">
        <v>1155</v>
      </c>
      <c r="C34" t="s">
        <v>183</v>
      </c>
      <c r="D34" t="s">
        <v>1156</v>
      </c>
      <c r="E34">
        <v>93.691999999999993</v>
      </c>
    </row>
    <row r="35" spans="1:5">
      <c r="A35" t="s">
        <v>1154</v>
      </c>
      <c r="B35" t="s">
        <v>1155</v>
      </c>
      <c r="C35" t="s">
        <v>184</v>
      </c>
      <c r="D35" t="s">
        <v>1156</v>
      </c>
      <c r="E35">
        <v>492.27100000000002</v>
      </c>
    </row>
    <row r="36" spans="1:5">
      <c r="A36" t="s">
        <v>1154</v>
      </c>
      <c r="B36" t="s">
        <v>1155</v>
      </c>
      <c r="C36" t="s">
        <v>187</v>
      </c>
      <c r="D36" t="s">
        <v>1156</v>
      </c>
      <c r="E36" t="s">
        <v>1176</v>
      </c>
    </row>
    <row r="37" spans="1:5">
      <c r="A37" t="s">
        <v>1154</v>
      </c>
      <c r="B37" t="s">
        <v>1155</v>
      </c>
      <c r="C37" t="s">
        <v>326</v>
      </c>
      <c r="D37" t="s">
        <v>1156</v>
      </c>
      <c r="E37" t="s">
        <v>1177</v>
      </c>
    </row>
    <row r="38" spans="1:5">
      <c r="A38" t="s">
        <v>1154</v>
      </c>
      <c r="B38" t="s">
        <v>1155</v>
      </c>
      <c r="C38" t="s">
        <v>1178</v>
      </c>
      <c r="D38" t="s">
        <v>1156</v>
      </c>
      <c r="E38" t="s">
        <v>1179</v>
      </c>
    </row>
    <row r="39" spans="1:5">
      <c r="A39" t="s">
        <v>1154</v>
      </c>
      <c r="B39" t="s">
        <v>1155</v>
      </c>
      <c r="C39" t="s">
        <v>1180</v>
      </c>
      <c r="D39" t="s">
        <v>1156</v>
      </c>
      <c r="E39" t="s">
        <v>1181</v>
      </c>
    </row>
    <row r="40" spans="1:5">
      <c r="A40" t="s">
        <v>1154</v>
      </c>
      <c r="B40" t="s">
        <v>1155</v>
      </c>
      <c r="C40" t="s">
        <v>1182</v>
      </c>
      <c r="D40" t="s">
        <v>1156</v>
      </c>
      <c r="E40" t="s">
        <v>1183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MME_Lic</vt:lpstr>
      <vt:lpstr>GGSN-Lic</vt:lpstr>
      <vt:lpstr>Input_Lic_Rate_PS</vt:lpstr>
      <vt:lpstr>User_Guide</vt:lpstr>
      <vt:lpstr>Resource_GGSN_by_NPMS</vt:lpstr>
      <vt:lpstr>Resource_SGSN_by_NPMS</vt:lpstr>
      <vt:lpstr>TEMP_GGSN_IMS_by_NOCPRO</vt:lpstr>
      <vt:lpstr>IM_Load</vt:lpstr>
      <vt:lpstr>IMS</vt:lpstr>
      <vt:lpstr>Sheet2</vt:lpstr>
      <vt:lpstr>Resource_GGSN_by_NOCPRO</vt:lpstr>
      <vt:lpstr>Resource_SGSN_by_NOCPRO</vt:lpstr>
      <vt:lpstr>Chi tiết_report</vt:lpstr>
      <vt:lpstr>Subs</vt:lpstr>
      <vt:lpstr>idns_weight_PCSCF</vt:lpstr>
      <vt:lpstr>NEPG_Version</vt:lpstr>
      <vt:lpstr>QH_CGNAT_PEPS_incl_2024</vt:lpstr>
      <vt:lpstr>Input_TaiNguyenNode__GGSN_Daily</vt:lpstr>
      <vt:lpstr>Resource_IPPool_IMS</vt:lpstr>
      <vt:lpstr>Input_NOCPRO_GGSN</vt:lpstr>
      <vt:lpstr>Input_TaiNguyenPeak_SGSN_Daily</vt:lpstr>
      <vt:lpstr>Input_NOCPRO_SGSN</vt:lpstr>
      <vt:lpstr>NOCPRO_GGSN_Cisco</vt:lpstr>
      <vt:lpstr>FW CGNAT_NPMS</vt:lpstr>
      <vt:lpstr>Throughput_hour_crosstab_cisco</vt:lpstr>
      <vt:lpstr>Bear&amp;pdp_daily_crosstab_cisco</vt:lpstr>
      <vt:lpstr>IP_pool__IMS_Peak_day_crosstab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Van Quan</dc:creator>
  <cp:lastModifiedBy>dongtv17</cp:lastModifiedBy>
  <dcterms:created xsi:type="dcterms:W3CDTF">2021-05-13T01:07:39Z</dcterms:created>
  <dcterms:modified xsi:type="dcterms:W3CDTF">2026-07-01T01:20:49Z</dcterms:modified>
</cp:coreProperties>
</file>