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nton\Documents\1 - 369 Assessoria Contábil\Relatórios\Planilhas 02\"/>
    </mc:Choice>
  </mc:AlternateContent>
  <xr:revisionPtr revIDLastSave="0" documentId="13_ncr:1_{A9F6FE8B-440E-4D5B-B4D4-C29817DADA34}" xr6:coauthVersionLast="47" xr6:coauthVersionMax="47" xr10:uidLastSave="{00000000-0000-0000-0000-000000000000}"/>
  <bookViews>
    <workbookView xWindow="-120" yWindow="-120" windowWidth="20730" windowHeight="11040" tabRatio="809" activeTab="1" xr2:uid="{5CBDE1B7-83EF-4950-BFD8-4571FF0AA153}"/>
  </bookViews>
  <sheets>
    <sheet name="MENU" sheetId="10" r:id="rId1"/>
    <sheet name="PAINEL" sheetId="9" r:id="rId2"/>
    <sheet name="ORÇAMENTO" sheetId="1" r:id="rId3"/>
    <sheet name="LANÇAMENTO" sheetId="2" r:id="rId4"/>
    <sheet name="PATRIMÔNIO" sheetId="7" r:id="rId5"/>
    <sheet name="PROJETOS" sheetId="8" r:id="rId6"/>
    <sheet name="BASE PAINEL" sheetId="4" state="hidden" r:id="rId7"/>
  </sheets>
  <definedNames>
    <definedName name="_xlnm._FilterDatabase" localSheetId="6" hidden="1">'BASE PAINEL'!$A$44:$B$52</definedName>
    <definedName name="_xlnm._FilterDatabase" localSheetId="2" hidden="1">ORÇAMENTO!$A$1:$R$177</definedName>
    <definedName name="Alimentação">ORÇAMENTO!$B$53:$B$58</definedName>
    <definedName name="CATEGORIA">'BASE PAINEL'!$A$3:$A$23</definedName>
    <definedName name="Coleta_1_xlchart.v1.0" hidden="1">#REF!</definedName>
    <definedName name="coleta_2__xlchart.v1.1" hidden="1">#REF!</definedName>
    <definedName name="Comunicação">ORÇAMENTO!$B$45:$B$51</definedName>
    <definedName name="Dependentes">ORÇAMENTO!$B$113:$B$122</definedName>
    <definedName name="DESPESAS">ORÇAMENTO!$B$4:$Q$128</definedName>
    <definedName name="Diversos">ORÇAMENTO!$B$124:$B$128</definedName>
    <definedName name="Educação">ORÇAMENTO!$B$89:$B$94</definedName>
    <definedName name="Empresa">ORÇAMENTO!$B$108:$B$111</definedName>
    <definedName name="Empréstimo">ORÇAMENTO!$B$153:$B$161</definedName>
    <definedName name="Financiamento">ORÇAMENTO!$B$147:$B$151</definedName>
    <definedName name="Investimento">ORÇAMENTO!$B$165:$B$166</definedName>
    <definedName name="Lazer">ORÇAMENTO!$B$96:$B$101</definedName>
    <definedName name="MES_PAINEL">'BASE PAINEL'!$B$1</definedName>
    <definedName name="MESES">ORÇAMENTO!$E$4:$P$4</definedName>
    <definedName name="MORADIA">ORÇAMENTO!$B$30:$B$43</definedName>
    <definedName name="Pessoais">ORÇAMENTO!$B$80:$B$87</definedName>
    <definedName name="Previdência">ORÇAMENTO!$B$132:$B$135</definedName>
    <definedName name="Renda_Cônjuge">ORÇAMENTO!$B$14:$B$19</definedName>
    <definedName name="Renda_Extra">ORÇAMENTO!$B$21:$B$26</definedName>
    <definedName name="Renda_Principal">ORÇAMENTO!$B$7:$B$12</definedName>
    <definedName name="Saúde">ORÇAMENTO!$B$73:$B$78</definedName>
    <definedName name="Seguro_Outro">ORÇAMENTO!$B$141:$B$143</definedName>
    <definedName name="Seguro_Vida">ORÇAMENTO!$B$137:$B$139</definedName>
    <definedName name="SERV.FINANCEIROS">ORÇAMENTO!$B$103:$B$106</definedName>
    <definedName name="SERVIÇOS_FINANCEIROS">ORÇAMENTO!$B$103:$B$106</definedName>
    <definedName name="Transporte">ORÇAMENTO!$B$60:$B$71</definedName>
    <definedName name="vertex42_copyright" hidden="1">"© 2015-2016 Vertex42 LLC"</definedName>
    <definedName name="vertex42_id" hidden="1">"retirement-calculator.xlsx"</definedName>
    <definedName name="vertex42_title" hidden="1">"Retirement Calculator"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2" l="1"/>
  <c r="G8" i="8"/>
  <c r="C6" i="1"/>
  <c r="D7" i="1" l="1"/>
  <c r="B4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J8" i="7"/>
  <c r="J9" i="7"/>
  <c r="J10" i="7"/>
  <c r="J11" i="7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C164" i="1"/>
  <c r="C152" i="1"/>
  <c r="C146" i="1"/>
  <c r="C140" i="1"/>
  <c r="C136" i="1"/>
  <c r="C131" i="1"/>
  <c r="C123" i="1"/>
  <c r="C112" i="1"/>
  <c r="C107" i="1"/>
  <c r="C102" i="1"/>
  <c r="C95" i="1"/>
  <c r="C88" i="1"/>
  <c r="C79" i="1"/>
  <c r="C72" i="1"/>
  <c r="C59" i="1"/>
  <c r="C52" i="1"/>
  <c r="C44" i="1"/>
  <c r="C29" i="1"/>
  <c r="C20" i="1"/>
  <c r="C13" i="1"/>
  <c r="J7" i="7" l="1"/>
  <c r="J6" i="7"/>
  <c r="F5" i="2"/>
  <c r="A143" i="1" l="1"/>
  <c r="A142" i="1"/>
  <c r="A141" i="1"/>
  <c r="A139" i="1"/>
  <c r="A138" i="1"/>
  <c r="A137" i="1"/>
  <c r="A135" i="1"/>
  <c r="A134" i="1"/>
  <c r="A133" i="1"/>
  <c r="A132" i="1"/>
  <c r="A23" i="4"/>
  <c r="A22" i="4"/>
  <c r="A21" i="4"/>
  <c r="A20" i="4"/>
  <c r="A19" i="4"/>
  <c r="A18" i="4"/>
  <c r="A17" i="4"/>
  <c r="A16" i="4"/>
  <c r="A15" i="4"/>
  <c r="A3" i="4"/>
  <c r="A26" i="1"/>
  <c r="A25" i="1"/>
  <c r="A24" i="1"/>
  <c r="A23" i="1"/>
  <c r="A22" i="1"/>
  <c r="A21" i="1"/>
  <c r="A19" i="1"/>
  <c r="A18" i="1"/>
  <c r="A17" i="1"/>
  <c r="A16" i="1"/>
  <c r="A15" i="1"/>
  <c r="A14" i="1"/>
  <c r="A12" i="1"/>
  <c r="A11" i="1"/>
  <c r="A10" i="1"/>
  <c r="A9" i="1"/>
  <c r="A8" i="1"/>
  <c r="A7" i="1"/>
  <c r="A166" i="1"/>
  <c r="A165" i="1"/>
  <c r="A161" i="1"/>
  <c r="A160" i="1"/>
  <c r="A159" i="1"/>
  <c r="A158" i="1"/>
  <c r="A157" i="1"/>
  <c r="A156" i="1"/>
  <c r="A155" i="1"/>
  <c r="A154" i="1"/>
  <c r="A153" i="1"/>
  <c r="A151" i="1"/>
  <c r="A150" i="1"/>
  <c r="A149" i="1"/>
  <c r="A148" i="1"/>
  <c r="A147" i="1"/>
  <c r="A128" i="1" l="1"/>
  <c r="A127" i="1"/>
  <c r="A126" i="1"/>
  <c r="A125" i="1"/>
  <c r="A124" i="1"/>
  <c r="A106" i="1"/>
  <c r="A105" i="1"/>
  <c r="A104" i="1"/>
  <c r="A103" i="1"/>
  <c r="A122" i="1"/>
  <c r="A121" i="1"/>
  <c r="A120" i="1"/>
  <c r="A119" i="1"/>
  <c r="A118" i="1"/>
  <c r="A117" i="1"/>
  <c r="A116" i="1"/>
  <c r="A115" i="1"/>
  <c r="A114" i="1"/>
  <c r="A113" i="1"/>
  <c r="A111" i="1"/>
  <c r="A110" i="1"/>
  <c r="A109" i="1"/>
  <c r="A108" i="1"/>
  <c r="A101" i="1"/>
  <c r="A100" i="1"/>
  <c r="A99" i="1"/>
  <c r="A98" i="1"/>
  <c r="A97" i="1"/>
  <c r="A96" i="1"/>
  <c r="A94" i="1"/>
  <c r="A93" i="1"/>
  <c r="A92" i="1"/>
  <c r="A91" i="1"/>
  <c r="A90" i="1"/>
  <c r="A89" i="1"/>
  <c r="A87" i="1"/>
  <c r="A86" i="1"/>
  <c r="A85" i="1"/>
  <c r="A84" i="1"/>
  <c r="A83" i="1"/>
  <c r="A82" i="1"/>
  <c r="A81" i="1"/>
  <c r="A80" i="1"/>
  <c r="A78" i="1"/>
  <c r="A77" i="1"/>
  <c r="A76" i="1"/>
  <c r="A75" i="1"/>
  <c r="A74" i="1"/>
  <c r="A73" i="1"/>
  <c r="A71" i="1"/>
  <c r="A70" i="1"/>
  <c r="A69" i="1"/>
  <c r="A68" i="1"/>
  <c r="A67" i="1"/>
  <c r="A66" i="1"/>
  <c r="A65" i="1"/>
  <c r="A64" i="1"/>
  <c r="A63" i="1"/>
  <c r="A62" i="1"/>
  <c r="A61" i="1"/>
  <c r="A60" i="1"/>
  <c r="A53" i="1"/>
  <c r="A58" i="1"/>
  <c r="A57" i="1"/>
  <c r="A56" i="1"/>
  <c r="A55" i="1"/>
  <c r="A54" i="1"/>
  <c r="A51" i="1"/>
  <c r="A50" i="1"/>
  <c r="A49" i="1"/>
  <c r="A48" i="1"/>
  <c r="A47" i="1"/>
  <c r="A46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14" i="4"/>
  <c r="A13" i="4"/>
  <c r="A12" i="4"/>
  <c r="A11" i="4"/>
  <c r="A10" i="4"/>
  <c r="A9" i="4"/>
  <c r="A8" i="4"/>
  <c r="A7" i="4"/>
  <c r="A6" i="4"/>
  <c r="A5" i="4"/>
  <c r="A4" i="4"/>
  <c r="B45" i="4"/>
  <c r="C45" i="4" s="1"/>
  <c r="B44" i="4"/>
  <c r="K9" i="8" l="1"/>
  <c r="B29" i="4" l="1"/>
  <c r="M29" i="4"/>
  <c r="N48" i="4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J29" i="4" l="1"/>
  <c r="C29" i="4"/>
  <c r="G29" i="4"/>
  <c r="K29" i="4"/>
  <c r="E29" i="4"/>
  <c r="I29" i="4"/>
  <c r="F29" i="4"/>
  <c r="D29" i="4"/>
  <c r="H29" i="4"/>
  <c r="L29" i="4"/>
  <c r="F48" i="4" l="1"/>
  <c r="F49" i="4"/>
  <c r="F50" i="4"/>
  <c r="D7" i="8" s="1"/>
  <c r="F51" i="4"/>
  <c r="F52" i="4"/>
  <c r="F53" i="4"/>
  <c r="C53" i="4"/>
  <c r="C54" i="4"/>
  <c r="C55" i="4"/>
  <c r="C56" i="4"/>
  <c r="O13" i="4"/>
  <c r="O12" i="4"/>
  <c r="O11" i="4"/>
  <c r="O10" i="4"/>
  <c r="O9" i="4"/>
  <c r="O8" i="4"/>
  <c r="O7" i="4"/>
  <c r="O6" i="4"/>
  <c r="O5" i="4"/>
  <c r="O4" i="4"/>
  <c r="O3" i="4"/>
  <c r="O2" i="4"/>
  <c r="D9" i="8" l="1"/>
  <c r="D8" i="8"/>
  <c r="D6" i="8"/>
  <c r="D5" i="8"/>
  <c r="C58" i="4"/>
  <c r="C59" i="4"/>
  <c r="B37" i="4"/>
  <c r="C175" i="1"/>
  <c r="C174" i="1"/>
  <c r="C173" i="1"/>
  <c r="D143" i="1"/>
  <c r="D142" i="1"/>
  <c r="D135" i="1"/>
  <c r="D134" i="1"/>
  <c r="D133" i="1"/>
  <c r="C171" i="1"/>
  <c r="H7" i="8" l="1"/>
  <c r="H9" i="8" s="1"/>
  <c r="I7" i="8"/>
  <c r="I9" i="8" s="1"/>
  <c r="C60" i="4"/>
  <c r="J7" i="8"/>
  <c r="J9" i="8" s="1"/>
  <c r="C172" i="1"/>
  <c r="C169" i="1"/>
  <c r="C170" i="1" l="1"/>
  <c r="P166" i="1"/>
  <c r="O166" i="1"/>
  <c r="N166" i="1"/>
  <c r="M166" i="1"/>
  <c r="L166" i="1"/>
  <c r="K166" i="1"/>
  <c r="J166" i="1"/>
  <c r="I166" i="1"/>
  <c r="H166" i="1"/>
  <c r="G166" i="1"/>
  <c r="F166" i="1"/>
  <c r="E166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P99" i="1"/>
  <c r="O99" i="1"/>
  <c r="N99" i="1"/>
  <c r="M99" i="1"/>
  <c r="L99" i="1"/>
  <c r="K99" i="1"/>
  <c r="J99" i="1"/>
  <c r="I99" i="1"/>
  <c r="H99" i="1"/>
  <c r="G99" i="1"/>
  <c r="F99" i="1"/>
  <c r="E99" i="1"/>
  <c r="P98" i="1"/>
  <c r="O98" i="1"/>
  <c r="N98" i="1"/>
  <c r="M98" i="1"/>
  <c r="L98" i="1"/>
  <c r="K98" i="1"/>
  <c r="J98" i="1"/>
  <c r="I98" i="1"/>
  <c r="H98" i="1"/>
  <c r="G98" i="1"/>
  <c r="F98" i="1"/>
  <c r="E98" i="1"/>
  <c r="P97" i="1"/>
  <c r="O97" i="1"/>
  <c r="N97" i="1"/>
  <c r="M97" i="1"/>
  <c r="L97" i="1"/>
  <c r="K97" i="1"/>
  <c r="J97" i="1"/>
  <c r="I97" i="1"/>
  <c r="H97" i="1"/>
  <c r="G97" i="1"/>
  <c r="F97" i="1"/>
  <c r="E97" i="1"/>
  <c r="P96" i="1"/>
  <c r="O96" i="1"/>
  <c r="N96" i="1"/>
  <c r="M96" i="1"/>
  <c r="L96" i="1"/>
  <c r="K96" i="1"/>
  <c r="J96" i="1"/>
  <c r="I96" i="1"/>
  <c r="H96" i="1"/>
  <c r="G96" i="1"/>
  <c r="F96" i="1"/>
  <c r="E96" i="1"/>
  <c r="P94" i="1"/>
  <c r="O94" i="1"/>
  <c r="N94" i="1"/>
  <c r="M94" i="1"/>
  <c r="L94" i="1"/>
  <c r="K94" i="1"/>
  <c r="J94" i="1"/>
  <c r="I94" i="1"/>
  <c r="H94" i="1"/>
  <c r="G94" i="1"/>
  <c r="F94" i="1"/>
  <c r="E94" i="1"/>
  <c r="P93" i="1"/>
  <c r="O93" i="1"/>
  <c r="N93" i="1"/>
  <c r="M93" i="1"/>
  <c r="L93" i="1"/>
  <c r="K93" i="1"/>
  <c r="J93" i="1"/>
  <c r="I93" i="1"/>
  <c r="H93" i="1"/>
  <c r="G93" i="1"/>
  <c r="F93" i="1"/>
  <c r="E93" i="1"/>
  <c r="P92" i="1"/>
  <c r="O92" i="1"/>
  <c r="N92" i="1"/>
  <c r="M92" i="1"/>
  <c r="L92" i="1"/>
  <c r="K92" i="1"/>
  <c r="J92" i="1"/>
  <c r="I92" i="1"/>
  <c r="H92" i="1"/>
  <c r="G92" i="1"/>
  <c r="F92" i="1"/>
  <c r="E92" i="1"/>
  <c r="P91" i="1"/>
  <c r="O91" i="1"/>
  <c r="N91" i="1"/>
  <c r="M91" i="1"/>
  <c r="L91" i="1"/>
  <c r="K91" i="1"/>
  <c r="J91" i="1"/>
  <c r="I91" i="1"/>
  <c r="H91" i="1"/>
  <c r="G91" i="1"/>
  <c r="F91" i="1"/>
  <c r="E91" i="1"/>
  <c r="P90" i="1"/>
  <c r="O90" i="1"/>
  <c r="N90" i="1"/>
  <c r="M90" i="1"/>
  <c r="L90" i="1"/>
  <c r="K90" i="1"/>
  <c r="J90" i="1"/>
  <c r="I90" i="1"/>
  <c r="H90" i="1"/>
  <c r="G90" i="1"/>
  <c r="F90" i="1"/>
  <c r="E90" i="1"/>
  <c r="P89" i="1"/>
  <c r="O89" i="1"/>
  <c r="N89" i="1"/>
  <c r="M89" i="1"/>
  <c r="L89" i="1"/>
  <c r="K89" i="1"/>
  <c r="J89" i="1"/>
  <c r="I89" i="1"/>
  <c r="H89" i="1"/>
  <c r="G89" i="1"/>
  <c r="F89" i="1"/>
  <c r="E89" i="1"/>
  <c r="P87" i="1"/>
  <c r="O87" i="1"/>
  <c r="N87" i="1"/>
  <c r="M87" i="1"/>
  <c r="L87" i="1"/>
  <c r="K87" i="1"/>
  <c r="J87" i="1"/>
  <c r="I87" i="1"/>
  <c r="H87" i="1"/>
  <c r="G87" i="1"/>
  <c r="F87" i="1"/>
  <c r="E87" i="1"/>
  <c r="P86" i="1"/>
  <c r="O86" i="1"/>
  <c r="N86" i="1"/>
  <c r="M86" i="1"/>
  <c r="L86" i="1"/>
  <c r="K86" i="1"/>
  <c r="J86" i="1"/>
  <c r="I86" i="1"/>
  <c r="H86" i="1"/>
  <c r="G86" i="1"/>
  <c r="F86" i="1"/>
  <c r="E86" i="1"/>
  <c r="P85" i="1"/>
  <c r="O85" i="1"/>
  <c r="N85" i="1"/>
  <c r="M85" i="1"/>
  <c r="L85" i="1"/>
  <c r="K85" i="1"/>
  <c r="J85" i="1"/>
  <c r="I85" i="1"/>
  <c r="H85" i="1"/>
  <c r="G85" i="1"/>
  <c r="F85" i="1"/>
  <c r="E85" i="1"/>
  <c r="P84" i="1"/>
  <c r="O84" i="1"/>
  <c r="N84" i="1"/>
  <c r="M84" i="1"/>
  <c r="L84" i="1"/>
  <c r="K84" i="1"/>
  <c r="J84" i="1"/>
  <c r="I84" i="1"/>
  <c r="H84" i="1"/>
  <c r="G84" i="1"/>
  <c r="F84" i="1"/>
  <c r="E84" i="1"/>
  <c r="P83" i="1"/>
  <c r="O83" i="1"/>
  <c r="N83" i="1"/>
  <c r="M83" i="1"/>
  <c r="L83" i="1"/>
  <c r="K83" i="1"/>
  <c r="J83" i="1"/>
  <c r="I83" i="1"/>
  <c r="H83" i="1"/>
  <c r="G83" i="1"/>
  <c r="F83" i="1"/>
  <c r="E83" i="1"/>
  <c r="P82" i="1"/>
  <c r="O82" i="1"/>
  <c r="N82" i="1"/>
  <c r="M82" i="1"/>
  <c r="L82" i="1"/>
  <c r="K82" i="1"/>
  <c r="J82" i="1"/>
  <c r="I82" i="1"/>
  <c r="H82" i="1"/>
  <c r="G82" i="1"/>
  <c r="F82" i="1"/>
  <c r="E82" i="1"/>
  <c r="P81" i="1"/>
  <c r="O81" i="1"/>
  <c r="N81" i="1"/>
  <c r="M81" i="1"/>
  <c r="L81" i="1"/>
  <c r="K81" i="1"/>
  <c r="J81" i="1"/>
  <c r="I81" i="1"/>
  <c r="H81" i="1"/>
  <c r="G81" i="1"/>
  <c r="F81" i="1"/>
  <c r="E81" i="1"/>
  <c r="P80" i="1"/>
  <c r="O80" i="1"/>
  <c r="N80" i="1"/>
  <c r="M80" i="1"/>
  <c r="L80" i="1"/>
  <c r="K80" i="1"/>
  <c r="J80" i="1"/>
  <c r="I80" i="1"/>
  <c r="H80" i="1"/>
  <c r="G80" i="1"/>
  <c r="F80" i="1"/>
  <c r="E80" i="1"/>
  <c r="P78" i="1"/>
  <c r="O78" i="1"/>
  <c r="N78" i="1"/>
  <c r="M78" i="1"/>
  <c r="L78" i="1"/>
  <c r="K78" i="1"/>
  <c r="J78" i="1"/>
  <c r="I78" i="1"/>
  <c r="H78" i="1"/>
  <c r="G78" i="1"/>
  <c r="F78" i="1"/>
  <c r="E78" i="1"/>
  <c r="P77" i="1"/>
  <c r="O77" i="1"/>
  <c r="N77" i="1"/>
  <c r="M77" i="1"/>
  <c r="L77" i="1"/>
  <c r="K77" i="1"/>
  <c r="J77" i="1"/>
  <c r="I77" i="1"/>
  <c r="H77" i="1"/>
  <c r="G77" i="1"/>
  <c r="F77" i="1"/>
  <c r="E77" i="1"/>
  <c r="P76" i="1"/>
  <c r="O76" i="1"/>
  <c r="N76" i="1"/>
  <c r="M76" i="1"/>
  <c r="L76" i="1"/>
  <c r="K76" i="1"/>
  <c r="J76" i="1"/>
  <c r="I76" i="1"/>
  <c r="H76" i="1"/>
  <c r="G76" i="1"/>
  <c r="F76" i="1"/>
  <c r="E76" i="1"/>
  <c r="P75" i="1"/>
  <c r="O75" i="1"/>
  <c r="N75" i="1"/>
  <c r="M75" i="1"/>
  <c r="L75" i="1"/>
  <c r="K75" i="1"/>
  <c r="J75" i="1"/>
  <c r="I75" i="1"/>
  <c r="H75" i="1"/>
  <c r="G75" i="1"/>
  <c r="F75" i="1"/>
  <c r="E75" i="1"/>
  <c r="P74" i="1"/>
  <c r="O74" i="1"/>
  <c r="N74" i="1"/>
  <c r="M74" i="1"/>
  <c r="L74" i="1"/>
  <c r="K74" i="1"/>
  <c r="J74" i="1"/>
  <c r="I74" i="1"/>
  <c r="H74" i="1"/>
  <c r="G74" i="1"/>
  <c r="F74" i="1"/>
  <c r="E74" i="1"/>
  <c r="P73" i="1"/>
  <c r="O73" i="1"/>
  <c r="N73" i="1"/>
  <c r="M73" i="1"/>
  <c r="L73" i="1"/>
  <c r="K73" i="1"/>
  <c r="J73" i="1"/>
  <c r="I73" i="1"/>
  <c r="H73" i="1"/>
  <c r="G73" i="1"/>
  <c r="F73" i="1"/>
  <c r="E73" i="1"/>
  <c r="P71" i="1"/>
  <c r="O71" i="1"/>
  <c r="N71" i="1"/>
  <c r="M71" i="1"/>
  <c r="L71" i="1"/>
  <c r="K71" i="1"/>
  <c r="J71" i="1"/>
  <c r="I71" i="1"/>
  <c r="H71" i="1"/>
  <c r="G71" i="1"/>
  <c r="F71" i="1"/>
  <c r="E71" i="1"/>
  <c r="P70" i="1"/>
  <c r="O70" i="1"/>
  <c r="N70" i="1"/>
  <c r="M70" i="1"/>
  <c r="L70" i="1"/>
  <c r="K70" i="1"/>
  <c r="J70" i="1"/>
  <c r="I70" i="1"/>
  <c r="H70" i="1"/>
  <c r="G70" i="1"/>
  <c r="F70" i="1"/>
  <c r="E70" i="1"/>
  <c r="P69" i="1"/>
  <c r="O69" i="1"/>
  <c r="N69" i="1"/>
  <c r="M69" i="1"/>
  <c r="L69" i="1"/>
  <c r="K69" i="1"/>
  <c r="J69" i="1"/>
  <c r="I69" i="1"/>
  <c r="H69" i="1"/>
  <c r="G69" i="1"/>
  <c r="F69" i="1"/>
  <c r="E69" i="1"/>
  <c r="P68" i="1"/>
  <c r="O68" i="1"/>
  <c r="N68" i="1"/>
  <c r="M68" i="1"/>
  <c r="L68" i="1"/>
  <c r="K68" i="1"/>
  <c r="J68" i="1"/>
  <c r="I68" i="1"/>
  <c r="H68" i="1"/>
  <c r="G68" i="1"/>
  <c r="F68" i="1"/>
  <c r="E68" i="1"/>
  <c r="P67" i="1"/>
  <c r="O67" i="1"/>
  <c r="N67" i="1"/>
  <c r="M67" i="1"/>
  <c r="L67" i="1"/>
  <c r="K67" i="1"/>
  <c r="J67" i="1"/>
  <c r="I67" i="1"/>
  <c r="H67" i="1"/>
  <c r="G67" i="1"/>
  <c r="F67" i="1"/>
  <c r="E67" i="1"/>
  <c r="P66" i="1"/>
  <c r="O66" i="1"/>
  <c r="N66" i="1"/>
  <c r="M66" i="1"/>
  <c r="L66" i="1"/>
  <c r="K66" i="1"/>
  <c r="J66" i="1"/>
  <c r="I66" i="1"/>
  <c r="H66" i="1"/>
  <c r="G66" i="1"/>
  <c r="F66" i="1"/>
  <c r="E66" i="1"/>
  <c r="P65" i="1"/>
  <c r="O65" i="1"/>
  <c r="N65" i="1"/>
  <c r="M65" i="1"/>
  <c r="L65" i="1"/>
  <c r="K65" i="1"/>
  <c r="J65" i="1"/>
  <c r="I65" i="1"/>
  <c r="H65" i="1"/>
  <c r="G65" i="1"/>
  <c r="F65" i="1"/>
  <c r="E65" i="1"/>
  <c r="P64" i="1"/>
  <c r="O64" i="1"/>
  <c r="N64" i="1"/>
  <c r="M64" i="1"/>
  <c r="L64" i="1"/>
  <c r="K64" i="1"/>
  <c r="J64" i="1"/>
  <c r="I64" i="1"/>
  <c r="H64" i="1"/>
  <c r="G64" i="1"/>
  <c r="F64" i="1"/>
  <c r="E64" i="1"/>
  <c r="P63" i="1"/>
  <c r="O63" i="1"/>
  <c r="N63" i="1"/>
  <c r="M63" i="1"/>
  <c r="L63" i="1"/>
  <c r="K63" i="1"/>
  <c r="J63" i="1"/>
  <c r="I63" i="1"/>
  <c r="H63" i="1"/>
  <c r="G63" i="1"/>
  <c r="F63" i="1"/>
  <c r="E63" i="1"/>
  <c r="P62" i="1"/>
  <c r="O62" i="1"/>
  <c r="N62" i="1"/>
  <c r="M62" i="1"/>
  <c r="L62" i="1"/>
  <c r="K62" i="1"/>
  <c r="J62" i="1"/>
  <c r="I62" i="1"/>
  <c r="H62" i="1"/>
  <c r="G62" i="1"/>
  <c r="F62" i="1"/>
  <c r="E62" i="1"/>
  <c r="P61" i="1"/>
  <c r="O61" i="1"/>
  <c r="N61" i="1"/>
  <c r="M61" i="1"/>
  <c r="L61" i="1"/>
  <c r="K61" i="1"/>
  <c r="J61" i="1"/>
  <c r="I61" i="1"/>
  <c r="H61" i="1"/>
  <c r="G61" i="1"/>
  <c r="F61" i="1"/>
  <c r="E61" i="1"/>
  <c r="P60" i="1"/>
  <c r="O60" i="1"/>
  <c r="N60" i="1"/>
  <c r="M60" i="1"/>
  <c r="L60" i="1"/>
  <c r="K60" i="1"/>
  <c r="J60" i="1"/>
  <c r="I60" i="1"/>
  <c r="H60" i="1"/>
  <c r="G60" i="1"/>
  <c r="F60" i="1"/>
  <c r="E60" i="1"/>
  <c r="P58" i="1"/>
  <c r="O58" i="1"/>
  <c r="N58" i="1"/>
  <c r="M58" i="1"/>
  <c r="L58" i="1"/>
  <c r="K58" i="1"/>
  <c r="J58" i="1"/>
  <c r="I58" i="1"/>
  <c r="H58" i="1"/>
  <c r="G58" i="1"/>
  <c r="F58" i="1"/>
  <c r="E58" i="1"/>
  <c r="P56" i="1"/>
  <c r="O56" i="1"/>
  <c r="N56" i="1"/>
  <c r="M56" i="1"/>
  <c r="L56" i="1"/>
  <c r="K56" i="1"/>
  <c r="J56" i="1"/>
  <c r="I56" i="1"/>
  <c r="H56" i="1"/>
  <c r="G56" i="1"/>
  <c r="F56" i="1"/>
  <c r="E56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P53" i="1"/>
  <c r="O53" i="1"/>
  <c r="N53" i="1"/>
  <c r="M53" i="1"/>
  <c r="L53" i="1"/>
  <c r="K53" i="1"/>
  <c r="J53" i="1"/>
  <c r="I53" i="1"/>
  <c r="H53" i="1"/>
  <c r="G53" i="1"/>
  <c r="F53" i="1"/>
  <c r="E53" i="1"/>
  <c r="P51" i="1"/>
  <c r="O51" i="1"/>
  <c r="N51" i="1"/>
  <c r="M51" i="1"/>
  <c r="L51" i="1"/>
  <c r="K51" i="1"/>
  <c r="J51" i="1"/>
  <c r="I51" i="1"/>
  <c r="H51" i="1"/>
  <c r="G51" i="1"/>
  <c r="F51" i="1"/>
  <c r="E51" i="1"/>
  <c r="P50" i="1"/>
  <c r="O50" i="1"/>
  <c r="N50" i="1"/>
  <c r="M50" i="1"/>
  <c r="L50" i="1"/>
  <c r="K50" i="1"/>
  <c r="J50" i="1"/>
  <c r="I50" i="1"/>
  <c r="H50" i="1"/>
  <c r="G50" i="1"/>
  <c r="F50" i="1"/>
  <c r="E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P47" i="1"/>
  <c r="O47" i="1"/>
  <c r="N47" i="1"/>
  <c r="M47" i="1"/>
  <c r="L47" i="1"/>
  <c r="K47" i="1"/>
  <c r="J47" i="1"/>
  <c r="I47" i="1"/>
  <c r="H47" i="1"/>
  <c r="G47" i="1"/>
  <c r="F47" i="1"/>
  <c r="E47" i="1"/>
  <c r="P46" i="1"/>
  <c r="O46" i="1"/>
  <c r="N46" i="1"/>
  <c r="M46" i="1"/>
  <c r="L46" i="1"/>
  <c r="K46" i="1"/>
  <c r="J46" i="1"/>
  <c r="I46" i="1"/>
  <c r="H46" i="1"/>
  <c r="G46" i="1"/>
  <c r="F46" i="1"/>
  <c r="E46" i="1"/>
  <c r="P45" i="1"/>
  <c r="O45" i="1"/>
  <c r="N45" i="1"/>
  <c r="M45" i="1"/>
  <c r="L45" i="1"/>
  <c r="K45" i="1"/>
  <c r="J45" i="1"/>
  <c r="I45" i="1"/>
  <c r="H45" i="1"/>
  <c r="G45" i="1"/>
  <c r="F45" i="1"/>
  <c r="E45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P41" i="1"/>
  <c r="O41" i="1"/>
  <c r="N41" i="1"/>
  <c r="M41" i="1"/>
  <c r="L41" i="1"/>
  <c r="K41" i="1"/>
  <c r="J41" i="1"/>
  <c r="I41" i="1"/>
  <c r="H41" i="1"/>
  <c r="G41" i="1"/>
  <c r="F41" i="1"/>
  <c r="E41" i="1"/>
  <c r="P40" i="1"/>
  <c r="O40" i="1"/>
  <c r="N40" i="1"/>
  <c r="M40" i="1"/>
  <c r="L40" i="1"/>
  <c r="K40" i="1"/>
  <c r="J40" i="1"/>
  <c r="I40" i="1"/>
  <c r="H40" i="1"/>
  <c r="G40" i="1"/>
  <c r="F40" i="1"/>
  <c r="E40" i="1"/>
  <c r="P39" i="1"/>
  <c r="O39" i="1"/>
  <c r="N39" i="1"/>
  <c r="M39" i="1"/>
  <c r="L39" i="1"/>
  <c r="K39" i="1"/>
  <c r="J39" i="1"/>
  <c r="I39" i="1"/>
  <c r="H39" i="1"/>
  <c r="G39" i="1"/>
  <c r="F39" i="1"/>
  <c r="E39" i="1"/>
  <c r="P38" i="1"/>
  <c r="O38" i="1"/>
  <c r="N38" i="1"/>
  <c r="M38" i="1"/>
  <c r="L38" i="1"/>
  <c r="K38" i="1"/>
  <c r="J38" i="1"/>
  <c r="I38" i="1"/>
  <c r="H38" i="1"/>
  <c r="G38" i="1"/>
  <c r="F38" i="1"/>
  <c r="E38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1" i="1"/>
  <c r="O31" i="1"/>
  <c r="N31" i="1"/>
  <c r="M31" i="1"/>
  <c r="L31" i="1"/>
  <c r="K31" i="1"/>
  <c r="J31" i="1"/>
  <c r="I31" i="1"/>
  <c r="H31" i="1"/>
  <c r="G31" i="1"/>
  <c r="F31" i="1"/>
  <c r="E31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P23" i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19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P17" i="1"/>
  <c r="O17" i="1"/>
  <c r="N17" i="1"/>
  <c r="M17" i="1"/>
  <c r="L17" i="1"/>
  <c r="K17" i="1"/>
  <c r="J17" i="1"/>
  <c r="I17" i="1"/>
  <c r="H17" i="1"/>
  <c r="G17" i="1"/>
  <c r="F17" i="1"/>
  <c r="E17" i="1"/>
  <c r="P16" i="1"/>
  <c r="O16" i="1"/>
  <c r="N16" i="1"/>
  <c r="M16" i="1"/>
  <c r="L16" i="1"/>
  <c r="K16" i="1"/>
  <c r="J16" i="1"/>
  <c r="I16" i="1"/>
  <c r="H16" i="1"/>
  <c r="G16" i="1"/>
  <c r="F16" i="1"/>
  <c r="E16" i="1"/>
  <c r="P15" i="1"/>
  <c r="O15" i="1"/>
  <c r="N15" i="1"/>
  <c r="M15" i="1"/>
  <c r="L15" i="1"/>
  <c r="K15" i="1"/>
  <c r="J15" i="1"/>
  <c r="I15" i="1"/>
  <c r="H15" i="1"/>
  <c r="G15" i="1"/>
  <c r="F15" i="1"/>
  <c r="E15" i="1"/>
  <c r="P14" i="1"/>
  <c r="O14" i="1"/>
  <c r="N14" i="1"/>
  <c r="M14" i="1"/>
  <c r="L14" i="1"/>
  <c r="K14" i="1"/>
  <c r="J14" i="1"/>
  <c r="I14" i="1"/>
  <c r="H14" i="1"/>
  <c r="G14" i="1"/>
  <c r="F14" i="1"/>
  <c r="E14" i="1"/>
  <c r="P12" i="1"/>
  <c r="O12" i="1"/>
  <c r="N12" i="1"/>
  <c r="M12" i="1"/>
  <c r="L12" i="1"/>
  <c r="K12" i="1"/>
  <c r="J12" i="1"/>
  <c r="I12" i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P8" i="1"/>
  <c r="O7" i="1"/>
  <c r="J7" i="1"/>
  <c r="O57" i="1"/>
  <c r="O8" i="1"/>
  <c r="M7" i="1"/>
  <c r="D166" i="1"/>
  <c r="D165" i="1"/>
  <c r="G7" i="8" l="1"/>
  <c r="G9" i="8" s="1"/>
  <c r="H164" i="1"/>
  <c r="H175" i="1" s="1"/>
  <c r="P164" i="1"/>
  <c r="P175" i="1" s="1"/>
  <c r="M164" i="1"/>
  <c r="M175" i="1" s="1"/>
  <c r="O6" i="1"/>
  <c r="P146" i="1"/>
  <c r="P173" i="1" s="1"/>
  <c r="L152" i="1"/>
  <c r="L174" i="1" s="1"/>
  <c r="M123" i="1"/>
  <c r="M152" i="1"/>
  <c r="M174" i="1" s="1"/>
  <c r="I131" i="1"/>
  <c r="I171" i="1" s="1"/>
  <c r="I136" i="1"/>
  <c r="M140" i="1"/>
  <c r="I146" i="1"/>
  <c r="I173" i="1" s="1"/>
  <c r="I164" i="1"/>
  <c r="I175" i="1" s="1"/>
  <c r="N59" i="1"/>
  <c r="L164" i="1"/>
  <c r="L175" i="1" s="1"/>
  <c r="G131" i="1"/>
  <c r="G171" i="1" s="1"/>
  <c r="O131" i="1"/>
  <c r="O171" i="1" s="1"/>
  <c r="O136" i="1"/>
  <c r="K140" i="1"/>
  <c r="G146" i="1"/>
  <c r="G173" i="1" s="1"/>
  <c r="H102" i="1"/>
  <c r="L131" i="1"/>
  <c r="L171" i="1" s="1"/>
  <c r="L136" i="1"/>
  <c r="P140" i="1"/>
  <c r="L146" i="1"/>
  <c r="L173" i="1" s="1"/>
  <c r="H152" i="1"/>
  <c r="H174" i="1" s="1"/>
  <c r="P152" i="1"/>
  <c r="P174" i="1" s="1"/>
  <c r="M136" i="1"/>
  <c r="M146" i="1"/>
  <c r="M173" i="1" s="1"/>
  <c r="I152" i="1"/>
  <c r="I174" i="1" s="1"/>
  <c r="L102" i="1"/>
  <c r="L107" i="1"/>
  <c r="H131" i="1"/>
  <c r="H171" i="1" s="1"/>
  <c r="P136" i="1"/>
  <c r="L140" i="1"/>
  <c r="K136" i="1"/>
  <c r="O152" i="1"/>
  <c r="O174" i="1" s="1"/>
  <c r="K164" i="1"/>
  <c r="K175" i="1" s="1"/>
  <c r="I95" i="1"/>
  <c r="I107" i="1"/>
  <c r="M131" i="1"/>
  <c r="M171" i="1" s="1"/>
  <c r="I140" i="1"/>
  <c r="I172" i="1" s="1"/>
  <c r="N136" i="1"/>
  <c r="J123" i="1"/>
  <c r="O59" i="1"/>
  <c r="I112" i="1"/>
  <c r="F123" i="1"/>
  <c r="N131" i="1"/>
  <c r="N171" i="1" s="1"/>
  <c r="J140" i="1"/>
  <c r="N146" i="1"/>
  <c r="N173" i="1" s="1"/>
  <c r="F140" i="1"/>
  <c r="F107" i="1"/>
  <c r="O146" i="1"/>
  <c r="O173" i="1" s="1"/>
  <c r="P102" i="1"/>
  <c r="L59" i="1"/>
  <c r="K131" i="1"/>
  <c r="K171" i="1" s="1"/>
  <c r="K102" i="1"/>
  <c r="K88" i="1"/>
  <c r="G136" i="1"/>
  <c r="I88" i="1"/>
  <c r="O140" i="1"/>
  <c r="G164" i="1"/>
  <c r="G175" i="1" s="1"/>
  <c r="K107" i="1"/>
  <c r="G140" i="1"/>
  <c r="G152" i="1"/>
  <c r="G174" i="1" s="1"/>
  <c r="K112" i="1"/>
  <c r="K123" i="1"/>
  <c r="K152" i="1"/>
  <c r="K174" i="1" s="1"/>
  <c r="O102" i="1"/>
  <c r="O107" i="1"/>
  <c r="K146" i="1"/>
  <c r="K173" i="1" s="1"/>
  <c r="O164" i="1"/>
  <c r="O175" i="1" s="1"/>
  <c r="K72" i="1"/>
  <c r="G102" i="1"/>
  <c r="M88" i="1"/>
  <c r="O88" i="1"/>
  <c r="G20" i="1"/>
  <c r="G95" i="1"/>
  <c r="O72" i="1"/>
  <c r="G88" i="1"/>
  <c r="P131" i="1"/>
  <c r="P171" i="1" s="1"/>
  <c r="P112" i="1"/>
  <c r="H136" i="1"/>
  <c r="H146" i="1"/>
  <c r="H173" i="1" s="1"/>
  <c r="J164" i="1"/>
  <c r="J175" i="1" s="1"/>
  <c r="N164" i="1"/>
  <c r="N175" i="1" s="1"/>
  <c r="N13" i="1"/>
  <c r="J79" i="1"/>
  <c r="F102" i="1"/>
  <c r="F146" i="1"/>
  <c r="F173" i="1" s="1"/>
  <c r="F131" i="1"/>
  <c r="F171" i="1" s="1"/>
  <c r="N152" i="1"/>
  <c r="N174" i="1" s="1"/>
  <c r="I79" i="1"/>
  <c r="I102" i="1"/>
  <c r="M79" i="1"/>
  <c r="D164" i="1"/>
  <c r="D175" i="1" s="1"/>
  <c r="C176" i="1"/>
  <c r="J95" i="1"/>
  <c r="N140" i="1"/>
  <c r="N172" i="1" s="1"/>
  <c r="J136" i="1"/>
  <c r="H140" i="1"/>
  <c r="J152" i="1"/>
  <c r="J174" i="1" s="1"/>
  <c r="N88" i="1"/>
  <c r="N102" i="1"/>
  <c r="F164" i="1"/>
  <c r="F175" i="1" s="1"/>
  <c r="J72" i="1"/>
  <c r="H20" i="1"/>
  <c r="I59" i="1"/>
  <c r="J112" i="1"/>
  <c r="N123" i="1"/>
  <c r="L44" i="1"/>
  <c r="J131" i="1"/>
  <c r="J171" i="1" s="1"/>
  <c r="N112" i="1"/>
  <c r="F136" i="1"/>
  <c r="J146" i="1"/>
  <c r="J173" i="1" s="1"/>
  <c r="F152" i="1"/>
  <c r="F174" i="1" s="1"/>
  <c r="Q157" i="1"/>
  <c r="Q159" i="1"/>
  <c r="Q160" i="1"/>
  <c r="Q161" i="1"/>
  <c r="Q166" i="1"/>
  <c r="R166" i="1" s="1"/>
  <c r="E131" i="1"/>
  <c r="Q132" i="1"/>
  <c r="Q133" i="1"/>
  <c r="Q134" i="1"/>
  <c r="Q135" i="1"/>
  <c r="E136" i="1"/>
  <c r="Q137" i="1"/>
  <c r="Q138" i="1"/>
  <c r="Q139" i="1"/>
  <c r="Q141" i="1"/>
  <c r="E140" i="1"/>
  <c r="Q142" i="1"/>
  <c r="Q143" i="1"/>
  <c r="Q147" i="1"/>
  <c r="E146" i="1"/>
  <c r="Q148" i="1"/>
  <c r="Q149" i="1"/>
  <c r="Q150" i="1"/>
  <c r="Q151" i="1"/>
  <c r="Q153" i="1"/>
  <c r="E152" i="1"/>
  <c r="Q154" i="1"/>
  <c r="Q155" i="1"/>
  <c r="Q156" i="1"/>
  <c r="Q158" i="1"/>
  <c r="Q165" i="1"/>
  <c r="R165" i="1" s="1"/>
  <c r="E164" i="1"/>
  <c r="F13" i="1"/>
  <c r="J20" i="1"/>
  <c r="M20" i="1"/>
  <c r="M59" i="1"/>
  <c r="O79" i="1"/>
  <c r="G112" i="1"/>
  <c r="O123" i="1"/>
  <c r="K44" i="1"/>
  <c r="G59" i="1"/>
  <c r="K20" i="1"/>
  <c r="K13" i="1"/>
  <c r="G79" i="1"/>
  <c r="G107" i="1"/>
  <c r="M102" i="1"/>
  <c r="M72" i="1"/>
  <c r="G72" i="1"/>
  <c r="P95" i="1"/>
  <c r="N72" i="1"/>
  <c r="N107" i="1"/>
  <c r="G123" i="1"/>
  <c r="G44" i="1"/>
  <c r="K79" i="1"/>
  <c r="K95" i="1"/>
  <c r="N20" i="1"/>
  <c r="Q9" i="1"/>
  <c r="Q10" i="1"/>
  <c r="Q11" i="1"/>
  <c r="Q12" i="1"/>
  <c r="Q14" i="1"/>
  <c r="Q15" i="1"/>
  <c r="Q16" i="1"/>
  <c r="Q17" i="1"/>
  <c r="Q18" i="1"/>
  <c r="Q19" i="1"/>
  <c r="Q21" i="1"/>
  <c r="Q22" i="1"/>
  <c r="F79" i="1"/>
  <c r="F112" i="1"/>
  <c r="Q23" i="1"/>
  <c r="Q24" i="1"/>
  <c r="Q25" i="1"/>
  <c r="Q26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3" i="1"/>
  <c r="Q54" i="1"/>
  <c r="Q55" i="1"/>
  <c r="Q56" i="1"/>
  <c r="Q58" i="1"/>
  <c r="E59" i="1"/>
  <c r="Q60" i="1"/>
  <c r="Q61" i="1"/>
  <c r="Q62" i="1"/>
  <c r="Q63" i="1"/>
  <c r="Q64" i="1"/>
  <c r="Q65" i="1"/>
  <c r="Q66" i="1"/>
  <c r="Q67" i="1"/>
  <c r="Q68" i="1"/>
  <c r="Q69" i="1"/>
  <c r="Q70" i="1"/>
  <c r="Q71" i="1"/>
  <c r="Q73" i="1"/>
  <c r="Q74" i="1"/>
  <c r="Q75" i="1"/>
  <c r="Q76" i="1"/>
  <c r="Q77" i="1"/>
  <c r="Q78" i="1"/>
  <c r="E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E95" i="1"/>
  <c r="Q96" i="1"/>
  <c r="Q97" i="1"/>
  <c r="Q98" i="1"/>
  <c r="Q99" i="1"/>
  <c r="Q100" i="1"/>
  <c r="Q101" i="1"/>
  <c r="E102" i="1"/>
  <c r="Q103" i="1"/>
  <c r="Q104" i="1"/>
  <c r="Q105" i="1"/>
  <c r="Q106" i="1"/>
  <c r="E107" i="1"/>
  <c r="Q108" i="1"/>
  <c r="Q109" i="1"/>
  <c r="Q110" i="1"/>
  <c r="Q111" i="1"/>
  <c r="E112" i="1"/>
  <c r="Q113" i="1"/>
  <c r="Q114" i="1"/>
  <c r="Q115" i="1"/>
  <c r="Q116" i="1"/>
  <c r="Q117" i="1"/>
  <c r="Q118" i="1"/>
  <c r="Q119" i="1"/>
  <c r="Q120" i="1"/>
  <c r="Q121" i="1"/>
  <c r="Q122" i="1"/>
  <c r="E123" i="1"/>
  <c r="Q124" i="1"/>
  <c r="Q125" i="1"/>
  <c r="Q126" i="1"/>
  <c r="Q127" i="1"/>
  <c r="Q128" i="1"/>
  <c r="O95" i="1"/>
  <c r="O13" i="1"/>
  <c r="K59" i="1"/>
  <c r="O112" i="1"/>
  <c r="H79" i="1"/>
  <c r="H123" i="1"/>
  <c r="H72" i="1"/>
  <c r="H88" i="1"/>
  <c r="L95" i="1"/>
  <c r="H107" i="1"/>
  <c r="P107" i="1"/>
  <c r="H112" i="1"/>
  <c r="H95" i="1"/>
  <c r="P88" i="1"/>
  <c r="F20" i="1"/>
  <c r="F59" i="1"/>
  <c r="N95" i="1"/>
  <c r="L123" i="1"/>
  <c r="M107" i="1"/>
  <c r="L79" i="1"/>
  <c r="J59" i="1"/>
  <c r="N79" i="1"/>
  <c r="F95" i="1"/>
  <c r="J102" i="1"/>
  <c r="J107" i="1"/>
  <c r="F88" i="1"/>
  <c r="M13" i="1"/>
  <c r="P20" i="1"/>
  <c r="E88" i="1"/>
  <c r="P44" i="1"/>
  <c r="M112" i="1"/>
  <c r="L13" i="1"/>
  <c r="H59" i="1"/>
  <c r="L112" i="1"/>
  <c r="P123" i="1"/>
  <c r="J13" i="1"/>
  <c r="P13" i="1"/>
  <c r="L20" i="1"/>
  <c r="I13" i="1"/>
  <c r="I123" i="1"/>
  <c r="E20" i="1"/>
  <c r="G13" i="1"/>
  <c r="H13" i="1"/>
  <c r="E13" i="1"/>
  <c r="E72" i="1"/>
  <c r="F72" i="1"/>
  <c r="O20" i="1"/>
  <c r="I20" i="1"/>
  <c r="M95" i="1"/>
  <c r="I72" i="1"/>
  <c r="P72" i="1"/>
  <c r="J88" i="1"/>
  <c r="P79" i="1"/>
  <c r="P59" i="1"/>
  <c r="L72" i="1"/>
  <c r="L88" i="1"/>
  <c r="O44" i="1"/>
  <c r="J44" i="1"/>
  <c r="N44" i="1"/>
  <c r="F44" i="1"/>
  <c r="H44" i="1"/>
  <c r="I44" i="1"/>
  <c r="M44" i="1"/>
  <c r="E44" i="1"/>
  <c r="O52" i="1"/>
  <c r="F7" i="1"/>
  <c r="P7" i="1"/>
  <c r="P6" i="1" s="1"/>
  <c r="G7" i="1"/>
  <c r="L7" i="1"/>
  <c r="H8" i="1"/>
  <c r="K7" i="1"/>
  <c r="H7" i="1"/>
  <c r="N7" i="1"/>
  <c r="L8" i="1"/>
  <c r="P57" i="1"/>
  <c r="P52" i="1" s="1"/>
  <c r="H57" i="1"/>
  <c r="H52" i="1" s="1"/>
  <c r="L57" i="1"/>
  <c r="L52" i="1" s="1"/>
  <c r="E7" i="1"/>
  <c r="I7" i="1"/>
  <c r="E8" i="1"/>
  <c r="I8" i="1"/>
  <c r="M8" i="1"/>
  <c r="M6" i="1" s="1"/>
  <c r="E57" i="1"/>
  <c r="I57" i="1"/>
  <c r="I52" i="1" s="1"/>
  <c r="M57" i="1"/>
  <c r="M52" i="1" s="1"/>
  <c r="F8" i="1"/>
  <c r="J8" i="1"/>
  <c r="J6" i="1" s="1"/>
  <c r="N8" i="1"/>
  <c r="F57" i="1"/>
  <c r="F52" i="1" s="1"/>
  <c r="J57" i="1"/>
  <c r="J52" i="1" s="1"/>
  <c r="N57" i="1"/>
  <c r="N52" i="1" s="1"/>
  <c r="G8" i="1"/>
  <c r="K8" i="1"/>
  <c r="G57" i="1"/>
  <c r="G52" i="1" s="1"/>
  <c r="K57" i="1"/>
  <c r="K52" i="1" s="1"/>
  <c r="I6" i="1" l="1"/>
  <c r="I169" i="1" s="1"/>
  <c r="E6" i="1"/>
  <c r="E169" i="1" s="1"/>
  <c r="L6" i="1"/>
  <c r="L169" i="1" s="1"/>
  <c r="G6" i="1"/>
  <c r="G169" i="1" s="1"/>
  <c r="F6" i="1"/>
  <c r="F169" i="1" s="1"/>
  <c r="N6" i="1"/>
  <c r="N169" i="1" s="1"/>
  <c r="H6" i="1"/>
  <c r="H169" i="1" s="1"/>
  <c r="K6" i="1"/>
  <c r="K169" i="1" s="1"/>
  <c r="H30" i="4" s="1"/>
  <c r="O172" i="1"/>
  <c r="L172" i="1"/>
  <c r="K172" i="1"/>
  <c r="M172" i="1"/>
  <c r="P172" i="1"/>
  <c r="J172" i="1"/>
  <c r="F172" i="1"/>
  <c r="G172" i="1"/>
  <c r="H172" i="1"/>
  <c r="Q140" i="1"/>
  <c r="E174" i="1"/>
  <c r="Q174" i="1" s="1"/>
  <c r="Q152" i="1"/>
  <c r="E171" i="1"/>
  <c r="Q171" i="1" s="1"/>
  <c r="Q131" i="1"/>
  <c r="E175" i="1"/>
  <c r="Q175" i="1" s="1"/>
  <c r="R175" i="1" s="1"/>
  <c r="Q164" i="1"/>
  <c r="Q146" i="1"/>
  <c r="E173" i="1"/>
  <c r="Q173" i="1" s="1"/>
  <c r="E172" i="1"/>
  <c r="Q136" i="1"/>
  <c r="R164" i="1"/>
  <c r="R163" i="1" s="1"/>
  <c r="Q13" i="1"/>
  <c r="Q59" i="1"/>
  <c r="Q112" i="1"/>
  <c r="Q79" i="1"/>
  <c r="J169" i="1"/>
  <c r="G30" i="4" s="1"/>
  <c r="E52" i="1"/>
  <c r="Q52" i="1" s="1"/>
  <c r="Q57" i="1"/>
  <c r="Q123" i="1"/>
  <c r="Q107" i="1"/>
  <c r="Q95" i="1"/>
  <c r="Q8" i="1"/>
  <c r="Q44" i="1"/>
  <c r="Q72" i="1"/>
  <c r="Q20" i="1"/>
  <c r="Q88" i="1"/>
  <c r="Q102" i="1"/>
  <c r="O169" i="1"/>
  <c r="L30" i="4" s="1"/>
  <c r="M169" i="1"/>
  <c r="J30" i="4" s="1"/>
  <c r="P169" i="1"/>
  <c r="M30" i="4" s="1"/>
  <c r="Q7" i="1"/>
  <c r="Q6" i="1" l="1"/>
  <c r="Q172" i="1"/>
  <c r="F30" i="4"/>
  <c r="I30" i="4"/>
  <c r="C30" i="4"/>
  <c r="D30" i="4"/>
  <c r="K30" i="4"/>
  <c r="B30" i="4"/>
  <c r="Q169" i="1"/>
  <c r="E30" i="4"/>
  <c r="B38" i="4" l="1"/>
  <c r="D161" i="1"/>
  <c r="R161" i="1" s="1"/>
  <c r="D160" i="1"/>
  <c r="R160" i="1" s="1"/>
  <c r="D159" i="1"/>
  <c r="R159" i="1" s="1"/>
  <c r="D158" i="1"/>
  <c r="R158" i="1" s="1"/>
  <c r="D157" i="1"/>
  <c r="R157" i="1" s="1"/>
  <c r="D156" i="1"/>
  <c r="R156" i="1" s="1"/>
  <c r="D155" i="1"/>
  <c r="R155" i="1" s="1"/>
  <c r="D154" i="1"/>
  <c r="R154" i="1" s="1"/>
  <c r="D153" i="1"/>
  <c r="D151" i="1"/>
  <c r="R151" i="1" s="1"/>
  <c r="D150" i="1"/>
  <c r="R150" i="1" s="1"/>
  <c r="D149" i="1"/>
  <c r="R149" i="1" s="1"/>
  <c r="D148" i="1"/>
  <c r="R148" i="1" s="1"/>
  <c r="D147" i="1"/>
  <c r="R143" i="1"/>
  <c r="R142" i="1"/>
  <c r="D141" i="1"/>
  <c r="D139" i="1"/>
  <c r="R139" i="1" s="1"/>
  <c r="D138" i="1"/>
  <c r="R138" i="1" s="1"/>
  <c r="D137" i="1"/>
  <c r="R135" i="1"/>
  <c r="R134" i="1"/>
  <c r="R133" i="1"/>
  <c r="D132" i="1"/>
  <c r="D131" i="1" s="1"/>
  <c r="D128" i="1"/>
  <c r="R128" i="1" s="1"/>
  <c r="D127" i="1"/>
  <c r="R127" i="1" s="1"/>
  <c r="D126" i="1"/>
  <c r="R126" i="1" s="1"/>
  <c r="D125" i="1"/>
  <c r="R125" i="1" s="1"/>
  <c r="D124" i="1"/>
  <c r="R124" i="1" s="1"/>
  <c r="D122" i="1"/>
  <c r="R122" i="1" s="1"/>
  <c r="D121" i="1"/>
  <c r="R121" i="1" s="1"/>
  <c r="D120" i="1"/>
  <c r="R120" i="1" s="1"/>
  <c r="D119" i="1"/>
  <c r="R119" i="1" s="1"/>
  <c r="D118" i="1"/>
  <c r="R118" i="1" s="1"/>
  <c r="D117" i="1"/>
  <c r="R117" i="1" s="1"/>
  <c r="D116" i="1"/>
  <c r="R116" i="1" s="1"/>
  <c r="D115" i="1"/>
  <c r="R115" i="1" s="1"/>
  <c r="D114" i="1"/>
  <c r="R114" i="1" s="1"/>
  <c r="D113" i="1"/>
  <c r="R113" i="1" s="1"/>
  <c r="D111" i="1"/>
  <c r="R111" i="1" s="1"/>
  <c r="D110" i="1"/>
  <c r="R110" i="1" s="1"/>
  <c r="D109" i="1"/>
  <c r="R109" i="1" s="1"/>
  <c r="D108" i="1"/>
  <c r="R108" i="1" s="1"/>
  <c r="D106" i="1"/>
  <c r="R106" i="1" s="1"/>
  <c r="D105" i="1"/>
  <c r="R105" i="1" s="1"/>
  <c r="D104" i="1"/>
  <c r="R104" i="1" s="1"/>
  <c r="D103" i="1"/>
  <c r="R103" i="1" s="1"/>
  <c r="D101" i="1"/>
  <c r="R101" i="1" s="1"/>
  <c r="D100" i="1"/>
  <c r="R100" i="1" s="1"/>
  <c r="D99" i="1"/>
  <c r="R99" i="1" s="1"/>
  <c r="D98" i="1"/>
  <c r="R98" i="1" s="1"/>
  <c r="D97" i="1"/>
  <c r="R97" i="1" s="1"/>
  <c r="D96" i="1"/>
  <c r="R96" i="1" s="1"/>
  <c r="D94" i="1"/>
  <c r="R94" i="1" s="1"/>
  <c r="D93" i="1"/>
  <c r="R93" i="1" s="1"/>
  <c r="D92" i="1"/>
  <c r="R92" i="1" s="1"/>
  <c r="D91" i="1"/>
  <c r="R91" i="1" s="1"/>
  <c r="D90" i="1"/>
  <c r="R90" i="1" s="1"/>
  <c r="D89" i="1"/>
  <c r="R89" i="1" s="1"/>
  <c r="D87" i="1"/>
  <c r="R87" i="1" s="1"/>
  <c r="D86" i="1"/>
  <c r="R86" i="1" s="1"/>
  <c r="D85" i="1"/>
  <c r="R85" i="1" s="1"/>
  <c r="D84" i="1"/>
  <c r="R84" i="1" s="1"/>
  <c r="D83" i="1"/>
  <c r="R83" i="1" s="1"/>
  <c r="D82" i="1"/>
  <c r="R82" i="1" s="1"/>
  <c r="D81" i="1"/>
  <c r="R81" i="1" s="1"/>
  <c r="D80" i="1"/>
  <c r="R80" i="1" s="1"/>
  <c r="D78" i="1"/>
  <c r="R78" i="1" s="1"/>
  <c r="D77" i="1"/>
  <c r="R77" i="1" s="1"/>
  <c r="D76" i="1"/>
  <c r="R76" i="1" s="1"/>
  <c r="D75" i="1"/>
  <c r="R75" i="1" s="1"/>
  <c r="D74" i="1"/>
  <c r="R74" i="1" s="1"/>
  <c r="D73" i="1"/>
  <c r="R73" i="1" s="1"/>
  <c r="D71" i="1"/>
  <c r="R71" i="1" s="1"/>
  <c r="D70" i="1"/>
  <c r="R70" i="1" s="1"/>
  <c r="D69" i="1"/>
  <c r="R69" i="1" s="1"/>
  <c r="D68" i="1"/>
  <c r="R68" i="1" s="1"/>
  <c r="D67" i="1"/>
  <c r="R67" i="1" s="1"/>
  <c r="D66" i="1"/>
  <c r="R66" i="1" s="1"/>
  <c r="D65" i="1"/>
  <c r="R65" i="1" s="1"/>
  <c r="D64" i="1"/>
  <c r="R64" i="1" s="1"/>
  <c r="D63" i="1"/>
  <c r="R63" i="1" s="1"/>
  <c r="D62" i="1"/>
  <c r="R62" i="1" s="1"/>
  <c r="D61" i="1"/>
  <c r="R61" i="1" s="1"/>
  <c r="D60" i="1"/>
  <c r="R60" i="1" s="1"/>
  <c r="D58" i="1"/>
  <c r="R58" i="1" s="1"/>
  <c r="D57" i="1"/>
  <c r="R57" i="1" s="1"/>
  <c r="D56" i="1"/>
  <c r="R56" i="1" s="1"/>
  <c r="D55" i="1"/>
  <c r="R55" i="1" s="1"/>
  <c r="D54" i="1"/>
  <c r="R54" i="1" s="1"/>
  <c r="D53" i="1"/>
  <c r="R53" i="1" s="1"/>
  <c r="D51" i="1"/>
  <c r="R51" i="1" s="1"/>
  <c r="D50" i="1"/>
  <c r="R50" i="1" s="1"/>
  <c r="D49" i="1"/>
  <c r="R49" i="1" s="1"/>
  <c r="D48" i="1"/>
  <c r="R48" i="1" s="1"/>
  <c r="D47" i="1"/>
  <c r="R47" i="1" s="1"/>
  <c r="D46" i="1"/>
  <c r="R46" i="1" s="1"/>
  <c r="D45" i="1"/>
  <c r="D43" i="1"/>
  <c r="R43" i="1" s="1"/>
  <c r="D42" i="1"/>
  <c r="R42" i="1" s="1"/>
  <c r="D41" i="1"/>
  <c r="R41" i="1" s="1"/>
  <c r="D40" i="1"/>
  <c r="R40" i="1" s="1"/>
  <c r="D39" i="1"/>
  <c r="R39" i="1" s="1"/>
  <c r="D38" i="1"/>
  <c r="R38" i="1" s="1"/>
  <c r="D37" i="1"/>
  <c r="R37" i="1" s="1"/>
  <c r="D36" i="1"/>
  <c r="R36" i="1" s="1"/>
  <c r="D35" i="1"/>
  <c r="R35" i="1" s="1"/>
  <c r="D34" i="1"/>
  <c r="R34" i="1" s="1"/>
  <c r="D33" i="1"/>
  <c r="R33" i="1" s="1"/>
  <c r="D32" i="1"/>
  <c r="R32" i="1" s="1"/>
  <c r="D31" i="1"/>
  <c r="R31" i="1" s="1"/>
  <c r="D30" i="1"/>
  <c r="D26" i="1"/>
  <c r="R26" i="1" s="1"/>
  <c r="D25" i="1"/>
  <c r="R25" i="1" s="1"/>
  <c r="D24" i="1"/>
  <c r="R24" i="1" s="1"/>
  <c r="D23" i="1"/>
  <c r="R23" i="1" s="1"/>
  <c r="D22" i="1"/>
  <c r="R22" i="1" s="1"/>
  <c r="D21" i="1"/>
  <c r="R21" i="1" s="1"/>
  <c r="D19" i="1"/>
  <c r="R19" i="1" s="1"/>
  <c r="D18" i="1"/>
  <c r="R18" i="1" s="1"/>
  <c r="D17" i="1"/>
  <c r="R17" i="1" s="1"/>
  <c r="D16" i="1"/>
  <c r="R16" i="1" s="1"/>
  <c r="D15" i="1"/>
  <c r="R15" i="1" s="1"/>
  <c r="D14" i="1"/>
  <c r="R14" i="1" s="1"/>
  <c r="D12" i="1"/>
  <c r="R12" i="1" s="1"/>
  <c r="D11" i="1"/>
  <c r="R11" i="1" s="1"/>
  <c r="D10" i="1"/>
  <c r="D9" i="1"/>
  <c r="R9" i="1" s="1"/>
  <c r="D8" i="1"/>
  <c r="R8" i="1" s="1"/>
  <c r="R7" i="1"/>
  <c r="R10" i="1" l="1"/>
  <c r="R6" i="1" s="1"/>
  <c r="D6" i="1"/>
  <c r="R147" i="1"/>
  <c r="R146" i="1" s="1"/>
  <c r="D146" i="1"/>
  <c r="D173" i="1" s="1"/>
  <c r="R173" i="1" s="1"/>
  <c r="D152" i="1"/>
  <c r="D174" i="1" s="1"/>
  <c r="R174" i="1" s="1"/>
  <c r="R153" i="1"/>
  <c r="R152" i="1" s="1"/>
  <c r="R141" i="1"/>
  <c r="R140" i="1" s="1"/>
  <c r="D140" i="1"/>
  <c r="R137" i="1"/>
  <c r="R136" i="1" s="1"/>
  <c r="D136" i="1"/>
  <c r="R132" i="1"/>
  <c r="R131" i="1" s="1"/>
  <c r="D171" i="1"/>
  <c r="R171" i="1" s="1"/>
  <c r="R59" i="1"/>
  <c r="R95" i="1"/>
  <c r="R112" i="1"/>
  <c r="R20" i="1"/>
  <c r="D44" i="1"/>
  <c r="R45" i="1"/>
  <c r="R44" i="1" s="1"/>
  <c r="R13" i="1"/>
  <c r="R52" i="1"/>
  <c r="R72" i="1"/>
  <c r="R79" i="1"/>
  <c r="R88" i="1"/>
  <c r="R102" i="1"/>
  <c r="R107" i="1"/>
  <c r="D95" i="1"/>
  <c r="D123" i="1"/>
  <c r="D59" i="1"/>
  <c r="D72" i="1"/>
  <c r="D52" i="1"/>
  <c r="D79" i="1"/>
  <c r="D88" i="1"/>
  <c r="D102" i="1"/>
  <c r="D107" i="1"/>
  <c r="D112" i="1"/>
  <c r="D13" i="1"/>
  <c r="D20" i="1"/>
  <c r="D29" i="1"/>
  <c r="R5" i="1" l="1"/>
  <c r="D172" i="1"/>
  <c r="R172" i="1" s="1"/>
  <c r="R130" i="1"/>
  <c r="R123" i="1" s="1"/>
  <c r="R145" i="1"/>
  <c r="D170" i="1"/>
  <c r="D169" i="1"/>
  <c r="D176" i="1" l="1"/>
  <c r="R169" i="1"/>
  <c r="C3" i="4" l="1"/>
  <c r="H35" i="4"/>
  <c r="C35" i="4"/>
  <c r="D35" i="4"/>
  <c r="E35" i="4"/>
  <c r="H30" i="1"/>
  <c r="H29" i="1" s="1"/>
  <c r="H170" i="1" s="1"/>
  <c r="J30" i="1"/>
  <c r="J29" i="1" s="1"/>
  <c r="J170" i="1" s="1"/>
  <c r="I30" i="1"/>
  <c r="I29" i="1" s="1"/>
  <c r="I170" i="1" s="1"/>
  <c r="I176" i="1" s="1"/>
  <c r="G30" i="1"/>
  <c r="G29" i="1" s="1"/>
  <c r="G170" i="1" s="1"/>
  <c r="F30" i="1"/>
  <c r="F29" i="1" s="1"/>
  <c r="F170" i="1" s="1"/>
  <c r="L30" i="1"/>
  <c r="L29" i="1" s="1"/>
  <c r="L170" i="1" s="1"/>
  <c r="M30" i="1"/>
  <c r="M29" i="1" s="1"/>
  <c r="M170" i="1" s="1"/>
  <c r="M176" i="1" s="1"/>
  <c r="P30" i="1"/>
  <c r="P29" i="1" s="1"/>
  <c r="P170" i="1" s="1"/>
  <c r="P176" i="1" s="1"/>
  <c r="K30" i="1"/>
  <c r="K29" i="1" s="1"/>
  <c r="K170" i="1" s="1"/>
  <c r="O30" i="1"/>
  <c r="O29" i="1" s="1"/>
  <c r="O170" i="1" s="1"/>
  <c r="N30" i="1"/>
  <c r="N29" i="1" s="1"/>
  <c r="N170" i="1" s="1"/>
  <c r="C5" i="4"/>
  <c r="C14" i="4"/>
  <c r="E30" i="1"/>
  <c r="B4" i="4"/>
  <c r="B14" i="4"/>
  <c r="B11" i="4"/>
  <c r="C10" i="4"/>
  <c r="C6" i="4"/>
  <c r="C12" i="4"/>
  <c r="B7" i="4"/>
  <c r="C8" i="4"/>
  <c r="C9" i="4"/>
  <c r="C7" i="4"/>
  <c r="C11" i="4"/>
  <c r="B10" i="4"/>
  <c r="B13" i="4"/>
  <c r="B6" i="4"/>
  <c r="C4" i="4"/>
  <c r="C13" i="4"/>
  <c r="B12" i="4"/>
  <c r="B9" i="4"/>
  <c r="B8" i="4"/>
  <c r="B5" i="4"/>
  <c r="E10" i="4" l="1"/>
  <c r="F10" i="4" s="1"/>
  <c r="E5" i="4"/>
  <c r="F5" i="4" s="1"/>
  <c r="E6" i="4"/>
  <c r="F6" i="4" s="1"/>
  <c r="E14" i="4"/>
  <c r="F14" i="4" s="1"/>
  <c r="E12" i="4"/>
  <c r="F12" i="4" s="1"/>
  <c r="Q30" i="1"/>
  <c r="R30" i="1" s="1"/>
  <c r="R29" i="1" s="1"/>
  <c r="G176" i="1"/>
  <c r="D31" i="4"/>
  <c r="D32" i="4" s="1"/>
  <c r="D34" i="4" s="1"/>
  <c r="D8" i="4"/>
  <c r="E13" i="4"/>
  <c r="F13" i="4" s="1"/>
  <c r="E7" i="4"/>
  <c r="F7" i="4" s="1"/>
  <c r="D14" i="4"/>
  <c r="D9" i="4"/>
  <c r="D6" i="4"/>
  <c r="M31" i="4"/>
  <c r="M32" i="4" s="1"/>
  <c r="E9" i="4"/>
  <c r="F9" i="4" s="1"/>
  <c r="D4" i="4"/>
  <c r="E11" i="4"/>
  <c r="F11" i="4" s="1"/>
  <c r="D13" i="4"/>
  <c r="D10" i="4"/>
  <c r="D12" i="4"/>
  <c r="E4" i="4"/>
  <c r="F4" i="4" s="1"/>
  <c r="D5" i="4"/>
  <c r="E8" i="4"/>
  <c r="F8" i="4" s="1"/>
  <c r="O176" i="1"/>
  <c r="L31" i="4"/>
  <c r="L32" i="4" s="1"/>
  <c r="L35" i="4" s="1"/>
  <c r="L176" i="1"/>
  <c r="I31" i="4"/>
  <c r="I32" i="4" s="1"/>
  <c r="I35" i="4" s="1"/>
  <c r="H176" i="1"/>
  <c r="E31" i="4"/>
  <c r="E32" i="4" s="1"/>
  <c r="H31" i="4"/>
  <c r="H32" i="4" s="1"/>
  <c r="K176" i="1"/>
  <c r="K31" i="4"/>
  <c r="K32" i="4" s="1"/>
  <c r="K35" i="4" s="1"/>
  <c r="N176" i="1"/>
  <c r="F176" i="1"/>
  <c r="C31" i="4"/>
  <c r="C32" i="4" s="1"/>
  <c r="J176" i="1"/>
  <c r="G31" i="4"/>
  <c r="G32" i="4" s="1"/>
  <c r="G35" i="4" s="1"/>
  <c r="D11" i="4"/>
  <c r="E29" i="1"/>
  <c r="J31" i="4"/>
  <c r="J32" i="4" s="1"/>
  <c r="J35" i="4" s="1"/>
  <c r="F31" i="4"/>
  <c r="F32" i="4" s="1"/>
  <c r="F35" i="4" s="1"/>
  <c r="D7" i="4"/>
  <c r="M34" i="4" l="1"/>
  <c r="M35" i="4"/>
  <c r="D33" i="4"/>
  <c r="M33" i="4"/>
  <c r="C34" i="4"/>
  <c r="C33" i="4"/>
  <c r="E33" i="4"/>
  <c r="E34" i="4"/>
  <c r="F34" i="4"/>
  <c r="F33" i="4"/>
  <c r="E170" i="1"/>
  <c r="Q29" i="1"/>
  <c r="B3" i="4"/>
  <c r="G33" i="4"/>
  <c r="G34" i="4"/>
  <c r="I34" i="4"/>
  <c r="I33" i="4"/>
  <c r="L34" i="4"/>
  <c r="L33" i="4"/>
  <c r="J33" i="4"/>
  <c r="J34" i="4"/>
  <c r="K34" i="4"/>
  <c r="K33" i="4"/>
  <c r="H33" i="4"/>
  <c r="H34" i="4"/>
  <c r="D3" i="4" l="1"/>
  <c r="E3" i="4"/>
  <c r="F3" i="4" s="1"/>
  <c r="E176" i="1"/>
  <c r="B31" i="4"/>
  <c r="Q170" i="1"/>
  <c r="R170" i="1" s="1"/>
  <c r="Q176" i="1" l="1"/>
  <c r="R176" i="1" s="1"/>
  <c r="B39" i="4"/>
  <c r="B41" i="4" s="1"/>
  <c r="B42" i="4" s="1"/>
  <c r="B32" i="4"/>
  <c r="B34" i="4" l="1"/>
  <c r="B40" i="4"/>
  <c r="B35" i="4"/>
  <c r="B33" i="4"/>
</calcChain>
</file>

<file path=xl/sharedStrings.xml><?xml version="1.0" encoding="utf-8"?>
<sst xmlns="http://schemas.openxmlformats.org/spreadsheetml/2006/main" count="797" uniqueCount="285">
  <si>
    <t>Bônus Bruto</t>
  </si>
  <si>
    <t>Participação de Lucros</t>
  </si>
  <si>
    <t>Horas extras / Comissões</t>
  </si>
  <si>
    <t>13º Salário Bruto</t>
  </si>
  <si>
    <t>Férias Bruto</t>
  </si>
  <si>
    <t>Renda Bruta Cônjuge</t>
  </si>
  <si>
    <t>Participação nos Lucros Bruto</t>
  </si>
  <si>
    <t>VT / VR / VA</t>
  </si>
  <si>
    <t>Aposentadoria INSS</t>
  </si>
  <si>
    <t>Aluguel</t>
  </si>
  <si>
    <t>Pensão / Auxílio de Parentes</t>
  </si>
  <si>
    <t>Restituição IR</t>
  </si>
  <si>
    <t>Outras fontes de renda</t>
  </si>
  <si>
    <t>DESPESAS</t>
  </si>
  <si>
    <t>MORADIA</t>
  </si>
  <si>
    <t>Condomínio</t>
  </si>
  <si>
    <t>IPTU</t>
  </si>
  <si>
    <t>Energia Elétrica</t>
  </si>
  <si>
    <t>Gás</t>
  </si>
  <si>
    <t>Água</t>
  </si>
  <si>
    <t>Material de Limpeza</t>
  </si>
  <si>
    <t>Serviços de limpeza / Faxina</t>
  </si>
  <si>
    <t>Seguro Residencial</t>
  </si>
  <si>
    <t>Utensílios e Eletrodomésticos</t>
  </si>
  <si>
    <t>Reforma / Manutenção / Jardineiro</t>
  </si>
  <si>
    <t>Custos com Imóveis de Veraneio</t>
  </si>
  <si>
    <t>Custos com Imóveis não Alugados</t>
  </si>
  <si>
    <t>COMUNICAÇÃO</t>
  </si>
  <si>
    <t xml:space="preserve">Telefone Celular </t>
  </si>
  <si>
    <t>Combo (TV + Internet + Tel)</t>
  </si>
  <si>
    <t>Telefone Fixo</t>
  </si>
  <si>
    <t>Internet</t>
  </si>
  <si>
    <t>TV a cabo</t>
  </si>
  <si>
    <t>Apps (Netflix, Spotify, Skype, etc)</t>
  </si>
  <si>
    <t>ALIMENTAÇÃO</t>
  </si>
  <si>
    <t>Supermercado</t>
  </si>
  <si>
    <t>Refeições em restaurante</t>
  </si>
  <si>
    <t>Feira</t>
  </si>
  <si>
    <t>Padaria</t>
  </si>
  <si>
    <t>Lanches &amp; Snacks</t>
  </si>
  <si>
    <t>TRANSPORTE</t>
  </si>
  <si>
    <t>Combustível (sem reembolso)</t>
  </si>
  <si>
    <t>Seguro</t>
  </si>
  <si>
    <t>IPVA</t>
  </si>
  <si>
    <t>Licenciamento</t>
  </si>
  <si>
    <t>Manutenção</t>
  </si>
  <si>
    <t>Estacionamento</t>
  </si>
  <si>
    <t>Pedágio</t>
  </si>
  <si>
    <t>Multas</t>
  </si>
  <si>
    <t>Ônibus / Metrô (sem reembolso)</t>
  </si>
  <si>
    <t>Táxi (sem reembolso)</t>
  </si>
  <si>
    <t>Lavagem / Higienização</t>
  </si>
  <si>
    <t>SAÚDE</t>
  </si>
  <si>
    <t>Plano de Saúde</t>
  </si>
  <si>
    <t>Dentista</t>
  </si>
  <si>
    <t>Medicamentos / Farmácia</t>
  </si>
  <si>
    <t>Terapia / Tratamentos Contínuos</t>
  </si>
  <si>
    <t>Outras Consultas Fora do Plano</t>
  </si>
  <si>
    <t>PESSOAIS</t>
  </si>
  <si>
    <t>Vestuário / Calçados / Acessórios</t>
  </si>
  <si>
    <t>Higiene pessoal</t>
  </si>
  <si>
    <t>Lavanderia</t>
  </si>
  <si>
    <t>Estética</t>
  </si>
  <si>
    <t>Salão / Barbeiro / Manicure</t>
  </si>
  <si>
    <t>Academia / Esportes</t>
  </si>
  <si>
    <t>Suplemento Alimentar</t>
  </si>
  <si>
    <t>EDUCAÇÃO</t>
  </si>
  <si>
    <t>Colégio</t>
  </si>
  <si>
    <t>Graduação</t>
  </si>
  <si>
    <t xml:space="preserve">Pós-Graduação </t>
  </si>
  <si>
    <t>Cursos de Extensão</t>
  </si>
  <si>
    <t>Idiomas</t>
  </si>
  <si>
    <t>Cinema / Teatro / Shows</t>
  </si>
  <si>
    <t>Livros / Revistas / Jornais / CDs</t>
  </si>
  <si>
    <t>Clubes / Parques</t>
  </si>
  <si>
    <t>Bares e Restaurantes</t>
  </si>
  <si>
    <t>Viagens</t>
  </si>
  <si>
    <t>Tarifas Bancárias</t>
  </si>
  <si>
    <t>Anuidade Cartão Crédito</t>
  </si>
  <si>
    <t>Planejamento Financeiro Pessoal</t>
  </si>
  <si>
    <t>Assessoria Contábil</t>
  </si>
  <si>
    <t>Despesas da Empresa</t>
  </si>
  <si>
    <t>Capital de Giro</t>
  </si>
  <si>
    <t>DEPENDENTES</t>
  </si>
  <si>
    <t>Educação (colégio, faculdade)</t>
  </si>
  <si>
    <t>Rematrícula e Uniforme</t>
  </si>
  <si>
    <t>Cursos (idiomas, música, teatro, etc.)</t>
  </si>
  <si>
    <t>Presentes / Festa de Aniversário</t>
  </si>
  <si>
    <t>Mesada</t>
  </si>
  <si>
    <t>Auxílio para parentes</t>
  </si>
  <si>
    <t>Auxílio para amigos</t>
  </si>
  <si>
    <t>DIVERSOS</t>
  </si>
  <si>
    <t>Animais de estimação</t>
  </si>
  <si>
    <t>Presentes</t>
  </si>
  <si>
    <t>Doações</t>
  </si>
  <si>
    <t>Loteria / Capitalização</t>
  </si>
  <si>
    <t>SEGUROS E PREVIDÊNCIAS</t>
  </si>
  <si>
    <t>Previdência Privada Empresa</t>
  </si>
  <si>
    <t>Previdência Privada Avulsa</t>
  </si>
  <si>
    <t>Previdência Privada Dependentes</t>
  </si>
  <si>
    <t>Outros_previdência</t>
  </si>
  <si>
    <t>Seguro de Vida Principal Provedor</t>
  </si>
  <si>
    <t>Seguro de Vida Cônjuge</t>
  </si>
  <si>
    <t>Outros_seguros_de_vida</t>
  </si>
  <si>
    <t>DIT / Doenças graves</t>
  </si>
  <si>
    <t>Responsabilidade Civil / Outros</t>
  </si>
  <si>
    <t>FINANCIAMENTOS E EMPRÉSTIMOS</t>
  </si>
  <si>
    <t>Financiamento Automóvel</t>
  </si>
  <si>
    <t>Financiamento Imóvel</t>
  </si>
  <si>
    <t>Financiamento Outros Bens</t>
  </si>
  <si>
    <t>Consórcios</t>
  </si>
  <si>
    <t>Empréstimo Pessoal - Banco</t>
  </si>
  <si>
    <t>Empréstimo Pessoal - Família</t>
  </si>
  <si>
    <t>Empréstimo Pessoal - Outros</t>
  </si>
  <si>
    <t>Parcelamento Cartão de Crédito</t>
  </si>
  <si>
    <t>Renegociações de Dívidas</t>
  </si>
  <si>
    <t>Juros Cheque Especial</t>
  </si>
  <si>
    <t>Juros Cartão de Crédito</t>
  </si>
  <si>
    <t>Encargos Financeiros</t>
  </si>
  <si>
    <t>RENDA</t>
  </si>
  <si>
    <t>MENSAL</t>
  </si>
  <si>
    <t>ANUAL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</si>
  <si>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</si>
  <si>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</si>
  <si>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</si>
  <si>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</si>
  <si>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</si>
  <si>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</si>
  <si>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</si>
  <si>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</si>
  <si>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</si>
  <si>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</si>
  <si>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</si>
  <si>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</si>
  <si>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</si>
  <si>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CATEGORIA</t>
  </si>
  <si>
    <t>MÊS</t>
  </si>
  <si>
    <t>Alimentação</t>
  </si>
  <si>
    <t>Previdência</t>
  </si>
  <si>
    <t>Aplicação</t>
  </si>
  <si>
    <t>Resgate</t>
  </si>
  <si>
    <t>PREVIDÊNCIA</t>
  </si>
  <si>
    <t>Outros</t>
  </si>
  <si>
    <t>INVESTIMENTOS</t>
  </si>
  <si>
    <t>VALOR</t>
  </si>
  <si>
    <t>META</t>
  </si>
  <si>
    <t>%</t>
  </si>
  <si>
    <t>% Dif</t>
  </si>
  <si>
    <t>RECEITAS</t>
  </si>
  <si>
    <t>SALDO</t>
  </si>
  <si>
    <t>RESUMO</t>
  </si>
  <si>
    <t>SALDO LÍQUIDO</t>
  </si>
  <si>
    <t>DIF</t>
  </si>
  <si>
    <t>EMPRESA</t>
  </si>
  <si>
    <t>SALDO POSITIVO</t>
  </si>
  <si>
    <t>SALDO NEGATIVO</t>
  </si>
  <si>
    <t>Instituição</t>
  </si>
  <si>
    <t>Ativo</t>
  </si>
  <si>
    <t>Fixa / Var</t>
  </si>
  <si>
    <t>Fixa</t>
  </si>
  <si>
    <t>Var</t>
  </si>
  <si>
    <t>Valor</t>
  </si>
  <si>
    <t>Saldo devedor</t>
  </si>
  <si>
    <t>Prazo Projeto</t>
  </si>
  <si>
    <t>Descrição Bem</t>
  </si>
  <si>
    <t>Líquido</t>
  </si>
  <si>
    <t>Prazo</t>
  </si>
  <si>
    <t>Ano</t>
  </si>
  <si>
    <t>Descrição Projeto</t>
  </si>
  <si>
    <t>Receita do Mês</t>
  </si>
  <si>
    <t>Despesa do Mês</t>
  </si>
  <si>
    <t>Saldo do Mês</t>
  </si>
  <si>
    <t>ATIVOS</t>
  </si>
  <si>
    <t>PASSIVOS</t>
  </si>
  <si>
    <t>PATRIMÔNIO LÍQUIDO</t>
  </si>
  <si>
    <t>Descrição dívida</t>
  </si>
  <si>
    <t>Valor parcelas</t>
  </si>
  <si>
    <t>Saldo Devedor</t>
  </si>
  <si>
    <t>ATIVO</t>
  </si>
  <si>
    <t>PASSIVO</t>
  </si>
  <si>
    <t>CONSERVADOR</t>
  </si>
  <si>
    <t>MODERADO</t>
  </si>
  <si>
    <t>AGRESSIVO</t>
  </si>
  <si>
    <t>NECESSIDADE</t>
  </si>
  <si>
    <t>APLICADO</t>
  </si>
  <si>
    <t>Médio</t>
  </si>
  <si>
    <t>Longo</t>
  </si>
  <si>
    <t>Curto</t>
  </si>
  <si>
    <t>RESERVA</t>
  </si>
  <si>
    <t>CURTO</t>
  </si>
  <si>
    <t>MÉDIO</t>
  </si>
  <si>
    <t>LONGO</t>
  </si>
  <si>
    <t>APOSEN</t>
  </si>
  <si>
    <t>Nº parc. Pagar</t>
  </si>
  <si>
    <t>FINANC.</t>
  </si>
  <si>
    <t>IMOB.</t>
  </si>
  <si>
    <t>Fator da Reserva</t>
  </si>
  <si>
    <t>SALDO MÊS</t>
  </si>
  <si>
    <t>OPÇÕES PARA MÊS DO PAINEL</t>
  </si>
  <si>
    <t>OPÇÕES PARA COMEÇAR O CONTROLE</t>
  </si>
  <si>
    <t>Renda Bruta Principal</t>
  </si>
  <si>
    <t>LAZER</t>
  </si>
  <si>
    <t>SERV.FINANCEIROS</t>
  </si>
  <si>
    <t>EMPRÉSTIMO</t>
  </si>
  <si>
    <t>FINANCIAMENTO</t>
  </si>
  <si>
    <t>INVESTIMENTO</t>
  </si>
  <si>
    <t>Renda Líquida</t>
  </si>
  <si>
    <t>Despesas</t>
  </si>
  <si>
    <t>Seguro de Vida &amp; Outros</t>
  </si>
  <si>
    <t>Financiamentos</t>
  </si>
  <si>
    <t>Empréstimos</t>
  </si>
  <si>
    <t>Investimentos</t>
  </si>
  <si>
    <t>RENDA_PRINCIPAL</t>
  </si>
  <si>
    <t>RENDA_CÔNJUGE</t>
  </si>
  <si>
    <t>RENDA_EXTRA</t>
  </si>
  <si>
    <t>SEGURO_OUTRO</t>
  </si>
  <si>
    <r>
      <t>SEGURO_</t>
    </r>
    <r>
      <rPr>
        <b/>
        <sz val="11"/>
        <color theme="0"/>
        <rFont val="Calibri"/>
        <family val="2"/>
      </rPr>
      <t>VIDA</t>
    </r>
  </si>
  <si>
    <t>Salário</t>
  </si>
  <si>
    <t>Renda_Principal</t>
  </si>
  <si>
    <t>moradia</t>
  </si>
  <si>
    <t>Moradia</t>
  </si>
  <si>
    <t>comunicação</t>
  </si>
  <si>
    <t>Comunicação</t>
  </si>
  <si>
    <t>alimentação</t>
  </si>
  <si>
    <t>transporte</t>
  </si>
  <si>
    <t>Transporte</t>
  </si>
  <si>
    <t>saúde</t>
  </si>
  <si>
    <t>Saúde</t>
  </si>
  <si>
    <t>pessoais</t>
  </si>
  <si>
    <t>Pessoais</t>
  </si>
  <si>
    <t>educação</t>
  </si>
  <si>
    <t>Educação</t>
  </si>
  <si>
    <t>lazer &amp; informação</t>
  </si>
  <si>
    <t>Lazer</t>
  </si>
  <si>
    <t>serviços financeiros</t>
  </si>
  <si>
    <t>Serv.Financeiros</t>
  </si>
  <si>
    <t>empresa &amp; atividade autônoma</t>
  </si>
  <si>
    <t>Empresa</t>
  </si>
  <si>
    <t>dependentes</t>
  </si>
  <si>
    <t>Dependentes</t>
  </si>
  <si>
    <t>diversos</t>
  </si>
  <si>
    <t>Diversos</t>
  </si>
  <si>
    <t>Reserva</t>
  </si>
  <si>
    <t>Caderneta de Poupança</t>
  </si>
  <si>
    <t>XP</t>
  </si>
  <si>
    <t>Fundo FI</t>
  </si>
  <si>
    <t>Aposen</t>
  </si>
  <si>
    <t>Casa na praia</t>
  </si>
  <si>
    <t>Moto Honda Hornet</t>
  </si>
  <si>
    <t>Coluna1</t>
  </si>
  <si>
    <t>Coluna2</t>
  </si>
  <si>
    <t>Coluna3</t>
  </si>
  <si>
    <t>Coluna4</t>
  </si>
  <si>
    <t>Coluna5</t>
  </si>
  <si>
    <t xml:space="preserve"> </t>
  </si>
  <si>
    <t>Casa</t>
  </si>
  <si>
    <t>Celular e Internet</t>
  </si>
  <si>
    <t>Mercado</t>
  </si>
  <si>
    <t>Carro</t>
  </si>
  <si>
    <t>Farmacia</t>
  </si>
  <si>
    <t>Shopping</t>
  </si>
  <si>
    <t>Faculdade</t>
  </si>
  <si>
    <t>Banco</t>
  </si>
  <si>
    <t>Restaurante</t>
  </si>
  <si>
    <t>Contador</t>
  </si>
  <si>
    <t>Emprestimo</t>
  </si>
  <si>
    <t>Apartamento</t>
  </si>
  <si>
    <t>Nivus</t>
  </si>
  <si>
    <t xml:space="preserve">Corola </t>
  </si>
  <si>
    <t>Biz</t>
  </si>
  <si>
    <t>Nubank Renegociação do cartão</t>
  </si>
  <si>
    <t>Cartão de crédito Santander</t>
  </si>
  <si>
    <t>Loja Renner</t>
  </si>
  <si>
    <t>Nova York</t>
  </si>
  <si>
    <t>Jalapão</t>
  </si>
  <si>
    <t>Dubai</t>
  </si>
  <si>
    <t xml:space="preserve">Reformar Chacara </t>
  </si>
  <si>
    <t>Novo Carro</t>
  </si>
  <si>
    <t>Cript</t>
  </si>
  <si>
    <t>Nubank</t>
  </si>
  <si>
    <t>Bolsa</t>
  </si>
  <si>
    <t>Fundos</t>
  </si>
  <si>
    <t>Bolsa B.</t>
  </si>
  <si>
    <t>FundosB.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</si>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</sst>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_(&quot;R$&quot;* #,##0.00_);_(&quot;R$&quot;* \(#,##0.00\);_(&quot;R$&quot;* &quot;-&quot;??_);_(@_)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6"/>
      <color theme="0"/>
      <name val="Agency FB"/>
      <family val="2"/>
    </font>
    <font>
      <b/>
      <sz val="16"/>
      <color rgb="FFFF0000"/>
      <name val="Agency FB"/>
      <family val="2"/>
    </font>
    <font>
      <b/>
      <sz val="16"/>
      <color theme="4" tint="0.499984740745262"/>
      <name val="Agency FB"/>
      <family val="2"/>
    </font>
    <font>
      <b/>
      <sz val="16"/>
      <color theme="9" tint="-0.249977111117893"/>
      <name val="Agency FB"/>
      <family val="2"/>
    </font>
    <font>
      <b/>
      <sz val="16"/>
      <color rgb="FF00B050"/>
      <name val="Agency FB"/>
      <family val="2"/>
    </font>
    <font>
      <b/>
      <sz val="16"/>
      <color rgb="FFFFC000"/>
      <name val="Agency FB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8741F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thin">
        <color theme="0" tint="-0.499984740745262"/>
      </bottom>
      <diagonal/>
    </border>
    <border>
      <left/>
      <right/>
      <top style="medium">
        <color theme="0"/>
      </top>
      <bottom style="thin">
        <color theme="0" tint="-0.499984740745262"/>
      </bottom>
      <diagonal/>
    </border>
    <border>
      <left/>
      <right style="medium">
        <color theme="0"/>
      </right>
      <top style="medium">
        <color theme="0"/>
      </top>
      <bottom style="thin">
        <color theme="0" tint="-0.499984740745262"/>
      </bottom>
      <diagonal/>
    </border>
    <border>
      <left style="medium">
        <color theme="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/>
      </left>
      <right/>
      <top style="thin">
        <color theme="0" tint="-0.499984740745262"/>
      </top>
      <bottom style="medium">
        <color theme="0"/>
      </bottom>
      <diagonal/>
    </border>
    <border>
      <left/>
      <right/>
      <top style="thin">
        <color theme="0" tint="-0.499984740745262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8" fillId="0" borderId="0"/>
    <xf numFmtId="0" fontId="6" fillId="0" borderId="0"/>
    <xf numFmtId="44" fontId="6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4" applyFont="1" applyAlignment="1">
      <alignment horizontal="center"/>
    </xf>
    <xf numFmtId="3" fontId="0" fillId="4" borderId="16" xfId="0" applyNumberFormat="1" applyFill="1" applyBorder="1" applyAlignment="1">
      <alignment horizontal="center"/>
    </xf>
    <xf numFmtId="44" fontId="0" fillId="0" borderId="0" xfId="4" applyFont="1"/>
    <xf numFmtId="44" fontId="0" fillId="0" borderId="0" xfId="0" applyNumberFormat="1"/>
    <xf numFmtId="9" fontId="0" fillId="0" borderId="0" xfId="1" applyFont="1" applyAlignment="1">
      <alignment horizontal="left"/>
    </xf>
    <xf numFmtId="0" fontId="0" fillId="0" borderId="0" xfId="0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0" fillId="6" borderId="0" xfId="0" applyFill="1"/>
    <xf numFmtId="0" fontId="2" fillId="6" borderId="8" xfId="0" applyFont="1" applyFill="1" applyBorder="1" applyAlignment="1">
      <alignment horizontal="left" vertical="center"/>
    </xf>
    <xf numFmtId="3" fontId="12" fillId="6" borderId="7" xfId="0" applyNumberFormat="1" applyFont="1" applyFill="1" applyBorder="1" applyAlignment="1">
      <alignment horizontal="center"/>
    </xf>
    <xf numFmtId="3" fontId="11" fillId="6" borderId="7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3" fontId="13" fillId="6" borderId="0" xfId="0" applyNumberFormat="1" applyFont="1" applyFill="1" applyAlignment="1">
      <alignment horizontal="center" vertical="center"/>
    </xf>
    <xf numFmtId="3" fontId="2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3" fontId="1" fillId="6" borderId="7" xfId="0" applyNumberFormat="1" applyFont="1" applyFill="1" applyBorder="1" applyAlignment="1">
      <alignment horizontal="center"/>
    </xf>
    <xf numFmtId="3" fontId="1" fillId="6" borderId="0" xfId="0" applyNumberFormat="1" applyFont="1" applyFill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3" fontId="9" fillId="6" borderId="0" xfId="0" applyNumberFormat="1" applyFont="1" applyFill="1" applyAlignment="1">
      <alignment horizontal="center" vertical="center"/>
    </xf>
    <xf numFmtId="0" fontId="14" fillId="6" borderId="0" xfId="0" applyFont="1" applyFill="1"/>
    <xf numFmtId="0" fontId="15" fillId="7" borderId="2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5" fillId="7" borderId="3" xfId="0" applyFont="1" applyFill="1" applyBorder="1" applyAlignment="1">
      <alignment horizontal="left" vertical="center"/>
    </xf>
    <xf numFmtId="3" fontId="12" fillId="3" borderId="2" xfId="0" applyNumberFormat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3" fontId="12" fillId="3" borderId="3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3" xfId="0" applyNumberFormat="1" applyFont="1" applyFill="1" applyBorder="1" applyAlignment="1" applyProtection="1">
      <alignment horizontal="center" vertical="center"/>
      <protection locked="0"/>
    </xf>
    <xf numFmtId="3" fontId="16" fillId="7" borderId="2" xfId="0" applyNumberFormat="1" applyFont="1" applyFill="1" applyBorder="1" applyAlignment="1" applyProtection="1">
      <alignment horizontal="center" vertical="center"/>
      <protection locked="0"/>
    </xf>
    <xf numFmtId="3" fontId="16" fillId="7" borderId="1" xfId="0" applyNumberFormat="1" applyFont="1" applyFill="1" applyBorder="1" applyAlignment="1" applyProtection="1">
      <alignment horizontal="center" vertical="center"/>
      <protection locked="0"/>
    </xf>
    <xf numFmtId="3" fontId="16" fillId="7" borderId="3" xfId="0" applyNumberFormat="1" applyFont="1" applyFill="1" applyBorder="1" applyAlignment="1" applyProtection="1">
      <alignment horizontal="center" vertical="center"/>
      <protection locked="0"/>
    </xf>
    <xf numFmtId="3" fontId="1" fillId="3" borderId="11" xfId="0" applyNumberFormat="1" applyFont="1" applyFill="1" applyBorder="1" applyAlignment="1" applyProtection="1">
      <alignment horizontal="center" vertical="center"/>
      <protection locked="0"/>
    </xf>
    <xf numFmtId="3" fontId="1" fillId="3" borderId="13" xfId="0" applyNumberFormat="1" applyFont="1" applyFill="1" applyBorder="1" applyAlignment="1" applyProtection="1">
      <alignment horizontal="center" vertical="center"/>
      <protection locked="0"/>
    </xf>
    <xf numFmtId="3" fontId="16" fillId="8" borderId="5" xfId="0" applyNumberFormat="1" applyFont="1" applyFill="1" applyBorder="1" applyAlignment="1" applyProtection="1">
      <alignment horizontal="center" vertical="center"/>
      <protection locked="0"/>
    </xf>
    <xf numFmtId="3" fontId="16" fillId="8" borderId="4" xfId="0" applyNumberFormat="1" applyFont="1" applyFill="1" applyBorder="1" applyAlignment="1" applyProtection="1">
      <alignment horizontal="center" vertical="center"/>
      <protection locked="0"/>
    </xf>
    <xf numFmtId="3" fontId="16" fillId="8" borderId="6" xfId="0" applyNumberFormat="1" applyFont="1" applyFill="1" applyBorder="1" applyAlignment="1" applyProtection="1">
      <alignment horizontal="center" vertical="center"/>
      <protection locked="0"/>
    </xf>
    <xf numFmtId="3" fontId="7" fillId="7" borderId="17" xfId="0" applyNumberFormat="1" applyFont="1" applyFill="1" applyBorder="1" applyAlignment="1">
      <alignment horizontal="center"/>
    </xf>
    <xf numFmtId="0" fontId="18" fillId="2" borderId="14" xfId="0" applyFont="1" applyFill="1" applyBorder="1" applyAlignment="1">
      <alignment horizontal="left" vertical="center"/>
    </xf>
    <xf numFmtId="3" fontId="3" fillId="2" borderId="15" xfId="0" applyNumberFormat="1" applyFont="1" applyFill="1" applyBorder="1" applyAlignment="1" applyProtection="1">
      <alignment horizontal="center" vertical="center"/>
      <protection locked="0"/>
    </xf>
    <xf numFmtId="3" fontId="3" fillId="2" borderId="15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6" borderId="0" xfId="0" applyFill="1" applyAlignment="1">
      <alignment horizontal="center"/>
    </xf>
    <xf numFmtId="0" fontId="1" fillId="6" borderId="18" xfId="0" applyFont="1" applyFill="1" applyBorder="1" applyAlignment="1">
      <alignment horizontal="center"/>
    </xf>
    <xf numFmtId="44" fontId="19" fillId="9" borderId="18" xfId="4" applyFont="1" applyFill="1" applyBorder="1" applyAlignment="1">
      <alignment horizontal="center"/>
    </xf>
    <xf numFmtId="0" fontId="1" fillId="6" borderId="0" xfId="0" applyFont="1" applyFill="1" applyAlignment="1">
      <alignment horizontal="right"/>
    </xf>
    <xf numFmtId="44" fontId="20" fillId="0" borderId="18" xfId="4" applyFont="1" applyFill="1" applyBorder="1" applyAlignment="1">
      <alignment horizontal="center"/>
    </xf>
    <xf numFmtId="44" fontId="21" fillId="9" borderId="18" xfId="4" applyFont="1" applyFill="1" applyBorder="1" applyAlignment="1">
      <alignment horizontal="center"/>
    </xf>
    <xf numFmtId="9" fontId="23" fillId="9" borderId="18" xfId="1" applyFont="1" applyFill="1" applyBorder="1" applyAlignment="1">
      <alignment horizontal="center"/>
    </xf>
    <xf numFmtId="9" fontId="0" fillId="0" borderId="0" xfId="1" applyFont="1"/>
    <xf numFmtId="0" fontId="0" fillId="5" borderId="0" xfId="0" applyFill="1" applyAlignment="1">
      <alignment horizontal="center"/>
    </xf>
    <xf numFmtId="0" fontId="7" fillId="0" borderId="0" xfId="0" applyFont="1" applyAlignment="1">
      <alignment horizontal="right"/>
    </xf>
    <xf numFmtId="0" fontId="5" fillId="6" borderId="7" xfId="0" applyFont="1" applyFill="1" applyBorder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right"/>
    </xf>
    <xf numFmtId="0" fontId="22" fillId="10" borderId="19" xfId="0" applyFont="1" applyFill="1" applyBorder="1" applyAlignment="1">
      <alignment horizontal="center"/>
    </xf>
    <xf numFmtId="0" fontId="14" fillId="10" borderId="0" xfId="0" applyFont="1" applyFill="1"/>
    <xf numFmtId="0" fontId="14" fillId="11" borderId="0" xfId="0" applyFont="1" applyFill="1"/>
    <xf numFmtId="3" fontId="9" fillId="10" borderId="7" xfId="0" applyNumberFormat="1" applyFont="1" applyFill="1" applyBorder="1" applyAlignment="1">
      <alignment horizontal="center" vertical="center"/>
    </xf>
    <xf numFmtId="165" fontId="1" fillId="10" borderId="0" xfId="0" applyNumberFormat="1" applyFont="1" applyFill="1" applyAlignment="1" applyProtection="1">
      <alignment horizontal="center" vertical="center"/>
      <protection locked="0"/>
    </xf>
    <xf numFmtId="164" fontId="1" fillId="10" borderId="0" xfId="0" applyNumberFormat="1" applyFont="1" applyFill="1" applyAlignment="1" applyProtection="1">
      <alignment horizontal="center" vertical="center"/>
      <protection locked="0"/>
    </xf>
    <xf numFmtId="164" fontId="1" fillId="10" borderId="0" xfId="0" applyNumberFormat="1" applyFont="1" applyFill="1" applyAlignment="1">
      <alignment horizontal="center" vertical="center"/>
    </xf>
    <xf numFmtId="165" fontId="1" fillId="10" borderId="0" xfId="0" applyNumberFormat="1" applyFont="1" applyFill="1" applyAlignment="1">
      <alignment horizontal="center" vertical="center"/>
    </xf>
    <xf numFmtId="0" fontId="1" fillId="10" borderId="7" xfId="0" applyFont="1" applyFill="1" applyBorder="1" applyAlignment="1">
      <alignment horizontal="left" vertical="center"/>
    </xf>
    <xf numFmtId="3" fontId="2" fillId="10" borderId="7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3" fontId="17" fillId="0" borderId="10" xfId="0" applyNumberFormat="1" applyFont="1" applyBorder="1" applyAlignment="1" applyProtection="1">
      <alignment horizontal="center" vertical="center"/>
      <protection locked="0"/>
    </xf>
    <xf numFmtId="3" fontId="11" fillId="0" borderId="10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>
      <alignment horizontal="left" vertical="center"/>
    </xf>
    <xf numFmtId="3" fontId="17" fillId="0" borderId="1" xfId="0" applyNumberFormat="1" applyFont="1" applyBorder="1" applyAlignment="1" applyProtection="1">
      <alignment horizontal="center" vertical="center"/>
      <protection locked="0"/>
    </xf>
    <xf numFmtId="3" fontId="11" fillId="0" borderId="1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 applyProtection="1">
      <alignment horizontal="center" vertical="center"/>
      <protection locked="0"/>
    </xf>
    <xf numFmtId="0" fontId="24" fillId="10" borderId="0" xfId="0" applyFont="1" applyFill="1" applyAlignment="1" applyProtection="1">
      <alignment horizontal="left" vertical="center"/>
      <protection locked="0"/>
    </xf>
    <xf numFmtId="165" fontId="1" fillId="12" borderId="0" xfId="0" applyNumberFormat="1" applyFont="1" applyFill="1" applyAlignment="1" applyProtection="1">
      <alignment horizontal="center" vertical="center"/>
      <protection locked="0"/>
    </xf>
    <xf numFmtId="0" fontId="25" fillId="6" borderId="0" xfId="0" applyFont="1" applyFill="1" applyAlignment="1" applyProtection="1">
      <alignment horizontal="left" vertical="center"/>
      <protection locked="0"/>
    </xf>
    <xf numFmtId="0" fontId="26" fillId="6" borderId="0" xfId="0" applyFont="1" applyFill="1" applyAlignment="1" applyProtection="1">
      <alignment horizontal="left" vertical="center"/>
      <protection locked="0"/>
    </xf>
    <xf numFmtId="0" fontId="27" fillId="6" borderId="0" xfId="0" applyFont="1" applyFill="1" applyAlignment="1" applyProtection="1">
      <alignment horizontal="left" vertical="center"/>
      <protection locked="0"/>
    </xf>
    <xf numFmtId="0" fontId="28" fillId="6" borderId="0" xfId="0" applyFont="1" applyFill="1" applyAlignment="1" applyProtection="1">
      <alignment horizontal="left" vertical="center"/>
      <protection locked="0"/>
    </xf>
    <xf numFmtId="0" fontId="29" fillId="6" borderId="0" xfId="0" applyFont="1" applyFill="1" applyAlignment="1" applyProtection="1">
      <alignment horizontal="left" vertical="center"/>
      <protection locked="0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5">
    <cellStyle name="Moeda" xfId="4" builtinId="4"/>
    <cellStyle name="Normal" xfId="0" builtinId="0"/>
    <cellStyle name="Normal 2" xfId="2" xr:uid="{FD43AB9E-0A44-4B6B-97B9-6F17BD54AA7A}"/>
    <cellStyle name="Normal 3" xfId="3" xr:uid="{CD7DEA5A-27CC-4218-9A5C-7D091FAAA887}"/>
    <cellStyle name="Porcentagem" xfId="1" builtinId="5"/>
  </cellStyles>
  <dxfs count="107">
    <dxf>
      <font>
        <b/>
        <i val="0"/>
        <color rgb="FF0070C0"/>
      </font>
    </dxf>
    <dxf>
      <font>
        <b/>
        <i val="0"/>
        <color rgb="FFFF0000"/>
      </font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font>
        <b val="0"/>
        <i val="0"/>
        <color theme="1" tint="0.24994659260841701"/>
      </font>
      <fill>
        <patternFill>
          <bgColor theme="5" tint="0.3999450666829432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8741F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indexed="64"/>
          <bgColor rgb="FF8741F5"/>
        </patternFill>
      </fill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8741F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8741F5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4" formatCode="#,##0.00"/>
      <alignment horizontal="center" vertical="bottom" textRotation="0" wrapText="0" indent="0" justifyLastLine="0" shrinkToFit="0" readingOrder="0"/>
    </dxf>
    <dxf>
      <numFmt numFmtId="19" formatCode="dd/mm/yyyy"/>
    </dxf>
    <dxf>
      <border>
        <left style="thin">
          <color theme="5"/>
        </left>
      </border>
    </dxf>
    <dxf>
      <border>
        <left style="medium">
          <color theme="7"/>
        </left>
        <vertical style="medium">
          <color theme="7"/>
        </vertical>
      </border>
    </dxf>
    <dxf>
      <border>
        <top style="hair">
          <color theme="5"/>
        </top>
      </border>
    </dxf>
    <dxf>
      <fill>
        <patternFill>
          <bgColor theme="7"/>
        </patternFill>
      </fill>
      <border>
        <top style="hair">
          <color theme="5"/>
        </top>
      </border>
    </dxf>
    <dxf>
      <font>
        <b/>
        <i val="0"/>
        <color rgb="FFFF0000"/>
      </font>
      <fill>
        <patternFill patternType="solid">
          <fgColor theme="5"/>
          <bgColor theme="5"/>
        </patternFill>
      </fill>
    </dxf>
    <dxf>
      <font>
        <b/>
        <color theme="1"/>
      </font>
    </dxf>
    <dxf>
      <font>
        <b/>
        <color theme="1"/>
      </font>
      <fill>
        <patternFill>
          <bgColor theme="7"/>
        </patternFill>
      </fill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/>
        <right/>
        <top style="thin">
          <color theme="5"/>
        </top>
        <bottom style="thin">
          <color theme="5"/>
        </bottom>
      </border>
    </dxf>
    <dxf>
      <border>
        <left style="thin">
          <color theme="5"/>
        </left>
      </border>
    </dxf>
    <dxf>
      <border>
        <left style="medium">
          <color theme="7"/>
        </left>
        <vertical style="medium">
          <color theme="7"/>
        </vertical>
      </border>
    </dxf>
    <dxf>
      <border>
        <top style="hair">
          <color theme="5"/>
        </top>
      </border>
    </dxf>
    <dxf>
      <fill>
        <patternFill patternType="solid">
          <fgColor theme="5" tint="0.79995117038483843"/>
          <bgColor theme="8" tint="0.39994506668294322"/>
        </patternFill>
      </fill>
      <border>
        <top style="hair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7"/>
        </patternFill>
      </fill>
      <border>
        <top style="double">
          <color theme="5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/>
        <right/>
        <top style="thin">
          <color theme="5"/>
        </top>
        <bottom style="thin">
          <color theme="5"/>
        </bottom>
      </border>
    </dxf>
    <dxf>
      <border>
        <left style="thin">
          <color theme="5"/>
        </left>
      </border>
    </dxf>
    <dxf>
      <border>
        <left style="medium">
          <color theme="7"/>
        </left>
        <vertical style="medium">
          <color theme="7"/>
        </vertical>
      </border>
    </dxf>
    <dxf>
      <border>
        <top style="hair">
          <color theme="5"/>
        </top>
      </border>
    </dxf>
    <dxf>
      <fill>
        <patternFill patternType="solid">
          <fgColor theme="5" tint="0.79995117038483843"/>
          <bgColor theme="9" tint="0.59996337778862885"/>
        </patternFill>
      </fill>
      <border>
        <top style="hair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7"/>
        </patternFill>
      </fill>
      <border>
        <top style="double">
          <color theme="5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/>
        <right/>
        <top style="thin">
          <color theme="5"/>
        </top>
        <bottom style="thin">
          <color theme="5"/>
        </bottom>
      </border>
    </dxf>
    <dxf>
      <border>
        <left style="thin">
          <color theme="5"/>
        </left>
      </border>
    </dxf>
    <dxf>
      <border>
        <left style="medium">
          <color theme="7"/>
        </left>
        <vertical style="medium">
          <color theme="7"/>
        </vertical>
      </border>
    </dxf>
    <dxf>
      <border>
        <top style="hair">
          <color theme="5"/>
        </top>
      </border>
    </dxf>
    <dxf>
      <fill>
        <patternFill patternType="solid">
          <fgColor theme="5" tint="0.79998168889431442"/>
          <bgColor theme="5" tint="0.79998168889431442"/>
        </patternFill>
      </fill>
      <border>
        <top style="hair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7"/>
        </patternFill>
      </fill>
      <border>
        <top style="double">
          <color theme="5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/>
        <right/>
        <top style="thin">
          <color theme="5"/>
        </top>
        <bottom style="thin">
          <color theme="5"/>
        </bottom>
      </border>
    </dxf>
  </dxfs>
  <tableStyles count="4" defaultTableStyle="TableStyleMedium2" defaultPivotStyle="PivotStyleLight16">
    <tableStyle name="William" pivot="0" count="9" xr9:uid="{1525F64F-550A-43BE-92F5-A38372C5DEDE}">
      <tableStyleElement type="wholeTable" dxfId="106"/>
      <tableStyleElement type="headerRow" dxfId="105"/>
      <tableStyleElement type="totalRow" dxfId="104"/>
      <tableStyleElement type="firstColumn" dxfId="103"/>
      <tableStyleElement type="lastColumn" dxfId="102"/>
      <tableStyleElement type="firstRowStripe" dxfId="101"/>
      <tableStyleElement type="secondRowStripe" dxfId="100"/>
      <tableStyleElement type="firstColumnStripe" dxfId="99"/>
      <tableStyleElement type="secondColumnStripe" dxfId="98"/>
    </tableStyle>
    <tableStyle name="William Divida" pivot="0" count="9" xr9:uid="{41EADCF2-56A8-43D0-B7EB-65B9390AD42A}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secondRowStripe" dxfId="91"/>
      <tableStyleElement type="firstColumnStripe" dxfId="90"/>
      <tableStyleElement type="secondColumnStripe" dxfId="89"/>
    </tableStyle>
    <tableStyle name="William Patrim" pivot="0" count="9" xr9:uid="{48C23838-E5DA-407C-8A3E-A8ED3B561E8B}">
      <tableStyleElement type="wholeTable" dxfId="88"/>
      <tableStyleElement type="headerRow" dxfId="87"/>
      <tableStyleElement type="totalRow" dxfId="86"/>
      <tableStyleElement type="firstColumn" dxfId="85"/>
      <tableStyleElement type="lastColumn" dxfId="84"/>
      <tableStyleElement type="firstRowStripe" dxfId="83"/>
      <tableStyleElement type="secondRowStripe" dxfId="82"/>
      <tableStyleElement type="firstColumnStripe" dxfId="81"/>
      <tableStyleElement type="secondColumnStripe" dxfId="80"/>
    </tableStyle>
    <tableStyle name="William_cadastro_instituicao" pivot="0" count="9" xr9:uid="{6094109D-80C9-4A93-9828-C7B9ABBC4B1A}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secondRowStripe" dxfId="73"/>
      <tableStyleElement type="firstColumnStripe" dxfId="72"/>
      <tableStyleElement type="secondColumnStripe" dxfId="71"/>
    </tableStyle>
  </tableStyles>
  <colors>
    <mruColors>
      <color rgb="FFFFFFFF"/>
      <color rgb="FF8741F5"/>
      <color rgb="FF454068"/>
      <color rgb="FFB339FB"/>
      <color rgb="FF000000"/>
      <color rgb="FF000033"/>
      <color rgb="FF40405D"/>
      <color rgb="FFC874FC"/>
      <color rgb="FF2B2B4B"/>
      <color rgb="FFD6D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microsoft.com/office/2011/relationships/chartColorStyle" Target="colors18.xml"/><Relationship Id="rId1" Type="http://schemas.microsoft.com/office/2011/relationships/chartStyle" Target="style18.xml"/><Relationship Id="rId5" Type="http://schemas.openxmlformats.org/officeDocument/2006/relationships/image" Target="../media/image33.svg"/><Relationship Id="rId4" Type="http://schemas.openxmlformats.org/officeDocument/2006/relationships/image" Target="../media/image32.png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image" Target="../media/image31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image" Target="../media/image36.png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PAINEL'!$A$3:$A$14</c:f>
              <c:strCache>
                <c:ptCount val="12"/>
                <c:pt idx="0">
                  <c:v>Moradia</c:v>
                </c:pt>
                <c:pt idx="1">
                  <c:v>Comunicação</c:v>
                </c:pt>
                <c:pt idx="2">
                  <c:v>Alimentação</c:v>
                </c:pt>
                <c:pt idx="3">
                  <c:v>Transporte</c:v>
                </c:pt>
                <c:pt idx="4">
                  <c:v>Saúde</c:v>
                </c:pt>
                <c:pt idx="5">
                  <c:v>Pessoais</c:v>
                </c:pt>
                <c:pt idx="6">
                  <c:v>Educação</c:v>
                </c:pt>
                <c:pt idx="7">
                  <c:v>Lazer</c:v>
                </c:pt>
                <c:pt idx="8">
                  <c:v>Serv.Financeiros</c:v>
                </c:pt>
                <c:pt idx="9">
                  <c:v>Empresa</c:v>
                </c:pt>
                <c:pt idx="10">
                  <c:v>Dependentes</c:v>
                </c:pt>
                <c:pt idx="11">
                  <c:v>Diversos</c:v>
                </c:pt>
              </c:strCache>
            </c:strRef>
          </c:cat>
          <c:val>
            <c:numRef>
              <c:f>'BASE PAINEL'!$B$3:$B$14</c:f>
              <c:numCache>
                <c:formatCode>General</c:formatCode>
                <c:ptCount val="12"/>
                <c:pt idx="0">
                  <c:v>1916</c:v>
                </c:pt>
                <c:pt idx="1">
                  <c:v>169</c:v>
                </c:pt>
                <c:pt idx="2">
                  <c:v>3069</c:v>
                </c:pt>
                <c:pt idx="3">
                  <c:v>809</c:v>
                </c:pt>
                <c:pt idx="4">
                  <c:v>1940</c:v>
                </c:pt>
                <c:pt idx="5">
                  <c:v>967</c:v>
                </c:pt>
                <c:pt idx="6">
                  <c:v>828</c:v>
                </c:pt>
                <c:pt idx="7">
                  <c:v>529</c:v>
                </c:pt>
                <c:pt idx="8">
                  <c:v>153</c:v>
                </c:pt>
                <c:pt idx="9">
                  <c:v>449</c:v>
                </c:pt>
                <c:pt idx="10">
                  <c:v>536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D-4C46-86C5-A98EC6292A72}"/>
            </c:ext>
          </c:extLst>
        </c:ser>
        <c:ser>
          <c:idx val="1"/>
          <c:order val="1"/>
          <c:spPr>
            <a:solidFill>
              <a:srgbClr val="40405D"/>
            </a:solidFill>
            <a:ln>
              <a:noFill/>
            </a:ln>
            <a:effectLst/>
          </c:spPr>
          <c:invertIfNegative val="0"/>
          <c:cat>
            <c:strRef>
              <c:f>'BASE PAINEL'!$A$3:$A$14</c:f>
              <c:strCache>
                <c:ptCount val="12"/>
                <c:pt idx="0">
                  <c:v>Moradia</c:v>
                </c:pt>
                <c:pt idx="1">
                  <c:v>Comunicação</c:v>
                </c:pt>
                <c:pt idx="2">
                  <c:v>Alimentação</c:v>
                </c:pt>
                <c:pt idx="3">
                  <c:v>Transporte</c:v>
                </c:pt>
                <c:pt idx="4">
                  <c:v>Saúde</c:v>
                </c:pt>
                <c:pt idx="5">
                  <c:v>Pessoais</c:v>
                </c:pt>
                <c:pt idx="6">
                  <c:v>Educação</c:v>
                </c:pt>
                <c:pt idx="7">
                  <c:v>Lazer</c:v>
                </c:pt>
                <c:pt idx="8">
                  <c:v>Serv.Financeiros</c:v>
                </c:pt>
                <c:pt idx="9">
                  <c:v>Empresa</c:v>
                </c:pt>
                <c:pt idx="10">
                  <c:v>Dependentes</c:v>
                </c:pt>
                <c:pt idx="11">
                  <c:v>Diversos</c:v>
                </c:pt>
              </c:strCache>
            </c:strRef>
          </c:cat>
          <c:val>
            <c:numRef>
              <c:f>'BASE PAINEL'!$D$3:$D$14</c:f>
              <c:numCache>
                <c:formatCode>General</c:formatCode>
                <c:ptCount val="12"/>
                <c:pt idx="0">
                  <c:v>734</c:v>
                </c:pt>
                <c:pt idx="1">
                  <c:v>101</c:v>
                </c:pt>
                <c:pt idx="2">
                  <c:v>0</c:v>
                </c:pt>
                <c:pt idx="3">
                  <c:v>991</c:v>
                </c:pt>
                <c:pt idx="4">
                  <c:v>0</c:v>
                </c:pt>
                <c:pt idx="5">
                  <c:v>583</c:v>
                </c:pt>
                <c:pt idx="6">
                  <c:v>372</c:v>
                </c:pt>
                <c:pt idx="7">
                  <c:v>471</c:v>
                </c:pt>
                <c:pt idx="8">
                  <c:v>47</c:v>
                </c:pt>
                <c:pt idx="9">
                  <c:v>401</c:v>
                </c:pt>
                <c:pt idx="10">
                  <c:v>414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D-4C46-86C5-A98EC629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648223"/>
        <c:axId val="149646975"/>
      </c:barChart>
      <c:catAx>
        <c:axId val="149648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46975"/>
        <c:crosses val="autoZero"/>
        <c:auto val="1"/>
        <c:lblAlgn val="ctr"/>
        <c:lblOffset val="100"/>
        <c:noMultiLvlLbl val="0"/>
      </c:catAx>
      <c:valAx>
        <c:axId val="149646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4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PAINEL'!$A$6</c:f>
          <c:strCache>
            <c:ptCount val="1"/>
            <c:pt idx="0">
              <c:v>Transporte</c:v>
            </c:pt>
          </c:strCache>
        </c:strRef>
      </c:tx>
      <c:layout>
        <c:manualLayout>
          <c:xMode val="edge"/>
          <c:yMode val="edge"/>
          <c:x val="0.20311978127643138"/>
          <c:y val="7.9375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PAINEL'!$A$6</c:f>
              <c:strCache>
                <c:ptCount val="1"/>
                <c:pt idx="0">
                  <c:v>Transporte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50000">
                    <a:srgbClr val="8741F5">
                      <a:lumMod val="75000"/>
                    </a:srgbClr>
                  </a:gs>
                  <a:gs pos="0">
                    <a:srgbClr val="8741F5"/>
                  </a:gs>
                  <a:gs pos="100000">
                    <a:srgbClr val="8741F5"/>
                  </a:gs>
                </a:gsLst>
                <a:path path="shape">
                  <a:fillToRect l="50000" t="50000" r="50000" b="50000"/>
                </a:path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F-4756-985D-7713F05F3F9A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FF-4756-985D-7713F05F3F9A}"/>
              </c:ext>
            </c:extLst>
          </c:dPt>
          <c:dLbls>
            <c:delete val="1"/>
          </c:dLbls>
          <c:val>
            <c:numRef>
              <c:f>'BASE PAINEL'!$E$6:$F$6</c:f>
              <c:numCache>
                <c:formatCode>0%</c:formatCode>
                <c:ptCount val="2"/>
                <c:pt idx="0">
                  <c:v>0.44944444444444442</c:v>
                </c:pt>
                <c:pt idx="1">
                  <c:v>0.55055555555555558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F-4756-985D-7713F05F3F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PAINEL'!$A$5</c:f>
          <c:strCache>
            <c:ptCount val="1"/>
            <c:pt idx="0">
              <c:v>Alimentação</c:v>
            </c:pt>
          </c:strCache>
        </c:strRef>
      </c:tx>
      <c:layout>
        <c:manualLayout>
          <c:xMode val="edge"/>
          <c:yMode val="edge"/>
          <c:x val="0.17008823418666824"/>
          <c:y val="7.0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PAINEL'!$A$5</c:f>
              <c:strCache>
                <c:ptCount val="1"/>
                <c:pt idx="0">
                  <c:v>Alimentação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50000">
                    <a:srgbClr val="8741F5">
                      <a:lumMod val="75000"/>
                    </a:srgbClr>
                  </a:gs>
                  <a:gs pos="0">
                    <a:srgbClr val="8741F5"/>
                  </a:gs>
                  <a:gs pos="100000">
                    <a:srgbClr val="8741F5"/>
                  </a:gs>
                </a:gsLst>
                <a:path path="shape">
                  <a:fillToRect l="50000" t="50000" r="50000" b="50000"/>
                </a:path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71-4C09-B4B6-A2B1C5E8B9DC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71-4C09-B4B6-A2B1C5E8B9DC}"/>
              </c:ext>
            </c:extLst>
          </c:dPt>
          <c:dLbls>
            <c:delete val="1"/>
          </c:dLbls>
          <c:val>
            <c:numRef>
              <c:f>'BASE PAINEL'!$E$5:$F$5</c:f>
              <c:numCache>
                <c:formatCode>0%</c:formatCode>
                <c:ptCount val="2"/>
                <c:pt idx="0">
                  <c:v>1.0582758620689656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1-4C09-B4B6-A2B1C5E8B9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PAINEL'!$A$4</c:f>
          <c:strCache>
            <c:ptCount val="1"/>
            <c:pt idx="0">
              <c:v>Comunicação</c:v>
            </c:pt>
          </c:strCache>
        </c:strRef>
      </c:tx>
      <c:layout>
        <c:manualLayout>
          <c:xMode val="edge"/>
          <c:yMode val="edge"/>
          <c:x val="0.15319722222222223"/>
          <c:y val="7.9375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PAINEL'!$A$4</c:f>
              <c:strCache>
                <c:ptCount val="1"/>
                <c:pt idx="0">
                  <c:v>Comunicação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50000">
                    <a:srgbClr val="8741F5">
                      <a:lumMod val="75000"/>
                    </a:srgbClr>
                  </a:gs>
                  <a:gs pos="0">
                    <a:srgbClr val="8741F5"/>
                  </a:gs>
                  <a:gs pos="100000">
                    <a:srgbClr val="8741F5"/>
                  </a:gs>
                </a:gsLst>
                <a:path path="shape">
                  <a:fillToRect l="50000" t="50000" r="50000" b="50000"/>
                </a:path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8-4F42-A752-0F3C3337E757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8-4F42-A752-0F3C3337E757}"/>
              </c:ext>
            </c:extLst>
          </c:dPt>
          <c:dLbls>
            <c:delete val="1"/>
          </c:dLbls>
          <c:val>
            <c:numRef>
              <c:f>'BASE PAINEL'!$E$4:$F$4</c:f>
              <c:numCache>
                <c:formatCode>0%</c:formatCode>
                <c:ptCount val="2"/>
                <c:pt idx="0">
                  <c:v>0.62592592592592589</c:v>
                </c:pt>
                <c:pt idx="1">
                  <c:v>0.37407407407407411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8-4F42-A752-0F3C3337E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'BASE PAINEL'!$A$3</c:f>
          <c:strCache>
            <c:ptCount val="1"/>
            <c:pt idx="0">
              <c:v>Moradia</c:v>
            </c:pt>
          </c:strCache>
        </c:strRef>
      </c:tx>
      <c:layout>
        <c:manualLayout>
          <c:xMode val="edge"/>
          <c:yMode val="edge"/>
          <c:x val="0.26871000761644187"/>
          <c:y val="7.9375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PAINEL'!$A$3</c:f>
              <c:strCache>
                <c:ptCount val="1"/>
                <c:pt idx="0">
                  <c:v>Moradia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50000">
                    <a:srgbClr val="8741F5">
                      <a:lumMod val="75000"/>
                    </a:srgbClr>
                  </a:gs>
                  <a:gs pos="0">
                    <a:srgbClr val="8741F5"/>
                  </a:gs>
                  <a:gs pos="100000">
                    <a:srgbClr val="8741F5"/>
                  </a:gs>
                </a:gsLst>
                <a:path path="shape">
                  <a:fillToRect l="50000" t="50000" r="50000" b="50000"/>
                </a:path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0F-41E1-9E46-D9A915837F43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F-41E1-9E46-D9A915837F43}"/>
              </c:ext>
            </c:extLst>
          </c:dPt>
          <c:dLbls>
            <c:delete val="1"/>
          </c:dLbls>
          <c:val>
            <c:numRef>
              <c:f>'BASE PAINEL'!$E$3:$F$3</c:f>
              <c:numCache>
                <c:formatCode>0%</c:formatCode>
                <c:ptCount val="2"/>
                <c:pt idx="0">
                  <c:v>0.7230188679245283</c:v>
                </c:pt>
                <c:pt idx="1">
                  <c:v>0.2769811320754717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F-41E1-9E46-D9A915837F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tx>
            <c:strRef>
              <c:f>'BASE PAINEL'!$B$37</c:f>
              <c:strCache>
                <c:ptCount val="1"/>
                <c:pt idx="0">
                  <c:v>JAN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7CB3">
                  <a:lumMod val="5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53-490C-A475-0D36FDD478E3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53-490C-A475-0D36FDD478E3}"/>
              </c:ext>
            </c:extLst>
          </c:dPt>
          <c:dLbls>
            <c:delete val="1"/>
          </c:dLbls>
          <c:val>
            <c:numRef>
              <c:f>'BASE PAINEL'!$B$41:$B$42</c:f>
              <c:numCache>
                <c:formatCode>0%</c:formatCode>
                <c:ptCount val="2"/>
                <c:pt idx="0">
                  <c:v>0.95325000000000004</c:v>
                </c:pt>
                <c:pt idx="1">
                  <c:v>4.6749999999999958E-2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53-490C-A475-0D36FDD47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100000">
                    <a:srgbClr val="00B0F0"/>
                  </a:gs>
                </a:gsLst>
                <a:path path="circle">
                  <a:fillToRect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13-47C9-B1D2-E8C8EA4E5EEB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C00000"/>
                  </a:gs>
                  <a:gs pos="100000">
                    <a:srgbClr val="FF0000"/>
                  </a:gs>
                </a:gsLst>
                <a:path path="circle">
                  <a:fillToRect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F6-4EC2-9638-E912CA130FB4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100000">
                    <a:srgbClr val="92D050"/>
                  </a:gs>
                </a:gsLst>
                <a:path path="circle">
                  <a:fillToRect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6-4EC2-9638-E912CA130FB4}"/>
              </c:ext>
            </c:extLst>
          </c:dPt>
          <c:cat>
            <c:strRef>
              <c:f>'BASE PAINEL'!$A$38:$A$40</c:f>
              <c:strCache>
                <c:ptCount val="3"/>
                <c:pt idx="0">
                  <c:v>Receita do Mês</c:v>
                </c:pt>
                <c:pt idx="1">
                  <c:v>Despesa do Mês</c:v>
                </c:pt>
                <c:pt idx="2">
                  <c:v>Saldo do Mês</c:v>
                </c:pt>
              </c:strCache>
            </c:strRef>
          </c:cat>
          <c:val>
            <c:numRef>
              <c:f>'BASE PAINEL'!$B$38:$B$40</c:f>
              <c:numCache>
                <c:formatCode>_("R$"* #,##0.00_);_("R$"* \(#,##0.00\);_("R$"* "-"??_);_(@_)</c:formatCode>
                <c:ptCount val="3"/>
                <c:pt idx="0">
                  <c:v>12000</c:v>
                </c:pt>
                <c:pt idx="1">
                  <c:v>11439</c:v>
                </c:pt>
                <c:pt idx="2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6-4EC2-9638-E912CA13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2101519"/>
        <c:axId val="892076143"/>
      </c:barChart>
      <c:catAx>
        <c:axId val="8921015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076143"/>
        <c:crosses val="autoZero"/>
        <c:auto val="1"/>
        <c:lblAlgn val="ctr"/>
        <c:lblOffset val="100"/>
        <c:noMultiLvlLbl val="0"/>
      </c:catAx>
      <c:valAx>
        <c:axId val="892076143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210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1000" b="1">
                <a:solidFill>
                  <a:schemeClr val="bg1"/>
                </a:solidFill>
              </a:rPr>
              <a:t>TRANSPORTE</a:t>
            </a:r>
          </a:p>
        </c:rich>
      </c:tx>
      <c:layout>
        <c:manualLayout>
          <c:xMode val="edge"/>
          <c:yMode val="edge"/>
          <c:x val="0.20311978127643138"/>
          <c:y val="7.9375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576965165600078E-2"/>
          <c:y val="0.13487009981105907"/>
          <c:w val="0.88084606966879986"/>
          <c:h val="0.74241930482734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PROJETOS!$F$9</c:f>
              <c:strCache>
                <c:ptCount val="1"/>
                <c:pt idx="0">
                  <c:v>%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PROJETOS!$G$6</c:f>
              <c:strCache>
                <c:ptCount val="1"/>
                <c:pt idx="0">
                  <c:v>RESERVA</c:v>
                </c:pt>
              </c:strCache>
            </c:strRef>
          </c:cat>
          <c:val>
            <c:numRef>
              <c:f>PROJETOS!$G$9</c:f>
              <c:numCache>
                <c:formatCode>0%</c:formatCode>
                <c:ptCount val="1"/>
                <c:pt idx="0">
                  <c:v>4.0121448709607463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B-4650-A785-47DC6871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83359"/>
        <c:axId val="263884607"/>
      </c:barChart>
      <c:catAx>
        <c:axId val="26388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84607"/>
        <c:crosses val="autoZero"/>
        <c:auto val="1"/>
        <c:lblAlgn val="ctr"/>
        <c:lblOffset val="100"/>
        <c:noMultiLvlLbl val="0"/>
      </c:catAx>
      <c:valAx>
        <c:axId val="26388460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638833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PROJETOS!$F$9</c:f>
              <c:strCache>
                <c:ptCount val="1"/>
                <c:pt idx="0">
                  <c:v>%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>
                  <a:extLst>
                    <a:ext uri="{96DAC541-7B7A-43D3-8B79-37D633B846F1}">
                      <asvg:svgBlip xmlns:asvg="http://schemas.microsoft.com/office/drawing/2016/SVG/main" r:embed="rId5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1DD3-4BC4-9375-3C150ECB8A4C}"/>
              </c:ext>
            </c:extLst>
          </c:dPt>
          <c:cat>
            <c:strRef>
              <c:f>PROJETOS!$H$6</c:f>
              <c:strCache>
                <c:ptCount val="1"/>
                <c:pt idx="0">
                  <c:v>CURTO</c:v>
                </c:pt>
              </c:strCache>
            </c:strRef>
          </c:cat>
          <c:val>
            <c:numRef>
              <c:f>PROJETOS!$H$9</c:f>
              <c:numCache>
                <c:formatCode>0%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3-4BC4-9375-3C150ECB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83359"/>
        <c:axId val="263884607"/>
      </c:barChart>
      <c:catAx>
        <c:axId val="26388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84607"/>
        <c:crosses val="autoZero"/>
        <c:auto val="1"/>
        <c:lblAlgn val="ctr"/>
        <c:lblOffset val="100"/>
        <c:noMultiLvlLbl val="0"/>
      </c:catAx>
      <c:valAx>
        <c:axId val="26388460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638833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PROJETOS!$F$9</c:f>
              <c:strCache>
                <c:ptCount val="1"/>
                <c:pt idx="0">
                  <c:v>%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2468-4F46-B93C-5BE4839A9739}"/>
              </c:ext>
            </c:extLst>
          </c:dPt>
          <c:cat>
            <c:strRef>
              <c:f>PROJETOS!$I$6</c:f>
              <c:strCache>
                <c:ptCount val="1"/>
                <c:pt idx="0">
                  <c:v>MÉDIO</c:v>
                </c:pt>
              </c:strCache>
            </c:strRef>
          </c:cat>
          <c:val>
            <c:numRef>
              <c:f>PROJETOS!$I$9</c:f>
              <c:numCache>
                <c:formatCode>0%</c:formatCode>
                <c:ptCount val="1"/>
                <c:pt idx="0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8-4F46-B93C-5BE4839A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83359"/>
        <c:axId val="263884607"/>
      </c:barChart>
      <c:catAx>
        <c:axId val="26388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84607"/>
        <c:crosses val="autoZero"/>
        <c:auto val="1"/>
        <c:lblAlgn val="ctr"/>
        <c:lblOffset val="100"/>
        <c:noMultiLvlLbl val="0"/>
      </c:catAx>
      <c:valAx>
        <c:axId val="26388460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638833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PAINEL'!$A$14</c:f>
          <c:strCache>
            <c:ptCount val="1"/>
            <c:pt idx="0">
              <c:v>Diversos</c:v>
            </c:pt>
          </c:strCache>
        </c:strRef>
      </c:tx>
      <c:layout>
        <c:manualLayout>
          <c:xMode val="edge"/>
          <c:yMode val="edge"/>
          <c:x val="0.27075339280223187"/>
          <c:y val="0.11441988563555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PAINEL'!$A$14</c:f>
              <c:strCache>
                <c:ptCount val="1"/>
                <c:pt idx="0">
                  <c:v>Diversos</c:v>
                </c:pt>
              </c:strCache>
            </c:strRef>
          </c:tx>
          <c:spPr>
            <a:gradFill>
              <a:gsLst>
                <a:gs pos="75000">
                  <a:srgbClr val="56E391"/>
                </a:gs>
                <a:gs pos="100000">
                  <a:srgbClr val="56E391">
                    <a:lumMod val="50000"/>
                  </a:srgbClr>
                </a:gs>
              </a:gsLst>
              <a:path path="shape">
                <a:fillToRect l="50000" t="50000" r="50000" b="50000"/>
              </a:path>
            </a:gradFill>
            <a:ln>
              <a:noFill/>
            </a:ln>
          </c:spPr>
          <c:dPt>
            <c:idx val="0"/>
            <c:bubble3D val="0"/>
            <c:spPr>
              <a:gradFill>
                <a:gsLst>
                  <a:gs pos="75000">
                    <a:srgbClr val="56E391"/>
                  </a:gs>
                  <a:gs pos="100000">
                    <a:srgbClr val="56E391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80-433C-BF08-4203A397DAF6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80-433C-BF08-4203A397DAF6}"/>
              </c:ext>
            </c:extLst>
          </c:dPt>
          <c:dLbls>
            <c:delete val="1"/>
          </c:dLbls>
          <c:val>
            <c:numRef>
              <c:f>'BASE PAINEL'!$E$14:$F$14</c:f>
              <c:numCache>
                <c:formatCode>0%</c:formatCode>
                <c:ptCount val="2"/>
                <c:pt idx="0">
                  <c:v>0.29599999999999999</c:v>
                </c:pt>
                <c:pt idx="1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0-433C-BF08-4203A397DA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62156555317121E-2"/>
          <c:y val="0.12261001647672662"/>
          <c:w val="0.86607568688936576"/>
          <c:h val="0.70028662639022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PROJETOS!$F$9</c:f>
              <c:strCache>
                <c:ptCount val="1"/>
                <c:pt idx="0">
                  <c:v>%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F32E-4B45-8F8F-C5BB0D70B588}"/>
              </c:ext>
            </c:extLst>
          </c:dPt>
          <c:cat>
            <c:strRef>
              <c:f>PROJETOS!$K$6</c:f>
              <c:strCache>
                <c:ptCount val="1"/>
                <c:pt idx="0">
                  <c:v>APOSEN</c:v>
                </c:pt>
              </c:strCache>
            </c:strRef>
          </c:cat>
          <c:val>
            <c:numRef>
              <c:f>PROJETOS!$K$9</c:f>
              <c:numCache>
                <c:formatCode>0%</c:formatCode>
                <c:ptCount val="1"/>
                <c:pt idx="0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E-4B45-8F8F-C5BB0D70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83359"/>
        <c:axId val="263884607"/>
      </c:barChart>
      <c:catAx>
        <c:axId val="26388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84607"/>
        <c:crosses val="autoZero"/>
        <c:auto val="1"/>
        <c:lblAlgn val="ctr"/>
        <c:lblOffset val="100"/>
        <c:noMultiLvlLbl val="0"/>
      </c:catAx>
      <c:valAx>
        <c:axId val="26388460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638833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PROJETOS!$F$9</c:f>
              <c:strCache>
                <c:ptCount val="1"/>
                <c:pt idx="0">
                  <c:v>%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PROJETOS!$I$6</c:f>
              <c:strCache>
                <c:ptCount val="1"/>
                <c:pt idx="0">
                  <c:v>MÉDIO</c:v>
                </c:pt>
              </c:strCache>
            </c:strRef>
          </c:cat>
          <c:val>
            <c:numRef>
              <c:f>PROJETOS!$J$9</c:f>
              <c:numCache>
                <c:formatCode>0%</c:formatCode>
                <c:ptCount val="1"/>
                <c:pt idx="0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8-4F46-B93C-5BE4839A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83359"/>
        <c:axId val="263884607"/>
      </c:barChart>
      <c:catAx>
        <c:axId val="26388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84607"/>
        <c:crosses val="autoZero"/>
        <c:auto val="1"/>
        <c:lblAlgn val="ctr"/>
        <c:lblOffset val="100"/>
        <c:noMultiLvlLbl val="0"/>
      </c:catAx>
      <c:valAx>
        <c:axId val="26388460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638833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C6-4CA4-AF8D-FE9DF0DA4AE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C6-4CA4-AF8D-FE9DF0DA4A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9419694760377177"/>
                      <c:h val="0.49255813953488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AC6-4CA4-AF8D-FE9DF0DA4A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69604710650427037"/>
                      <c:h val="0.328373333333333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AC6-4CA4-AF8D-FE9DF0DA4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'BASE PAINEL'!$B$53:$B$54</c:f>
              <c:strCache>
                <c:ptCount val="2"/>
                <c:pt idx="0">
                  <c:v>FINANC.</c:v>
                </c:pt>
                <c:pt idx="1">
                  <c:v>IMOB.</c:v>
                </c:pt>
              </c:strCache>
            </c:strRef>
          </c:cat>
          <c:val>
            <c:numRef>
              <c:f>'BASE PAINEL'!$C$53:$C$54</c:f>
              <c:numCache>
                <c:formatCode>_("R$"* #,##0.00_);_("R$"* \(#,##0.00\);_("R$"* "-"??_);_(@_)</c:formatCode>
                <c:ptCount val="2"/>
                <c:pt idx="0">
                  <c:v>380000</c:v>
                </c:pt>
                <c:pt idx="1">
                  <c:v>629220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6-4CA4-AF8D-FE9DF0DA4A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8-43F7-94A2-73333F0077A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8-43F7-94A2-73333F0077A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2222189879365768"/>
                      <c:h val="0.36373666666666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568-43F7-94A2-73333F0077A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0987639946384785"/>
                      <c:h val="0.332724444444444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568-43F7-94A2-73333F007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'BASE PAINEL'!$B$55:$B$56</c:f>
              <c:strCache>
                <c:ptCount val="2"/>
                <c:pt idx="0">
                  <c:v>FINANC.</c:v>
                </c:pt>
                <c:pt idx="1">
                  <c:v>IMOB.</c:v>
                </c:pt>
              </c:strCache>
            </c:strRef>
          </c:cat>
          <c:val>
            <c:numRef>
              <c:f>'BASE PAINEL'!$C$55:$C$56</c:f>
              <c:numCache>
                <c:formatCode>_("R$"* #,##0.00_);_("R$"* \(#,##0.00\);_("R$"* "-"??_);_(@_)</c:formatCode>
                <c:ptCount val="2"/>
                <c:pt idx="0">
                  <c:v>9180</c:v>
                </c:pt>
                <c:pt idx="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8-43F7-94A2-73333F0077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100000">
                    <a:schemeClr val="accent4">
                      <a:lumMod val="5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AE-42E4-9587-626AE5A7D1E5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5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E-42E4-9587-626AE5A7D1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5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AE-42E4-9587-626AE5A7D1E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74756226138323"/>
                      <c:h val="0.23014655275836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4AE-42E4-9587-626AE5A7D1E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9098576976222"/>
                      <c:h val="0.23014655275836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4AE-42E4-9587-626AE5A7D1E5}"/>
                </c:ext>
              </c:extLst>
            </c:dLbl>
            <c:dLbl>
              <c:idx val="2"/>
              <c:numFmt formatCode="#,##0,\ &quot; mil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accent5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43076429408722"/>
                      <c:h val="0.23014655275836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4AE-42E4-9587-626AE5A7D1E5}"/>
                </c:ext>
              </c:extLst>
            </c:dLbl>
            <c:numFmt formatCode="#,##0,\ &quot; mi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PAINEL'!$B$58:$B$60</c:f>
              <c:strCache>
                <c:ptCount val="3"/>
                <c:pt idx="0">
                  <c:v>ATIVOS</c:v>
                </c:pt>
                <c:pt idx="1">
                  <c:v>PASSIVOS</c:v>
                </c:pt>
                <c:pt idx="2">
                  <c:v>PATRIMÔNIO LÍQUIDO</c:v>
                </c:pt>
              </c:strCache>
            </c:strRef>
          </c:cat>
          <c:val>
            <c:numRef>
              <c:f>'BASE PAINEL'!$C$58:$C$60</c:f>
              <c:numCache>
                <c:formatCode>_("R$"* #,##0.00_);_("R$"* \(#,##0.00\);_("R$"* "-"??_);_(@_)</c:formatCode>
                <c:ptCount val="3"/>
                <c:pt idx="0">
                  <c:v>1009220</c:v>
                </c:pt>
                <c:pt idx="1">
                  <c:v>259180</c:v>
                </c:pt>
                <c:pt idx="2">
                  <c:v>750040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E-42E4-9587-626AE5A7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50"/>
        <c:axId val="530994735"/>
        <c:axId val="530988495"/>
      </c:barChart>
      <c:catAx>
        <c:axId val="5309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988495"/>
        <c:crosses val="autoZero"/>
        <c:auto val="1"/>
        <c:lblAlgn val="ctr"/>
        <c:lblOffset val="100"/>
        <c:noMultiLvlLbl val="0"/>
      </c:catAx>
      <c:valAx>
        <c:axId val="53098849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09947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47228462911315E-2"/>
          <c:y val="0.25208325062885478"/>
          <c:w val="0.62982427215668335"/>
          <c:h val="0.747916749371145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C8-47DA-A3DD-765AF17C5102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C8-47DA-A3DD-765AF17C5102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'BASE PAINEL'!$A$44:$A$45</c:f>
              <c:strCache>
                <c:ptCount val="2"/>
                <c:pt idx="0">
                  <c:v>Fixa</c:v>
                </c:pt>
                <c:pt idx="1">
                  <c:v>Var</c:v>
                </c:pt>
              </c:strCache>
            </c:strRef>
          </c:cat>
          <c:val>
            <c:numRef>
              <c:f>'BASE PAINEL'!$B$44:$B$45</c:f>
              <c:numCache>
                <c:formatCode>0%</c:formatCode>
                <c:ptCount val="2"/>
                <c:pt idx="0">
                  <c:v>0.73421052631578942</c:v>
                </c:pt>
                <c:pt idx="1">
                  <c:v>0.26578947368421052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8-47DA-A3DD-765AF17C51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4"/>
          <c:spPr>
            <a:solidFill>
              <a:schemeClr val="bg1">
                <a:alpha val="20000"/>
              </a:schemeClr>
            </a:solidFill>
          </c:spPr>
          <c:cat>
            <c:strRef>
              <c:f>'BASE PAINEL'!$B$29:$M$29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PAINEL'!$B$32:$M$32</c:f>
              <c:numCache>
                <c:formatCode>#,##0</c:formatCode>
                <c:ptCount val="12"/>
                <c:pt idx="0">
                  <c:v>561</c:v>
                </c:pt>
                <c:pt idx="1">
                  <c:v>-446</c:v>
                </c:pt>
                <c:pt idx="2">
                  <c:v>1793</c:v>
                </c:pt>
                <c:pt idx="3">
                  <c:v>1296</c:v>
                </c:pt>
                <c:pt idx="4">
                  <c:v>-1630</c:v>
                </c:pt>
                <c:pt idx="5">
                  <c:v>-384</c:v>
                </c:pt>
                <c:pt idx="6">
                  <c:v>1479</c:v>
                </c:pt>
                <c:pt idx="7">
                  <c:v>153</c:v>
                </c:pt>
                <c:pt idx="8">
                  <c:v>-1140</c:v>
                </c:pt>
                <c:pt idx="9">
                  <c:v>2151</c:v>
                </c:pt>
                <c:pt idx="10">
                  <c:v>902</c:v>
                </c:pt>
                <c:pt idx="11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F-4A79-B81E-90E28992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1600"/>
        <c:axId val="139987440"/>
      </c:areaChart>
      <c:lineChart>
        <c:grouping val="standard"/>
        <c:varyColors val="0"/>
        <c:ser>
          <c:idx val="5"/>
          <c:order val="0"/>
          <c:tx>
            <c:strRef>
              <c:f>'BASE PAINEL'!$A$32</c:f>
              <c:strCache>
                <c:ptCount val="1"/>
                <c:pt idx="0">
                  <c:v>SALDO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'BASE PAINEL'!$B$29:$M$29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PAINEL'!$B$32:$M$32</c:f>
              <c:numCache>
                <c:formatCode>#,##0</c:formatCode>
                <c:ptCount val="12"/>
                <c:pt idx="0">
                  <c:v>561</c:v>
                </c:pt>
                <c:pt idx="1">
                  <c:v>-446</c:v>
                </c:pt>
                <c:pt idx="2">
                  <c:v>1793</c:v>
                </c:pt>
                <c:pt idx="3">
                  <c:v>1296</c:v>
                </c:pt>
                <c:pt idx="4">
                  <c:v>-1630</c:v>
                </c:pt>
                <c:pt idx="5">
                  <c:v>-384</c:v>
                </c:pt>
                <c:pt idx="6">
                  <c:v>1479</c:v>
                </c:pt>
                <c:pt idx="7">
                  <c:v>153</c:v>
                </c:pt>
                <c:pt idx="8">
                  <c:v>-1140</c:v>
                </c:pt>
                <c:pt idx="9">
                  <c:v>2151</c:v>
                </c:pt>
                <c:pt idx="10">
                  <c:v>902</c:v>
                </c:pt>
                <c:pt idx="11">
                  <c:v>887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A2-4462-98C1-D7FDDEFC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1600"/>
        <c:axId val="139987440"/>
      </c:lineChart>
      <c:scatterChart>
        <c:scatterStyle val="lineMarker"/>
        <c:varyColors val="0"/>
        <c:ser>
          <c:idx val="2"/>
          <c:order val="3"/>
          <c:tx>
            <c:v>ATUAL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5"/>
                </a:solidFill>
              </a:ln>
            </c:spPr>
          </c:marker>
          <c:yVal>
            <c:numRef>
              <c:f>'BASE PAINEL'!$B$35:$M$35</c:f>
              <c:numCache>
                <c:formatCode>#,##0</c:formatCode>
                <c:ptCount val="12"/>
                <c:pt idx="0">
                  <c:v>561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B3-4003-936B-30AEDF7B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1600"/>
        <c:axId val="139987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NEGATIVO</c:v>
                </c:tx>
                <c:spPr>
                  <a:ln w="19050">
                    <a:noFill/>
                  </a:ln>
                </c:spPr>
                <c:yVal>
                  <c:numRef>
                    <c:extLst>
                      <c:ext uri="{02D57815-91ED-43cb-92C2-25804820EDAC}">
                        <c15:formulaRef>
                          <c15:sqref>'BASE PAINEL'!$B$34:$M$34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#N/A</c:v>
                      </c:pt>
                      <c:pt idx="1">
                        <c:v>-446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-1630</c:v>
                      </c:pt>
                      <c:pt idx="5">
                        <c:v>-384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-1140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1B3-4003-936B-30AEDF7B21BB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POSITIVO</c:v>
                </c:tx>
                <c:spPr>
                  <a:ln w="19050">
                    <a:noFill/>
                  </a:ln>
                </c:spP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PAINEL'!$B$33:$M$33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561</c:v>
                      </c:pt>
                      <c:pt idx="1">
                        <c:v>#N/A</c:v>
                      </c:pt>
                      <c:pt idx="2">
                        <c:v>1793</c:v>
                      </c:pt>
                      <c:pt idx="3">
                        <c:v>1296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1479</c:v>
                      </c:pt>
                      <c:pt idx="7">
                        <c:v>153</c:v>
                      </c:pt>
                      <c:pt idx="8">
                        <c:v>#N/A</c:v>
                      </c:pt>
                      <c:pt idx="9">
                        <c:v>2151</c:v>
                      </c:pt>
                      <c:pt idx="10">
                        <c:v>902</c:v>
                      </c:pt>
                      <c:pt idx="11">
                        <c:v>887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B3-4003-936B-30AEDF7B21BB}"/>
                  </c:ext>
                </c:extLst>
              </c15:ser>
            </c15:filteredScatterSeries>
          </c:ext>
        </c:extLst>
      </c:scatterChart>
      <c:catAx>
        <c:axId val="1399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87440"/>
        <c:crosses val="autoZero"/>
        <c:auto val="1"/>
        <c:lblAlgn val="ctr"/>
        <c:lblOffset val="100"/>
        <c:noMultiLvlLbl val="0"/>
      </c:catAx>
      <c:valAx>
        <c:axId val="13998744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39991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PAINEL'!$A$13</c:f>
          <c:strCache>
            <c:ptCount val="1"/>
            <c:pt idx="0">
              <c:v>Dependentes</c:v>
            </c:pt>
          </c:strCache>
        </c:strRef>
      </c:tx>
      <c:layout>
        <c:manualLayout>
          <c:xMode val="edge"/>
          <c:yMode val="edge"/>
          <c:x val="0.17978534841138022"/>
          <c:y val="0.1232214152998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PAINEL'!$A$13</c:f>
              <c:strCache>
                <c:ptCount val="1"/>
                <c:pt idx="0">
                  <c:v>Dependentes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75000">
                    <a:srgbClr val="56E391"/>
                  </a:gs>
                  <a:gs pos="100000">
                    <a:srgbClr val="56E391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F8-4617-87F1-8A3E9FEE0CFB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F8-4617-87F1-8A3E9FEE0CFB}"/>
              </c:ext>
            </c:extLst>
          </c:dPt>
          <c:dLbls>
            <c:delete val="1"/>
          </c:dLbls>
          <c:val>
            <c:numRef>
              <c:f>'BASE PAINEL'!$E$13:$F$13</c:f>
              <c:numCache>
                <c:formatCode>0%</c:formatCode>
                <c:ptCount val="2"/>
                <c:pt idx="0">
                  <c:v>0.5642105263157895</c:v>
                </c:pt>
                <c:pt idx="1">
                  <c:v>0.4357894736842105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8-4617-87F1-8A3E9FEE0C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PAINEL'!$A$12</c:f>
          <c:strCache>
            <c:ptCount val="1"/>
            <c:pt idx="0">
              <c:v>Empresa</c:v>
            </c:pt>
          </c:strCache>
        </c:strRef>
      </c:tx>
      <c:layout>
        <c:manualLayout>
          <c:xMode val="edge"/>
          <c:yMode val="edge"/>
          <c:x val="0.2783673611111111"/>
          <c:y val="0.10561835597128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PAINEL'!$A$12</c:f>
              <c:strCache>
                <c:ptCount val="1"/>
                <c:pt idx="0">
                  <c:v>Empresa</c:v>
                </c:pt>
              </c:strCache>
            </c:strRef>
          </c:tx>
          <c:spPr>
            <a:gradFill>
              <a:gsLst>
                <a:gs pos="75000">
                  <a:srgbClr val="56E391"/>
                </a:gs>
                <a:gs pos="100000">
                  <a:srgbClr val="56E391">
                    <a:lumMod val="50000"/>
                  </a:srgbClr>
                </a:gs>
              </a:gsLst>
              <a:path path="shape">
                <a:fillToRect l="50000" t="50000" r="50000" b="50000"/>
              </a:path>
            </a:gradFill>
            <a:ln>
              <a:noFill/>
            </a:ln>
          </c:spPr>
          <c:dPt>
            <c:idx val="0"/>
            <c:bubble3D val="0"/>
            <c:spPr>
              <a:gradFill>
                <a:gsLst>
                  <a:gs pos="75000">
                    <a:srgbClr val="56E391"/>
                  </a:gs>
                  <a:gs pos="100000">
                    <a:srgbClr val="56E391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10-4DA6-9102-5EDB62C81053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10-4DA6-9102-5EDB62C81053}"/>
              </c:ext>
            </c:extLst>
          </c:dPt>
          <c:dLbls>
            <c:delete val="1"/>
          </c:dLbls>
          <c:val>
            <c:numRef>
              <c:f>'BASE PAINEL'!$E$12:$F$12</c:f>
              <c:numCache>
                <c:formatCode>0%</c:formatCode>
                <c:ptCount val="2"/>
                <c:pt idx="0">
                  <c:v>0.52823529411764703</c:v>
                </c:pt>
                <c:pt idx="1">
                  <c:v>0.47176470588235297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0-4DA6-9102-5EDB62C810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PAINEL'!$A$11</c:f>
          <c:strCache>
            <c:ptCount val="1"/>
            <c:pt idx="0">
              <c:v>Serv.Financeiros</c:v>
            </c:pt>
          </c:strCache>
        </c:strRef>
      </c:tx>
      <c:layout>
        <c:manualLayout>
          <c:xMode val="edge"/>
          <c:yMode val="edge"/>
          <c:x val="0.19348672944167114"/>
          <c:y val="0.11441988563555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PAINEL'!$A$11</c:f>
              <c:strCache>
                <c:ptCount val="1"/>
                <c:pt idx="0">
                  <c:v>Serv.Financeiros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75000">
                    <a:srgbClr val="56E391"/>
                  </a:gs>
                  <a:gs pos="100000">
                    <a:srgbClr val="56E391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C9-42BF-B2E4-D74FE51571F8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C9-42BF-B2E4-D74FE51571F8}"/>
              </c:ext>
            </c:extLst>
          </c:dPt>
          <c:dLbls>
            <c:delete val="1"/>
          </c:dLbls>
          <c:val>
            <c:numRef>
              <c:f>'BASE PAINEL'!$E$11:$F$11</c:f>
              <c:numCache>
                <c:formatCode>0%</c:formatCode>
                <c:ptCount val="2"/>
                <c:pt idx="0">
                  <c:v>0.76500000000000001</c:v>
                </c:pt>
                <c:pt idx="1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9-42BF-B2E4-D74FE51571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PAINEL'!$A$9</c:f>
          <c:strCache>
            <c:ptCount val="1"/>
            <c:pt idx="0">
              <c:v>Educação</c:v>
            </c:pt>
          </c:strCache>
        </c:strRef>
      </c:tx>
      <c:layout>
        <c:manualLayout>
          <c:xMode val="edge"/>
          <c:yMode val="edge"/>
          <c:x val="0.24367738669500424"/>
          <c:y val="0.1058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PAINEL'!$A$9</c:f>
              <c:strCache>
                <c:ptCount val="1"/>
                <c:pt idx="0">
                  <c:v>Educação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75000">
                    <a:srgbClr val="3690FF"/>
                  </a:gs>
                  <a:gs pos="100000">
                    <a:srgbClr val="3690FF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C2-415F-85A4-74F1CCDDDE71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C2-415F-85A4-74F1CCDDDE71}"/>
              </c:ext>
            </c:extLst>
          </c:dPt>
          <c:dLbls>
            <c:delete val="1"/>
          </c:dLbls>
          <c:val>
            <c:numRef>
              <c:f>'BASE PAINEL'!$E$9:$F$9</c:f>
              <c:numCache>
                <c:formatCode>0%</c:formatCode>
                <c:ptCount val="2"/>
                <c:pt idx="0">
                  <c:v>0.69</c:v>
                </c:pt>
                <c:pt idx="1">
                  <c:v>0.31000000000000005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2-415F-85A4-74F1CCDDDE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PAINEL'!$A$8</c:f>
          <c:strCache>
            <c:ptCount val="1"/>
            <c:pt idx="0">
              <c:v>Pessoais</c:v>
            </c:pt>
          </c:strCache>
        </c:strRef>
      </c:tx>
      <c:layout>
        <c:manualLayout>
          <c:xMode val="edge"/>
          <c:yMode val="edge"/>
          <c:x val="0.28013125"/>
          <c:y val="0.114652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PAINEL'!$A$8</c:f>
              <c:strCache>
                <c:ptCount val="1"/>
                <c:pt idx="0">
                  <c:v>Pessoais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75000">
                    <a:srgbClr val="3690FF"/>
                  </a:gs>
                  <a:gs pos="100000">
                    <a:srgbClr val="3690FF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6-48D1-993A-90ACEC06189C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96-48D1-993A-90ACEC06189C}"/>
              </c:ext>
            </c:extLst>
          </c:dPt>
          <c:dLbls>
            <c:delete val="1"/>
          </c:dLbls>
          <c:val>
            <c:numRef>
              <c:f>'BASE PAINEL'!$E$8:$F$8</c:f>
              <c:numCache>
                <c:formatCode>0%</c:formatCode>
                <c:ptCount val="2"/>
                <c:pt idx="0">
                  <c:v>0.62387096774193551</c:v>
                </c:pt>
                <c:pt idx="1">
                  <c:v>0.37612903225806449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6-48D1-993A-90ACEC061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PAINEL'!$A$10</c:f>
          <c:strCache>
            <c:ptCount val="1"/>
            <c:pt idx="0">
              <c:v>Lazer</c:v>
            </c:pt>
          </c:strCache>
        </c:strRef>
      </c:tx>
      <c:layout>
        <c:manualLayout>
          <c:xMode val="edge"/>
          <c:yMode val="edge"/>
          <c:x val="0.35771428013602585"/>
          <c:y val="0.12347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PAINEL'!$A$10</c:f>
              <c:strCache>
                <c:ptCount val="1"/>
                <c:pt idx="0">
                  <c:v>Lazer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75000">
                    <a:srgbClr val="3690FF"/>
                  </a:gs>
                  <a:gs pos="100000">
                    <a:srgbClr val="3690FF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53-490C-A475-0D36FDD478E3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53-490C-A475-0D36FDD478E3}"/>
              </c:ext>
            </c:extLst>
          </c:dPt>
          <c:dLbls>
            <c:delete val="1"/>
          </c:dLbls>
          <c:val>
            <c:numRef>
              <c:f>'BASE PAINEL'!$E$10:$F$10</c:f>
              <c:numCache>
                <c:formatCode>0%</c:formatCode>
                <c:ptCount val="2"/>
                <c:pt idx="0">
                  <c:v>0.52900000000000003</c:v>
                </c:pt>
                <c:pt idx="1">
                  <c:v>0.47099999999999997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53-490C-A475-0D36FDD47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'BASE PAINEL'!$A$7</c:f>
          <c:strCache>
            <c:ptCount val="1"/>
            <c:pt idx="0">
              <c:v>Saúde</c:v>
            </c:pt>
          </c:strCache>
        </c:strRef>
      </c:tx>
      <c:layout>
        <c:manualLayout>
          <c:xMode val="edge"/>
          <c:yMode val="edge"/>
          <c:x val="0.33565361060230875"/>
          <c:y val="0.114652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PAINEL'!$A$7</c:f>
              <c:strCache>
                <c:ptCount val="1"/>
                <c:pt idx="0">
                  <c:v>Saúde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75000">
                    <a:srgbClr val="3690FF"/>
                  </a:gs>
                  <a:gs pos="100000">
                    <a:srgbClr val="3690FF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9-49BE-8EF8-30A152898A69}"/>
              </c:ext>
            </c:extLst>
          </c:dPt>
          <c:dPt>
            <c:idx val="1"/>
            <c:bubble3D val="0"/>
            <c:spPr>
              <a:solidFill>
                <a:srgbClr val="40405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9-49BE-8EF8-30A152898A69}"/>
              </c:ext>
            </c:extLst>
          </c:dPt>
          <c:dLbls>
            <c:delete val="1"/>
          </c:dLbls>
          <c:val>
            <c:numRef>
              <c:f>'BASE PAINEL'!$E$7:$F$7</c:f>
              <c:numCache>
                <c:formatCode>0%</c:formatCode>
                <c:ptCount val="2"/>
                <c:pt idx="0">
                  <c:v>1.1085714285714285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99-49BE-8EF8-30A152898A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3" Type="http://schemas.openxmlformats.org/officeDocument/2006/relationships/image" Target="../media/image2.png"/><Relationship Id="rId21" Type="http://schemas.openxmlformats.org/officeDocument/2006/relationships/image" Target="../media/image14.png"/><Relationship Id="rId7" Type="http://schemas.openxmlformats.org/officeDocument/2006/relationships/hyperlink" Target="#LAN&#199;AMENTO!A1"/><Relationship Id="rId12" Type="http://schemas.openxmlformats.org/officeDocument/2006/relationships/image" Target="../media/image7.png"/><Relationship Id="rId17" Type="http://schemas.openxmlformats.org/officeDocument/2006/relationships/hyperlink" Target="#PROJETOS!A1"/><Relationship Id="rId2" Type="http://schemas.openxmlformats.org/officeDocument/2006/relationships/hyperlink" Target="#PAINEL!A1"/><Relationship Id="rId16" Type="http://schemas.openxmlformats.org/officeDocument/2006/relationships/image" Target="../media/image10.png"/><Relationship Id="rId20" Type="http://schemas.openxmlformats.org/officeDocument/2006/relationships/image" Target="../media/image13.png"/><Relationship Id="rId1" Type="http://schemas.openxmlformats.org/officeDocument/2006/relationships/image" Target="../media/image1.jpg"/><Relationship Id="rId6" Type="http://schemas.microsoft.com/office/2007/relationships/hdphoto" Target="../media/hdphoto1.wdp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hyperlink" Target="#PATRIM&#212;NIO!A1"/><Relationship Id="rId10" Type="http://schemas.openxmlformats.org/officeDocument/2006/relationships/image" Target="../media/image5.png"/><Relationship Id="rId19" Type="http://schemas.openxmlformats.org/officeDocument/2006/relationships/image" Target="../media/image12.png"/><Relationship Id="rId4" Type="http://schemas.openxmlformats.org/officeDocument/2006/relationships/hyperlink" Target="#OR&#199;AMENTO!A1"/><Relationship Id="rId9" Type="http://schemas.microsoft.com/office/2007/relationships/hdphoto" Target="../media/hdphoto2.wdp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1.xml"/><Relationship Id="rId18" Type="http://schemas.openxmlformats.org/officeDocument/2006/relationships/image" Target="../media/image20.png"/><Relationship Id="rId26" Type="http://schemas.openxmlformats.org/officeDocument/2006/relationships/image" Target="../media/image27.png"/><Relationship Id="rId39" Type="http://schemas.openxmlformats.org/officeDocument/2006/relationships/chart" Target="../charts/chart24.xml"/><Relationship Id="rId21" Type="http://schemas.openxmlformats.org/officeDocument/2006/relationships/image" Target="../media/image22.png"/><Relationship Id="rId34" Type="http://schemas.openxmlformats.org/officeDocument/2006/relationships/chart" Target="../charts/chart19.xml"/><Relationship Id="rId42" Type="http://schemas.openxmlformats.org/officeDocument/2006/relationships/image" Target="../media/image37.png"/><Relationship Id="rId47" Type="http://schemas.openxmlformats.org/officeDocument/2006/relationships/hyperlink" Target="#PROJETOS!A1"/><Relationship Id="rId7" Type="http://schemas.openxmlformats.org/officeDocument/2006/relationships/chart" Target="../charts/chart5.xml"/><Relationship Id="rId2" Type="http://schemas.openxmlformats.org/officeDocument/2006/relationships/image" Target="../media/image17.png"/><Relationship Id="rId16" Type="http://schemas.openxmlformats.org/officeDocument/2006/relationships/image" Target="../media/image18.png"/><Relationship Id="rId29" Type="http://schemas.openxmlformats.org/officeDocument/2006/relationships/image" Target="../media/image29.png"/><Relationship Id="rId1" Type="http://schemas.openxmlformats.org/officeDocument/2006/relationships/image" Target="../media/image16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24" Type="http://schemas.openxmlformats.org/officeDocument/2006/relationships/image" Target="../media/image25.png"/><Relationship Id="rId32" Type="http://schemas.openxmlformats.org/officeDocument/2006/relationships/chart" Target="../charts/chart17.xml"/><Relationship Id="rId37" Type="http://schemas.openxmlformats.org/officeDocument/2006/relationships/chart" Target="../charts/chart22.xml"/><Relationship Id="rId40" Type="http://schemas.openxmlformats.org/officeDocument/2006/relationships/chart" Target="../charts/chart25.xml"/><Relationship Id="rId45" Type="http://schemas.openxmlformats.org/officeDocument/2006/relationships/hyperlink" Target="#LAN&#199;AMENTO!A1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23" Type="http://schemas.openxmlformats.org/officeDocument/2006/relationships/image" Target="../media/image24.png"/><Relationship Id="rId28" Type="http://schemas.openxmlformats.org/officeDocument/2006/relationships/chart" Target="../charts/chart14.xml"/><Relationship Id="rId36" Type="http://schemas.openxmlformats.org/officeDocument/2006/relationships/chart" Target="../charts/chart21.xml"/><Relationship Id="rId10" Type="http://schemas.openxmlformats.org/officeDocument/2006/relationships/chart" Target="../charts/chart8.xml"/><Relationship Id="rId19" Type="http://schemas.openxmlformats.org/officeDocument/2006/relationships/image" Target="../media/image21.png"/><Relationship Id="rId31" Type="http://schemas.openxmlformats.org/officeDocument/2006/relationships/chart" Target="../charts/chart16.xml"/><Relationship Id="rId44" Type="http://schemas.openxmlformats.org/officeDocument/2006/relationships/hyperlink" Target="#OR&#199;AMENTO!A1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chart" Target="../charts/chart15.xml"/><Relationship Id="rId35" Type="http://schemas.openxmlformats.org/officeDocument/2006/relationships/chart" Target="../charts/chart20.xml"/><Relationship Id="rId43" Type="http://schemas.openxmlformats.org/officeDocument/2006/relationships/hyperlink" Target="#MENU!A1"/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12" Type="http://schemas.openxmlformats.org/officeDocument/2006/relationships/chart" Target="../charts/chart10.xml"/><Relationship Id="rId17" Type="http://schemas.openxmlformats.org/officeDocument/2006/relationships/image" Target="../media/image19.png"/><Relationship Id="rId25" Type="http://schemas.openxmlformats.org/officeDocument/2006/relationships/image" Target="../media/image26.png"/><Relationship Id="rId33" Type="http://schemas.openxmlformats.org/officeDocument/2006/relationships/chart" Target="../charts/chart18.xml"/><Relationship Id="rId38" Type="http://schemas.openxmlformats.org/officeDocument/2006/relationships/chart" Target="../charts/chart23.xml"/><Relationship Id="rId46" Type="http://schemas.openxmlformats.org/officeDocument/2006/relationships/hyperlink" Target="#PATRIM&#212;NIO!A1"/><Relationship Id="rId20" Type="http://schemas.microsoft.com/office/2007/relationships/hdphoto" Target="../media/hdphoto3.wdp"/><Relationship Id="rId4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PROJETOS!A1"/><Relationship Id="rId2" Type="http://schemas.openxmlformats.org/officeDocument/2006/relationships/hyperlink" Target="#LAN&#199;AMENTO!A1"/><Relationship Id="rId1" Type="http://schemas.openxmlformats.org/officeDocument/2006/relationships/hyperlink" Target="#MENU!A1"/><Relationship Id="rId5" Type="http://schemas.openxmlformats.org/officeDocument/2006/relationships/hyperlink" Target="#PAINEL!A1"/><Relationship Id="rId4" Type="http://schemas.openxmlformats.org/officeDocument/2006/relationships/hyperlink" Target="#PATRIM&#212;NIO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PROJETOS!A1"/><Relationship Id="rId2" Type="http://schemas.openxmlformats.org/officeDocument/2006/relationships/hyperlink" Target="#OR&#199;AMENTO!A1"/><Relationship Id="rId1" Type="http://schemas.openxmlformats.org/officeDocument/2006/relationships/hyperlink" Target="#MENU!A1"/><Relationship Id="rId5" Type="http://schemas.openxmlformats.org/officeDocument/2006/relationships/hyperlink" Target="#PAINEL!A1"/><Relationship Id="rId4" Type="http://schemas.openxmlformats.org/officeDocument/2006/relationships/hyperlink" Target="#PATRIM&#212;NIO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PROJETOS!A1"/><Relationship Id="rId2" Type="http://schemas.openxmlformats.org/officeDocument/2006/relationships/hyperlink" Target="#OR&#199;AMENTO!A1"/><Relationship Id="rId1" Type="http://schemas.openxmlformats.org/officeDocument/2006/relationships/hyperlink" Target="#MENU!A1"/><Relationship Id="rId5" Type="http://schemas.openxmlformats.org/officeDocument/2006/relationships/hyperlink" Target="#PAINEL!A1"/><Relationship Id="rId4" Type="http://schemas.openxmlformats.org/officeDocument/2006/relationships/hyperlink" Target="#LAN&#199;AMENTO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PATRIM&#212;NIO!A1"/><Relationship Id="rId2" Type="http://schemas.openxmlformats.org/officeDocument/2006/relationships/hyperlink" Target="#OR&#199;AMENTO!A1"/><Relationship Id="rId1" Type="http://schemas.openxmlformats.org/officeDocument/2006/relationships/hyperlink" Target="#MENU!A1"/><Relationship Id="rId5" Type="http://schemas.openxmlformats.org/officeDocument/2006/relationships/hyperlink" Target="#PAINEL!A1"/><Relationship Id="rId4" Type="http://schemas.openxmlformats.org/officeDocument/2006/relationships/hyperlink" Target="#LAN&#199;AMENTO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11907</xdr:rowOff>
    </xdr:from>
    <xdr:to>
      <xdr:col>26</xdr:col>
      <xdr:colOff>357186</xdr:colOff>
      <xdr:row>47</xdr:row>
      <xdr:rowOff>93141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0" y="11907"/>
          <a:ext cx="16144874" cy="9034734"/>
        </a:xfrm>
        <a:prstGeom prst="rect">
          <a:avLst/>
        </a:prstGeom>
      </xdr:spPr>
    </xdr:pic>
    <xdr:clientData/>
  </xdr:twoCellAnchor>
  <xdr:twoCellAnchor>
    <xdr:from>
      <xdr:col>68</xdr:col>
      <xdr:colOff>476628</xdr:colOff>
      <xdr:row>8</xdr:row>
      <xdr:rowOff>16015</xdr:rowOff>
    </xdr:from>
    <xdr:to>
      <xdr:col>77</xdr:col>
      <xdr:colOff>199465</xdr:colOff>
      <xdr:row>12</xdr:row>
      <xdr:rowOff>158022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1929428" y="1540015"/>
          <a:ext cx="5209237" cy="904007"/>
        </a:xfrm>
        <a:prstGeom prst="roundRect">
          <a:avLst>
            <a:gd name="adj" fmla="val 15413"/>
          </a:avLst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pt-BR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71</xdr:col>
      <xdr:colOff>84709</xdr:colOff>
      <xdr:row>9</xdr:row>
      <xdr:rowOff>87626</xdr:rowOff>
    </xdr:from>
    <xdr:to>
      <xdr:col>75</xdr:col>
      <xdr:colOff>604548</xdr:colOff>
      <xdr:row>11</xdr:row>
      <xdr:rowOff>170011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43366309" y="1802126"/>
          <a:ext cx="2958239" cy="463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accent2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</a:rPr>
            <a:t>PAINEL DESEMPENHO</a:t>
          </a:r>
        </a:p>
      </xdr:txBody>
    </xdr:sp>
    <xdr:clientData/>
  </xdr:twoCellAnchor>
  <xdr:twoCellAnchor editAs="oneCell">
    <xdr:from>
      <xdr:col>69</xdr:col>
      <xdr:colOff>223902</xdr:colOff>
      <xdr:row>9</xdr:row>
      <xdr:rowOff>55799</xdr:rowOff>
    </xdr:from>
    <xdr:to>
      <xdr:col>70</xdr:col>
      <xdr:colOff>176693</xdr:colOff>
      <xdr:row>11</xdr:row>
      <xdr:rowOff>111578</xdr:rowOff>
    </xdr:to>
    <xdr:pic>
      <xdr:nvPicPr>
        <xdr:cNvPr id="36" name="Imagem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86302" y="1770299"/>
          <a:ext cx="562391" cy="436779"/>
        </a:xfrm>
        <a:prstGeom prst="rect">
          <a:avLst/>
        </a:prstGeom>
      </xdr:spPr>
    </xdr:pic>
    <xdr:clientData/>
  </xdr:twoCellAnchor>
  <xdr:twoCellAnchor>
    <xdr:from>
      <xdr:col>68</xdr:col>
      <xdr:colOff>460327</xdr:colOff>
      <xdr:row>13</xdr:row>
      <xdr:rowOff>116546</xdr:rowOff>
    </xdr:from>
    <xdr:to>
      <xdr:col>72</xdr:col>
      <xdr:colOff>513230</xdr:colOff>
      <xdr:row>18</xdr:row>
      <xdr:rowOff>164603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1913127" y="2593046"/>
          <a:ext cx="2491303" cy="1000557"/>
        </a:xfrm>
        <a:prstGeom prst="roundRect">
          <a:avLst>
            <a:gd name="adj" fmla="val 15413"/>
          </a:avLst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pt-BR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69</xdr:col>
      <xdr:colOff>105566</xdr:colOff>
      <xdr:row>14</xdr:row>
      <xdr:rowOff>86367</xdr:rowOff>
    </xdr:from>
    <xdr:to>
      <xdr:col>69</xdr:col>
      <xdr:colOff>593272</xdr:colOff>
      <xdr:row>17</xdr:row>
      <xdr:rowOff>11714</xdr:rowOff>
    </xdr:to>
    <xdr:pic>
      <xdr:nvPicPr>
        <xdr:cNvPr id="48" name="Imagem 4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67966" y="2753367"/>
          <a:ext cx="487706" cy="496847"/>
        </a:xfrm>
        <a:prstGeom prst="rect">
          <a:avLst/>
        </a:prstGeom>
      </xdr:spPr>
    </xdr:pic>
    <xdr:clientData/>
  </xdr:twoCellAnchor>
  <xdr:twoCellAnchor>
    <xdr:from>
      <xdr:col>73</xdr:col>
      <xdr:colOff>39626</xdr:colOff>
      <xdr:row>13</xdr:row>
      <xdr:rowOff>116546</xdr:rowOff>
    </xdr:from>
    <xdr:to>
      <xdr:col>77</xdr:col>
      <xdr:colOff>188259</xdr:colOff>
      <xdr:row>18</xdr:row>
      <xdr:rowOff>164603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44540426" y="2593046"/>
          <a:ext cx="2587033" cy="1000557"/>
        </a:xfrm>
        <a:prstGeom prst="roundRect">
          <a:avLst>
            <a:gd name="adj" fmla="val 15413"/>
          </a:avLst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pt-BR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73</xdr:col>
      <xdr:colOff>208924</xdr:colOff>
      <xdr:row>14</xdr:row>
      <xdr:rowOff>141863</xdr:rowOff>
    </xdr:from>
    <xdr:to>
      <xdr:col>74</xdr:col>
      <xdr:colOff>127122</xdr:colOff>
      <xdr:row>17</xdr:row>
      <xdr:rowOff>111579</xdr:rowOff>
    </xdr:to>
    <xdr:pic>
      <xdr:nvPicPr>
        <xdr:cNvPr id="45" name="Imagem 4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9724" y="2808863"/>
          <a:ext cx="527798" cy="541216"/>
        </a:xfrm>
        <a:prstGeom prst="rect">
          <a:avLst/>
        </a:prstGeom>
      </xdr:spPr>
    </xdr:pic>
    <xdr:clientData/>
  </xdr:twoCellAnchor>
  <xdr:twoCellAnchor>
    <xdr:from>
      <xdr:col>68</xdr:col>
      <xdr:colOff>460327</xdr:colOff>
      <xdr:row>19</xdr:row>
      <xdr:rowOff>150164</xdr:rowOff>
    </xdr:from>
    <xdr:to>
      <xdr:col>72</xdr:col>
      <xdr:colOff>513230</xdr:colOff>
      <xdr:row>25</xdr:row>
      <xdr:rowOff>7721</xdr:rowOff>
    </xdr:to>
    <xdr:sp macro="" textlink="">
      <xdr:nvSpPr>
        <xdr:cNvPr id="62" name="Retângulo: Cantos Arredondados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41913127" y="3769664"/>
          <a:ext cx="2491303" cy="1000557"/>
        </a:xfrm>
        <a:prstGeom prst="roundRect">
          <a:avLst>
            <a:gd name="adj" fmla="val 15413"/>
          </a:avLst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pt-BR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68</xdr:col>
      <xdr:colOff>560074</xdr:colOff>
      <xdr:row>20</xdr:row>
      <xdr:rowOff>101482</xdr:rowOff>
    </xdr:from>
    <xdr:to>
      <xdr:col>70</xdr:col>
      <xdr:colOff>10886</xdr:colOff>
      <xdr:row>24</xdr:row>
      <xdr:rowOff>1775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12874" y="3911482"/>
          <a:ext cx="670012" cy="662293"/>
        </a:xfrm>
        <a:prstGeom prst="rect">
          <a:avLst/>
        </a:prstGeom>
      </xdr:spPr>
    </xdr:pic>
    <xdr:clientData/>
  </xdr:twoCellAnchor>
  <xdr:twoCellAnchor>
    <xdr:from>
      <xdr:col>73</xdr:col>
      <xdr:colOff>39626</xdr:colOff>
      <xdr:row>19</xdr:row>
      <xdr:rowOff>150164</xdr:rowOff>
    </xdr:from>
    <xdr:to>
      <xdr:col>77</xdr:col>
      <xdr:colOff>188259</xdr:colOff>
      <xdr:row>25</xdr:row>
      <xdr:rowOff>7721</xdr:rowOff>
    </xdr:to>
    <xdr:sp macro="" textlink="">
      <xdr:nvSpPr>
        <xdr:cNvPr id="63" name="Retângulo: Cantos Arredondados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44540426" y="3769664"/>
          <a:ext cx="2587033" cy="1000557"/>
        </a:xfrm>
        <a:prstGeom prst="roundRect">
          <a:avLst>
            <a:gd name="adj" fmla="val 15413"/>
          </a:avLst>
        </a:prstGeom>
        <a:solidFill>
          <a:schemeClr val="bg2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pt-BR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73</xdr:col>
      <xdr:colOff>83020</xdr:colOff>
      <xdr:row>20</xdr:row>
      <xdr:rowOff>59106</xdr:rowOff>
    </xdr:from>
    <xdr:to>
      <xdr:col>74</xdr:col>
      <xdr:colOff>279509</xdr:colOff>
      <xdr:row>23</xdr:row>
      <xdr:rowOff>138792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83820" y="3869106"/>
          <a:ext cx="806089" cy="651186"/>
        </a:xfrm>
        <a:prstGeom prst="rect">
          <a:avLst/>
        </a:prstGeom>
      </xdr:spPr>
    </xdr:pic>
    <xdr:clientData/>
  </xdr:twoCellAnchor>
  <xdr:twoCellAnchor>
    <xdr:from>
      <xdr:col>70</xdr:col>
      <xdr:colOff>187379</xdr:colOff>
      <xdr:row>14</xdr:row>
      <xdr:rowOff>68172</xdr:rowOff>
    </xdr:from>
    <xdr:to>
      <xdr:col>72</xdr:col>
      <xdr:colOff>538700</xdr:colOff>
      <xdr:row>18</xdr:row>
      <xdr:rowOff>22278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42859379" y="2735172"/>
          <a:ext cx="1570521" cy="716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accent2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</a:rPr>
            <a:t>ORÇAMENTO E FLUXO DE CAIXA</a:t>
          </a:r>
        </a:p>
      </xdr:txBody>
    </xdr:sp>
    <xdr:clientData/>
  </xdr:twoCellAnchor>
  <xdr:twoCellAnchor>
    <xdr:from>
      <xdr:col>74</xdr:col>
      <xdr:colOff>372133</xdr:colOff>
      <xdr:row>15</xdr:row>
      <xdr:rowOff>51681</xdr:rowOff>
    </xdr:from>
    <xdr:to>
      <xdr:col>77</xdr:col>
      <xdr:colOff>378466</xdr:colOff>
      <xdr:row>17</xdr:row>
      <xdr:rowOff>134066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5482533" y="2909181"/>
          <a:ext cx="1835133" cy="463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accent2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</a:rPr>
            <a:t>LANÇAMENTOS</a:t>
          </a:r>
        </a:p>
      </xdr:txBody>
    </xdr:sp>
    <xdr:clientData/>
  </xdr:twoCellAnchor>
  <xdr:twoCellAnchor>
    <xdr:from>
      <xdr:col>70</xdr:col>
      <xdr:colOff>571441</xdr:colOff>
      <xdr:row>20</xdr:row>
      <xdr:rowOff>142346</xdr:rowOff>
    </xdr:from>
    <xdr:to>
      <xdr:col>72</xdr:col>
      <xdr:colOff>550340</xdr:colOff>
      <xdr:row>24</xdr:row>
      <xdr:rowOff>58147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43243441" y="3952346"/>
          <a:ext cx="1198099" cy="677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accent2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</a:rPr>
            <a:t>PATRIMÔNIO E DÍVIDAS</a:t>
          </a:r>
        </a:p>
      </xdr:txBody>
    </xdr:sp>
    <xdr:clientData/>
  </xdr:twoCellAnchor>
  <xdr:twoCellAnchor>
    <xdr:from>
      <xdr:col>75</xdr:col>
      <xdr:colOff>61237</xdr:colOff>
      <xdr:row>20</xdr:row>
      <xdr:rowOff>130846</xdr:rowOff>
    </xdr:from>
    <xdr:to>
      <xdr:col>77</xdr:col>
      <xdr:colOff>580464</xdr:colOff>
      <xdr:row>25</xdr:row>
      <xdr:rowOff>28311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45781237" y="3940846"/>
          <a:ext cx="1738427" cy="849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accent2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</a:rPr>
            <a:t>PROJETOS E OBJETIVOS</a:t>
          </a:r>
        </a:p>
      </xdr:txBody>
    </xdr:sp>
    <xdr:clientData/>
  </xdr:twoCellAnchor>
  <xdr:twoCellAnchor>
    <xdr:from>
      <xdr:col>0</xdr:col>
      <xdr:colOff>0</xdr:colOff>
      <xdr:row>0</xdr:row>
      <xdr:rowOff>3164</xdr:rowOff>
    </xdr:from>
    <xdr:to>
      <xdr:col>7</xdr:col>
      <xdr:colOff>522740</xdr:colOff>
      <xdr:row>0</xdr:row>
      <xdr:rowOff>11328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-1153443"/>
          <a:ext cx="4808990" cy="933450"/>
        </a:xfrm>
        <a:prstGeom prst="roundRect">
          <a:avLst>
            <a:gd name="adj" fmla="val 40074"/>
          </a:avLst>
        </a:prstGeom>
        <a:solidFill>
          <a:schemeClr val="bg2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2000" b="1">
              <a:solidFill>
                <a:schemeClr val="accent2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  <a:ea typeface="+mn-ea"/>
              <a:cs typeface="+mn-cs"/>
            </a:rPr>
            <a:t>CONTROLE</a:t>
          </a:r>
          <a:r>
            <a:rPr lang="pt-BR" sz="11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2000" b="1">
              <a:solidFill>
                <a:schemeClr val="accent2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  <a:ea typeface="+mn-ea"/>
              <a:cs typeface="+mn-cs"/>
            </a:rPr>
            <a:t>FINANCEIRO</a:t>
          </a:r>
        </a:p>
        <a:p>
          <a:pPr marL="0" indent="0" algn="l"/>
          <a:r>
            <a:rPr lang="pt-BR" sz="1100">
              <a:solidFill>
                <a:schemeClr val="bg1"/>
              </a:solidFill>
              <a:latin typeface="+mn-lt"/>
              <a:ea typeface="+mn-ea"/>
              <a:cs typeface="+mn-cs"/>
            </a:rPr>
            <a:t>	</a:t>
          </a:r>
          <a:r>
            <a:rPr lang="pt-BR" sz="2000" b="1">
              <a:solidFill>
                <a:schemeClr val="accent2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  <a:ea typeface="+mn-ea"/>
              <a:cs typeface="+mn-cs"/>
            </a:rPr>
            <a:t>SONHE. PLANEJE. ALCANCE</a:t>
          </a:r>
        </a:p>
      </xdr:txBody>
    </xdr:sp>
    <xdr:clientData/>
  </xdr:twoCellAnchor>
  <xdr:twoCellAnchor>
    <xdr:from>
      <xdr:col>0</xdr:col>
      <xdr:colOff>0</xdr:colOff>
      <xdr:row>9</xdr:row>
      <xdr:rowOff>122467</xdr:rowOff>
    </xdr:from>
    <xdr:to>
      <xdr:col>1</xdr:col>
      <xdr:colOff>133344</xdr:colOff>
      <xdr:row>32</xdr:row>
      <xdr:rowOff>0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 rot="5400000">
          <a:off x="-1758045" y="3595012"/>
          <a:ext cx="4259033" cy="742944"/>
        </a:xfrm>
        <a:prstGeom prst="roundRect">
          <a:avLst>
            <a:gd name="adj" fmla="val 40074"/>
          </a:avLst>
        </a:prstGeom>
        <a:solidFill>
          <a:schemeClr val="bg2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pt-BR" sz="2000" b="1">
            <a:solidFill>
              <a:schemeClr val="accent2"/>
            </a:solidFill>
            <a:effectLst>
              <a:innerShdw blurRad="63500" dist="50800" dir="18900000">
                <a:prstClr val="black">
                  <a:alpha val="50000"/>
                </a:prstClr>
              </a:innerShdw>
            </a:effectLst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26578</xdr:colOff>
      <xdr:row>14</xdr:row>
      <xdr:rowOff>31432</xdr:rowOff>
    </xdr:from>
    <xdr:to>
      <xdr:col>1</xdr:col>
      <xdr:colOff>186931</xdr:colOff>
      <xdr:row>17</xdr:row>
      <xdr:rowOff>153601</xdr:rowOff>
    </xdr:to>
    <xdr:grpSp>
      <xdr:nvGrpSpPr>
        <xdr:cNvPr id="51" name="Agrupar 5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/>
      </xdr:nvGrpSpPr>
      <xdr:grpSpPr>
        <a:xfrm>
          <a:off x="26578" y="2698432"/>
          <a:ext cx="767572" cy="693669"/>
          <a:chOff x="0" y="2698432"/>
          <a:chExt cx="774186" cy="693669"/>
        </a:xfrm>
      </xdr:grpSpPr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718" y="2698432"/>
            <a:ext cx="412750" cy="412750"/>
          </a:xfrm>
          <a:prstGeom prst="rect">
            <a:avLst/>
          </a:prstGeom>
        </xdr:spPr>
      </xdr:pic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 txBox="1"/>
        </xdr:nvSpPr>
        <xdr:spPr>
          <a:xfrm>
            <a:off x="0" y="3143250"/>
            <a:ext cx="774186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/>
              <a:t>Orçamento</a:t>
            </a:r>
          </a:p>
        </xdr:txBody>
      </xdr:sp>
    </xdr:grpSp>
    <xdr:clientData/>
  </xdr:twoCellAnchor>
  <xdr:twoCellAnchor>
    <xdr:from>
      <xdr:col>0</xdr:col>
      <xdr:colOff>58648</xdr:colOff>
      <xdr:row>10</xdr:row>
      <xdr:rowOff>116098</xdr:rowOff>
    </xdr:from>
    <xdr:to>
      <xdr:col>1</xdr:col>
      <xdr:colOff>238124</xdr:colOff>
      <xdr:row>13</xdr:row>
      <xdr:rowOff>110306</xdr:rowOff>
    </xdr:to>
    <xdr:grpSp>
      <xdr:nvGrpSpPr>
        <xdr:cNvPr id="22" name="Agrupar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58648" y="2021098"/>
          <a:ext cx="786695" cy="565708"/>
          <a:chOff x="-1" y="2021098"/>
          <a:chExt cx="794092" cy="565708"/>
        </a:xfrm>
      </xdr:grpSpPr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-1" y="2337955"/>
            <a:ext cx="794092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000"/>
              <a:t>DashBoard</a:t>
            </a: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272" y="2021098"/>
            <a:ext cx="317500" cy="3175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18</xdr:row>
      <xdr:rowOff>10263</xdr:rowOff>
    </xdr:from>
    <xdr:to>
      <xdr:col>1</xdr:col>
      <xdr:colOff>213509</xdr:colOff>
      <xdr:row>22</xdr:row>
      <xdr:rowOff>16018</xdr:rowOff>
    </xdr:to>
    <xdr:grpSp>
      <xdr:nvGrpSpPr>
        <xdr:cNvPr id="57" name="Agrupar 5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0" y="3439263"/>
          <a:ext cx="820728" cy="767755"/>
          <a:chOff x="0" y="3439263"/>
          <a:chExt cx="827342" cy="767755"/>
        </a:xfrm>
      </xdr:grpSpPr>
      <xdr:pic>
        <xdr:nvPicPr>
          <xdr:cNvPr id="55" name="Imagem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439263"/>
            <a:ext cx="518584" cy="518584"/>
          </a:xfrm>
          <a:prstGeom prst="rect">
            <a:avLst/>
          </a:prstGeom>
        </xdr:spPr>
      </xdr:pic>
      <xdr:sp macro="" textlink="">
        <xdr:nvSpPr>
          <xdr:cNvPr id="56" name="CaixaDeTexto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 txBox="1"/>
        </xdr:nvSpPr>
        <xdr:spPr>
          <a:xfrm>
            <a:off x="0" y="3958167"/>
            <a:ext cx="827342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/>
              <a:t>Lançamento</a:t>
            </a:r>
          </a:p>
        </xdr:txBody>
      </xdr:sp>
    </xdr:grpSp>
    <xdr:clientData/>
  </xdr:twoCellAnchor>
  <xdr:twoCellAnchor>
    <xdr:from>
      <xdr:col>0</xdr:col>
      <xdr:colOff>31675</xdr:colOff>
      <xdr:row>22</xdr:row>
      <xdr:rowOff>73764</xdr:rowOff>
    </xdr:from>
    <xdr:to>
      <xdr:col>1</xdr:col>
      <xdr:colOff>181834</xdr:colOff>
      <xdr:row>25</xdr:row>
      <xdr:rowOff>185350</xdr:rowOff>
    </xdr:to>
    <xdr:grpSp>
      <xdr:nvGrpSpPr>
        <xdr:cNvPr id="80" name="Agrupar 7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31675" y="4264764"/>
          <a:ext cx="757378" cy="683086"/>
          <a:chOff x="0" y="4264764"/>
          <a:chExt cx="763992" cy="683086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8167" y="4264764"/>
            <a:ext cx="412750" cy="412750"/>
          </a:xfrm>
          <a:prstGeom prst="rect">
            <a:avLst/>
          </a:prstGeom>
        </xdr:spPr>
      </xdr:pic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/>
        </xdr:nvSpPr>
        <xdr:spPr>
          <a:xfrm>
            <a:off x="0" y="4698999"/>
            <a:ext cx="763992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/>
              <a:t>Patrimônio</a:t>
            </a:r>
          </a:p>
        </xdr:txBody>
      </xdr:sp>
    </xdr:grpSp>
    <xdr:clientData/>
  </xdr:twoCellAnchor>
  <xdr:twoCellAnchor>
    <xdr:from>
      <xdr:col>0</xdr:col>
      <xdr:colOff>104420</xdr:colOff>
      <xdr:row>26</xdr:row>
      <xdr:rowOff>148167</xdr:rowOff>
    </xdr:from>
    <xdr:to>
      <xdr:col>1</xdr:col>
      <xdr:colOff>109090</xdr:colOff>
      <xdr:row>30</xdr:row>
      <xdr:rowOff>58351</xdr:rowOff>
    </xdr:to>
    <xdr:grpSp>
      <xdr:nvGrpSpPr>
        <xdr:cNvPr id="86" name="Agrupar 8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104420" y="5101167"/>
          <a:ext cx="611889" cy="672184"/>
          <a:chOff x="74083" y="5101167"/>
          <a:chExt cx="618503" cy="672184"/>
        </a:xfrm>
      </xdr:grpSpPr>
      <xdr:pic>
        <xdr:nvPicPr>
          <xdr:cNvPr id="84" name="Imagem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1083" y="5101167"/>
            <a:ext cx="380681" cy="380681"/>
          </a:xfrm>
          <a:prstGeom prst="rect">
            <a:avLst/>
          </a:prstGeom>
        </xdr:spPr>
      </xdr:pic>
      <xdr:sp macro="" textlink="">
        <xdr:nvSpPr>
          <xdr:cNvPr id="85" name="CaixaDeTexto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 txBox="1"/>
        </xdr:nvSpPr>
        <xdr:spPr>
          <a:xfrm>
            <a:off x="74083" y="5524500"/>
            <a:ext cx="618503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/>
              <a:t>Projetos</a:t>
            </a:r>
          </a:p>
        </xdr:txBody>
      </xdr:sp>
    </xdr:grpSp>
    <xdr:clientData/>
  </xdr:twoCellAnchor>
  <xdr:twoCellAnchor>
    <xdr:from>
      <xdr:col>17</xdr:col>
      <xdr:colOff>146316</xdr:colOff>
      <xdr:row>35</xdr:row>
      <xdr:rowOff>58926</xdr:rowOff>
    </xdr:from>
    <xdr:to>
      <xdr:col>23</xdr:col>
      <xdr:colOff>457655</xdr:colOff>
      <xdr:row>40</xdr:row>
      <xdr:rowOff>718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0469035" y="6726426"/>
          <a:ext cx="3954651" cy="894292"/>
          <a:chOff x="7419976" y="6011333"/>
          <a:chExt cx="3999442" cy="894292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7419976" y="6011333"/>
            <a:ext cx="3999442" cy="894292"/>
          </a:xfrm>
          <a:prstGeom prst="roundRect">
            <a:avLst>
              <a:gd name="adj" fmla="val 40074"/>
            </a:avLst>
          </a:prstGeom>
          <a:solidFill>
            <a:schemeClr val="bg2">
              <a:alpha val="7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endParaRPr lang="pt-BR" sz="2000" b="1">
              <a:solidFill>
                <a:schemeClr val="accent2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  <a:ea typeface="+mn-ea"/>
              <a:cs typeface="+mn-cs"/>
            </a:endParaRPr>
          </a:p>
        </xdr:txBody>
      </xdr:sp>
      <xdr:grpSp>
        <xdr:nvGrpSpPr>
          <xdr:cNvPr id="90" name="Agrupar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GrpSpPr/>
        </xdr:nvGrpSpPr>
        <xdr:grpSpPr>
          <a:xfrm>
            <a:off x="7905750" y="6106264"/>
            <a:ext cx="3064881" cy="722258"/>
            <a:chOff x="7905750" y="6106264"/>
            <a:chExt cx="3064881" cy="722258"/>
          </a:xfrm>
        </xdr:grpSpPr>
        <xdr:pic>
          <xdr:nvPicPr>
            <xdr:cNvPr id="88" name="Imagem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905750" y="6106264"/>
              <a:ext cx="677333" cy="677333"/>
            </a:xfrm>
            <a:prstGeom prst="rect">
              <a:avLst/>
            </a:prstGeom>
          </xdr:spPr>
        </xdr:pic>
        <xdr:sp macro="" textlink="">
          <xdr:nvSpPr>
            <xdr:cNvPr id="89" name="CaixaDeTexto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8688916" y="6138333"/>
              <a:ext cx="2281715" cy="69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2000" b="1">
                  <a:solidFill>
                    <a:schemeClr val="accent2"/>
                  </a:solidFill>
                  <a:effectLst>
                    <a:innerShdw blurRad="63500" dist="50800" dir="18900000">
                      <a:prstClr val="black">
                        <a:alpha val="50000"/>
                      </a:prstClr>
                    </a:innerShdw>
                  </a:effectLst>
                  <a:latin typeface="Agency FB" panose="020B0503020202020204" pitchFamily="34" charset="0"/>
                  <a:ea typeface="+mn-ea"/>
                  <a:cs typeface="+mn-cs"/>
                </a:rPr>
                <a:t>CONTROLE FINANCEIRO</a:t>
              </a:r>
            </a:p>
            <a:p>
              <a:r>
                <a:rPr lang="pt-BR" sz="2000" b="1">
                  <a:solidFill>
                    <a:schemeClr val="accent2"/>
                  </a:solidFill>
                  <a:effectLst>
                    <a:innerShdw blurRad="63500" dist="50800" dir="18900000">
                      <a:prstClr val="black">
                        <a:alpha val="50000"/>
                      </a:prstClr>
                    </a:innerShdw>
                  </a:effectLst>
                  <a:latin typeface="Agency FB" panose="020B0503020202020204" pitchFamily="34" charset="0"/>
                  <a:ea typeface="+mn-ea"/>
                  <a:cs typeface="+mn-cs"/>
                </a:rPr>
                <a:t>Sonhe. Planeje. Alcance!</a:t>
              </a:r>
            </a:p>
          </xdr:txBody>
        </xdr:sp>
      </xdr:grpSp>
    </xdr:grpSp>
    <xdr:clientData/>
  </xdr:twoCellAnchor>
  <xdr:twoCellAnchor>
    <xdr:from>
      <xdr:col>23</xdr:col>
      <xdr:colOff>444965</xdr:colOff>
      <xdr:row>0</xdr:row>
      <xdr:rowOff>187136</xdr:rowOff>
    </xdr:from>
    <xdr:to>
      <xdr:col>25</xdr:col>
      <xdr:colOff>117664</xdr:colOff>
      <xdr:row>4</xdr:row>
      <xdr:rowOff>53786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4410996" y="187136"/>
          <a:ext cx="887137" cy="628650"/>
          <a:chOff x="10429875" y="190500"/>
          <a:chExt cx="783869" cy="540785"/>
        </a:xfrm>
      </xdr:grpSpPr>
      <xdr:pic macro="[0]!telaCheia">
        <xdr:nvPicPr>
          <xdr:cNvPr id="11" name="Imagem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20376" y="190500"/>
            <a:ext cx="301306" cy="301306"/>
          </a:xfrm>
          <a:prstGeom prst="rect">
            <a:avLst/>
          </a:prstGeom>
        </xdr:spPr>
      </xdr:pic>
      <xdr:sp macro="[0]!telaCheia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10429875" y="466725"/>
            <a:ext cx="7838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Maximizar</a:t>
            </a:r>
          </a:p>
        </xdr:txBody>
      </xdr:sp>
    </xdr:grpSp>
    <xdr:clientData/>
  </xdr:twoCellAnchor>
  <xdr:twoCellAnchor>
    <xdr:from>
      <xdr:col>24</xdr:col>
      <xdr:colOff>591416</xdr:colOff>
      <xdr:row>0</xdr:row>
      <xdr:rowOff>107155</xdr:rowOff>
    </xdr:from>
    <xdr:to>
      <xdr:col>26</xdr:col>
      <xdr:colOff>223064</xdr:colOff>
      <xdr:row>4</xdr:row>
      <xdr:rowOff>4021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15164666" y="107155"/>
          <a:ext cx="846086" cy="658866"/>
          <a:chOff x="14126178" y="95249"/>
          <a:chExt cx="852700" cy="658866"/>
        </a:xfrm>
      </xdr:grpSpPr>
      <xdr:sp macro="[0]!telaNormal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14126178" y="489555"/>
            <a:ext cx="8527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100"/>
              <a:t>Minimizar</a:t>
            </a:r>
          </a:p>
        </xdr:txBody>
      </xdr:sp>
      <xdr:pic macro="[0]!telaNormal">
        <xdr:nvPicPr>
          <xdr:cNvPr id="19" name="Imagem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67845" y="95249"/>
            <a:ext cx="477762" cy="4762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126009</xdr:colOff>
      <xdr:row>1</xdr:row>
      <xdr:rowOff>436052</xdr:rowOff>
    </xdr:from>
    <xdr:to>
      <xdr:col>8</xdr:col>
      <xdr:colOff>572938</xdr:colOff>
      <xdr:row>3</xdr:row>
      <xdr:rowOff>57150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7759" y="550352"/>
          <a:ext cx="446929" cy="364048"/>
        </a:xfrm>
        <a:prstGeom prst="rect">
          <a:avLst/>
        </a:prstGeom>
      </xdr:spPr>
    </xdr:pic>
    <xdr:clientData/>
  </xdr:twoCellAnchor>
  <xdr:twoCellAnchor>
    <xdr:from>
      <xdr:col>10</xdr:col>
      <xdr:colOff>646333</xdr:colOff>
      <xdr:row>1</xdr:row>
      <xdr:rowOff>425797</xdr:rowOff>
    </xdr:from>
    <xdr:to>
      <xdr:col>11</xdr:col>
      <xdr:colOff>363092</xdr:colOff>
      <xdr:row>3</xdr:row>
      <xdr:rowOff>31927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3483" y="540097"/>
          <a:ext cx="364459" cy="349080"/>
        </a:xfrm>
        <a:prstGeom prst="rect">
          <a:avLst/>
        </a:prstGeom>
      </xdr:spPr>
    </xdr:pic>
    <xdr:clientData/>
  </xdr:twoCellAnchor>
  <xdr:twoCellAnchor>
    <xdr:from>
      <xdr:col>1</xdr:col>
      <xdr:colOff>920750</xdr:colOff>
      <xdr:row>13</xdr:row>
      <xdr:rowOff>83993</xdr:rowOff>
    </xdr:from>
    <xdr:to>
      <xdr:col>11</xdr:col>
      <xdr:colOff>190500</xdr:colOff>
      <xdr:row>29</xdr:row>
      <xdr:rowOff>152400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GrpSpPr/>
      </xdr:nvGrpSpPr>
      <xdr:grpSpPr>
        <a:xfrm>
          <a:off x="1037167" y="2846243"/>
          <a:ext cx="7461250" cy="3137574"/>
          <a:chOff x="679980" y="1118908"/>
          <a:chExt cx="7882909" cy="3480306"/>
        </a:xfrm>
      </xdr:grpSpPr>
      <xdr:sp macro="" textlink="">
        <xdr:nvSpPr>
          <xdr:cNvPr id="69" name="Retângulo: Cantos Arredondados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750744" y="1168978"/>
            <a:ext cx="7745062" cy="3419831"/>
          </a:xfrm>
          <a:prstGeom prst="roundRect">
            <a:avLst>
              <a:gd name="adj" fmla="val 6284"/>
            </a:avLst>
          </a:prstGeom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aphicFramePr>
            <a:graphicFrameLocks/>
          </xdr:cNvGraphicFramePr>
        </xdr:nvGraphicFramePr>
        <xdr:xfrm>
          <a:off x="4848489" y="2340428"/>
          <a:ext cx="3626288" cy="21744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aphicFramePr>
            <a:graphicFrameLocks/>
          </xdr:cNvGraphicFramePr>
        </xdr:nvGraphicFramePr>
        <xdr:xfrm>
          <a:off x="3738782" y="3404426"/>
          <a:ext cx="1165387" cy="1194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aphicFramePr>
            <a:graphicFrameLocks/>
          </xdr:cNvGraphicFramePr>
        </xdr:nvGraphicFramePr>
        <xdr:xfrm>
          <a:off x="2758300" y="3404426"/>
          <a:ext cx="1156581" cy="1194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aphicFramePr>
            <a:graphicFrameLocks/>
          </xdr:cNvGraphicFramePr>
        </xdr:nvGraphicFramePr>
        <xdr:xfrm>
          <a:off x="1698320" y="3404426"/>
          <a:ext cx="1171172" cy="1194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aphicFramePr>
            <a:graphicFrameLocks/>
          </xdr:cNvGraphicFramePr>
        </xdr:nvGraphicFramePr>
        <xdr:xfrm>
          <a:off x="679980" y="3404426"/>
          <a:ext cx="1170354" cy="1194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>
            <a:graphicFrameLocks/>
          </xdr:cNvGraphicFramePr>
        </xdr:nvGraphicFramePr>
        <xdr:xfrm>
          <a:off x="2758300" y="2362595"/>
          <a:ext cx="1156581" cy="1192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aphicFramePr>
            <a:graphicFrameLocks/>
          </xdr:cNvGraphicFramePr>
        </xdr:nvGraphicFramePr>
        <xdr:xfrm>
          <a:off x="1698320" y="2362595"/>
          <a:ext cx="1171172" cy="1192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aphicFramePr>
            <a:graphicFrameLocks/>
          </xdr:cNvGraphicFramePr>
        </xdr:nvGraphicFramePr>
        <xdr:xfrm>
          <a:off x="3738782" y="2362595"/>
          <a:ext cx="1165387" cy="1192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aphicFramePr>
            <a:graphicFrameLocks/>
          </xdr:cNvGraphicFramePr>
        </xdr:nvGraphicFramePr>
        <xdr:xfrm>
          <a:off x="679980" y="2362595"/>
          <a:ext cx="1170354" cy="1192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GraphicFramePr>
            <a:graphicFrameLocks/>
          </xdr:cNvGraphicFramePr>
        </xdr:nvGraphicFramePr>
        <xdr:xfrm>
          <a:off x="3738782" y="1360509"/>
          <a:ext cx="1165387" cy="1192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aphicFramePr>
            <a:graphicFrameLocks/>
          </xdr:cNvGraphicFramePr>
        </xdr:nvGraphicFramePr>
        <xdr:xfrm>
          <a:off x="2758300" y="1360509"/>
          <a:ext cx="1156581" cy="1192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5" name="Gráfico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GraphicFramePr>
            <a:graphicFrameLocks/>
          </xdr:cNvGraphicFramePr>
        </xdr:nvGraphicFramePr>
        <xdr:xfrm>
          <a:off x="1698320" y="1360509"/>
          <a:ext cx="1171172" cy="1192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GraphicFramePr>
            <a:graphicFrameLocks/>
          </xdr:cNvGraphicFramePr>
        </xdr:nvGraphicFramePr>
        <xdr:xfrm>
          <a:off x="679980" y="1360509"/>
          <a:ext cx="1170354" cy="1192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670" t="31579" r="12368" b="32331"/>
          <a:stretch/>
        </xdr:blipFill>
        <xdr:spPr>
          <a:xfrm>
            <a:off x="4130006" y="1919699"/>
            <a:ext cx="342317" cy="172515"/>
          </a:xfrm>
          <a:prstGeom prst="rect">
            <a:avLst/>
          </a:prstGeom>
        </xdr:spPr>
      </xdr:pic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49339" y="1879176"/>
            <a:ext cx="188488" cy="239316"/>
          </a:xfrm>
          <a:prstGeom prst="rect">
            <a:avLst/>
          </a:prstGeom>
        </xdr:spPr>
      </xdr:pic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2876" y="2890898"/>
            <a:ext cx="227130" cy="240307"/>
          </a:xfrm>
          <a:prstGeom prst="rect">
            <a:avLst/>
          </a:prstGeom>
        </xdr:spPr>
      </xdr:pic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75785" y="1875295"/>
            <a:ext cx="239538" cy="236628"/>
          </a:xfrm>
          <a:prstGeom prst="rect">
            <a:avLst/>
          </a:prstGeom>
        </xdr:spPr>
      </xdr:pic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2701" y="1858738"/>
            <a:ext cx="247243" cy="245729"/>
          </a:xfrm>
          <a:prstGeom prst="rect">
            <a:avLst/>
          </a:prstGeom>
        </xdr:spPr>
      </xdr:pic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2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8105"/>
          <a:stretch/>
        </xdr:blipFill>
        <xdr:spPr>
          <a:xfrm>
            <a:off x="3205624" y="3925942"/>
            <a:ext cx="290004" cy="182945"/>
          </a:xfrm>
          <a:prstGeom prst="rect">
            <a:avLst/>
          </a:prstGeom>
        </xdr:spPr>
      </xdr:pic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7718" y="2847759"/>
            <a:ext cx="270677" cy="275784"/>
          </a:xfrm>
          <a:prstGeom prst="rect">
            <a:avLst/>
          </a:prstGeom>
        </xdr:spPr>
      </xdr:pic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19434" y="3937492"/>
            <a:ext cx="174432" cy="184247"/>
          </a:xfrm>
          <a:prstGeom prst="rect">
            <a:avLst/>
          </a:prstGeom>
        </xdr:spPr>
      </xdr:pic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0797" y="3934423"/>
            <a:ext cx="191898" cy="194172"/>
          </a:xfrm>
          <a:prstGeom prst="rect">
            <a:avLst/>
          </a:prstGeom>
        </xdr:spPr>
      </xdr:pic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83978" y="2928967"/>
            <a:ext cx="179310" cy="182382"/>
          </a:xfrm>
          <a:prstGeom prst="rect">
            <a:avLst/>
          </a:prstGeom>
        </xdr:spPr>
      </xdr:pic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1206" y="3922870"/>
            <a:ext cx="209099" cy="212293"/>
          </a:xfrm>
          <a:prstGeom prst="rect">
            <a:avLst/>
          </a:prstGeom>
        </xdr:spPr>
      </xdr:pic>
      <xdr:sp macro="" textlink="'BASE PAINEL'!$E$3">
        <xdr:nvSpPr>
          <xdr:cNvPr id="38" name="CaixaDeTexto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1026968" y="2030152"/>
            <a:ext cx="488073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1129DC9-685E-4E33-9617-3E358C713E9D}" type="TxLink">
              <a:rPr lang="en-US" sz="11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72%</a:t>
            </a:fld>
            <a:endParaRPr lang="pt-BR" sz="1100" b="1">
              <a:solidFill>
                <a:schemeClr val="bg1"/>
              </a:solidFill>
            </a:endParaRPr>
          </a:p>
        </xdr:txBody>
      </xdr:sp>
      <xdr:sp macro="" textlink="'BASE PAINEL'!$E$4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1979469" y="2028513"/>
            <a:ext cx="620444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9D7EAFA-1714-452C-8557-D654EB9F2247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63%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5">
        <xdr:nvSpPr>
          <xdr:cNvPr id="40" name="CaixaDeTexto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3041561" y="2069586"/>
            <a:ext cx="606513" cy="3129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2775840-7A71-4C62-8D7D-7547692E1628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106%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6">
        <xdr:nvSpPr>
          <xdr:cNvPr id="41" name="CaixaDeTexto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4030807" y="2045925"/>
            <a:ext cx="574432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D1A08DD-DE7C-49BC-B20B-429B74187F0F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45%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7">
        <xdr:nvSpPr>
          <xdr:cNvPr id="42" name="CaixaDeTexto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950768" y="3073362"/>
            <a:ext cx="612438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6B34A418-B8EE-40ED-B5C2-0B58175FBE53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111%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8">
        <xdr:nvSpPr>
          <xdr:cNvPr id="43" name="CaixaDeTexto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 txBox="1"/>
        </xdr:nvSpPr>
        <xdr:spPr>
          <a:xfrm>
            <a:off x="1979468" y="3057588"/>
            <a:ext cx="619416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2CFD693-CB55-4E87-A0C5-F0987B684C16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62%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9">
        <xdr:nvSpPr>
          <xdr:cNvPr id="44" name="CaixaDeTexto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>
            <a:off x="3046268" y="3081249"/>
            <a:ext cx="594993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072B1C8-5F10-46A8-AB09-9EFD881E36DA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69%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10">
        <xdr:nvSpPr>
          <xdr:cNvPr id="45" name="CaixaDeTexto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4021283" y="3077002"/>
            <a:ext cx="560428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4B8D8F0-5DD3-4FB8-BEB4-C321805992ED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53%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11">
        <xdr:nvSpPr>
          <xdr:cNvPr id="46" name="CaixaDeTexto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967874" y="4104379"/>
            <a:ext cx="592493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75C9395-8900-462D-A0D2-05F5AC633719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77%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12">
        <xdr:nvSpPr>
          <xdr:cNvPr id="47" name="CaixaDeTexto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1970334" y="4104379"/>
            <a:ext cx="656834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15D05C0-F8FF-464B-9AFB-8CDB1D76EDA5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53%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13">
        <xdr:nvSpPr>
          <xdr:cNvPr id="48" name="CaixaDeTexto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3047183" y="4096492"/>
            <a:ext cx="600891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BEFCB4E-414F-44E9-B7AE-B8FB3F4E3D39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56%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'BASE PAINEL'!$E$14">
        <xdr:nvSpPr>
          <xdr:cNvPr id="49" name="CaixaDeTexto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4040332" y="4104379"/>
            <a:ext cx="608975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3263937-3D6A-4D80-8AD3-CF84AD9E1691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30%</a:t>
            </a:fld>
            <a:endParaRPr lang="pt-BR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graphicFrame macro="">
        <xdr:nvGraphicFramePr>
          <xdr:cNvPr id="66" name="Gráfico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GraphicFramePr>
            <a:graphicFrameLocks/>
          </xdr:cNvGraphicFramePr>
        </xdr:nvGraphicFramePr>
        <xdr:xfrm>
          <a:off x="7169159" y="1237129"/>
          <a:ext cx="1393730" cy="10930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sp macro="" textlink="'BASE PAINEL'!$B$41">
        <xdr:nvSpPr>
          <xdr:cNvPr id="68" name="CaixaDeTexto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 txBox="1"/>
        </xdr:nvSpPr>
        <xdr:spPr>
          <a:xfrm>
            <a:off x="7548260" y="1616368"/>
            <a:ext cx="696917" cy="307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644E295-8A5F-4F01-B6FC-76C1F01AE708}" type="TxLink">
              <a:rPr lang="en-US" sz="16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95%</a:t>
            </a:fld>
            <a:endParaRPr lang="pt-BR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pic>
        <xdr:nvPicPr>
          <xdr:cNvPr id="56" name="Imagem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00434" y="2901513"/>
            <a:ext cx="188983" cy="196083"/>
          </a:xfrm>
          <a:prstGeom prst="rect">
            <a:avLst/>
          </a:prstGeom>
        </xdr:spPr>
      </xdr:pic>
      <xdr:graphicFrame macro="">
        <xdr:nvGraphicFramePr>
          <xdr:cNvPr id="60" name="Gráfico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GraphicFramePr>
            <a:graphicFrameLocks/>
          </xdr:cNvGraphicFramePr>
        </xdr:nvGraphicFramePr>
        <xdr:xfrm>
          <a:off x="4812471" y="1253001"/>
          <a:ext cx="2336088" cy="10673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cxnSp macro="">
        <xdr:nvCxnSpPr>
          <xdr:cNvPr id="65" name="Conector reto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CxnSpPr/>
        </xdr:nvCxnSpPr>
        <xdr:spPr>
          <a:xfrm>
            <a:off x="4772487" y="1537609"/>
            <a:ext cx="0" cy="2927094"/>
          </a:xfrm>
          <a:prstGeom prst="line">
            <a:avLst/>
          </a:prstGeom>
          <a:ln w="19050">
            <a:solidFill>
              <a:srgbClr val="40405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ector reto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CxnSpPr/>
        </xdr:nvCxnSpPr>
        <xdr:spPr>
          <a:xfrm flipH="1">
            <a:off x="4819496" y="2399240"/>
            <a:ext cx="3646956" cy="0"/>
          </a:xfrm>
          <a:prstGeom prst="line">
            <a:avLst/>
          </a:prstGeom>
          <a:ln w="19050">
            <a:solidFill>
              <a:srgbClr val="40405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CaixaDeTexto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 txBox="1"/>
        </xdr:nvSpPr>
        <xdr:spPr>
          <a:xfrm>
            <a:off x="887962" y="1118908"/>
            <a:ext cx="2014072" cy="3189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bg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  <a:latin typeface="+mn-lt"/>
              </a:rPr>
              <a:t>DESEMPENHO</a:t>
            </a:r>
            <a:r>
              <a:rPr lang="pt-BR" sz="1200" b="1" baseline="0">
                <a:solidFill>
                  <a:schemeClr val="bg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  <a:latin typeface="+mn-lt"/>
              </a:rPr>
              <a:t> DO MÊS</a:t>
            </a:r>
            <a:endParaRPr lang="pt-BR" sz="1200" b="1"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590550</xdr:colOff>
          <xdr:row>1</xdr:row>
          <xdr:rowOff>523875</xdr:rowOff>
        </xdr:from>
        <xdr:to>
          <xdr:col>7</xdr:col>
          <xdr:colOff>66675</xdr:colOff>
          <xdr:row>3</xdr:row>
          <xdr:rowOff>95250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12</xdr:col>
      <xdr:colOff>446440</xdr:colOff>
      <xdr:row>5</xdr:row>
      <xdr:rowOff>122259</xdr:rowOff>
    </xdr:from>
    <xdr:to>
      <xdr:col>14</xdr:col>
      <xdr:colOff>312963</xdr:colOff>
      <xdr:row>11</xdr:row>
      <xdr:rowOff>171620</xdr:rowOff>
    </xdr:to>
    <xdr:graphicFrame macro="">
      <xdr:nvGraphicFramePr>
        <xdr:cNvPr id="82" name="Gráfico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218083</xdr:colOff>
      <xdr:row>13</xdr:row>
      <xdr:rowOff>127000</xdr:rowOff>
    </xdr:from>
    <xdr:to>
      <xdr:col>16</xdr:col>
      <xdr:colOff>613834</xdr:colOff>
      <xdr:row>22</xdr:row>
      <xdr:rowOff>98809</xdr:rowOff>
    </xdr:to>
    <xdr:sp macro="" textlink="">
      <xdr:nvSpPr>
        <xdr:cNvPr id="86" name="Retângulo: Cantos Arredondados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8526000" y="2889250"/>
          <a:ext cx="3623667" cy="1686309"/>
        </a:xfrm>
        <a:prstGeom prst="roundRect">
          <a:avLst>
            <a:gd name="adj" fmla="val 11530"/>
          </a:avLst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439329</xdr:colOff>
      <xdr:row>14</xdr:row>
      <xdr:rowOff>33044</xdr:rowOff>
    </xdr:from>
    <xdr:to>
      <xdr:col>14</xdr:col>
      <xdr:colOff>509180</xdr:colOff>
      <xdr:row>15</xdr:row>
      <xdr:rowOff>161512</xdr:rowOff>
    </xdr:to>
    <xdr:sp macro="" textlink="">
      <xdr:nvSpPr>
        <xdr:cNvPr id="92" name="CaixaDeTexto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8778034" y="2985794"/>
          <a:ext cx="2018146" cy="3189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</a:rPr>
            <a:t>PROJETOS</a:t>
          </a:r>
        </a:p>
      </xdr:txBody>
    </xdr:sp>
    <xdr:clientData/>
  </xdr:twoCellAnchor>
  <xdr:twoCellAnchor>
    <xdr:from>
      <xdr:col>12</xdr:col>
      <xdr:colOff>188387</xdr:colOff>
      <xdr:row>17</xdr:row>
      <xdr:rowOff>22412</xdr:rowOff>
    </xdr:from>
    <xdr:to>
      <xdr:col>13</xdr:col>
      <xdr:colOff>82344</xdr:colOff>
      <xdr:row>20</xdr:row>
      <xdr:rowOff>100853</xdr:rowOff>
    </xdr:to>
    <xdr:sp macro="" textlink="">
      <xdr:nvSpPr>
        <xdr:cNvPr id="93" name="Retângulo: Cantos Arredondados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9150170" y="3550803"/>
          <a:ext cx="540000" cy="649941"/>
        </a:xfrm>
        <a:prstGeom prst="roundRect">
          <a:avLst/>
        </a:prstGeom>
        <a:solidFill>
          <a:srgbClr val="4040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67232</xdr:colOff>
      <xdr:row>17</xdr:row>
      <xdr:rowOff>22412</xdr:rowOff>
    </xdr:from>
    <xdr:to>
      <xdr:col>16</xdr:col>
      <xdr:colOff>141188</xdr:colOff>
      <xdr:row>20</xdr:row>
      <xdr:rowOff>100853</xdr:rowOff>
    </xdr:to>
    <xdr:sp macro="" textlink="">
      <xdr:nvSpPr>
        <xdr:cNvPr id="94" name="Retângulo: Cantos Arredondados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10967145" y="3550803"/>
          <a:ext cx="720000" cy="649941"/>
        </a:xfrm>
        <a:prstGeom prst="roundRect">
          <a:avLst/>
        </a:prstGeom>
        <a:solidFill>
          <a:srgbClr val="4040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148003</xdr:colOff>
      <xdr:row>17</xdr:row>
      <xdr:rowOff>22412</xdr:rowOff>
    </xdr:from>
    <xdr:to>
      <xdr:col>14</xdr:col>
      <xdr:colOff>41959</xdr:colOff>
      <xdr:row>20</xdr:row>
      <xdr:rowOff>100853</xdr:rowOff>
    </xdr:to>
    <xdr:sp macro="" textlink="">
      <xdr:nvSpPr>
        <xdr:cNvPr id="95" name="Retângulo: Cantos Arredondados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9755829" y="3550803"/>
          <a:ext cx="540000" cy="649941"/>
        </a:xfrm>
        <a:prstGeom prst="roundRect">
          <a:avLst/>
        </a:prstGeom>
        <a:solidFill>
          <a:srgbClr val="4040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107618</xdr:colOff>
      <xdr:row>17</xdr:row>
      <xdr:rowOff>22412</xdr:rowOff>
    </xdr:from>
    <xdr:to>
      <xdr:col>15</xdr:col>
      <xdr:colOff>1575</xdr:colOff>
      <xdr:row>20</xdr:row>
      <xdr:rowOff>100853</xdr:rowOff>
    </xdr:to>
    <xdr:sp macro="" textlink="">
      <xdr:nvSpPr>
        <xdr:cNvPr id="96" name="Retângulo: Cantos Arredondados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10361488" y="3550803"/>
          <a:ext cx="540000" cy="649941"/>
        </a:xfrm>
        <a:prstGeom prst="roundRect">
          <a:avLst/>
        </a:prstGeom>
        <a:solidFill>
          <a:srgbClr val="4040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accent6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284851</xdr:colOff>
      <xdr:row>20</xdr:row>
      <xdr:rowOff>114861</xdr:rowOff>
    </xdr:from>
    <xdr:to>
      <xdr:col>12</xdr:col>
      <xdr:colOff>244078</xdr:colOff>
      <xdr:row>22</xdr:row>
      <xdr:rowOff>11907</xdr:rowOff>
    </xdr:to>
    <xdr:sp macro="" textlink="">
      <xdr:nvSpPr>
        <xdr:cNvPr id="98" name="CaixaDeTexto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8623556" y="4210611"/>
          <a:ext cx="608658" cy="278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accent4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</a:rPr>
            <a:t>Reserva</a:t>
          </a:r>
        </a:p>
      </xdr:txBody>
    </xdr:sp>
    <xdr:clientData/>
  </xdr:twoCellAnchor>
  <xdr:twoCellAnchor>
    <xdr:from>
      <xdr:col>12</xdr:col>
      <xdr:colOff>305868</xdr:colOff>
      <xdr:row>20</xdr:row>
      <xdr:rowOff>114861</xdr:rowOff>
    </xdr:from>
    <xdr:to>
      <xdr:col>13</xdr:col>
      <xdr:colOff>209549</xdr:colOff>
      <xdr:row>22</xdr:row>
      <xdr:rowOff>38101</xdr:rowOff>
    </xdr:to>
    <xdr:sp macro="" textlink="">
      <xdr:nvSpPr>
        <xdr:cNvPr id="100" name="CaixaDeTexto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9294004" y="4210611"/>
          <a:ext cx="553113" cy="304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accent6">
                  <a:lumMod val="75000"/>
                </a:schemeClr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</a:rPr>
            <a:t>Curto</a:t>
          </a:r>
        </a:p>
      </xdr:txBody>
    </xdr:sp>
    <xdr:clientData/>
  </xdr:twoCellAnchor>
  <xdr:twoCellAnchor>
    <xdr:from>
      <xdr:col>13</xdr:col>
      <xdr:colOff>166566</xdr:colOff>
      <xdr:row>20</xdr:row>
      <xdr:rowOff>114861</xdr:rowOff>
    </xdr:from>
    <xdr:to>
      <xdr:col>14</xdr:col>
      <xdr:colOff>70247</xdr:colOff>
      <xdr:row>22</xdr:row>
      <xdr:rowOff>38101</xdr:rowOff>
    </xdr:to>
    <xdr:sp macro="" textlink="">
      <xdr:nvSpPr>
        <xdr:cNvPr id="101" name="CaixaDeTexto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9804134" y="4210611"/>
          <a:ext cx="553113" cy="304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accent6">
                  <a:lumMod val="75000"/>
                </a:schemeClr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</a:rPr>
            <a:t>Médio</a:t>
          </a:r>
        </a:p>
      </xdr:txBody>
    </xdr:sp>
    <xdr:clientData/>
  </xdr:twoCellAnchor>
  <xdr:twoCellAnchor>
    <xdr:from>
      <xdr:col>14</xdr:col>
      <xdr:colOff>191568</xdr:colOff>
      <xdr:row>20</xdr:row>
      <xdr:rowOff>114861</xdr:rowOff>
    </xdr:from>
    <xdr:to>
      <xdr:col>15</xdr:col>
      <xdr:colOff>95249</xdr:colOff>
      <xdr:row>22</xdr:row>
      <xdr:rowOff>38101</xdr:rowOff>
    </xdr:to>
    <xdr:sp macro="" textlink="">
      <xdr:nvSpPr>
        <xdr:cNvPr id="102" name="CaixaDeTexto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0478568" y="4210611"/>
          <a:ext cx="553113" cy="304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accent6">
                  <a:lumMod val="75000"/>
                </a:schemeClr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</a:rPr>
            <a:t>Longo</a:t>
          </a:r>
        </a:p>
      </xdr:txBody>
    </xdr:sp>
    <xdr:clientData/>
  </xdr:twoCellAnchor>
  <xdr:twoCellAnchor editAs="absolute">
    <xdr:from>
      <xdr:col>11</xdr:col>
      <xdr:colOff>319793</xdr:colOff>
      <xdr:row>15</xdr:row>
      <xdr:rowOff>99399</xdr:rowOff>
    </xdr:from>
    <xdr:to>
      <xdr:col>12</xdr:col>
      <xdr:colOff>263052</xdr:colOff>
      <xdr:row>17</xdr:row>
      <xdr:rowOff>26378</xdr:rowOff>
    </xdr:to>
    <xdr:sp macro="" textlink="PROJETOS!$G$9">
      <xdr:nvSpPr>
        <xdr:cNvPr id="103" name="CaixaDeTexto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8658498" y="3242649"/>
          <a:ext cx="592690" cy="30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6B3922B-1BC3-4DB3-8105-AE3936C0F339}" type="TxLink">
            <a:rPr lang="en-US" sz="1100" b="0" i="0" u="none" strike="noStrike">
              <a:solidFill>
                <a:schemeClr val="accent4"/>
              </a:solidFill>
              <a:latin typeface="Calibri"/>
              <a:ea typeface="+mn-ea"/>
              <a:cs typeface="Calibri"/>
            </a:rPr>
            <a:pPr marL="0" indent="0" algn="ctr"/>
            <a:t>401%</a:t>
          </a:fld>
          <a:endParaRPr lang="pt-BR" sz="14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absolute">
    <xdr:from>
      <xdr:col>12</xdr:col>
      <xdr:colOff>253531</xdr:colOff>
      <xdr:row>15</xdr:row>
      <xdr:rowOff>99399</xdr:rowOff>
    </xdr:from>
    <xdr:to>
      <xdr:col>13</xdr:col>
      <xdr:colOff>196791</xdr:colOff>
      <xdr:row>17</xdr:row>
      <xdr:rowOff>26378</xdr:rowOff>
    </xdr:to>
    <xdr:sp macro="" textlink="PROJETOS!$H$9">
      <xdr:nvSpPr>
        <xdr:cNvPr id="104" name="CaixaDeTexto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9241667" y="3242649"/>
          <a:ext cx="592692" cy="30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A2E2DB8-2509-453D-ADCD-A4F7B09014D9}" type="TxLink">
            <a:rPr lang="en-US" sz="1100" b="0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250%</a:t>
          </a:fld>
          <a:endParaRPr lang="pt-BR" sz="14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absolute">
    <xdr:from>
      <xdr:col>13</xdr:col>
      <xdr:colOff>162423</xdr:colOff>
      <xdr:row>15</xdr:row>
      <xdr:rowOff>99399</xdr:rowOff>
    </xdr:from>
    <xdr:to>
      <xdr:col>14</xdr:col>
      <xdr:colOff>105682</xdr:colOff>
      <xdr:row>17</xdr:row>
      <xdr:rowOff>26378</xdr:rowOff>
    </xdr:to>
    <xdr:sp macro="" textlink="PROJETOS!$I$9">
      <xdr:nvSpPr>
        <xdr:cNvPr id="105" name="CaixaDeTexto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9799991" y="3242649"/>
          <a:ext cx="592691" cy="30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A703B52-5FF9-4641-9837-35D66F33B93C}" type="TxLink">
            <a:rPr lang="en-US" sz="1100" b="0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160%</a:t>
          </a:fld>
          <a:endParaRPr lang="pt-BR" sz="14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absolute">
    <xdr:from>
      <xdr:col>14</xdr:col>
      <xdr:colOff>104444</xdr:colOff>
      <xdr:row>15</xdr:row>
      <xdr:rowOff>99399</xdr:rowOff>
    </xdr:from>
    <xdr:to>
      <xdr:col>15</xdr:col>
      <xdr:colOff>47704</xdr:colOff>
      <xdr:row>17</xdr:row>
      <xdr:rowOff>26378</xdr:rowOff>
    </xdr:to>
    <xdr:sp macro="" textlink="PROJETOS!$J$9">
      <xdr:nvSpPr>
        <xdr:cNvPr id="106" name="CaixaDeTexto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10391444" y="3242649"/>
          <a:ext cx="592692" cy="30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FB11FA2-44B6-4646-B927-E6E2114B8D92}" type="TxLink">
            <a:rPr lang="en-US" sz="1100" b="0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37%</a:t>
          </a:fld>
          <a:endParaRPr lang="pt-BR" sz="14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absolute">
    <xdr:from>
      <xdr:col>15</xdr:col>
      <xdr:colOff>129292</xdr:colOff>
      <xdr:row>15</xdr:row>
      <xdr:rowOff>99399</xdr:rowOff>
    </xdr:from>
    <xdr:to>
      <xdr:col>16</xdr:col>
      <xdr:colOff>72551</xdr:colOff>
      <xdr:row>17</xdr:row>
      <xdr:rowOff>26378</xdr:rowOff>
    </xdr:to>
    <xdr:sp macro="" textlink="PROJETOS!$K$9">
      <xdr:nvSpPr>
        <xdr:cNvPr id="107" name="CaixaDeTexto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11065724" y="3242649"/>
          <a:ext cx="592691" cy="30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7E8374C-6FF1-445B-A86D-CD22A95CA1E8}" type="TxLink">
            <a:rPr lang="en-US" sz="1100" b="0" i="0" u="none" strike="noStrike">
              <a:solidFill>
                <a:schemeClr val="accent5"/>
              </a:solidFill>
              <a:latin typeface="Calibri"/>
              <a:ea typeface="+mn-ea"/>
              <a:cs typeface="Calibri"/>
            </a:rPr>
            <a:pPr marL="0" indent="0" algn="ctr"/>
            <a:t>11%</a:t>
          </a:fld>
          <a:endParaRPr lang="pt-BR" sz="1400" b="1" i="0" u="none" strike="noStrike">
            <a:solidFill>
              <a:schemeClr val="accent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402981</xdr:colOff>
      <xdr:row>17</xdr:row>
      <xdr:rowOff>26275</xdr:rowOff>
    </xdr:from>
    <xdr:to>
      <xdr:col>12</xdr:col>
      <xdr:colOff>108081</xdr:colOff>
      <xdr:row>20</xdr:row>
      <xdr:rowOff>92411</xdr:rowOff>
    </xdr:to>
    <xdr:sp macro="" textlink="">
      <xdr:nvSpPr>
        <xdr:cNvPr id="108" name="Retângulo: Cantos Arredondados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8730552" y="3553246"/>
          <a:ext cx="352800" cy="637636"/>
        </a:xfrm>
        <a:prstGeom prst="roundRect">
          <a:avLst/>
        </a:prstGeom>
        <a:solidFill>
          <a:srgbClr val="4040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68244</xdr:colOff>
      <xdr:row>16</xdr:row>
      <xdr:rowOff>113490</xdr:rowOff>
    </xdr:from>
    <xdr:to>
      <xdr:col>12</xdr:col>
      <xdr:colOff>440884</xdr:colOff>
      <xdr:row>21</xdr:row>
      <xdr:rowOff>6994</xdr:rowOff>
    </xdr:to>
    <xdr:graphicFrame macro="">
      <xdr:nvGraphicFramePr>
        <xdr:cNvPr id="97" name="Gráfico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306902</xdr:colOff>
      <xdr:row>16</xdr:row>
      <xdr:rowOff>85725</xdr:rowOff>
    </xdr:from>
    <xdr:to>
      <xdr:col>13</xdr:col>
      <xdr:colOff>618018</xdr:colOff>
      <xdr:row>21</xdr:row>
      <xdr:rowOff>45150</xdr:rowOff>
    </xdr:to>
    <xdr:graphicFrame macro="">
      <xdr:nvGraphicFramePr>
        <xdr:cNvPr id="109" name="Gráfico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270698</xdr:colOff>
      <xdr:row>16</xdr:row>
      <xdr:rowOff>80597</xdr:rowOff>
    </xdr:from>
    <xdr:to>
      <xdr:col>14</xdr:col>
      <xdr:colOff>589084</xdr:colOff>
      <xdr:row>21</xdr:row>
      <xdr:rowOff>54959</xdr:rowOff>
    </xdr:to>
    <xdr:graphicFrame macro="">
      <xdr:nvGraphicFramePr>
        <xdr:cNvPr id="110" name="Gráfico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11599</xdr:colOff>
      <xdr:row>20</xdr:row>
      <xdr:rowOff>114861</xdr:rowOff>
    </xdr:from>
    <xdr:to>
      <xdr:col>16</xdr:col>
      <xdr:colOff>381002</xdr:colOff>
      <xdr:row>22</xdr:row>
      <xdr:rowOff>1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0948031" y="4210611"/>
          <a:ext cx="1018835" cy="266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accent5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</a:rPr>
            <a:t>Aposentadoria</a:t>
          </a:r>
        </a:p>
      </xdr:txBody>
    </xdr:sp>
    <xdr:clientData/>
  </xdr:twoCellAnchor>
  <xdr:twoCellAnchor>
    <xdr:from>
      <xdr:col>14</xdr:col>
      <xdr:colOff>28729</xdr:colOff>
      <xdr:row>16</xdr:row>
      <xdr:rowOff>65942</xdr:rowOff>
    </xdr:from>
    <xdr:to>
      <xdr:col>17</xdr:col>
      <xdr:colOff>166687</xdr:colOff>
      <xdr:row>21</xdr:row>
      <xdr:rowOff>45666</xdr:rowOff>
    </xdr:to>
    <xdr:graphicFrame macro="">
      <xdr:nvGraphicFramePr>
        <xdr:cNvPr id="112" name="Gráfico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223774</xdr:colOff>
      <xdr:row>16</xdr:row>
      <xdr:rowOff>85724</xdr:rowOff>
    </xdr:from>
    <xdr:to>
      <xdr:col>15</xdr:col>
      <xdr:colOff>542159</xdr:colOff>
      <xdr:row>21</xdr:row>
      <xdr:rowOff>49705</xdr:rowOff>
    </xdr:to>
    <xdr:graphicFrame macro="">
      <xdr:nvGraphicFramePr>
        <xdr:cNvPr id="116" name="Gráfico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64544</xdr:colOff>
      <xdr:row>4</xdr:row>
      <xdr:rowOff>25939</xdr:rowOff>
    </xdr:from>
    <xdr:to>
      <xdr:col>16</xdr:col>
      <xdr:colOff>613833</xdr:colOff>
      <xdr:row>13</xdr:row>
      <xdr:rowOff>63501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8372461" y="1073689"/>
          <a:ext cx="3777205" cy="1752062"/>
          <a:chOff x="8424099" y="1160185"/>
          <a:chExt cx="3357255" cy="1690293"/>
        </a:xfrm>
      </xdr:grpSpPr>
      <xdr:sp macro="" textlink="">
        <xdr:nvSpPr>
          <xdr:cNvPr id="81" name="Retângulo: Cantos Arredondados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/>
        </xdr:nvSpPr>
        <xdr:spPr>
          <a:xfrm>
            <a:off x="8558564" y="1160185"/>
            <a:ext cx="3222790" cy="1690293"/>
          </a:xfrm>
          <a:prstGeom prst="roundRect">
            <a:avLst>
              <a:gd name="adj" fmla="val 13779"/>
            </a:avLst>
          </a:prstGeom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1" name="CaixaDeTexto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 txBox="1"/>
        </xdr:nvSpPr>
        <xdr:spPr>
          <a:xfrm>
            <a:off x="9114080" y="1215269"/>
            <a:ext cx="2018146" cy="318968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bg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  <a:latin typeface="+mn-lt"/>
              </a:rPr>
              <a:t>PATRIMÔNIO</a:t>
            </a:r>
          </a:p>
        </xdr:txBody>
      </xdr:sp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8424099" y="1505325"/>
            <a:ext cx="1182464" cy="1082417"/>
            <a:chOff x="8424099" y="1505325"/>
            <a:chExt cx="1182464" cy="1082417"/>
          </a:xfrm>
        </xdr:grpSpPr>
        <xdr:graphicFrame macro="">
          <xdr:nvGraphicFramePr>
            <xdr:cNvPr id="113" name="Gráfico 112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GraphicFramePr>
              <a:graphicFrameLocks/>
            </xdr:cNvGraphicFramePr>
          </xdr:nvGraphicFramePr>
          <xdr:xfrm>
            <a:off x="8424099" y="1505325"/>
            <a:ext cx="1182464" cy="9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7"/>
            </a:graphicData>
          </a:graphic>
        </xdr:graphicFrame>
        <xdr:sp macro="" textlink="">
          <xdr:nvSpPr>
            <xdr:cNvPr id="114" name="CaixaDeTexto 113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 txBox="1"/>
          </xdr:nvSpPr>
          <xdr:spPr>
            <a:xfrm>
              <a:off x="8750520" y="2309696"/>
              <a:ext cx="507549" cy="278046"/>
            </a:xfrm>
            <a:prstGeom prst="rect">
              <a:avLst/>
            </a:prstGeom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900" b="1">
                  <a:solidFill>
                    <a:schemeClr val="accent5"/>
                  </a:solidFill>
                  <a:effectLst>
                    <a:innerShdw blurRad="63500" dist="50800" dir="18900000">
                      <a:prstClr val="black">
                        <a:alpha val="50000"/>
                      </a:prstClr>
                    </a:innerShdw>
                  </a:effectLst>
                  <a:latin typeface="+mn-lt"/>
                </a:rPr>
                <a:t>ATIVO</a:t>
              </a:r>
            </a:p>
          </xdr:txBody>
        </xdr:sp>
      </xdr:grp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9120778" y="1506685"/>
            <a:ext cx="1441083" cy="1081057"/>
            <a:chOff x="9120778" y="1506685"/>
            <a:chExt cx="1441083" cy="1081057"/>
          </a:xfrm>
        </xdr:grpSpPr>
        <xdr:graphicFrame macro="">
          <xdr:nvGraphicFramePr>
            <xdr:cNvPr id="111" name="Gráfico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GraphicFramePr>
              <a:graphicFrameLocks/>
            </xdr:cNvGraphicFramePr>
          </xdr:nvGraphicFramePr>
          <xdr:xfrm>
            <a:off x="9120778" y="1506685"/>
            <a:ext cx="1441083" cy="9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8"/>
            </a:graphicData>
          </a:graphic>
        </xdr:graphicFrame>
        <xdr:sp macro="" textlink="">
          <xdr:nvSpPr>
            <xdr:cNvPr id="115" name="CaixaDeTexto 114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 txBox="1"/>
          </xdr:nvSpPr>
          <xdr:spPr>
            <a:xfrm>
              <a:off x="9538719" y="2309696"/>
              <a:ext cx="717006" cy="278046"/>
            </a:xfrm>
            <a:prstGeom prst="rect">
              <a:avLst/>
            </a:prstGeom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900" b="1">
                  <a:solidFill>
                    <a:schemeClr val="accent6"/>
                  </a:solidFill>
                  <a:effectLst>
                    <a:innerShdw blurRad="63500" dist="50800" dir="18900000">
                      <a:prstClr val="black">
                        <a:alpha val="50000"/>
                      </a:prstClr>
                    </a:innerShdw>
                  </a:effectLst>
                  <a:latin typeface="+mn-lt"/>
                </a:rPr>
                <a:t>PASSIVO</a:t>
              </a:r>
            </a:p>
          </xdr:txBody>
        </xdr:sp>
      </xdr:grpSp>
      <xdr:graphicFrame macro="">
        <xdr:nvGraphicFramePr>
          <xdr:cNvPr id="117" name="Gráfico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GraphicFramePr>
            <a:graphicFrameLocks/>
          </xdr:cNvGraphicFramePr>
        </xdr:nvGraphicFramePr>
        <xdr:xfrm>
          <a:off x="10234572" y="1501008"/>
          <a:ext cx="1528654" cy="11086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9"/>
          </a:graphicData>
        </a:graphic>
      </xdr:graphicFrame>
    </xdr:grpSp>
    <xdr:clientData/>
  </xdr:twoCellAnchor>
  <xdr:twoCellAnchor>
    <xdr:from>
      <xdr:col>11</xdr:col>
      <xdr:colOff>207500</xdr:colOff>
      <xdr:row>21</xdr:row>
      <xdr:rowOff>174446</xdr:rowOff>
    </xdr:from>
    <xdr:to>
      <xdr:col>17</xdr:col>
      <xdr:colOff>21166</xdr:colOff>
      <xdr:row>29</xdr:row>
      <xdr:rowOff>158750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8515417" y="4460696"/>
          <a:ext cx="3687166" cy="1529471"/>
          <a:chOff x="8673122" y="4648309"/>
          <a:chExt cx="3103243" cy="896666"/>
        </a:xfrm>
      </xdr:grpSpPr>
      <xdr:sp macro="" textlink="">
        <xdr:nvSpPr>
          <xdr:cNvPr id="87" name="Retângulo: Cantos Arredondados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8673122" y="4752453"/>
            <a:ext cx="3103243" cy="792522"/>
          </a:xfrm>
          <a:prstGeom prst="roundRect">
            <a:avLst>
              <a:gd name="adj" fmla="val 20751"/>
            </a:avLst>
          </a:prstGeom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SpPr txBox="1"/>
        </xdr:nvSpPr>
        <xdr:spPr>
          <a:xfrm>
            <a:off x="8786693" y="4747665"/>
            <a:ext cx="2018146" cy="3189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bg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  <a:latin typeface="+mn-lt"/>
              </a:rPr>
              <a:t>PERFIL INVESTIMENTO</a:t>
            </a:r>
          </a:p>
        </xdr:txBody>
      </xdr:sp>
      <xdr:graphicFrame macro="">
        <xdr:nvGraphicFramePr>
          <xdr:cNvPr id="119" name="Gráfico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GraphicFramePr>
            <a:graphicFrameLocks/>
          </xdr:cNvGraphicFramePr>
        </xdr:nvGraphicFramePr>
        <xdr:xfrm>
          <a:off x="10175837" y="4648309"/>
          <a:ext cx="1373765" cy="8485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0"/>
          </a:graphicData>
        </a:graphic>
      </xdr:graphicFrame>
      <xdr:sp macro="" textlink="'BASE PAINEL'!C45">
        <xdr:nvSpPr>
          <xdr:cNvPr id="121" name="Retângulo: Cantos Arredondados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/>
        </xdr:nvSpPr>
        <xdr:spPr>
          <a:xfrm>
            <a:off x="9059481" y="5075294"/>
            <a:ext cx="1127845" cy="288471"/>
          </a:xfrm>
          <a:prstGeom prst="roundRect">
            <a:avLst/>
          </a:prstGeom>
          <a:gradFill flip="none" rotWithShape="1">
            <a:gsLst>
              <a:gs pos="0">
                <a:srgbClr val="8741F5"/>
              </a:gs>
              <a:gs pos="100000">
                <a:srgbClr val="40405D"/>
              </a:gs>
            </a:gsLst>
            <a:lin ang="162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D4284A1-AC80-48C1-82A2-9BF5C89AA09C}" type="TxLink">
              <a:rPr lang="en-US" sz="11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CONSERVADOR</a:t>
            </a:fld>
            <a:endParaRPr lang="pt-BR" sz="105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910166</xdr:colOff>
      <xdr:row>4</xdr:row>
      <xdr:rowOff>8659</xdr:rowOff>
    </xdr:from>
    <xdr:to>
      <xdr:col>11</xdr:col>
      <xdr:colOff>105833</xdr:colOff>
      <xdr:row>15</xdr:row>
      <xdr:rowOff>0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GrpSpPr/>
      </xdr:nvGrpSpPr>
      <xdr:grpSpPr>
        <a:xfrm>
          <a:off x="1026583" y="1056409"/>
          <a:ext cx="7387167" cy="2086841"/>
          <a:chOff x="732884" y="4545567"/>
          <a:chExt cx="7767745" cy="1157921"/>
        </a:xfrm>
      </xdr:grpSpPr>
      <xdr:sp macro="" textlink="">
        <xdr:nvSpPr>
          <xdr:cNvPr id="70" name="Retângulo: Cantos Arredondados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824253" y="4545567"/>
            <a:ext cx="7676376" cy="980189"/>
          </a:xfrm>
          <a:prstGeom prst="roundRect">
            <a:avLst>
              <a:gd name="adj" fmla="val 21231"/>
            </a:avLst>
          </a:prstGeom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71" name="Agrupar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732884" y="4570797"/>
            <a:ext cx="7700973" cy="1132691"/>
            <a:chOff x="732884" y="4570797"/>
            <a:chExt cx="7700973" cy="1132691"/>
          </a:xfrm>
        </xdr:grpSpPr>
        <xdr:graphicFrame macro="">
          <xdr:nvGraphicFramePr>
            <xdr:cNvPr id="58" name="Gráfico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GraphicFramePr>
              <a:graphicFrameLocks/>
            </xdr:cNvGraphicFramePr>
          </xdr:nvGraphicFramePr>
          <xdr:xfrm>
            <a:off x="732884" y="4588809"/>
            <a:ext cx="6301303" cy="11146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1"/>
            </a:graphicData>
          </a:graphic>
        </xdr:graphicFrame>
        <xdr:sp macro="" textlink="">
          <xdr:nvSpPr>
            <xdr:cNvPr id="59" name="CaixaDeTexto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3620883" y="4750092"/>
              <a:ext cx="2256805" cy="3020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pt-BR" sz="1050" b="1">
                  <a:solidFill>
                    <a:schemeClr val="accent5"/>
                  </a:solidFill>
                  <a:effectLst>
                    <a:innerShdw blurRad="63500" dist="50800" dir="189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rPr>
                <a:t>Saldo ao longo do ano</a:t>
              </a:r>
            </a:p>
          </xdr:txBody>
        </xdr:sp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 txBox="1"/>
          </xdr:nvSpPr>
          <xdr:spPr>
            <a:xfrm>
              <a:off x="6791683" y="4803802"/>
              <a:ext cx="1547022" cy="31896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>
                  <a:solidFill>
                    <a:schemeClr val="accent4"/>
                  </a:solidFill>
                  <a:effectLst>
                    <a:innerShdw blurRad="63500" dist="50800" dir="18900000">
                      <a:prstClr val="black">
                        <a:alpha val="50000"/>
                      </a:prstClr>
                    </a:innerShdw>
                  </a:effectLst>
                  <a:latin typeface="+mn-lt"/>
                </a:rPr>
                <a:t>SALDO ACUMULADO</a:t>
              </a:r>
            </a:p>
          </xdr:txBody>
        </xdr:sp>
        <xdr:sp macro="" textlink="">
          <xdr:nvSpPr>
            <xdr:cNvPr id="78" name="CaixaDeTexto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918017" y="4570797"/>
              <a:ext cx="2001266" cy="31896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pt-BR" sz="1200" b="1">
                  <a:solidFill>
                    <a:schemeClr val="bg1"/>
                  </a:solidFill>
                  <a:effectLst>
                    <a:innerShdw blurRad="63500" dist="50800" dir="189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rPr>
                <a:t>DESEMPENHO DO ANO</a:t>
              </a:r>
            </a:p>
          </xdr:txBody>
        </xdr:sp>
        <xdr:sp macro="" textlink="">
          <xdr:nvSpPr>
            <xdr:cNvPr id="122" name="CaixaDeTexto 121">
              <a:extLst>
                <a:ext uri="{FF2B5EF4-FFF2-40B4-BE49-F238E27FC236}">
                  <a16:creationId xmlns:a16="http://schemas.microsoft.com/office/drawing/2014/main" id="{00000000-0008-0000-0100-00007A000000}"/>
                </a:ext>
              </a:extLst>
            </xdr:cNvPr>
            <xdr:cNvSpPr txBox="1"/>
          </xdr:nvSpPr>
          <xdr:spPr>
            <a:xfrm>
              <a:off x="6944438" y="5009938"/>
              <a:ext cx="495453" cy="371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r"/>
              <a:r>
                <a:rPr lang="en-US" sz="1800" b="1" i="0" u="none" strike="noStrike">
                  <a:solidFill>
                    <a:schemeClr val="bg1"/>
                  </a:solidFill>
                  <a:effectLst>
                    <a:innerShdw blurRad="63500" dist="50800" dir="189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Calibri"/>
                </a:rPr>
                <a:t>R$</a:t>
              </a:r>
            </a:p>
          </xdr:txBody>
        </xdr:sp>
        <xdr:sp macro="" textlink="ORÇAMENTO!Q176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100-00007B000000}"/>
                </a:ext>
              </a:extLst>
            </xdr:cNvPr>
            <xdr:cNvSpPr txBox="1"/>
          </xdr:nvSpPr>
          <xdr:spPr>
            <a:xfrm>
              <a:off x="7335115" y="5009938"/>
              <a:ext cx="1098742" cy="371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l"/>
              <a:fld id="{3DE335AE-8487-4E5E-B8AD-ECA25AF5D402}" type="TxLink">
                <a:rPr lang="en-US" sz="1800" b="1" i="0" u="none" strike="noStrike">
                  <a:solidFill>
                    <a:schemeClr val="bg1"/>
                  </a:solidFill>
                  <a:effectLst>
                    <a:innerShdw blurRad="63500" dist="50800" dir="189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Calibri"/>
                </a:rPr>
                <a:pPr marL="0" indent="0" algn="l"/>
                <a:t>5.622</a:t>
              </a:fld>
              <a:endParaRPr lang="pt-BR" sz="1800" b="1" i="0" u="none" strike="noStrike">
                <a:solidFill>
                  <a:schemeClr val="bg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Calibri"/>
              </a:endParaRPr>
            </a:p>
          </xdr:txBody>
        </xdr:sp>
      </xdr:grpSp>
    </xdr:grpSp>
    <xdr:clientData/>
  </xdr:twoCellAnchor>
  <xdr:twoCellAnchor>
    <xdr:from>
      <xdr:col>0</xdr:col>
      <xdr:colOff>0</xdr:colOff>
      <xdr:row>1</xdr:row>
      <xdr:rowOff>390525</xdr:rowOff>
    </xdr:from>
    <xdr:to>
      <xdr:col>1</xdr:col>
      <xdr:colOff>923925</xdr:colOff>
      <xdr:row>29</xdr:row>
      <xdr:rowOff>123825</xdr:rowOff>
    </xdr:to>
    <xdr:sp macro="" textlink="">
      <xdr:nvSpPr>
        <xdr:cNvPr id="2" name="Retângulo: Cantos Superiores Arredondado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504825"/>
          <a:ext cx="1038225" cy="5448300"/>
        </a:xfrm>
        <a:prstGeom prst="round2Same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415322</xdr:colOff>
      <xdr:row>1</xdr:row>
      <xdr:rowOff>251114</xdr:rowOff>
    </xdr:from>
    <xdr:to>
      <xdr:col>16</xdr:col>
      <xdr:colOff>242454</xdr:colOff>
      <xdr:row>3</xdr:row>
      <xdr:rowOff>91375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6140905" y="367531"/>
          <a:ext cx="5637382" cy="581094"/>
          <a:chOff x="6156299" y="363682"/>
          <a:chExt cx="5672019" cy="58494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GrpSpPr/>
        </xdr:nvGrpSpPr>
        <xdr:grpSpPr>
          <a:xfrm>
            <a:off x="6156299" y="363682"/>
            <a:ext cx="5672019" cy="584943"/>
            <a:chOff x="6156299" y="363682"/>
            <a:chExt cx="5672019" cy="584943"/>
          </a:xfrm>
        </xdr:grpSpPr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/>
          </xdr:nvSpPr>
          <xdr:spPr>
            <a:xfrm>
              <a:off x="6156299" y="363682"/>
              <a:ext cx="5672019" cy="584943"/>
            </a:xfrm>
            <a:prstGeom prst="roundRect">
              <a:avLst>
                <a:gd name="adj" fmla="val 29630"/>
              </a:avLst>
            </a:prstGeom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grpSp>
          <xdr:nvGrpSpPr>
            <xdr:cNvPr id="3" name="Agrupar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pSpPr/>
          </xdr:nvGrpSpPr>
          <xdr:grpSpPr>
            <a:xfrm>
              <a:off x="9862701" y="421802"/>
              <a:ext cx="1664528" cy="435617"/>
              <a:chOff x="9923286" y="513932"/>
              <a:chExt cx="1613650" cy="429884"/>
            </a:xfrm>
          </xdr:grpSpPr>
          <xdr:sp macro="" textlink="'BASE PAINEL'!B40">
            <xdr:nvSpPr>
              <xdr:cNvPr id="54" name="Retângulo: Cantos Arredondados 53">
                <a:extLst>
                  <a:ext uri="{FF2B5EF4-FFF2-40B4-BE49-F238E27FC236}">
                    <a16:creationId xmlns:a16="http://schemas.microsoft.com/office/drawing/2014/main" id="{00000000-0008-0000-0100-000036000000}"/>
                  </a:ext>
                </a:extLst>
              </xdr:cNvPr>
              <xdr:cNvSpPr/>
            </xdr:nvSpPr>
            <xdr:spPr>
              <a:xfrm>
                <a:off x="9923286" y="513932"/>
                <a:ext cx="1613650" cy="429884"/>
              </a:xfrm>
              <a:prstGeom prst="roundRect">
                <a:avLst/>
              </a:prstGeom>
              <a:gradFill flip="none" rotWithShape="1">
                <a:gsLst>
                  <a:gs pos="100000">
                    <a:schemeClr val="accent5"/>
                  </a:gs>
                  <a:gs pos="50000">
                    <a:srgbClr val="38D17B"/>
                  </a:gs>
                  <a:gs pos="0">
                    <a:srgbClr val="00B050"/>
                  </a:gs>
                </a:gsLst>
                <a:lin ang="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6E36C88B-1BC1-4BC0-8D4D-BC19A0E0E3B7}" type="TxLink">
                  <a:rPr lang="en-US" sz="120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ctr"/>
                  <a:t> R$ 561,00 </a:t>
                </a:fld>
                <a:endParaRPr lang="en-US" sz="1200" b="1" i="0" u="none" strike="noStrike">
                  <a:solidFill>
                    <a:schemeClr val="bg1"/>
                  </a:solidFill>
                  <a:latin typeface="Calibri"/>
                  <a:cs typeface="Calibri"/>
                </a:endParaRPr>
              </a:p>
              <a:p>
                <a:pPr algn="ctr"/>
                <a:r>
                  <a:rPr lang="en-US" sz="6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t>SALDO DO MÊS</a:t>
                </a:r>
                <a:endParaRPr lang="pt-BR" sz="200" b="0">
                  <a:solidFill>
                    <a:schemeClr val="bg1"/>
                  </a:solidFill>
                  <a:latin typeface="+mn-lt"/>
                </a:endParaRPr>
              </a:p>
            </xdr:txBody>
          </xdr:sp>
          <xdr:pic>
            <xdr:nvPicPr>
              <xdr:cNvPr id="55" name="Imagem 54">
                <a:extLst>
                  <a:ext uri="{FF2B5EF4-FFF2-40B4-BE49-F238E27FC236}">
                    <a16:creationId xmlns:a16="http://schemas.microsoft.com/office/drawing/2014/main" id="{00000000-0008-0000-0100-00003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047351" y="567433"/>
                <a:ext cx="220249" cy="300344"/>
              </a:xfrm>
              <a:prstGeom prst="rect">
                <a:avLst/>
              </a:prstGeom>
            </xdr:spPr>
          </xdr:pic>
        </xdr:grpSp>
      </xdr:grpSp>
      <xdr:sp macro="" textlink="'BASE PAINEL'!B38">
        <xdr:nvSpPr>
          <xdr:cNvPr id="129" name="Retângulo: Cantos Arredondados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6414506" y="421802"/>
            <a:ext cx="1460947" cy="435616"/>
          </a:xfrm>
          <a:prstGeom prst="roundRect">
            <a:avLst/>
          </a:prstGeom>
          <a:gradFill flip="none" rotWithShape="1">
            <a:gsLst>
              <a:gs pos="100000">
                <a:schemeClr val="accent4">
                  <a:lumMod val="75000"/>
                </a:schemeClr>
              </a:gs>
              <a:gs pos="0">
                <a:srgbClr val="00B0F0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CCA6492-B588-42B2-B9D5-F6249532282E}" type="TxLink">
              <a:rPr lang="en-US" sz="1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 R$ 12.000,00 </a:t>
            </a:fld>
            <a:endParaRPr lang="en-US" sz="12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  <a:p>
            <a:pPr algn="ctr"/>
            <a:r>
              <a:rPr lang="en-US" sz="600" b="0" i="0" u="none" strike="noStrike">
                <a:solidFill>
                  <a:schemeClr val="bg1"/>
                </a:solidFill>
                <a:latin typeface="Calibri"/>
                <a:cs typeface="Calibri"/>
              </a:rPr>
              <a:t>RECEITA DO MÊS</a:t>
            </a:r>
            <a:endParaRPr lang="pt-BR" sz="1050">
              <a:solidFill>
                <a:schemeClr val="bg1"/>
              </a:solidFill>
              <a:latin typeface="+mn-lt"/>
            </a:endParaRPr>
          </a:p>
        </xdr:txBody>
      </xdr:sp>
      <xdr:sp macro="" textlink="'BASE PAINEL'!B39">
        <xdr:nvSpPr>
          <xdr:cNvPr id="130" name="Retângulo: Cantos Arredondados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>
            <a:off x="8065810" y="421802"/>
            <a:ext cx="1584991" cy="435616"/>
          </a:xfrm>
          <a:prstGeom prst="roundRect">
            <a:avLst/>
          </a:prstGeom>
          <a:gradFill flip="none" rotWithShape="1">
            <a:gsLst>
              <a:gs pos="34000">
                <a:srgbClr val="FF3249"/>
              </a:gs>
              <a:gs pos="0">
                <a:schemeClr val="accent6"/>
              </a:gs>
              <a:gs pos="100000">
                <a:srgbClr val="FF0000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C73CC59-03AA-4DD2-B98D-1045AC2D1B23}" type="TxLink">
              <a:rPr lang="en-US" sz="1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 R$ 11.439,00 </a:t>
            </a:fld>
            <a:endParaRPr lang="en-US" sz="12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  <a:p>
            <a:pPr algn="ctr"/>
            <a:r>
              <a:rPr lang="pt-BR" sz="600" b="0">
                <a:solidFill>
                  <a:schemeClr val="bg1"/>
                </a:solidFill>
                <a:latin typeface="+mn-lt"/>
              </a:rPr>
              <a:t>DESPESAS</a:t>
            </a:r>
            <a:r>
              <a:rPr lang="pt-BR" sz="600" b="0" baseline="0">
                <a:solidFill>
                  <a:schemeClr val="bg1"/>
                </a:solidFill>
                <a:latin typeface="+mn-lt"/>
              </a:rPr>
              <a:t> DO MÊS</a:t>
            </a:r>
            <a:endParaRPr lang="pt-BR" sz="600" b="0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910395</xdr:colOff>
      <xdr:row>1</xdr:row>
      <xdr:rowOff>111701</xdr:rowOff>
    </xdr:from>
    <xdr:to>
      <xdr:col>5</xdr:col>
      <xdr:colOff>581024</xdr:colOff>
      <xdr:row>1</xdr:row>
      <xdr:rowOff>613833</xdr:rowOff>
    </xdr:to>
    <xdr:sp macro="" textlink="">
      <xdr:nvSpPr>
        <xdr:cNvPr id="144" name="CaixaDeTexto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1026812" y="228118"/>
          <a:ext cx="3988629" cy="502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50000"/>
                  <a:lumOff val="50000"/>
                </a:schemeClr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Copperplate Gothic Bold" panose="020E0705020206020404" pitchFamily="34" charset="0"/>
              <a:ea typeface="+mn-ea"/>
              <a:cs typeface="+mn-cs"/>
            </a:rPr>
            <a:t>DASHBOARD</a:t>
          </a:r>
          <a:r>
            <a:rPr lang="pt-BR" sz="1400" b="1" baseline="0">
              <a:solidFill>
                <a:schemeClr val="accent1">
                  <a:lumMod val="50000"/>
                  <a:lumOff val="50000"/>
                </a:schemeClr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Copperplate Gothic Bold" panose="020E0705020206020404" pitchFamily="34" charset="0"/>
              <a:ea typeface="+mn-ea"/>
              <a:cs typeface="+mn-cs"/>
            </a:rPr>
            <a:t> CONTROLE FINANCEIRO</a:t>
          </a:r>
          <a:endParaRPr lang="pt-BR" sz="1400" b="1">
            <a:solidFill>
              <a:schemeClr val="accent1">
                <a:lumMod val="50000"/>
                <a:lumOff val="50000"/>
              </a:schemeClr>
            </a:solidFill>
            <a:effectLst>
              <a:innerShdw blurRad="63500" dist="50800" dir="18900000">
                <a:prstClr val="black">
                  <a:alpha val="50000"/>
                </a:prstClr>
              </a:innerShdw>
            </a:effectLst>
            <a:latin typeface="Copperplate Gothic Bold" panose="020E07050202060204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406976</xdr:colOff>
      <xdr:row>1</xdr:row>
      <xdr:rowOff>268432</xdr:rowOff>
    </xdr:from>
    <xdr:to>
      <xdr:col>7</xdr:col>
      <xdr:colOff>450273</xdr:colOff>
      <xdr:row>1</xdr:row>
      <xdr:rowOff>587400</xdr:rowOff>
    </xdr:to>
    <xdr:sp macro="" textlink="">
      <xdr:nvSpPr>
        <xdr:cNvPr id="153" name="CaixaDeTexto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4849090" y="381000"/>
          <a:ext cx="1342160" cy="3189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200" b="1">
              <a:solidFill>
                <a:schemeClr val="accent1">
                  <a:lumMod val="50000"/>
                  <a:lumOff val="50000"/>
                </a:schemeClr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MÊS CONTROLE</a:t>
          </a:r>
        </a:p>
      </xdr:txBody>
    </xdr:sp>
    <xdr:clientData/>
  </xdr:twoCellAnchor>
  <xdr:twoCellAnchor>
    <xdr:from>
      <xdr:col>0</xdr:col>
      <xdr:colOff>9526</xdr:colOff>
      <xdr:row>7</xdr:row>
      <xdr:rowOff>85725</xdr:rowOff>
    </xdr:from>
    <xdr:to>
      <xdr:col>1</xdr:col>
      <xdr:colOff>903226</xdr:colOff>
      <xdr:row>9</xdr:row>
      <xdr:rowOff>76298</xdr:rowOff>
    </xdr:to>
    <xdr:sp macro="" textlink="'BASE PAINEL'!C45">
      <xdr:nvSpPr>
        <xdr:cNvPr id="185" name="Retângulo: Cantos Arredondados 184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/>
      </xdr:nvSpPr>
      <xdr:spPr>
        <a:xfrm>
          <a:off x="9526" y="1704975"/>
          <a:ext cx="1008000" cy="371573"/>
        </a:xfrm>
        <a:prstGeom prst="roundRect">
          <a:avLst/>
        </a:prstGeom>
        <a:gradFill flip="none" rotWithShape="1">
          <a:gsLst>
            <a:gs pos="0">
              <a:srgbClr val="8741F5"/>
            </a:gs>
            <a:gs pos="100000">
              <a:srgbClr val="40405D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MENU</a:t>
          </a:r>
        </a:p>
      </xdr:txBody>
    </xdr:sp>
    <xdr:clientData/>
  </xdr:twoCellAnchor>
  <xdr:twoCellAnchor>
    <xdr:from>
      <xdr:col>0</xdr:col>
      <xdr:colOff>22622</xdr:colOff>
      <xdr:row>10</xdr:row>
      <xdr:rowOff>45244</xdr:rowOff>
    </xdr:from>
    <xdr:to>
      <xdr:col>1</xdr:col>
      <xdr:colOff>916322</xdr:colOff>
      <xdr:row>12</xdr:row>
      <xdr:rowOff>35817</xdr:rowOff>
    </xdr:to>
    <xdr:sp macro="" textlink="'BASE PAINEL'!C45">
      <xdr:nvSpPr>
        <xdr:cNvPr id="186" name="Retângulo: Cantos Arredondados 18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/>
      </xdr:nvSpPr>
      <xdr:spPr>
        <a:xfrm>
          <a:off x="22622" y="2235994"/>
          <a:ext cx="1008000" cy="371573"/>
        </a:xfrm>
        <a:prstGeom prst="roundRect">
          <a:avLst/>
        </a:prstGeom>
        <a:gradFill flip="none" rotWithShape="1">
          <a:gsLst>
            <a:gs pos="0">
              <a:srgbClr val="8741F5"/>
            </a:gs>
            <a:gs pos="100000">
              <a:srgbClr val="40405D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ORÇAMENTO</a:t>
          </a:r>
        </a:p>
      </xdr:txBody>
    </xdr:sp>
    <xdr:clientData/>
  </xdr:twoCellAnchor>
  <xdr:twoCellAnchor>
    <xdr:from>
      <xdr:col>0</xdr:col>
      <xdr:colOff>4763</xdr:colOff>
      <xdr:row>13</xdr:row>
      <xdr:rowOff>4763</xdr:rowOff>
    </xdr:from>
    <xdr:to>
      <xdr:col>1</xdr:col>
      <xdr:colOff>898463</xdr:colOff>
      <xdr:row>14</xdr:row>
      <xdr:rowOff>185836</xdr:rowOff>
    </xdr:to>
    <xdr:sp macro="" textlink="'BASE PAINEL'!C45">
      <xdr:nvSpPr>
        <xdr:cNvPr id="187" name="Retângulo: Cantos Arredondados 186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/>
      </xdr:nvSpPr>
      <xdr:spPr>
        <a:xfrm>
          <a:off x="4763" y="2767013"/>
          <a:ext cx="1008000" cy="371573"/>
        </a:xfrm>
        <a:prstGeom prst="roundRect">
          <a:avLst/>
        </a:prstGeom>
        <a:gradFill flip="none" rotWithShape="1">
          <a:gsLst>
            <a:gs pos="0">
              <a:srgbClr val="8741F5"/>
            </a:gs>
            <a:gs pos="100000">
              <a:srgbClr val="40405D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LANÇAMENTO</a:t>
          </a:r>
        </a:p>
      </xdr:txBody>
    </xdr:sp>
    <xdr:clientData/>
  </xdr:twoCellAnchor>
  <xdr:twoCellAnchor>
    <xdr:from>
      <xdr:col>0</xdr:col>
      <xdr:colOff>17860</xdr:colOff>
      <xdr:row>15</xdr:row>
      <xdr:rowOff>154782</xdr:rowOff>
    </xdr:from>
    <xdr:to>
      <xdr:col>1</xdr:col>
      <xdr:colOff>911560</xdr:colOff>
      <xdr:row>17</xdr:row>
      <xdr:rowOff>145355</xdr:rowOff>
    </xdr:to>
    <xdr:sp macro="" textlink="'BASE PAINEL'!C45">
      <xdr:nvSpPr>
        <xdr:cNvPr id="188" name="Retângulo: Cantos Arredondados 187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/>
      </xdr:nvSpPr>
      <xdr:spPr>
        <a:xfrm>
          <a:off x="17860" y="3298032"/>
          <a:ext cx="1008000" cy="371573"/>
        </a:xfrm>
        <a:prstGeom prst="roundRect">
          <a:avLst/>
        </a:prstGeom>
        <a:gradFill flip="none" rotWithShape="1">
          <a:gsLst>
            <a:gs pos="0">
              <a:srgbClr val="8741F5"/>
            </a:gs>
            <a:gs pos="100000">
              <a:srgbClr val="40405D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PATRIMÔNIO</a:t>
          </a:r>
        </a:p>
      </xdr:txBody>
    </xdr:sp>
    <xdr:clientData/>
  </xdr:twoCellAnchor>
  <xdr:twoCellAnchor>
    <xdr:from>
      <xdr:col>0</xdr:col>
      <xdr:colOff>17860</xdr:colOff>
      <xdr:row>18</xdr:row>
      <xdr:rowOff>114300</xdr:rowOff>
    </xdr:from>
    <xdr:to>
      <xdr:col>1</xdr:col>
      <xdr:colOff>911560</xdr:colOff>
      <xdr:row>20</xdr:row>
      <xdr:rowOff>104873</xdr:rowOff>
    </xdr:to>
    <xdr:sp macro="" textlink="'BASE PAINEL'!C45">
      <xdr:nvSpPr>
        <xdr:cNvPr id="189" name="Retângulo: Cantos Arredondados 188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/>
      </xdr:nvSpPr>
      <xdr:spPr>
        <a:xfrm>
          <a:off x="17860" y="3829050"/>
          <a:ext cx="1008000" cy="371573"/>
        </a:xfrm>
        <a:prstGeom prst="roundRect">
          <a:avLst/>
        </a:prstGeom>
        <a:gradFill flip="none" rotWithShape="1">
          <a:gsLst>
            <a:gs pos="0">
              <a:srgbClr val="8741F5"/>
            </a:gs>
            <a:gs pos="100000">
              <a:srgbClr val="40405D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PROJETOS</a:t>
          </a:r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1</xdr:col>
      <xdr:colOff>0</xdr:colOff>
      <xdr:row>26</xdr:row>
      <xdr:rowOff>0</xdr:rowOff>
    </xdr:to>
    <xdr:cxnSp macro="">
      <xdr:nvCxnSpPr>
        <xdr:cNvPr id="73" name="Conector reto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>
          <a:off x="114300" y="5238750"/>
          <a:ext cx="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</xdr:row>
      <xdr:rowOff>619125</xdr:rowOff>
    </xdr:from>
    <xdr:to>
      <xdr:col>1</xdr:col>
      <xdr:colOff>647700</xdr:colOff>
      <xdr:row>3</xdr:row>
      <xdr:rowOff>165279</xdr:rowOff>
    </xdr:to>
    <xdr:sp macro="" textlink="">
      <xdr:nvSpPr>
        <xdr:cNvPr id="193" name="CaixaDeTexto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95250" y="733425"/>
          <a:ext cx="666750" cy="289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200" b="1" u="none"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>
          <a:pPr marL="0" indent="0"/>
          <a:endParaRPr lang="pt-BR" sz="1200" b="1">
            <a:solidFill>
              <a:schemeClr val="bg1"/>
            </a:solidFill>
            <a:effectLst>
              <a:innerShdw blurRad="63500" dist="50800" dir="189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25</xdr:row>
      <xdr:rowOff>22046</xdr:rowOff>
    </xdr:from>
    <xdr:to>
      <xdr:col>1</xdr:col>
      <xdr:colOff>1012409</xdr:colOff>
      <xdr:row>27</xdr:row>
      <xdr:rowOff>0</xdr:rowOff>
    </xdr:to>
    <xdr:sp macro="" textlink="">
      <xdr:nvSpPr>
        <xdr:cNvPr id="195" name="CaixaDeTexto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0" y="5070296"/>
          <a:ext cx="1126709" cy="358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200" b="1"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 </a:t>
          </a:r>
        </a:p>
        <a:p>
          <a:pPr marL="0" indent="0" algn="l"/>
          <a:endParaRPr lang="pt-BR" sz="1200" b="1">
            <a:solidFill>
              <a:schemeClr val="bg1"/>
            </a:solidFill>
            <a:effectLst>
              <a:innerShdw blurRad="63500" dist="50800" dir="189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</xdr:col>
      <xdr:colOff>857700</xdr:colOff>
      <xdr:row>1</xdr:row>
      <xdr:rowOff>230850</xdr:rowOff>
    </xdr:to>
    <xdr:sp macro="" textlink="'BASE PAINEL'!C45">
      <xdr:nvSpPr>
        <xdr:cNvPr id="25" name="Retângulo: Cantos Arredondados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0" y="57150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MENU</a:t>
          </a:r>
        </a:p>
      </xdr:txBody>
    </xdr:sp>
    <xdr:clientData/>
  </xdr:twoCellAnchor>
  <xdr:twoCellAnchor>
    <xdr:from>
      <xdr:col>1</xdr:col>
      <xdr:colOff>1404450</xdr:colOff>
      <xdr:row>0</xdr:row>
      <xdr:rowOff>57150</xdr:rowOff>
    </xdr:from>
    <xdr:to>
      <xdr:col>1</xdr:col>
      <xdr:colOff>2376450</xdr:colOff>
      <xdr:row>1</xdr:row>
      <xdr:rowOff>230850</xdr:rowOff>
    </xdr:to>
    <xdr:sp macro="" textlink="'BASE PAINEL'!C45">
      <xdr:nvSpPr>
        <xdr:cNvPr id="26" name="Retângulo: Cantos Arredondados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518750" y="57150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LANÇAMENTO</a:t>
          </a:r>
        </a:p>
      </xdr:txBody>
    </xdr:sp>
    <xdr:clientData/>
  </xdr:twoCellAnchor>
  <xdr:twoCellAnchor>
    <xdr:from>
      <xdr:col>8</xdr:col>
      <xdr:colOff>238177</xdr:colOff>
      <xdr:row>1</xdr:row>
      <xdr:rowOff>50965</xdr:rowOff>
    </xdr:from>
    <xdr:to>
      <xdr:col>14</xdr:col>
      <xdr:colOff>486508</xdr:colOff>
      <xdr:row>1</xdr:row>
      <xdr:rowOff>514350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6575965" y="168196"/>
          <a:ext cx="4116947" cy="463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</a:rPr>
            <a:t>ORÇAMENTO E FLUXO DE CAIXA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</xdr:row>
          <xdr:rowOff>295275</xdr:rowOff>
        </xdr:from>
        <xdr:to>
          <xdr:col>6</xdr:col>
          <xdr:colOff>485775</xdr:colOff>
          <xdr:row>1</xdr:row>
          <xdr:rowOff>561975</xdr:rowOff>
        </xdr:to>
        <xdr:sp macro="" textlink="">
          <xdr:nvSpPr>
            <xdr:cNvPr id="4097" name="ComboBox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323400</xdr:colOff>
      <xdr:row>0</xdr:row>
      <xdr:rowOff>57150</xdr:rowOff>
    </xdr:from>
    <xdr:to>
      <xdr:col>4</xdr:col>
      <xdr:colOff>0</xdr:colOff>
      <xdr:row>1</xdr:row>
      <xdr:rowOff>230850</xdr:rowOff>
    </xdr:to>
    <xdr:sp macro="" textlink="'BASE PAINEL'!C45">
      <xdr:nvSpPr>
        <xdr:cNvPr id="29" name="Retângulo: Cantos Arredondado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2818950" y="57150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PROJETOS</a:t>
          </a:r>
        </a:p>
      </xdr:txBody>
    </xdr:sp>
    <xdr:clientData/>
  </xdr:twoCellAnchor>
  <xdr:twoCellAnchor>
    <xdr:from>
      <xdr:col>5</xdr:col>
      <xdr:colOff>18071</xdr:colOff>
      <xdr:row>1</xdr:row>
      <xdr:rowOff>45178</xdr:rowOff>
    </xdr:from>
    <xdr:to>
      <xdr:col>7</xdr:col>
      <xdr:colOff>438979</xdr:colOff>
      <xdr:row>1</xdr:row>
      <xdr:rowOff>364146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4457549" y="161135"/>
          <a:ext cx="1712995" cy="3189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200" b="1"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MÊS INÍCIO CONTROLE</a:t>
          </a:r>
        </a:p>
      </xdr:txBody>
    </xdr:sp>
    <xdr:clientData/>
  </xdr:twoCellAnchor>
  <xdr:twoCellAnchor>
    <xdr:from>
      <xdr:col>1</xdr:col>
      <xdr:colOff>1409250</xdr:colOff>
      <xdr:row>1</xdr:row>
      <xdr:rowOff>356013</xdr:rowOff>
    </xdr:from>
    <xdr:to>
      <xdr:col>2</xdr:col>
      <xdr:colOff>0</xdr:colOff>
      <xdr:row>2</xdr:row>
      <xdr:rowOff>15363</xdr:rowOff>
    </xdr:to>
    <xdr:sp macro="" textlink="'BASE PAINEL'!C45">
      <xdr:nvSpPr>
        <xdr:cNvPr id="27" name="Retângulo: Cantos Arredondado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523550" y="470313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PATRIMÔNIO</a:t>
          </a:r>
        </a:p>
      </xdr:txBody>
    </xdr:sp>
    <xdr:clientData/>
  </xdr:twoCellAnchor>
  <xdr:twoCellAnchor>
    <xdr:from>
      <xdr:col>0</xdr:col>
      <xdr:colOff>0</xdr:colOff>
      <xdr:row>1</xdr:row>
      <xdr:rowOff>356013</xdr:rowOff>
    </xdr:from>
    <xdr:to>
      <xdr:col>1</xdr:col>
      <xdr:colOff>857700</xdr:colOff>
      <xdr:row>2</xdr:row>
      <xdr:rowOff>15363</xdr:rowOff>
    </xdr:to>
    <xdr:sp macro="" textlink="'BASE PAINEL'!C45">
      <xdr:nvSpPr>
        <xdr:cNvPr id="28" name="Retângulo: Cantos Arredondado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0" y="470313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DASH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282092</xdr:colOff>
      <xdr:row>1</xdr:row>
      <xdr:rowOff>40821</xdr:rowOff>
    </xdr:from>
    <xdr:to>
      <xdr:col>4</xdr:col>
      <xdr:colOff>1619250</xdr:colOff>
      <xdr:row>1</xdr:row>
      <xdr:rowOff>504206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4206392" y="155121"/>
          <a:ext cx="2232508" cy="463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0</xdr:colOff>
      <xdr:row>1</xdr:row>
      <xdr:rowOff>9525</xdr:rowOff>
    </xdr:from>
    <xdr:to>
      <xdr:col>1</xdr:col>
      <xdr:colOff>257625</xdr:colOff>
      <xdr:row>1</xdr:row>
      <xdr:rowOff>297525</xdr:rowOff>
    </xdr:to>
    <xdr:sp macro="" textlink="'BASE PAINEL'!C45">
      <xdr:nvSpPr>
        <xdr:cNvPr id="24" name="Retângulo: Cantos Arredondado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0" y="123825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MENU</a:t>
          </a:r>
        </a:p>
      </xdr:txBody>
    </xdr:sp>
    <xdr:clientData/>
  </xdr:twoCellAnchor>
  <xdr:twoCellAnchor>
    <xdr:from>
      <xdr:col>1</xdr:col>
      <xdr:colOff>804375</xdr:colOff>
      <xdr:row>1</xdr:row>
      <xdr:rowOff>9525</xdr:rowOff>
    </xdr:from>
    <xdr:to>
      <xdr:col>1</xdr:col>
      <xdr:colOff>1776375</xdr:colOff>
      <xdr:row>1</xdr:row>
      <xdr:rowOff>297525</xdr:rowOff>
    </xdr:to>
    <xdr:sp macro="" textlink="'BASE PAINEL'!C45">
      <xdr:nvSpPr>
        <xdr:cNvPr id="25" name="Retângulo: Cantos Arredondados 2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1518750" y="123825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ORÇAMENTO</a:t>
          </a:r>
        </a:p>
      </xdr:txBody>
    </xdr:sp>
    <xdr:clientData/>
  </xdr:twoCellAnchor>
  <xdr:twoCellAnchor>
    <xdr:from>
      <xdr:col>2</xdr:col>
      <xdr:colOff>142425</xdr:colOff>
      <xdr:row>1</xdr:row>
      <xdr:rowOff>9525</xdr:rowOff>
    </xdr:from>
    <xdr:to>
      <xdr:col>2</xdr:col>
      <xdr:colOff>1114425</xdr:colOff>
      <xdr:row>1</xdr:row>
      <xdr:rowOff>297525</xdr:rowOff>
    </xdr:to>
    <xdr:sp macro="" textlink="'BASE PAINEL'!C45">
      <xdr:nvSpPr>
        <xdr:cNvPr id="26" name="Retângulo: Cantos Arredondado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2818950" y="123825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PROJETOS</a:t>
          </a:r>
        </a:p>
      </xdr:txBody>
    </xdr:sp>
    <xdr:clientData/>
  </xdr:twoCellAnchor>
  <xdr:twoCellAnchor>
    <xdr:from>
      <xdr:col>1</xdr:col>
      <xdr:colOff>809175</xdr:colOff>
      <xdr:row>1</xdr:row>
      <xdr:rowOff>422688</xdr:rowOff>
    </xdr:from>
    <xdr:to>
      <xdr:col>1</xdr:col>
      <xdr:colOff>1781175</xdr:colOff>
      <xdr:row>2</xdr:row>
      <xdr:rowOff>82038</xdr:rowOff>
    </xdr:to>
    <xdr:sp macro="" textlink="'BASE PAINEL'!C45">
      <xdr:nvSpPr>
        <xdr:cNvPr id="27" name="Retângulo: Cantos Arredondado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523550" y="536988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PATRIMÓNIO</a:t>
          </a:r>
        </a:p>
      </xdr:txBody>
    </xdr:sp>
    <xdr:clientData/>
  </xdr:twoCellAnchor>
  <xdr:twoCellAnchor>
    <xdr:from>
      <xdr:col>0</xdr:col>
      <xdr:colOff>0</xdr:colOff>
      <xdr:row>1</xdr:row>
      <xdr:rowOff>422688</xdr:rowOff>
    </xdr:from>
    <xdr:to>
      <xdr:col>1</xdr:col>
      <xdr:colOff>257625</xdr:colOff>
      <xdr:row>2</xdr:row>
      <xdr:rowOff>82038</xdr:rowOff>
    </xdr:to>
    <xdr:sp macro="" textlink="'BASE PAINEL'!C45">
      <xdr:nvSpPr>
        <xdr:cNvPr id="28" name="Retângulo: Cantos Arredondado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0" y="536988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DASH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560294</xdr:colOff>
      <xdr:row>3</xdr:row>
      <xdr:rowOff>100854</xdr:rowOff>
    </xdr:from>
    <xdr:to>
      <xdr:col>4</xdr:col>
      <xdr:colOff>134471</xdr:colOff>
      <xdr:row>3</xdr:row>
      <xdr:rowOff>526678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36912" y="952501"/>
          <a:ext cx="3686735" cy="425824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APLICAÇÕES</a:t>
          </a:r>
          <a:r>
            <a:rPr lang="pt-BR" sz="1200" b="1" baseline="0">
              <a:solidFill>
                <a:schemeClr val="bg1"/>
              </a:solidFill>
            </a:rPr>
            <a:t> / ATIVOS FINANCEIROS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459441</xdr:colOff>
      <xdr:row>3</xdr:row>
      <xdr:rowOff>100854</xdr:rowOff>
    </xdr:from>
    <xdr:to>
      <xdr:col>9</xdr:col>
      <xdr:colOff>571499</xdr:colOff>
      <xdr:row>3</xdr:row>
      <xdr:rowOff>526678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7014882" y="952501"/>
          <a:ext cx="3686735" cy="425824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PATRIMÔNIO</a:t>
          </a:r>
          <a:r>
            <a:rPr lang="pt-BR" sz="1200" b="1" baseline="0">
              <a:solidFill>
                <a:schemeClr val="bg1"/>
              </a:solidFill>
            </a:rPr>
            <a:t> / ATIVOS IMOBILIZADOS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251011</xdr:colOff>
      <xdr:row>3</xdr:row>
      <xdr:rowOff>100854</xdr:rowOff>
    </xdr:from>
    <xdr:to>
      <xdr:col>14</xdr:col>
      <xdr:colOff>710453</xdr:colOff>
      <xdr:row>3</xdr:row>
      <xdr:rowOff>526678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9842686" y="958104"/>
          <a:ext cx="3031192" cy="425824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DÍVIDAS / PASSIVOS FINANCEIROS</a:t>
          </a:r>
        </a:p>
      </xdr:txBody>
    </xdr:sp>
    <xdr:clientData/>
  </xdr:twoCellAnchor>
  <xdr:twoCellAnchor>
    <xdr:from>
      <xdr:col>6</xdr:col>
      <xdr:colOff>1406042</xdr:colOff>
      <xdr:row>1</xdr:row>
      <xdr:rowOff>34006</xdr:rowOff>
    </xdr:from>
    <xdr:to>
      <xdr:col>9</xdr:col>
      <xdr:colOff>57150</xdr:colOff>
      <xdr:row>1</xdr:row>
      <xdr:rowOff>497391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5778017" y="148306"/>
          <a:ext cx="2232508" cy="463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</a:rPr>
            <a:t>PATRIMÔNIO</a:t>
          </a:r>
        </a:p>
      </xdr:txBody>
    </xdr:sp>
    <xdr:clientData/>
  </xdr:twoCellAnchor>
  <xdr:twoCellAnchor>
    <xdr:from>
      <xdr:col>5</xdr:col>
      <xdr:colOff>47625</xdr:colOff>
      <xdr:row>2</xdr:row>
      <xdr:rowOff>114299</xdr:rowOff>
    </xdr:from>
    <xdr:to>
      <xdr:col>5</xdr:col>
      <xdr:colOff>47625</xdr:colOff>
      <xdr:row>4</xdr:row>
      <xdr:rowOff>371475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4305300" y="857249"/>
          <a:ext cx="0" cy="1000126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</xdr:row>
      <xdr:rowOff>114299</xdr:rowOff>
    </xdr:from>
    <xdr:to>
      <xdr:col>10</xdr:col>
      <xdr:colOff>57150</xdr:colOff>
      <xdr:row>4</xdr:row>
      <xdr:rowOff>371475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/>
      </xdr:nvCxnSpPr>
      <xdr:spPr>
        <a:xfrm flipV="1">
          <a:off x="8963025" y="857249"/>
          <a:ext cx="0" cy="1000126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133800</xdr:colOff>
      <xdr:row>1</xdr:row>
      <xdr:rowOff>173700</xdr:rowOff>
    </xdr:to>
    <xdr:sp macro="" textlink="'BASE PAINEL'!C45">
      <xdr:nvSpPr>
        <xdr:cNvPr id="35" name="Retângulo: Cantos Arredondado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0" y="0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MENU</a:t>
          </a:r>
        </a:p>
      </xdr:txBody>
    </xdr:sp>
    <xdr:clientData/>
  </xdr:twoCellAnchor>
  <xdr:twoCellAnchor>
    <xdr:from>
      <xdr:col>2</xdr:col>
      <xdr:colOff>261450</xdr:colOff>
      <xdr:row>0</xdr:row>
      <xdr:rowOff>0</xdr:rowOff>
    </xdr:from>
    <xdr:to>
      <xdr:col>3</xdr:col>
      <xdr:colOff>604800</xdr:colOff>
      <xdr:row>1</xdr:row>
      <xdr:rowOff>173700</xdr:rowOff>
    </xdr:to>
    <xdr:sp macro="" textlink="'BASE PAINEL'!C45">
      <xdr:nvSpPr>
        <xdr:cNvPr id="36" name="Retângulo: Cantos Arredondado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1518750" y="0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ORÇAMENTO</a:t>
          </a:r>
        </a:p>
      </xdr:txBody>
    </xdr:sp>
    <xdr:clientData/>
  </xdr:twoCellAnchor>
  <xdr:twoCellAnchor>
    <xdr:from>
      <xdr:col>3</xdr:col>
      <xdr:colOff>933000</xdr:colOff>
      <xdr:row>0</xdr:row>
      <xdr:rowOff>0</xdr:rowOff>
    </xdr:from>
    <xdr:to>
      <xdr:col>4</xdr:col>
      <xdr:colOff>419100</xdr:colOff>
      <xdr:row>1</xdr:row>
      <xdr:rowOff>173700</xdr:rowOff>
    </xdr:to>
    <xdr:sp macro="" textlink="'BASE PAINEL'!C45">
      <xdr:nvSpPr>
        <xdr:cNvPr id="37" name="Retângulo: Cantos Arredondado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2818950" y="0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PROJETOS</a:t>
          </a:r>
        </a:p>
      </xdr:txBody>
    </xdr:sp>
    <xdr:clientData/>
  </xdr:twoCellAnchor>
  <xdr:twoCellAnchor>
    <xdr:from>
      <xdr:col>2</xdr:col>
      <xdr:colOff>266250</xdr:colOff>
      <xdr:row>1</xdr:row>
      <xdr:rowOff>298863</xdr:rowOff>
    </xdr:from>
    <xdr:to>
      <xdr:col>3</xdr:col>
      <xdr:colOff>609600</xdr:colOff>
      <xdr:row>1</xdr:row>
      <xdr:rowOff>586863</xdr:rowOff>
    </xdr:to>
    <xdr:sp macro="" textlink="'BASE PAINEL'!C45">
      <xdr:nvSpPr>
        <xdr:cNvPr id="38" name="Retângulo: Cantos Arredondado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523550" y="413163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LANÇAMENTO</a:t>
          </a:r>
        </a:p>
      </xdr:txBody>
    </xdr:sp>
    <xdr:clientData/>
  </xdr:twoCellAnchor>
  <xdr:twoCellAnchor>
    <xdr:from>
      <xdr:col>0</xdr:col>
      <xdr:colOff>0</xdr:colOff>
      <xdr:row>1</xdr:row>
      <xdr:rowOff>298863</xdr:rowOff>
    </xdr:from>
    <xdr:to>
      <xdr:col>1</xdr:col>
      <xdr:colOff>133800</xdr:colOff>
      <xdr:row>1</xdr:row>
      <xdr:rowOff>586863</xdr:rowOff>
    </xdr:to>
    <xdr:sp macro="" textlink="'BASE PAINEL'!C45">
      <xdr:nvSpPr>
        <xdr:cNvPr id="39" name="Retângulo: Cantos Arredondado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0" y="413163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DASH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271446</xdr:colOff>
      <xdr:row>1</xdr:row>
      <xdr:rowOff>76668</xdr:rowOff>
    </xdr:from>
    <xdr:to>
      <xdr:col>7</xdr:col>
      <xdr:colOff>905771</xdr:colOff>
      <xdr:row>1</xdr:row>
      <xdr:rowOff>540053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4484858" y="188727"/>
          <a:ext cx="2035060" cy="463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Agency FB" panose="020B0503020202020204" pitchFamily="34" charset="0"/>
            </a:rPr>
            <a:t>PROJETOS</a:t>
          </a:r>
        </a:p>
      </xdr:txBody>
    </xdr:sp>
    <xdr:clientData/>
  </xdr:twoCellAnchor>
  <xdr:twoCellAnchor>
    <xdr:from>
      <xdr:col>8</xdr:col>
      <xdr:colOff>533393</xdr:colOff>
      <xdr:row>2</xdr:row>
      <xdr:rowOff>28575</xdr:rowOff>
    </xdr:from>
    <xdr:to>
      <xdr:col>9</xdr:col>
      <xdr:colOff>704848</xdr:colOff>
      <xdr:row>4</xdr:row>
      <xdr:rowOff>142875</xdr:rowOff>
    </xdr:to>
    <xdr:sp macro="" textlink="">
      <xdr:nvSpPr>
        <xdr:cNvPr id="3" name="Texto Explicativo: Linha Dobrada Sem Bord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flipH="1">
          <a:off x="8305793" y="771525"/>
          <a:ext cx="1123955" cy="419100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9749"/>
            <a:gd name="adj6" fmla="val -46655"/>
          </a:avLst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/>
            <a:t>Definir no</a:t>
          </a:r>
          <a:r>
            <a:rPr lang="pt-BR" sz="1000" b="1" baseline="0"/>
            <a:t> Plano de Aposentadoria</a:t>
          </a:r>
          <a:endParaRPr lang="pt-BR" sz="1000" b="1"/>
        </a:p>
      </xdr:txBody>
    </xdr:sp>
    <xdr:clientData/>
  </xdr:twoCellAnchor>
  <xdr:twoCellAnchor>
    <xdr:from>
      <xdr:col>6</xdr:col>
      <xdr:colOff>752475</xdr:colOff>
      <xdr:row>4</xdr:row>
      <xdr:rowOff>38100</xdr:rowOff>
    </xdr:from>
    <xdr:to>
      <xdr:col>7</xdr:col>
      <xdr:colOff>106973</xdr:colOff>
      <xdr:row>6</xdr:row>
      <xdr:rowOff>89388</xdr:rowOff>
    </xdr:to>
    <xdr:sp macro="" textlink="">
      <xdr:nvSpPr>
        <xdr:cNvPr id="4" name="Seta: Curva para a Esquerda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648450" y="1095375"/>
          <a:ext cx="402248" cy="432288"/>
        </a:xfrm>
        <a:prstGeom prst="curvedLeftArrow">
          <a:avLst>
            <a:gd name="adj1" fmla="val 25000"/>
            <a:gd name="adj2" fmla="val 55922"/>
            <a:gd name="adj3" fmla="val 3719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972000</xdr:colOff>
      <xdr:row>1</xdr:row>
      <xdr:rowOff>173700</xdr:rowOff>
    </xdr:to>
    <xdr:sp macro="" textlink="'BASE PAINEL'!C45">
      <xdr:nvSpPr>
        <xdr:cNvPr id="24" name="Retângulo: Cantos Arredondado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0" y="0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MENU</a:t>
          </a:r>
        </a:p>
      </xdr:txBody>
    </xdr:sp>
    <xdr:clientData/>
  </xdr:twoCellAnchor>
  <xdr:twoCellAnchor>
    <xdr:from>
      <xdr:col>0</xdr:col>
      <xdr:colOff>1518750</xdr:colOff>
      <xdr:row>0</xdr:row>
      <xdr:rowOff>0</xdr:rowOff>
    </xdr:from>
    <xdr:to>
      <xdr:col>1</xdr:col>
      <xdr:colOff>671475</xdr:colOff>
      <xdr:row>1</xdr:row>
      <xdr:rowOff>173700</xdr:rowOff>
    </xdr:to>
    <xdr:sp macro="" textlink="'BASE PAINEL'!C45">
      <xdr:nvSpPr>
        <xdr:cNvPr id="25" name="Retângulo: Cantos Arredondados 2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518750" y="0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ORÇAMENTO</a:t>
          </a:r>
        </a:p>
      </xdr:txBody>
    </xdr:sp>
    <xdr:clientData/>
  </xdr:twoCellAnchor>
  <xdr:twoCellAnchor>
    <xdr:from>
      <xdr:col>1</xdr:col>
      <xdr:colOff>999675</xdr:colOff>
      <xdr:row>0</xdr:row>
      <xdr:rowOff>0</xdr:rowOff>
    </xdr:from>
    <xdr:to>
      <xdr:col>2</xdr:col>
      <xdr:colOff>714375</xdr:colOff>
      <xdr:row>1</xdr:row>
      <xdr:rowOff>173700</xdr:rowOff>
    </xdr:to>
    <xdr:sp macro="" textlink="'BASE PAINEL'!C45">
      <xdr:nvSpPr>
        <xdr:cNvPr id="26" name="Retângulo: Cantos Arredondado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2818950" y="0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PATRIMÔNIO</a:t>
          </a:r>
        </a:p>
      </xdr:txBody>
    </xdr:sp>
    <xdr:clientData/>
  </xdr:twoCellAnchor>
  <xdr:twoCellAnchor>
    <xdr:from>
      <xdr:col>0</xdr:col>
      <xdr:colOff>1523550</xdr:colOff>
      <xdr:row>1</xdr:row>
      <xdr:rowOff>298863</xdr:rowOff>
    </xdr:from>
    <xdr:to>
      <xdr:col>1</xdr:col>
      <xdr:colOff>676275</xdr:colOff>
      <xdr:row>1</xdr:row>
      <xdr:rowOff>586863</xdr:rowOff>
    </xdr:to>
    <xdr:sp macro="" textlink="'BASE PAINEL'!C45">
      <xdr:nvSpPr>
        <xdr:cNvPr id="27" name="Retângulo: Cantos Arredondado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1523550" y="413163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LANÇAMENTO</a:t>
          </a:r>
        </a:p>
      </xdr:txBody>
    </xdr:sp>
    <xdr:clientData/>
  </xdr:twoCellAnchor>
  <xdr:twoCellAnchor>
    <xdr:from>
      <xdr:col>0</xdr:col>
      <xdr:colOff>0</xdr:colOff>
      <xdr:row>1</xdr:row>
      <xdr:rowOff>298863</xdr:rowOff>
    </xdr:from>
    <xdr:to>
      <xdr:col>0</xdr:col>
      <xdr:colOff>972000</xdr:colOff>
      <xdr:row>1</xdr:row>
      <xdr:rowOff>586863</xdr:rowOff>
    </xdr:to>
    <xdr:sp macro="" textlink="'BASE PAINEL'!C45">
      <xdr:nvSpPr>
        <xdr:cNvPr id="28" name="Retângulo: Cantos Arredondado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0" y="413163"/>
          <a:ext cx="972000" cy="2880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DASH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6614633-771A-4D6E-ADD5-0F7ACB936A68}" name="Tabela24" displayName="Tabela24" ref="A4:F161" totalsRowShown="0">
  <tableColumns count="6">
    <tableColumn id="1" xr3:uid="{C3C87C40-7DE9-408E-A495-8EC4E59A78EE}" name="Coluna1" dataDxfId="70"/>
    <tableColumn id="2" xr3:uid="{560D693E-D0E0-41DE-ABA3-F6FE29398E37}" name="Coluna2"/>
    <tableColumn id="3" xr3:uid="{ED9F4D74-A115-454F-B7E1-B43FED1F6D94}" name="Coluna3" dataDxfId="69"/>
    <tableColumn id="4" xr3:uid="{932CE4E7-7EEE-4555-9167-48969A4D56DC}" name="Coluna4"/>
    <tableColumn id="5" xr3:uid="{96338C7E-9AA9-4082-A82E-D1B96EDB8162}" name="Coluna5"/>
    <tableColumn id="6" xr3:uid="{00F2DE79-AE89-4D0A-9085-35DF13797A34}" name="MÊS" dataDxfId="68">
      <calculatedColumnFormula>UPPER(TEXT(Tabela24[[#This Row],[Coluna1]],"MMM"))</calculatedColumnFormula>
    </tableColumn>
  </tableColumns>
  <tableStyleInfo name="William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A4255E-DF36-4C54-8FC8-1ECB9355199C}" name="Tabela21" displayName="Tabela21" ref="A5:E21" totalsRowShown="0" headerRowDxfId="67">
  <tableColumns count="5">
    <tableColumn id="1" xr3:uid="{1ACADA20-B0A2-4EE7-9CCF-3BCDCDA299AF}" name="Instituição"/>
    <tableColumn id="2" xr3:uid="{7F158BBF-FB09-4EA0-BEC8-402E1EC1CE54}" name="Fixa / Var"/>
    <tableColumn id="3" xr3:uid="{3BB5B1B8-4F27-49AB-BFFA-5773C55757F4}" name="Prazo Projeto"/>
    <tableColumn id="4" xr3:uid="{610601FF-B466-4FBC-969D-1B5B989D9ED8}" name="Ativo"/>
    <tableColumn id="5" xr3:uid="{FE786FD2-5810-4003-ADBA-9E8C4A35FF13}" name="Valor" dataDxfId="66" dataCellStyle="Moeda"/>
  </tableColumns>
  <tableStyleInfo name="William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431A55B-0FCC-4E63-8634-8B308C82F85E}" name="Tabela22" displayName="Tabela22" ref="G5:J11" totalsRowShown="0" headerRowDxfId="65">
  <tableColumns count="4">
    <tableColumn id="1" xr3:uid="{B58D5B13-B1D4-4B62-B898-0841064DDCC2}" name="Descrição Bem"/>
    <tableColumn id="2" xr3:uid="{C99B9276-8414-465C-90FB-7A73CE5EA8EB}" name="Valor" dataDxfId="64" dataCellStyle="Moeda"/>
    <tableColumn id="3" xr3:uid="{0E156EDD-B164-4BA3-834B-2B9CE79EB4D4}" name="Saldo devedor" dataDxfId="63" dataCellStyle="Moeda"/>
    <tableColumn id="4" xr3:uid="{E7725821-BB5A-4C80-A795-D8D6002D0A05}" name="Líquido" dataDxfId="62">
      <calculatedColumnFormula>Tabela22[[#This Row],[Valor]]-Tabela22[[#This Row],[Saldo devedor]]</calculatedColumnFormula>
    </tableColumn>
  </tableColumns>
  <tableStyleInfo name="William Patrim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FC290F9-5E66-401F-8475-4F19F35DC2CD}" name="Tabela26" displayName="Tabela26" ref="L5:O9" totalsRowShown="0" headerRowDxfId="61">
  <tableColumns count="4">
    <tableColumn id="2" xr3:uid="{3C90873A-5F71-4EC5-B57D-F0B20858DEB4}" name="Descrição dívida"/>
    <tableColumn id="3" xr3:uid="{7B0F497A-3E5C-4D8E-8082-AD302C1891F4}" name="Nº parc. Pagar" dataDxfId="60"/>
    <tableColumn id="4" xr3:uid="{A3D32922-D02A-4064-A529-BAFC9ADC8E86}" name="Valor parcelas" dataCellStyle="Moeda"/>
    <tableColumn id="5" xr3:uid="{7576AE82-5218-4461-9551-A40425397895}" name="Saldo Devedor" dataCellStyle="Moeda"/>
  </tableColumns>
  <tableStyleInfo name="William Divida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49DD43C-9620-4F6E-9F2E-04D9991FD3D8}" name="Tabela23" displayName="Tabela23" ref="A4:D9" totalsRowShown="0" headerRowDxfId="59">
  <tableColumns count="4">
    <tableColumn id="1" xr3:uid="{0192F567-202E-41DC-AB0E-5902C7B83AB8}" name="Descrição Projeto"/>
    <tableColumn id="2" xr3:uid="{157E00D3-08BE-40B2-8C05-FB27C6DFE7A9}" name="Valor" dataDxfId="58" dataCellStyle="Moeda"/>
    <tableColumn id="3" xr3:uid="{EAB12BBA-5B0D-4BE2-86A3-23A690DC34D3}" name="Ano" dataDxfId="57"/>
    <tableColumn id="4" xr3:uid="{9C36AAED-5BB1-4813-A463-BE6AE972E196}" name="Prazo" dataDxfId="56">
      <calculatedColumnFormula>IF(ISERROR(VLOOKUP(C5,'BASE PAINEL'!$F$48:$G$53,2)),"",VLOOKUP(C5,'BASE PAINEL'!$F$48:$G$53,2))</calculatedColumnFormula>
    </tableColumn>
  </tableColumns>
  <tableStyleInfo name="William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William Macedo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33"/>
      </a:accent1>
      <a:accent2>
        <a:srgbClr val="2B2B4B"/>
      </a:accent2>
      <a:accent3>
        <a:srgbClr val="8741F5"/>
      </a:accent3>
      <a:accent4>
        <a:srgbClr val="3690FF"/>
      </a:accent4>
      <a:accent5>
        <a:srgbClr val="56E391"/>
      </a:accent5>
      <a:accent6>
        <a:srgbClr val="FF7CB3"/>
      </a:accent6>
      <a:hlink>
        <a:srgbClr val="FCCF69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William Maced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F75B5"/>
    </a:accent1>
    <a:accent2>
      <a:srgbClr val="404040"/>
    </a:accent2>
    <a:accent3>
      <a:srgbClr val="9BC2E6"/>
    </a:accent3>
    <a:accent4>
      <a:srgbClr val="D9D9D9"/>
    </a:accent4>
    <a:accent5>
      <a:srgbClr val="DDEBF7"/>
    </a:accent5>
    <a:accent6>
      <a:srgbClr val="D6DCE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5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8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2947-D6D4-4D5B-8CE8-6BD0FA38D0F9}">
  <sheetPr codeName="Planilha2"/>
  <dimension ref="A1"/>
  <sheetViews>
    <sheetView showGridLines="0" showRowColHeaders="0" zoomScale="80" zoomScaleNormal="8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DFAC-448D-465F-9DAB-8BF85043C9DD}">
  <sheetPr codeName="Planilha1"/>
  <dimension ref="A1:X34"/>
  <sheetViews>
    <sheetView showGridLines="0" showRowColHeaders="0" tabSelected="1" topLeftCell="A10" zoomScale="90" zoomScaleNormal="90" workbookViewId="0">
      <selection activeCell="R20" sqref="R20"/>
    </sheetView>
  </sheetViews>
  <sheetFormatPr defaultColWidth="0" defaultRowHeight="15" zeroHeight="1" x14ac:dyDescent="0.25"/>
  <cols>
    <col min="1" max="1" width="1.7109375" customWidth="1"/>
    <col min="2" max="2" width="35.7109375" customWidth="1"/>
    <col min="3" max="17" width="9.7109375" customWidth="1"/>
    <col min="18" max="18" width="8.7109375" customWidth="1"/>
    <col min="19" max="16384" width="9.140625" hidden="1"/>
  </cols>
  <sheetData>
    <row r="1" spans="1:24" ht="9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</row>
    <row r="2" spans="1:24" ht="50.1" customHeight="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13"/>
      <c r="T2" s="13"/>
      <c r="U2" s="13"/>
      <c r="V2" s="13"/>
      <c r="W2" s="13"/>
      <c r="X2" s="13"/>
    </row>
    <row r="3" spans="1:24" ht="9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24" ht="15" customHeight="1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</row>
    <row r="5" spans="1:24" ht="15" customHeight="1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</row>
    <row r="6" spans="1:24" x14ac:dyDescent="0.25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1:24" x14ac:dyDescent="0.2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</row>
    <row r="8" spans="1:24" x14ac:dyDescent="0.25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</row>
    <row r="9" spans="1:24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</row>
    <row r="10" spans="1:24" x14ac:dyDescent="0.25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</row>
    <row r="11" spans="1:24" x14ac:dyDescent="0.25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</row>
    <row r="12" spans="1:24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</row>
    <row r="13" spans="1:24" x14ac:dyDescent="0.25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</row>
    <row r="14" spans="1:24" x14ac:dyDescent="0.25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</row>
    <row r="15" spans="1:24" x14ac:dyDescent="0.25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</row>
    <row r="16" spans="1:24" x14ac:dyDescent="0.25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</row>
    <row r="17" spans="1:24" x14ac:dyDescent="0.25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</row>
    <row r="18" spans="1:24" x14ac:dyDescent="0.25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5"/>
      <c r="T18" s="5"/>
      <c r="U18" s="5"/>
      <c r="V18" s="5"/>
      <c r="W18" s="5"/>
    </row>
    <row r="19" spans="1:24" x14ac:dyDescent="0.25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T19" s="59"/>
      <c r="U19" s="59"/>
      <c r="V19" s="59"/>
      <c r="W19" s="59"/>
      <c r="X19" s="59"/>
    </row>
    <row r="20" spans="1:24" x14ac:dyDescent="0.25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24" x14ac:dyDescent="0.25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</row>
    <row r="22" spans="1:24" x14ac:dyDescent="0.25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24" x14ac:dyDescent="0.25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24" x14ac:dyDescent="0.25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24" x14ac:dyDescent="0.25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</row>
    <row r="26" spans="1:24" x14ac:dyDescent="0.25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</row>
    <row r="27" spans="1:24" ht="15" customHeight="1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</row>
    <row r="28" spans="1:24" ht="15.95" customHeight="1" x14ac:dyDescent="0.25">
      <c r="A28" s="95"/>
      <c r="B28" s="96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</row>
    <row r="29" spans="1:24" ht="15.95" customHeight="1" x14ac:dyDescent="0.25">
      <c r="A29" s="95"/>
      <c r="B29" s="96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</row>
    <row r="30" spans="1:24" ht="15.95" customHeight="1" x14ac:dyDescent="0.25">
      <c r="A30" s="95"/>
      <c r="B30" s="96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</row>
    <row r="31" spans="1:24" hidden="1" x14ac:dyDescent="0.25">
      <c r="B31" s="2"/>
    </row>
    <row r="32" spans="1:24" hidden="1" x14ac:dyDescent="0.25">
      <c r="B32" s="2"/>
    </row>
    <row r="33" spans="2:12" hidden="1" x14ac:dyDescent="0.25">
      <c r="B33" s="2"/>
    </row>
    <row r="34" spans="2:12" hidden="1" x14ac:dyDescent="0.25">
      <c r="L34" s="5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025" r:id="rId4" name="ComboBox1">
          <controlPr defaultSize="0" autoLine="0" linkedCell="'BASE PAINEL'!B1" listFillRange="'BASE PAINEL'!O2:O13" r:id="rId5">
            <anchor moveWithCells="1">
              <from>
                <xdr:col>5</xdr:col>
                <xdr:colOff>590550</xdr:colOff>
                <xdr:row>1</xdr:row>
                <xdr:rowOff>523875</xdr:rowOff>
              </from>
              <to>
                <xdr:col>7</xdr:col>
                <xdr:colOff>66675</xdr:colOff>
                <xdr:row>3</xdr:row>
                <xdr:rowOff>95250</xdr:rowOff>
              </to>
            </anchor>
          </controlPr>
        </control>
      </mc:Choice>
      <mc:Fallback>
        <control shapeId="1025" r:id="rId4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CC31-B5DF-407B-8D2D-6F82A57A19FB}">
  <sheetPr codeName="Planilha3"/>
  <dimension ref="A1:R177"/>
  <sheetViews>
    <sheetView showZeros="0" zoomScaleNormal="100" workbookViewId="0">
      <pane xSplit="4" ySplit="4" topLeftCell="E5" activePane="bottomRight" state="frozen"/>
      <selection pane="topRight" activeCell="E1" sqref="E1"/>
      <selection pane="bottomLeft" activeCell="A3" sqref="A3"/>
      <selection pane="bottomRight" activeCell="E4" sqref="E4"/>
    </sheetView>
  </sheetViews>
  <sheetFormatPr defaultColWidth="0" defaultRowHeight="15" zeroHeight="1" x14ac:dyDescent="0.25"/>
  <cols>
    <col min="1" max="1" width="1.7109375" customWidth="1"/>
    <col min="2" max="2" width="35.7109375" customWidth="1"/>
    <col min="3" max="17" width="9.7109375" customWidth="1"/>
    <col min="18" max="18" width="1.7109375" customWidth="1"/>
    <col min="19" max="16384" width="9.140625" hidden="1"/>
  </cols>
  <sheetData>
    <row r="1" spans="1:18" ht="9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9"/>
    </row>
    <row r="2" spans="1:18" ht="50.1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 t="s">
        <v>254</v>
      </c>
      <c r="Q2" s="63"/>
      <c r="R2" s="69"/>
    </row>
    <row r="3" spans="1:18" ht="9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9">
        <v>1</v>
      </c>
    </row>
    <row r="4" spans="1:18" x14ac:dyDescent="0.25">
      <c r="A4" s="63"/>
      <c r="B4" s="87" t="str">
        <f>HYPERLINK("#"&amp;ADDRESS(176,2),"VER RESUMO")</f>
        <v>VER RESUMO</v>
      </c>
      <c r="C4" s="72" t="s">
        <v>120</v>
      </c>
      <c r="D4" s="73" t="s">
        <v>121</v>
      </c>
      <c r="E4" s="74" t="s">
        <v>122</v>
      </c>
      <c r="F4" s="74" t="str">
        <f>INDEX('BASE PAINEL'!$P$2:$P$26,MATCH(E4,'BASE PAINEL'!$P$2:$P$26,0)+1)</f>
        <v>FEV</v>
      </c>
      <c r="G4" s="74" t="str">
        <f>INDEX('BASE PAINEL'!$P$2:$P$26,MATCH(F4,'BASE PAINEL'!$P$2:$P$26,0)+1)</f>
        <v>MAR</v>
      </c>
      <c r="H4" s="74" t="str">
        <f>INDEX('BASE PAINEL'!$P$2:$P$26,MATCH(G4,'BASE PAINEL'!$P$2:$P$26,0)+1)</f>
        <v>ABR</v>
      </c>
      <c r="I4" s="74" t="str">
        <f>INDEX('BASE PAINEL'!$P$2:$P$26,MATCH(H4,'BASE PAINEL'!$P$2:$P$26,0)+1)</f>
        <v>MAI</v>
      </c>
      <c r="J4" s="74" t="str">
        <f>INDEX('BASE PAINEL'!$P$2:$P$26,MATCH(I4,'BASE PAINEL'!$P$2:$P$26,0)+1)</f>
        <v>JUN</v>
      </c>
      <c r="K4" s="74" t="str">
        <f>INDEX('BASE PAINEL'!$P$2:$P$26,MATCH(J4,'BASE PAINEL'!$P$2:$P$26,0)+1)</f>
        <v>JUL</v>
      </c>
      <c r="L4" s="74" t="str">
        <f>INDEX('BASE PAINEL'!$P$2:$P$26,MATCH(K4,'BASE PAINEL'!$P$2:$P$26,0)+1)</f>
        <v>AGO</v>
      </c>
      <c r="M4" s="74" t="str">
        <f>INDEX('BASE PAINEL'!$P$2:$P$26,MATCH(L4,'BASE PAINEL'!$P$2:$P$26,0)+1)</f>
        <v>SET</v>
      </c>
      <c r="N4" s="74" t="str">
        <f>INDEX('BASE PAINEL'!$P$2:$P$26,MATCH(M4,'BASE PAINEL'!$P$2:$P$26,0)+1)</f>
        <v>OUT</v>
      </c>
      <c r="O4" s="74" t="str">
        <f>INDEX('BASE PAINEL'!$P$2:$P$26,MATCH(N4,'BASE PAINEL'!$P$2:$P$26,0)+1)</f>
        <v>NOV</v>
      </c>
      <c r="P4" s="74" t="str">
        <f>INDEX('BASE PAINEL'!$P$2:$P$26,MATCH(O4,'BASE PAINEL'!$P$2:$P$26,0)+1)</f>
        <v>DEZ</v>
      </c>
      <c r="Q4" s="75" t="s">
        <v>134</v>
      </c>
      <c r="R4" s="69">
        <v>1</v>
      </c>
    </row>
    <row r="5" spans="1:18" ht="19.5" x14ac:dyDescent="0.25">
      <c r="A5" s="63"/>
      <c r="B5" s="86" t="s">
        <v>119</v>
      </c>
      <c r="C5" s="63"/>
      <c r="D5" s="69"/>
      <c r="E5" s="69">
        <v>1</v>
      </c>
      <c r="F5" s="69">
        <v>2</v>
      </c>
      <c r="G5" s="69">
        <v>3</v>
      </c>
      <c r="H5" s="69">
        <v>3</v>
      </c>
      <c r="I5" s="69">
        <v>3</v>
      </c>
      <c r="J5" s="69">
        <v>6</v>
      </c>
      <c r="K5" s="69">
        <v>7</v>
      </c>
      <c r="L5" s="69">
        <v>8</v>
      </c>
      <c r="M5" s="69">
        <v>9</v>
      </c>
      <c r="N5" s="69">
        <v>10</v>
      </c>
      <c r="O5" s="69">
        <v>11</v>
      </c>
      <c r="P5" s="69">
        <v>12</v>
      </c>
      <c r="Q5" s="69"/>
      <c r="R5" s="69">
        <f>IF((R6+R13+R20)=0,0,1)</f>
        <v>1</v>
      </c>
    </row>
    <row r="6" spans="1:18" x14ac:dyDescent="0.25">
      <c r="A6" s="63"/>
      <c r="B6" s="76" t="s">
        <v>212</v>
      </c>
      <c r="C6" s="71">
        <f>SUM(C7:C12)</f>
        <v>11500</v>
      </c>
      <c r="D6" s="71">
        <f>SUM(D7:D12)</f>
        <v>138000</v>
      </c>
      <c r="E6" s="71">
        <f>SUM(E7:E12)</f>
        <v>12000</v>
      </c>
      <c r="F6" s="71">
        <f t="shared" ref="F6:P6" si="0">SUM(F7:F12)</f>
        <v>9000</v>
      </c>
      <c r="G6" s="71">
        <f t="shared" si="0"/>
        <v>12500</v>
      </c>
      <c r="H6" s="71">
        <f t="shared" si="0"/>
        <v>12000</v>
      </c>
      <c r="I6" s="71">
        <f t="shared" si="0"/>
        <v>9000</v>
      </c>
      <c r="J6" s="71">
        <f t="shared" si="0"/>
        <v>9500</v>
      </c>
      <c r="K6" s="71">
        <f t="shared" si="0"/>
        <v>12000</v>
      </c>
      <c r="L6" s="71">
        <f t="shared" si="0"/>
        <v>11500</v>
      </c>
      <c r="M6" s="71">
        <f t="shared" si="0"/>
        <v>8500</v>
      </c>
      <c r="N6" s="71">
        <f t="shared" si="0"/>
        <v>12500</v>
      </c>
      <c r="O6" s="71">
        <f t="shared" si="0"/>
        <v>11500</v>
      </c>
      <c r="P6" s="71">
        <f t="shared" si="0"/>
        <v>12500</v>
      </c>
      <c r="Q6" s="77">
        <f>SUM(E6:P6)</f>
        <v>132500</v>
      </c>
      <c r="R6" s="69">
        <f>IF(SUM(R7:R12)=0,0,1)</f>
        <v>1</v>
      </c>
    </row>
    <row r="7" spans="1:18" x14ac:dyDescent="0.25">
      <c r="A7" s="70" t="str">
        <f>$B$6</f>
        <v>RENDA_PRINCIPAL</v>
      </c>
      <c r="B7" s="30" t="s">
        <v>200</v>
      </c>
      <c r="C7" s="44">
        <v>11000</v>
      </c>
      <c r="D7" s="33">
        <f t="shared" ref="D7:D12" si="1">C7*12</f>
        <v>132000</v>
      </c>
      <c r="E7" s="39">
        <f>SUMIFS(LANÇAMENTO!$C:$C,LANÇAMENTO!$D:$D,$A7,LANÇAMENTO!$E:$E,$B7,LANÇAMENTO!$F:$F,E$4)</f>
        <v>12000</v>
      </c>
      <c r="F7" s="39">
        <f>SUMIFS(LANÇAMENTO!$C:$C,LANÇAMENTO!$D:$D,$A7,LANÇAMENTO!$E:$E,$B7,LANÇAMENTO!$F:$F,F$4)</f>
        <v>9000</v>
      </c>
      <c r="G7" s="39">
        <f>SUMIFS(LANÇAMENTO!$C:$C,LANÇAMENTO!$D:$D,$A7,LANÇAMENTO!$E:$E,$B7,LANÇAMENTO!$F:$F,G$4)</f>
        <v>12500</v>
      </c>
      <c r="H7" s="39">
        <f>SUMIFS(LANÇAMENTO!$C:$C,LANÇAMENTO!$D:$D,$A7,LANÇAMENTO!$E:$E,$B7,LANÇAMENTO!$F:$F,H$4)</f>
        <v>12000</v>
      </c>
      <c r="I7" s="39">
        <f>SUMIFS(LANÇAMENTO!$C:$C,LANÇAMENTO!$D:$D,$A7,LANÇAMENTO!$E:$E,$B7,LANÇAMENTO!$F:$F,I$4)</f>
        <v>9000</v>
      </c>
      <c r="J7" s="39">
        <f>SUMIFS(LANÇAMENTO!$C:$C,LANÇAMENTO!$D:$D,$A7,LANÇAMENTO!$E:$E,$B7,LANÇAMENTO!$F:$F,J$4)</f>
        <v>9500</v>
      </c>
      <c r="K7" s="39">
        <f>SUMIFS(LANÇAMENTO!$C:$C,LANÇAMENTO!$D:$D,$A7,LANÇAMENTO!$E:$E,$B7,LANÇAMENTO!$F:$F,K$4)</f>
        <v>12000</v>
      </c>
      <c r="L7" s="39">
        <f>SUMIFS(LANÇAMENTO!$C:$C,LANÇAMENTO!$D:$D,$A7,LANÇAMENTO!$E:$E,$B7,LANÇAMENTO!$F:$F,L$4)</f>
        <v>11500</v>
      </c>
      <c r="M7" s="39">
        <f>SUMIFS(LANÇAMENTO!$C:$C,LANÇAMENTO!$D:$D,$A7,LANÇAMENTO!$E:$E,$B7,LANÇAMENTO!$F:$F,M$4)</f>
        <v>8500</v>
      </c>
      <c r="N7" s="39">
        <f>SUMIFS(LANÇAMENTO!$C:$C,LANÇAMENTO!$D:$D,$A7,LANÇAMENTO!$E:$E,$B7,LANÇAMENTO!$F:$F,N$4)</f>
        <v>12500</v>
      </c>
      <c r="O7" s="39">
        <f>SUMIFS(LANÇAMENTO!$C:$C,LANÇAMENTO!$D:$D,$A7,LANÇAMENTO!$E:$E,$B7,LANÇAMENTO!$F:$F,O$4)</f>
        <v>11500</v>
      </c>
      <c r="P7" s="39">
        <f>SUMIFS(LANÇAMENTO!$C:$C,LANÇAMENTO!$D:$D,$A7,LANÇAMENTO!$E:$E,$B7,LANÇAMENTO!$F:$F,P$4)</f>
        <v>12500</v>
      </c>
      <c r="Q7" s="36">
        <f t="shared" ref="Q7:Q26" si="2">SUM(E7:P7)</f>
        <v>132500</v>
      </c>
      <c r="R7" s="29">
        <f>IF(SUM(C7:Q7)=0,0,1)</f>
        <v>1</v>
      </c>
    </row>
    <row r="8" spans="1:18" x14ac:dyDescent="0.25">
      <c r="A8" s="70" t="str">
        <f t="shared" ref="A8:A12" si="3">$B$6</f>
        <v>RENDA_PRINCIPAL</v>
      </c>
      <c r="B8" s="31" t="s">
        <v>0</v>
      </c>
      <c r="C8" s="45">
        <v>0</v>
      </c>
      <c r="D8" s="34">
        <f t="shared" si="1"/>
        <v>0</v>
      </c>
      <c r="E8" s="40">
        <f>SUMIFS(LANÇAMENTO!$C:$C,LANÇAMENTO!$D:$D,$A8,LANÇAMENTO!$E:$E,$B8,LANÇAMENTO!$F:$F,E$4)</f>
        <v>0</v>
      </c>
      <c r="F8" s="40">
        <f>SUMIFS(LANÇAMENTO!$C:$C,LANÇAMENTO!$D:$D,$A8,LANÇAMENTO!$E:$E,$B8,LANÇAMENTO!$F:$F,F$4)</f>
        <v>0</v>
      </c>
      <c r="G8" s="40">
        <f>SUMIFS(LANÇAMENTO!$C:$C,LANÇAMENTO!$D:$D,$A8,LANÇAMENTO!$E:$E,$B8,LANÇAMENTO!$F:$F,G$4)</f>
        <v>0</v>
      </c>
      <c r="H8" s="40">
        <f>SUMIFS(LANÇAMENTO!$C:$C,LANÇAMENTO!$D:$D,$A8,LANÇAMENTO!$E:$E,$B8,LANÇAMENTO!$F:$F,H$4)</f>
        <v>0</v>
      </c>
      <c r="I8" s="40">
        <f>SUMIFS(LANÇAMENTO!$C:$C,LANÇAMENTO!$D:$D,$A8,LANÇAMENTO!$E:$E,$B8,LANÇAMENTO!$F:$F,I$4)</f>
        <v>0</v>
      </c>
      <c r="J8" s="40">
        <f>SUMIFS(LANÇAMENTO!$C:$C,LANÇAMENTO!$D:$D,$A8,LANÇAMENTO!$E:$E,$B8,LANÇAMENTO!$F:$F,J$4)</f>
        <v>0</v>
      </c>
      <c r="K8" s="40">
        <f>SUMIFS(LANÇAMENTO!$C:$C,LANÇAMENTO!$D:$D,$A8,LANÇAMENTO!$E:$E,$B8,LANÇAMENTO!$F:$F,K$4)</f>
        <v>0</v>
      </c>
      <c r="L8" s="40">
        <f>SUMIFS(LANÇAMENTO!$C:$C,LANÇAMENTO!$D:$D,$A8,LANÇAMENTO!$E:$E,$B8,LANÇAMENTO!$F:$F,L$4)</f>
        <v>0</v>
      </c>
      <c r="M8" s="40">
        <f>SUMIFS(LANÇAMENTO!$C:$C,LANÇAMENTO!$D:$D,$A8,LANÇAMENTO!$E:$E,$B8,LANÇAMENTO!$F:$F,M$4)</f>
        <v>0</v>
      </c>
      <c r="N8" s="40">
        <f>SUMIFS(LANÇAMENTO!$C:$C,LANÇAMENTO!$D:$D,$A8,LANÇAMENTO!$E:$E,$B8,LANÇAMENTO!$F:$F,N$4)</f>
        <v>0</v>
      </c>
      <c r="O8" s="40">
        <f>SUMIFS(LANÇAMENTO!$C:$C,LANÇAMENTO!$D:$D,$A8,LANÇAMENTO!$E:$E,$B8,LANÇAMENTO!$F:$F,O$4)</f>
        <v>0</v>
      </c>
      <c r="P8" s="40">
        <f>SUMIFS(LANÇAMENTO!$C:$C,LANÇAMENTO!$D:$D,$A8,LANÇAMENTO!$E:$E,$B8,LANÇAMENTO!$F:$F,P$4)</f>
        <v>0</v>
      </c>
      <c r="Q8" s="37">
        <f t="shared" si="2"/>
        <v>0</v>
      </c>
      <c r="R8" s="29">
        <f t="shared" ref="R8:R26" si="4">IF(SUM(C8:Q8)=0,0,1)</f>
        <v>0</v>
      </c>
    </row>
    <row r="9" spans="1:18" x14ac:dyDescent="0.25">
      <c r="A9" s="70" t="str">
        <f t="shared" si="3"/>
        <v>RENDA_PRINCIPAL</v>
      </c>
      <c r="B9" s="31" t="s">
        <v>1</v>
      </c>
      <c r="C9" s="45"/>
      <c r="D9" s="34">
        <f t="shared" si="1"/>
        <v>0</v>
      </c>
      <c r="E9" s="40">
        <f>SUMIFS(LANÇAMENTO!$C:$C,LANÇAMENTO!$D:$D,$A9,LANÇAMENTO!$E:$E,$B9,LANÇAMENTO!$F:$F,E$4)</f>
        <v>0</v>
      </c>
      <c r="F9" s="40">
        <f>SUMIFS(LANÇAMENTO!$C:$C,LANÇAMENTO!$D:$D,$A9,LANÇAMENTO!$E:$E,$B9,LANÇAMENTO!$F:$F,F$4)</f>
        <v>0</v>
      </c>
      <c r="G9" s="40">
        <f>SUMIFS(LANÇAMENTO!$C:$C,LANÇAMENTO!$D:$D,$A9,LANÇAMENTO!$E:$E,$B9,LANÇAMENTO!$F:$F,G$4)</f>
        <v>0</v>
      </c>
      <c r="H9" s="40">
        <f>SUMIFS(LANÇAMENTO!$C:$C,LANÇAMENTO!$D:$D,$A9,LANÇAMENTO!$E:$E,$B9,LANÇAMENTO!$F:$F,H$4)</f>
        <v>0</v>
      </c>
      <c r="I9" s="40">
        <f>SUMIFS(LANÇAMENTO!$C:$C,LANÇAMENTO!$D:$D,$A9,LANÇAMENTO!$E:$E,$B9,LANÇAMENTO!$F:$F,I$4)</f>
        <v>0</v>
      </c>
      <c r="J9" s="40">
        <f>SUMIFS(LANÇAMENTO!$C:$C,LANÇAMENTO!$D:$D,$A9,LANÇAMENTO!$E:$E,$B9,LANÇAMENTO!$F:$F,J$4)</f>
        <v>0</v>
      </c>
      <c r="K9" s="40">
        <f>SUMIFS(LANÇAMENTO!$C:$C,LANÇAMENTO!$D:$D,$A9,LANÇAMENTO!$E:$E,$B9,LANÇAMENTO!$F:$F,K$4)</f>
        <v>0</v>
      </c>
      <c r="L9" s="40">
        <f>SUMIFS(LANÇAMENTO!$C:$C,LANÇAMENTO!$D:$D,$A9,LANÇAMENTO!$E:$E,$B9,LANÇAMENTO!$F:$F,L$4)</f>
        <v>0</v>
      </c>
      <c r="M9" s="40">
        <f>SUMIFS(LANÇAMENTO!$C:$C,LANÇAMENTO!$D:$D,$A9,LANÇAMENTO!$E:$E,$B9,LANÇAMENTO!$F:$F,M$4)</f>
        <v>0</v>
      </c>
      <c r="N9" s="40">
        <f>SUMIFS(LANÇAMENTO!$C:$C,LANÇAMENTO!$D:$D,$A9,LANÇAMENTO!$E:$E,$B9,LANÇAMENTO!$F:$F,N$4)</f>
        <v>0</v>
      </c>
      <c r="O9" s="40">
        <f>SUMIFS(LANÇAMENTO!$C:$C,LANÇAMENTO!$D:$D,$A9,LANÇAMENTO!$E:$E,$B9,LANÇAMENTO!$F:$F,O$4)</f>
        <v>0</v>
      </c>
      <c r="P9" s="40">
        <f>SUMIFS(LANÇAMENTO!$C:$C,LANÇAMENTO!$D:$D,$A9,LANÇAMENTO!$E:$E,$B9,LANÇAMENTO!$F:$F,P$4)</f>
        <v>0</v>
      </c>
      <c r="Q9" s="37">
        <f t="shared" si="2"/>
        <v>0</v>
      </c>
      <c r="R9" s="29">
        <f t="shared" si="4"/>
        <v>0</v>
      </c>
    </row>
    <row r="10" spans="1:18" x14ac:dyDescent="0.25">
      <c r="A10" s="70" t="str">
        <f t="shared" si="3"/>
        <v>RENDA_PRINCIPAL</v>
      </c>
      <c r="B10" s="31" t="s">
        <v>2</v>
      </c>
      <c r="C10" s="45">
        <v>500</v>
      </c>
      <c r="D10" s="34">
        <f t="shared" si="1"/>
        <v>6000</v>
      </c>
      <c r="E10" s="40">
        <f>SUMIFS(LANÇAMENTO!$C:$C,LANÇAMENTO!$D:$D,$A10,LANÇAMENTO!$E:$E,$B10,LANÇAMENTO!$F:$F,E$4)</f>
        <v>0</v>
      </c>
      <c r="F10" s="40">
        <f>SUMIFS(LANÇAMENTO!$C:$C,LANÇAMENTO!$D:$D,$A10,LANÇAMENTO!$E:$E,$B10,LANÇAMENTO!$F:$F,F$4)</f>
        <v>0</v>
      </c>
      <c r="G10" s="40">
        <f>SUMIFS(LANÇAMENTO!$C:$C,LANÇAMENTO!$D:$D,$A10,LANÇAMENTO!$E:$E,$B10,LANÇAMENTO!$F:$F,G$4)</f>
        <v>0</v>
      </c>
      <c r="H10" s="40">
        <f>SUMIFS(LANÇAMENTO!$C:$C,LANÇAMENTO!$D:$D,$A10,LANÇAMENTO!$E:$E,$B10,LANÇAMENTO!$F:$F,H$4)</f>
        <v>0</v>
      </c>
      <c r="I10" s="40">
        <f>SUMIFS(LANÇAMENTO!$C:$C,LANÇAMENTO!$D:$D,$A10,LANÇAMENTO!$E:$E,$B10,LANÇAMENTO!$F:$F,I$4)</f>
        <v>0</v>
      </c>
      <c r="J10" s="40">
        <f>SUMIFS(LANÇAMENTO!$C:$C,LANÇAMENTO!$D:$D,$A10,LANÇAMENTO!$E:$E,$B10,LANÇAMENTO!$F:$F,J$4)</f>
        <v>0</v>
      </c>
      <c r="K10" s="40">
        <f>SUMIFS(LANÇAMENTO!$C:$C,LANÇAMENTO!$D:$D,$A10,LANÇAMENTO!$E:$E,$B10,LANÇAMENTO!$F:$F,K$4)</f>
        <v>0</v>
      </c>
      <c r="L10" s="40">
        <f>SUMIFS(LANÇAMENTO!$C:$C,LANÇAMENTO!$D:$D,$A10,LANÇAMENTO!$E:$E,$B10,LANÇAMENTO!$F:$F,L$4)</f>
        <v>0</v>
      </c>
      <c r="M10" s="40">
        <f>SUMIFS(LANÇAMENTO!$C:$C,LANÇAMENTO!$D:$D,$A10,LANÇAMENTO!$E:$E,$B10,LANÇAMENTO!$F:$F,M$4)</f>
        <v>0</v>
      </c>
      <c r="N10" s="40">
        <f>SUMIFS(LANÇAMENTO!$C:$C,LANÇAMENTO!$D:$D,$A10,LANÇAMENTO!$E:$E,$B10,LANÇAMENTO!$F:$F,N$4)</f>
        <v>0</v>
      </c>
      <c r="O10" s="40">
        <f>SUMIFS(LANÇAMENTO!$C:$C,LANÇAMENTO!$D:$D,$A10,LANÇAMENTO!$E:$E,$B10,LANÇAMENTO!$F:$F,O$4)</f>
        <v>0</v>
      </c>
      <c r="P10" s="40">
        <f>SUMIFS(LANÇAMENTO!$C:$C,LANÇAMENTO!$D:$D,$A10,LANÇAMENTO!$E:$E,$B10,LANÇAMENTO!$F:$F,P$4)</f>
        <v>0</v>
      </c>
      <c r="Q10" s="37">
        <f t="shared" si="2"/>
        <v>0</v>
      </c>
      <c r="R10" s="29">
        <f t="shared" si="4"/>
        <v>1</v>
      </c>
    </row>
    <row r="11" spans="1:18" x14ac:dyDescent="0.25">
      <c r="A11" s="70" t="str">
        <f t="shared" si="3"/>
        <v>RENDA_PRINCIPAL</v>
      </c>
      <c r="B11" s="31" t="s">
        <v>3</v>
      </c>
      <c r="C11" s="45">
        <v>0</v>
      </c>
      <c r="D11" s="34">
        <f t="shared" si="1"/>
        <v>0</v>
      </c>
      <c r="E11" s="40">
        <f>SUMIFS(LANÇAMENTO!$C:$C,LANÇAMENTO!$D:$D,$A11,LANÇAMENTO!$E:$E,$B11,LANÇAMENTO!$F:$F,E$4)</f>
        <v>0</v>
      </c>
      <c r="F11" s="40">
        <f>SUMIFS(LANÇAMENTO!$C:$C,LANÇAMENTO!$D:$D,$A11,LANÇAMENTO!$E:$E,$B11,LANÇAMENTO!$F:$F,F$4)</f>
        <v>0</v>
      </c>
      <c r="G11" s="40">
        <f>SUMIFS(LANÇAMENTO!$C:$C,LANÇAMENTO!$D:$D,$A11,LANÇAMENTO!$E:$E,$B11,LANÇAMENTO!$F:$F,G$4)</f>
        <v>0</v>
      </c>
      <c r="H11" s="40">
        <f>SUMIFS(LANÇAMENTO!$C:$C,LANÇAMENTO!$D:$D,$A11,LANÇAMENTO!$E:$E,$B11,LANÇAMENTO!$F:$F,H$4)</f>
        <v>0</v>
      </c>
      <c r="I11" s="40">
        <f>SUMIFS(LANÇAMENTO!$C:$C,LANÇAMENTO!$D:$D,$A11,LANÇAMENTO!$E:$E,$B11,LANÇAMENTO!$F:$F,I$4)</f>
        <v>0</v>
      </c>
      <c r="J11" s="40">
        <f>SUMIFS(LANÇAMENTO!$C:$C,LANÇAMENTO!$D:$D,$A11,LANÇAMENTO!$E:$E,$B11,LANÇAMENTO!$F:$F,J$4)</f>
        <v>0</v>
      </c>
      <c r="K11" s="40">
        <f>SUMIFS(LANÇAMENTO!$C:$C,LANÇAMENTO!$D:$D,$A11,LANÇAMENTO!$E:$E,$B11,LANÇAMENTO!$F:$F,K$4)</f>
        <v>0</v>
      </c>
      <c r="L11" s="40">
        <f>SUMIFS(LANÇAMENTO!$C:$C,LANÇAMENTO!$D:$D,$A11,LANÇAMENTO!$E:$E,$B11,LANÇAMENTO!$F:$F,L$4)</f>
        <v>0</v>
      </c>
      <c r="M11" s="40">
        <f>SUMIFS(LANÇAMENTO!$C:$C,LANÇAMENTO!$D:$D,$A11,LANÇAMENTO!$E:$E,$B11,LANÇAMENTO!$F:$F,M$4)</f>
        <v>0</v>
      </c>
      <c r="N11" s="40">
        <f>SUMIFS(LANÇAMENTO!$C:$C,LANÇAMENTO!$D:$D,$A11,LANÇAMENTO!$E:$E,$B11,LANÇAMENTO!$F:$F,N$4)</f>
        <v>0</v>
      </c>
      <c r="O11" s="40">
        <f>SUMIFS(LANÇAMENTO!$C:$C,LANÇAMENTO!$D:$D,$A11,LANÇAMENTO!$E:$E,$B11,LANÇAMENTO!$F:$F,O$4)</f>
        <v>0</v>
      </c>
      <c r="P11" s="40">
        <f>SUMIFS(LANÇAMENTO!$C:$C,LANÇAMENTO!$D:$D,$A11,LANÇAMENTO!$E:$E,$B11,LANÇAMENTO!$F:$F,P$4)</f>
        <v>0</v>
      </c>
      <c r="Q11" s="37">
        <f t="shared" si="2"/>
        <v>0</v>
      </c>
      <c r="R11" s="29">
        <f t="shared" si="4"/>
        <v>0</v>
      </c>
    </row>
    <row r="12" spans="1:18" x14ac:dyDescent="0.25">
      <c r="A12" s="70" t="str">
        <f t="shared" si="3"/>
        <v>RENDA_PRINCIPAL</v>
      </c>
      <c r="B12" s="32" t="s">
        <v>4</v>
      </c>
      <c r="C12" s="46">
        <v>0</v>
      </c>
      <c r="D12" s="35">
        <f t="shared" si="1"/>
        <v>0</v>
      </c>
      <c r="E12" s="41">
        <f>SUMIFS(LANÇAMENTO!$C:$C,LANÇAMENTO!$D:$D,$A12,LANÇAMENTO!$E:$E,$B12,LANÇAMENTO!$F:$F,E$4)</f>
        <v>0</v>
      </c>
      <c r="F12" s="41">
        <f>SUMIFS(LANÇAMENTO!$C:$C,LANÇAMENTO!$D:$D,$A12,LANÇAMENTO!$E:$E,$B12,LANÇAMENTO!$F:$F,F$4)</f>
        <v>0</v>
      </c>
      <c r="G12" s="41">
        <f>SUMIFS(LANÇAMENTO!$C:$C,LANÇAMENTO!$D:$D,$A12,LANÇAMENTO!$E:$E,$B12,LANÇAMENTO!$F:$F,G$4)</f>
        <v>0</v>
      </c>
      <c r="H12" s="41">
        <f>SUMIFS(LANÇAMENTO!$C:$C,LANÇAMENTO!$D:$D,$A12,LANÇAMENTO!$E:$E,$B12,LANÇAMENTO!$F:$F,H$4)</f>
        <v>0</v>
      </c>
      <c r="I12" s="41">
        <f>SUMIFS(LANÇAMENTO!$C:$C,LANÇAMENTO!$D:$D,$A12,LANÇAMENTO!$E:$E,$B12,LANÇAMENTO!$F:$F,I$4)</f>
        <v>0</v>
      </c>
      <c r="J12" s="41">
        <f>SUMIFS(LANÇAMENTO!$C:$C,LANÇAMENTO!$D:$D,$A12,LANÇAMENTO!$E:$E,$B12,LANÇAMENTO!$F:$F,J$4)</f>
        <v>0</v>
      </c>
      <c r="K12" s="41">
        <f>SUMIFS(LANÇAMENTO!$C:$C,LANÇAMENTO!$D:$D,$A12,LANÇAMENTO!$E:$E,$B12,LANÇAMENTO!$F:$F,K$4)</f>
        <v>0</v>
      </c>
      <c r="L12" s="41">
        <f>SUMIFS(LANÇAMENTO!$C:$C,LANÇAMENTO!$D:$D,$A12,LANÇAMENTO!$E:$E,$B12,LANÇAMENTO!$F:$F,L$4)</f>
        <v>0</v>
      </c>
      <c r="M12" s="41">
        <f>SUMIFS(LANÇAMENTO!$C:$C,LANÇAMENTO!$D:$D,$A12,LANÇAMENTO!$E:$E,$B12,LANÇAMENTO!$F:$F,M$4)</f>
        <v>0</v>
      </c>
      <c r="N12" s="41">
        <f>SUMIFS(LANÇAMENTO!$C:$C,LANÇAMENTO!$D:$D,$A12,LANÇAMENTO!$E:$E,$B12,LANÇAMENTO!$F:$F,N$4)</f>
        <v>0</v>
      </c>
      <c r="O12" s="41">
        <f>SUMIFS(LANÇAMENTO!$C:$C,LANÇAMENTO!$D:$D,$A12,LANÇAMENTO!$E:$E,$B12,LANÇAMENTO!$F:$F,O$4)</f>
        <v>0</v>
      </c>
      <c r="P12" s="41">
        <f>SUMIFS(LANÇAMENTO!$C:$C,LANÇAMENTO!$D:$D,$A12,LANÇAMENTO!$E:$E,$B12,LANÇAMENTO!$F:$F,P$4)</f>
        <v>0</v>
      </c>
      <c r="Q12" s="38">
        <f t="shared" si="2"/>
        <v>0</v>
      </c>
      <c r="R12" s="29">
        <f t="shared" si="4"/>
        <v>0</v>
      </c>
    </row>
    <row r="13" spans="1:18" x14ac:dyDescent="0.25">
      <c r="A13" s="70"/>
      <c r="B13" s="27" t="s">
        <v>213</v>
      </c>
      <c r="C13" s="28">
        <f>SUM(C14:C19)</f>
        <v>6300</v>
      </c>
      <c r="D13" s="28">
        <f>SUM(D14:D19)</f>
        <v>75600</v>
      </c>
      <c r="E13" s="28">
        <f>SUM(E14:E19)</f>
        <v>0</v>
      </c>
      <c r="F13" s="28">
        <f t="shared" ref="F13" si="5">SUM(F14:F19)</f>
        <v>0</v>
      </c>
      <c r="G13" s="28">
        <f t="shared" ref="G13" si="6">SUM(G14:G19)</f>
        <v>0</v>
      </c>
      <c r="H13" s="28">
        <f t="shared" ref="H13" si="7">SUM(H14:H19)</f>
        <v>0</v>
      </c>
      <c r="I13" s="28">
        <f t="shared" ref="I13" si="8">SUM(I14:I19)</f>
        <v>0</v>
      </c>
      <c r="J13" s="28">
        <f t="shared" ref="J13" si="9">SUM(J14:J19)</f>
        <v>0</v>
      </c>
      <c r="K13" s="28">
        <f t="shared" ref="K13" si="10">SUM(K14:K19)</f>
        <v>0</v>
      </c>
      <c r="L13" s="28">
        <f t="shared" ref="L13" si="11">SUM(L14:L19)</f>
        <v>0</v>
      </c>
      <c r="M13" s="28">
        <f t="shared" ref="M13" si="12">SUM(M14:M19)</f>
        <v>0</v>
      </c>
      <c r="N13" s="28">
        <f t="shared" ref="N13" si="13">SUM(N14:N19)</f>
        <v>0</v>
      </c>
      <c r="O13" s="28">
        <f t="shared" ref="O13" si="14">SUM(O14:O19)</f>
        <v>0</v>
      </c>
      <c r="P13" s="28">
        <f t="shared" ref="P13" si="15">SUM(P14:P19)</f>
        <v>0</v>
      </c>
      <c r="Q13" s="21">
        <f t="shared" si="2"/>
        <v>0</v>
      </c>
      <c r="R13" s="29">
        <f>IF(SUM(R14:R19)=0,0,1)</f>
        <v>1</v>
      </c>
    </row>
    <row r="14" spans="1:18" x14ac:dyDescent="0.25">
      <c r="A14" s="70" t="str">
        <f>$B$13</f>
        <v>RENDA_CÔNJUGE</v>
      </c>
      <c r="B14" s="30" t="s">
        <v>5</v>
      </c>
      <c r="C14" s="44">
        <v>5400</v>
      </c>
      <c r="D14" s="33">
        <f t="shared" ref="D14:D19" si="16">C14*12</f>
        <v>64800</v>
      </c>
      <c r="E14" s="39">
        <f>SUMIFS(LANÇAMENTO!$C:$C,LANÇAMENTO!$D:$D,$A14,LANÇAMENTO!$E:$E,$B14,LANÇAMENTO!$F:$F,E$4)</f>
        <v>0</v>
      </c>
      <c r="F14" s="39">
        <f>SUMIFS(LANÇAMENTO!$C:$C,LANÇAMENTO!$D:$D,$A14,LANÇAMENTO!$E:$E,$B14,LANÇAMENTO!$F:$F,F$4)</f>
        <v>0</v>
      </c>
      <c r="G14" s="39">
        <f>SUMIFS(LANÇAMENTO!$C:$C,LANÇAMENTO!$D:$D,$A14,LANÇAMENTO!$E:$E,$B14,LANÇAMENTO!$F:$F,G$4)</f>
        <v>0</v>
      </c>
      <c r="H14" s="39">
        <f>SUMIFS(LANÇAMENTO!$C:$C,LANÇAMENTO!$D:$D,$A14,LANÇAMENTO!$E:$E,$B14,LANÇAMENTO!$F:$F,H$4)</f>
        <v>0</v>
      </c>
      <c r="I14" s="39">
        <f>SUMIFS(LANÇAMENTO!$C:$C,LANÇAMENTO!$D:$D,$A14,LANÇAMENTO!$E:$E,$B14,LANÇAMENTO!$F:$F,I$4)</f>
        <v>0</v>
      </c>
      <c r="J14" s="39">
        <f>SUMIFS(LANÇAMENTO!$C:$C,LANÇAMENTO!$D:$D,$A14,LANÇAMENTO!$E:$E,$B14,LANÇAMENTO!$F:$F,J$4)</f>
        <v>0</v>
      </c>
      <c r="K14" s="39">
        <f>SUMIFS(LANÇAMENTO!$C:$C,LANÇAMENTO!$D:$D,$A14,LANÇAMENTO!$E:$E,$B14,LANÇAMENTO!$F:$F,K$4)</f>
        <v>0</v>
      </c>
      <c r="L14" s="39">
        <f>SUMIFS(LANÇAMENTO!$C:$C,LANÇAMENTO!$D:$D,$A14,LANÇAMENTO!$E:$E,$B14,LANÇAMENTO!$F:$F,L$4)</f>
        <v>0</v>
      </c>
      <c r="M14" s="39">
        <f>SUMIFS(LANÇAMENTO!$C:$C,LANÇAMENTO!$D:$D,$A14,LANÇAMENTO!$E:$E,$B14,LANÇAMENTO!$F:$F,M$4)</f>
        <v>0</v>
      </c>
      <c r="N14" s="39">
        <f>SUMIFS(LANÇAMENTO!$C:$C,LANÇAMENTO!$D:$D,$A14,LANÇAMENTO!$E:$E,$B14,LANÇAMENTO!$F:$F,N$4)</f>
        <v>0</v>
      </c>
      <c r="O14" s="39">
        <f>SUMIFS(LANÇAMENTO!$C:$C,LANÇAMENTO!$D:$D,$A14,LANÇAMENTO!$E:$E,$B14,LANÇAMENTO!$F:$F,O$4)</f>
        <v>0</v>
      </c>
      <c r="P14" s="39">
        <f>SUMIFS(LANÇAMENTO!$C:$C,LANÇAMENTO!$D:$D,$A14,LANÇAMENTO!$E:$E,$B14,LANÇAMENTO!$F:$F,P$4)</f>
        <v>0</v>
      </c>
      <c r="Q14" s="36">
        <f t="shared" si="2"/>
        <v>0</v>
      </c>
      <c r="R14" s="29">
        <f t="shared" si="4"/>
        <v>1</v>
      </c>
    </row>
    <row r="15" spans="1:18" x14ac:dyDescent="0.25">
      <c r="A15" s="70" t="str">
        <f t="shared" ref="A15:A19" si="17">$B$13</f>
        <v>RENDA_CÔNJUGE</v>
      </c>
      <c r="B15" s="31" t="s">
        <v>0</v>
      </c>
      <c r="C15" s="45">
        <v>0</v>
      </c>
      <c r="D15" s="34">
        <f t="shared" si="16"/>
        <v>0</v>
      </c>
      <c r="E15" s="40">
        <f>SUMIFS(LANÇAMENTO!$C:$C,LANÇAMENTO!$D:$D,$A15,LANÇAMENTO!$E:$E,$B15,LANÇAMENTO!$F:$F,E$4)</f>
        <v>0</v>
      </c>
      <c r="F15" s="40">
        <f>SUMIFS(LANÇAMENTO!$C:$C,LANÇAMENTO!$D:$D,$A15,LANÇAMENTO!$E:$E,$B15,LANÇAMENTO!$F:$F,F$4)</f>
        <v>0</v>
      </c>
      <c r="G15" s="40">
        <f>SUMIFS(LANÇAMENTO!$C:$C,LANÇAMENTO!$D:$D,$A15,LANÇAMENTO!$E:$E,$B15,LANÇAMENTO!$F:$F,G$4)</f>
        <v>0</v>
      </c>
      <c r="H15" s="40">
        <f>SUMIFS(LANÇAMENTO!$C:$C,LANÇAMENTO!$D:$D,$A15,LANÇAMENTO!$E:$E,$B15,LANÇAMENTO!$F:$F,H$4)</f>
        <v>0</v>
      </c>
      <c r="I15" s="40">
        <f>SUMIFS(LANÇAMENTO!$C:$C,LANÇAMENTO!$D:$D,$A15,LANÇAMENTO!$E:$E,$B15,LANÇAMENTO!$F:$F,I$4)</f>
        <v>0</v>
      </c>
      <c r="J15" s="40">
        <f>SUMIFS(LANÇAMENTO!$C:$C,LANÇAMENTO!$D:$D,$A15,LANÇAMENTO!$E:$E,$B15,LANÇAMENTO!$F:$F,J$4)</f>
        <v>0</v>
      </c>
      <c r="K15" s="40">
        <f>SUMIFS(LANÇAMENTO!$C:$C,LANÇAMENTO!$D:$D,$A15,LANÇAMENTO!$E:$E,$B15,LANÇAMENTO!$F:$F,K$4)</f>
        <v>0</v>
      </c>
      <c r="L15" s="40">
        <f>SUMIFS(LANÇAMENTO!$C:$C,LANÇAMENTO!$D:$D,$A15,LANÇAMENTO!$E:$E,$B15,LANÇAMENTO!$F:$F,L$4)</f>
        <v>0</v>
      </c>
      <c r="M15" s="40">
        <f>SUMIFS(LANÇAMENTO!$C:$C,LANÇAMENTO!$D:$D,$A15,LANÇAMENTO!$E:$E,$B15,LANÇAMENTO!$F:$F,M$4)</f>
        <v>0</v>
      </c>
      <c r="N15" s="40">
        <f>SUMIFS(LANÇAMENTO!$C:$C,LANÇAMENTO!$D:$D,$A15,LANÇAMENTO!$E:$E,$B15,LANÇAMENTO!$F:$F,N$4)</f>
        <v>0</v>
      </c>
      <c r="O15" s="40">
        <f>SUMIFS(LANÇAMENTO!$C:$C,LANÇAMENTO!$D:$D,$A15,LANÇAMENTO!$E:$E,$B15,LANÇAMENTO!$F:$F,O$4)</f>
        <v>0</v>
      </c>
      <c r="P15" s="40">
        <f>SUMIFS(LANÇAMENTO!$C:$C,LANÇAMENTO!$D:$D,$A15,LANÇAMENTO!$E:$E,$B15,LANÇAMENTO!$F:$F,P$4)</f>
        <v>0</v>
      </c>
      <c r="Q15" s="37">
        <f t="shared" si="2"/>
        <v>0</v>
      </c>
      <c r="R15" s="29">
        <f t="shared" si="4"/>
        <v>0</v>
      </c>
    </row>
    <row r="16" spans="1:18" x14ac:dyDescent="0.25">
      <c r="A16" s="70" t="str">
        <f t="shared" si="17"/>
        <v>RENDA_CÔNJUGE</v>
      </c>
      <c r="B16" s="31" t="s">
        <v>6</v>
      </c>
      <c r="C16" s="45">
        <v>0</v>
      </c>
      <c r="D16" s="34">
        <f t="shared" si="16"/>
        <v>0</v>
      </c>
      <c r="E16" s="40">
        <f>SUMIFS(LANÇAMENTO!$C:$C,LANÇAMENTO!$D:$D,$A16,LANÇAMENTO!$E:$E,$B16,LANÇAMENTO!$F:$F,E$4)</f>
        <v>0</v>
      </c>
      <c r="F16" s="40">
        <f>SUMIFS(LANÇAMENTO!$C:$C,LANÇAMENTO!$D:$D,$A16,LANÇAMENTO!$E:$E,$B16,LANÇAMENTO!$F:$F,F$4)</f>
        <v>0</v>
      </c>
      <c r="G16" s="40">
        <f>SUMIFS(LANÇAMENTO!$C:$C,LANÇAMENTO!$D:$D,$A16,LANÇAMENTO!$E:$E,$B16,LANÇAMENTO!$F:$F,G$4)</f>
        <v>0</v>
      </c>
      <c r="H16" s="40">
        <f>SUMIFS(LANÇAMENTO!$C:$C,LANÇAMENTO!$D:$D,$A16,LANÇAMENTO!$E:$E,$B16,LANÇAMENTO!$F:$F,H$4)</f>
        <v>0</v>
      </c>
      <c r="I16" s="40">
        <f>SUMIFS(LANÇAMENTO!$C:$C,LANÇAMENTO!$D:$D,$A16,LANÇAMENTO!$E:$E,$B16,LANÇAMENTO!$F:$F,I$4)</f>
        <v>0</v>
      </c>
      <c r="J16" s="40">
        <f>SUMIFS(LANÇAMENTO!$C:$C,LANÇAMENTO!$D:$D,$A16,LANÇAMENTO!$E:$E,$B16,LANÇAMENTO!$F:$F,J$4)</f>
        <v>0</v>
      </c>
      <c r="K16" s="40">
        <f>SUMIFS(LANÇAMENTO!$C:$C,LANÇAMENTO!$D:$D,$A16,LANÇAMENTO!$E:$E,$B16,LANÇAMENTO!$F:$F,K$4)</f>
        <v>0</v>
      </c>
      <c r="L16" s="40">
        <f>SUMIFS(LANÇAMENTO!$C:$C,LANÇAMENTO!$D:$D,$A16,LANÇAMENTO!$E:$E,$B16,LANÇAMENTO!$F:$F,L$4)</f>
        <v>0</v>
      </c>
      <c r="M16" s="40">
        <f>SUMIFS(LANÇAMENTO!$C:$C,LANÇAMENTO!$D:$D,$A16,LANÇAMENTO!$E:$E,$B16,LANÇAMENTO!$F:$F,M$4)</f>
        <v>0</v>
      </c>
      <c r="N16" s="40">
        <f>SUMIFS(LANÇAMENTO!$C:$C,LANÇAMENTO!$D:$D,$A16,LANÇAMENTO!$E:$E,$B16,LANÇAMENTO!$F:$F,N$4)</f>
        <v>0</v>
      </c>
      <c r="O16" s="40">
        <f>SUMIFS(LANÇAMENTO!$C:$C,LANÇAMENTO!$D:$D,$A16,LANÇAMENTO!$E:$E,$B16,LANÇAMENTO!$F:$F,O$4)</f>
        <v>0</v>
      </c>
      <c r="P16" s="40">
        <f>SUMIFS(LANÇAMENTO!$C:$C,LANÇAMENTO!$D:$D,$A16,LANÇAMENTO!$E:$E,$B16,LANÇAMENTO!$F:$F,P$4)</f>
        <v>0</v>
      </c>
      <c r="Q16" s="37">
        <f t="shared" si="2"/>
        <v>0</v>
      </c>
      <c r="R16" s="29">
        <f t="shared" si="4"/>
        <v>0</v>
      </c>
    </row>
    <row r="17" spans="1:18" x14ac:dyDescent="0.25">
      <c r="A17" s="70" t="str">
        <f t="shared" si="17"/>
        <v>RENDA_CÔNJUGE</v>
      </c>
      <c r="B17" s="31" t="s">
        <v>2</v>
      </c>
      <c r="C17" s="45">
        <v>500</v>
      </c>
      <c r="D17" s="34">
        <f t="shared" si="16"/>
        <v>6000</v>
      </c>
      <c r="E17" s="40">
        <f>SUMIFS(LANÇAMENTO!$C:$C,LANÇAMENTO!$D:$D,$A17,LANÇAMENTO!$E:$E,$B17,LANÇAMENTO!$F:$F,E$4)</f>
        <v>0</v>
      </c>
      <c r="F17" s="40">
        <f>SUMIFS(LANÇAMENTO!$C:$C,LANÇAMENTO!$D:$D,$A17,LANÇAMENTO!$E:$E,$B17,LANÇAMENTO!$F:$F,F$4)</f>
        <v>0</v>
      </c>
      <c r="G17" s="40">
        <f>SUMIFS(LANÇAMENTO!$C:$C,LANÇAMENTO!$D:$D,$A17,LANÇAMENTO!$E:$E,$B17,LANÇAMENTO!$F:$F,G$4)</f>
        <v>0</v>
      </c>
      <c r="H17" s="40">
        <f>SUMIFS(LANÇAMENTO!$C:$C,LANÇAMENTO!$D:$D,$A17,LANÇAMENTO!$E:$E,$B17,LANÇAMENTO!$F:$F,H$4)</f>
        <v>0</v>
      </c>
      <c r="I17" s="40">
        <f>SUMIFS(LANÇAMENTO!$C:$C,LANÇAMENTO!$D:$D,$A17,LANÇAMENTO!$E:$E,$B17,LANÇAMENTO!$F:$F,I$4)</f>
        <v>0</v>
      </c>
      <c r="J17" s="40">
        <f>SUMIFS(LANÇAMENTO!$C:$C,LANÇAMENTO!$D:$D,$A17,LANÇAMENTO!$E:$E,$B17,LANÇAMENTO!$F:$F,J$4)</f>
        <v>0</v>
      </c>
      <c r="K17" s="40">
        <f>SUMIFS(LANÇAMENTO!$C:$C,LANÇAMENTO!$D:$D,$A17,LANÇAMENTO!$E:$E,$B17,LANÇAMENTO!$F:$F,K$4)</f>
        <v>0</v>
      </c>
      <c r="L17" s="40">
        <f>SUMIFS(LANÇAMENTO!$C:$C,LANÇAMENTO!$D:$D,$A17,LANÇAMENTO!$E:$E,$B17,LANÇAMENTO!$F:$F,L$4)</f>
        <v>0</v>
      </c>
      <c r="M17" s="40">
        <f>SUMIFS(LANÇAMENTO!$C:$C,LANÇAMENTO!$D:$D,$A17,LANÇAMENTO!$E:$E,$B17,LANÇAMENTO!$F:$F,M$4)</f>
        <v>0</v>
      </c>
      <c r="N17" s="40">
        <f>SUMIFS(LANÇAMENTO!$C:$C,LANÇAMENTO!$D:$D,$A17,LANÇAMENTO!$E:$E,$B17,LANÇAMENTO!$F:$F,N$4)</f>
        <v>0</v>
      </c>
      <c r="O17" s="40">
        <f>SUMIFS(LANÇAMENTO!$C:$C,LANÇAMENTO!$D:$D,$A17,LANÇAMENTO!$E:$E,$B17,LANÇAMENTO!$F:$F,O$4)</f>
        <v>0</v>
      </c>
      <c r="P17" s="40">
        <f>SUMIFS(LANÇAMENTO!$C:$C,LANÇAMENTO!$D:$D,$A17,LANÇAMENTO!$E:$E,$B17,LANÇAMENTO!$F:$F,P$4)</f>
        <v>0</v>
      </c>
      <c r="Q17" s="37">
        <f t="shared" si="2"/>
        <v>0</v>
      </c>
      <c r="R17" s="29">
        <f t="shared" si="4"/>
        <v>1</v>
      </c>
    </row>
    <row r="18" spans="1:18" x14ac:dyDescent="0.25">
      <c r="A18" s="70" t="str">
        <f t="shared" si="17"/>
        <v>RENDA_CÔNJUGE</v>
      </c>
      <c r="B18" s="31" t="s">
        <v>3</v>
      </c>
      <c r="C18" s="45">
        <v>400</v>
      </c>
      <c r="D18" s="34">
        <f t="shared" si="16"/>
        <v>4800</v>
      </c>
      <c r="E18" s="40">
        <f>SUMIFS(LANÇAMENTO!$C:$C,LANÇAMENTO!$D:$D,$A18,LANÇAMENTO!$E:$E,$B18,LANÇAMENTO!$F:$F,E$4)</f>
        <v>0</v>
      </c>
      <c r="F18" s="40">
        <f>SUMIFS(LANÇAMENTO!$C:$C,LANÇAMENTO!$D:$D,$A18,LANÇAMENTO!$E:$E,$B18,LANÇAMENTO!$F:$F,F$4)</f>
        <v>0</v>
      </c>
      <c r="G18" s="40">
        <f>SUMIFS(LANÇAMENTO!$C:$C,LANÇAMENTO!$D:$D,$A18,LANÇAMENTO!$E:$E,$B18,LANÇAMENTO!$F:$F,G$4)</f>
        <v>0</v>
      </c>
      <c r="H18" s="40">
        <f>SUMIFS(LANÇAMENTO!$C:$C,LANÇAMENTO!$D:$D,$A18,LANÇAMENTO!$E:$E,$B18,LANÇAMENTO!$F:$F,H$4)</f>
        <v>0</v>
      </c>
      <c r="I18" s="40">
        <f>SUMIFS(LANÇAMENTO!$C:$C,LANÇAMENTO!$D:$D,$A18,LANÇAMENTO!$E:$E,$B18,LANÇAMENTO!$F:$F,I$4)</f>
        <v>0</v>
      </c>
      <c r="J18" s="40">
        <f>SUMIFS(LANÇAMENTO!$C:$C,LANÇAMENTO!$D:$D,$A18,LANÇAMENTO!$E:$E,$B18,LANÇAMENTO!$F:$F,J$4)</f>
        <v>0</v>
      </c>
      <c r="K18" s="40">
        <f>SUMIFS(LANÇAMENTO!$C:$C,LANÇAMENTO!$D:$D,$A18,LANÇAMENTO!$E:$E,$B18,LANÇAMENTO!$F:$F,K$4)</f>
        <v>0</v>
      </c>
      <c r="L18" s="40">
        <f>SUMIFS(LANÇAMENTO!$C:$C,LANÇAMENTO!$D:$D,$A18,LANÇAMENTO!$E:$E,$B18,LANÇAMENTO!$F:$F,L$4)</f>
        <v>0</v>
      </c>
      <c r="M18" s="40">
        <f>SUMIFS(LANÇAMENTO!$C:$C,LANÇAMENTO!$D:$D,$A18,LANÇAMENTO!$E:$E,$B18,LANÇAMENTO!$F:$F,M$4)</f>
        <v>0</v>
      </c>
      <c r="N18" s="40">
        <f>SUMIFS(LANÇAMENTO!$C:$C,LANÇAMENTO!$D:$D,$A18,LANÇAMENTO!$E:$E,$B18,LANÇAMENTO!$F:$F,N$4)</f>
        <v>0</v>
      </c>
      <c r="O18" s="40">
        <f>SUMIFS(LANÇAMENTO!$C:$C,LANÇAMENTO!$D:$D,$A18,LANÇAMENTO!$E:$E,$B18,LANÇAMENTO!$F:$F,O$4)</f>
        <v>0</v>
      </c>
      <c r="P18" s="40">
        <f>SUMIFS(LANÇAMENTO!$C:$C,LANÇAMENTO!$D:$D,$A18,LANÇAMENTO!$E:$E,$B18,LANÇAMENTO!$F:$F,P$4)</f>
        <v>0</v>
      </c>
      <c r="Q18" s="37">
        <f t="shared" si="2"/>
        <v>0</v>
      </c>
      <c r="R18" s="29">
        <f t="shared" si="4"/>
        <v>1</v>
      </c>
    </row>
    <row r="19" spans="1:18" x14ac:dyDescent="0.25">
      <c r="A19" s="70" t="str">
        <f t="shared" si="17"/>
        <v>RENDA_CÔNJUGE</v>
      </c>
      <c r="B19" s="32" t="s">
        <v>4</v>
      </c>
      <c r="C19" s="46">
        <v>0</v>
      </c>
      <c r="D19" s="35">
        <f t="shared" si="16"/>
        <v>0</v>
      </c>
      <c r="E19" s="41">
        <f>SUMIFS(LANÇAMENTO!$C:$C,LANÇAMENTO!$D:$D,$A19,LANÇAMENTO!$E:$E,$B19,LANÇAMENTO!$F:$F,E$4)</f>
        <v>0</v>
      </c>
      <c r="F19" s="41">
        <f>SUMIFS(LANÇAMENTO!$C:$C,LANÇAMENTO!$D:$D,$A19,LANÇAMENTO!$E:$E,$B19,LANÇAMENTO!$F:$F,F$4)</f>
        <v>0</v>
      </c>
      <c r="G19" s="41">
        <f>SUMIFS(LANÇAMENTO!$C:$C,LANÇAMENTO!$D:$D,$A19,LANÇAMENTO!$E:$E,$B19,LANÇAMENTO!$F:$F,G$4)</f>
        <v>0</v>
      </c>
      <c r="H19" s="41">
        <f>SUMIFS(LANÇAMENTO!$C:$C,LANÇAMENTO!$D:$D,$A19,LANÇAMENTO!$E:$E,$B19,LANÇAMENTO!$F:$F,H$4)</f>
        <v>0</v>
      </c>
      <c r="I19" s="41">
        <f>SUMIFS(LANÇAMENTO!$C:$C,LANÇAMENTO!$D:$D,$A19,LANÇAMENTO!$E:$E,$B19,LANÇAMENTO!$F:$F,I$4)</f>
        <v>0</v>
      </c>
      <c r="J19" s="41">
        <f>SUMIFS(LANÇAMENTO!$C:$C,LANÇAMENTO!$D:$D,$A19,LANÇAMENTO!$E:$E,$B19,LANÇAMENTO!$F:$F,J$4)</f>
        <v>0</v>
      </c>
      <c r="K19" s="41">
        <f>SUMIFS(LANÇAMENTO!$C:$C,LANÇAMENTO!$D:$D,$A19,LANÇAMENTO!$E:$E,$B19,LANÇAMENTO!$F:$F,K$4)</f>
        <v>0</v>
      </c>
      <c r="L19" s="41">
        <f>SUMIFS(LANÇAMENTO!$C:$C,LANÇAMENTO!$D:$D,$A19,LANÇAMENTO!$E:$E,$B19,LANÇAMENTO!$F:$F,L$4)</f>
        <v>0</v>
      </c>
      <c r="M19" s="41">
        <f>SUMIFS(LANÇAMENTO!$C:$C,LANÇAMENTO!$D:$D,$A19,LANÇAMENTO!$E:$E,$B19,LANÇAMENTO!$F:$F,M$4)</f>
        <v>0</v>
      </c>
      <c r="N19" s="41">
        <f>SUMIFS(LANÇAMENTO!$C:$C,LANÇAMENTO!$D:$D,$A19,LANÇAMENTO!$E:$E,$B19,LANÇAMENTO!$F:$F,N$4)</f>
        <v>0</v>
      </c>
      <c r="O19" s="41">
        <f>SUMIFS(LANÇAMENTO!$C:$C,LANÇAMENTO!$D:$D,$A19,LANÇAMENTO!$E:$E,$B19,LANÇAMENTO!$F:$F,O$4)</f>
        <v>0</v>
      </c>
      <c r="P19" s="41">
        <f>SUMIFS(LANÇAMENTO!$C:$C,LANÇAMENTO!$D:$D,$A19,LANÇAMENTO!$E:$E,$B19,LANÇAMENTO!$F:$F,P$4)</f>
        <v>0</v>
      </c>
      <c r="Q19" s="38">
        <f t="shared" si="2"/>
        <v>0</v>
      </c>
      <c r="R19" s="29">
        <f t="shared" si="4"/>
        <v>0</v>
      </c>
    </row>
    <row r="20" spans="1:18" x14ac:dyDescent="0.25">
      <c r="A20" s="70"/>
      <c r="B20" s="27" t="s">
        <v>214</v>
      </c>
      <c r="C20" s="28">
        <f>SUM(C21:C26)</f>
        <v>3300</v>
      </c>
      <c r="D20" s="28">
        <f>SUM(D21:D26)</f>
        <v>39600</v>
      </c>
      <c r="E20" s="28">
        <f>SUM(E21:E26)</f>
        <v>0</v>
      </c>
      <c r="F20" s="28">
        <f t="shared" ref="F20" si="18">SUM(F21:F26)</f>
        <v>0</v>
      </c>
      <c r="G20" s="28">
        <f t="shared" ref="G20" si="19">SUM(G21:G26)</f>
        <v>0</v>
      </c>
      <c r="H20" s="28">
        <f t="shared" ref="H20" si="20">SUM(H21:H26)</f>
        <v>0</v>
      </c>
      <c r="I20" s="28">
        <f t="shared" ref="I20" si="21">SUM(I21:I26)</f>
        <v>0</v>
      </c>
      <c r="J20" s="28">
        <f t="shared" ref="J20" si="22">SUM(J21:J26)</f>
        <v>0</v>
      </c>
      <c r="K20" s="28">
        <f t="shared" ref="K20" si="23">SUM(K21:K26)</f>
        <v>0</v>
      </c>
      <c r="L20" s="28">
        <f t="shared" ref="L20" si="24">SUM(L21:L26)</f>
        <v>0</v>
      </c>
      <c r="M20" s="28">
        <f t="shared" ref="M20" si="25">SUM(M21:M26)</f>
        <v>0</v>
      </c>
      <c r="N20" s="28">
        <f t="shared" ref="N20" si="26">SUM(N21:N26)</f>
        <v>0</v>
      </c>
      <c r="O20" s="28">
        <f t="shared" ref="O20" si="27">SUM(O21:O26)</f>
        <v>0</v>
      </c>
      <c r="P20" s="28">
        <f t="shared" ref="P20" si="28">SUM(P21:P26)</f>
        <v>0</v>
      </c>
      <c r="Q20" s="21">
        <f t="shared" si="2"/>
        <v>0</v>
      </c>
      <c r="R20" s="29">
        <f>IF(SUM(R21:R26)=0,0,1)</f>
        <v>1</v>
      </c>
    </row>
    <row r="21" spans="1:18" x14ac:dyDescent="0.25">
      <c r="A21" s="70" t="str">
        <f>$B$20</f>
        <v>RENDA_EXTRA</v>
      </c>
      <c r="B21" s="30" t="s">
        <v>7</v>
      </c>
      <c r="C21" s="44">
        <v>0</v>
      </c>
      <c r="D21" s="33">
        <f t="shared" ref="D21" si="29">C21*12</f>
        <v>0</v>
      </c>
      <c r="E21" s="39">
        <f>SUMIFS(LANÇAMENTO!$C:$C,LANÇAMENTO!$D:$D,$A21,LANÇAMENTO!$E:$E,$B21,LANÇAMENTO!$F:$F,E$4)</f>
        <v>0</v>
      </c>
      <c r="F21" s="39">
        <f>SUMIFS(LANÇAMENTO!$C:$C,LANÇAMENTO!$D:$D,$A21,LANÇAMENTO!$E:$E,$B21,LANÇAMENTO!$F:$F,F$4)</f>
        <v>0</v>
      </c>
      <c r="G21" s="39">
        <f>SUMIFS(LANÇAMENTO!$C:$C,LANÇAMENTO!$D:$D,$A21,LANÇAMENTO!$E:$E,$B21,LANÇAMENTO!$F:$F,G$4)</f>
        <v>0</v>
      </c>
      <c r="H21" s="39">
        <f>SUMIFS(LANÇAMENTO!$C:$C,LANÇAMENTO!$D:$D,$A21,LANÇAMENTO!$E:$E,$B21,LANÇAMENTO!$F:$F,H$4)</f>
        <v>0</v>
      </c>
      <c r="I21" s="39">
        <f>SUMIFS(LANÇAMENTO!$C:$C,LANÇAMENTO!$D:$D,$A21,LANÇAMENTO!$E:$E,$B21,LANÇAMENTO!$F:$F,I$4)</f>
        <v>0</v>
      </c>
      <c r="J21" s="39">
        <f>SUMIFS(LANÇAMENTO!$C:$C,LANÇAMENTO!$D:$D,$A21,LANÇAMENTO!$E:$E,$B21,LANÇAMENTO!$F:$F,J$4)</f>
        <v>0</v>
      </c>
      <c r="K21" s="39">
        <f>SUMIFS(LANÇAMENTO!$C:$C,LANÇAMENTO!$D:$D,$A21,LANÇAMENTO!$E:$E,$B21,LANÇAMENTO!$F:$F,K$4)</f>
        <v>0</v>
      </c>
      <c r="L21" s="39">
        <f>SUMIFS(LANÇAMENTO!$C:$C,LANÇAMENTO!$D:$D,$A21,LANÇAMENTO!$E:$E,$B21,LANÇAMENTO!$F:$F,L$4)</f>
        <v>0</v>
      </c>
      <c r="M21" s="39">
        <f>SUMIFS(LANÇAMENTO!$C:$C,LANÇAMENTO!$D:$D,$A21,LANÇAMENTO!$E:$E,$B21,LANÇAMENTO!$F:$F,M$4)</f>
        <v>0</v>
      </c>
      <c r="N21" s="39">
        <f>SUMIFS(LANÇAMENTO!$C:$C,LANÇAMENTO!$D:$D,$A21,LANÇAMENTO!$E:$E,$B21,LANÇAMENTO!$F:$F,N$4)</f>
        <v>0</v>
      </c>
      <c r="O21" s="39">
        <f>SUMIFS(LANÇAMENTO!$C:$C,LANÇAMENTO!$D:$D,$A21,LANÇAMENTO!$E:$E,$B21,LANÇAMENTO!$F:$F,O$4)</f>
        <v>0</v>
      </c>
      <c r="P21" s="39">
        <f>SUMIFS(LANÇAMENTO!$C:$C,LANÇAMENTO!$D:$D,$A21,LANÇAMENTO!$E:$E,$B21,LANÇAMENTO!$F:$F,P$4)</f>
        <v>0</v>
      </c>
      <c r="Q21" s="36">
        <f t="shared" si="2"/>
        <v>0</v>
      </c>
      <c r="R21" s="29">
        <f t="shared" si="4"/>
        <v>0</v>
      </c>
    </row>
    <row r="22" spans="1:18" x14ac:dyDescent="0.25">
      <c r="A22" s="70" t="str">
        <f t="shared" ref="A22:A26" si="30">$B$20</f>
        <v>RENDA_EXTRA</v>
      </c>
      <c r="B22" s="31" t="s">
        <v>8</v>
      </c>
      <c r="C22" s="45">
        <v>0</v>
      </c>
      <c r="D22" s="34">
        <f t="shared" ref="D22:D26" si="31">C22*12</f>
        <v>0</v>
      </c>
      <c r="E22" s="40">
        <f>SUMIFS(LANÇAMENTO!$C:$C,LANÇAMENTO!$D:$D,$A22,LANÇAMENTO!$E:$E,$B22,LANÇAMENTO!$F:$F,E$4)</f>
        <v>0</v>
      </c>
      <c r="F22" s="40">
        <f>SUMIFS(LANÇAMENTO!$C:$C,LANÇAMENTO!$D:$D,$A22,LANÇAMENTO!$E:$E,$B22,LANÇAMENTO!$F:$F,F$4)</f>
        <v>0</v>
      </c>
      <c r="G22" s="40">
        <f>SUMIFS(LANÇAMENTO!$C:$C,LANÇAMENTO!$D:$D,$A22,LANÇAMENTO!$E:$E,$B22,LANÇAMENTO!$F:$F,G$4)</f>
        <v>0</v>
      </c>
      <c r="H22" s="40">
        <f>SUMIFS(LANÇAMENTO!$C:$C,LANÇAMENTO!$D:$D,$A22,LANÇAMENTO!$E:$E,$B22,LANÇAMENTO!$F:$F,H$4)</f>
        <v>0</v>
      </c>
      <c r="I22" s="40">
        <f>SUMIFS(LANÇAMENTO!$C:$C,LANÇAMENTO!$D:$D,$A22,LANÇAMENTO!$E:$E,$B22,LANÇAMENTO!$F:$F,I$4)</f>
        <v>0</v>
      </c>
      <c r="J22" s="40">
        <f>SUMIFS(LANÇAMENTO!$C:$C,LANÇAMENTO!$D:$D,$A22,LANÇAMENTO!$E:$E,$B22,LANÇAMENTO!$F:$F,J$4)</f>
        <v>0</v>
      </c>
      <c r="K22" s="40">
        <f>SUMIFS(LANÇAMENTO!$C:$C,LANÇAMENTO!$D:$D,$A22,LANÇAMENTO!$E:$E,$B22,LANÇAMENTO!$F:$F,K$4)</f>
        <v>0</v>
      </c>
      <c r="L22" s="40">
        <f>SUMIFS(LANÇAMENTO!$C:$C,LANÇAMENTO!$D:$D,$A22,LANÇAMENTO!$E:$E,$B22,LANÇAMENTO!$F:$F,L$4)</f>
        <v>0</v>
      </c>
      <c r="M22" s="40">
        <f>SUMIFS(LANÇAMENTO!$C:$C,LANÇAMENTO!$D:$D,$A22,LANÇAMENTO!$E:$E,$B22,LANÇAMENTO!$F:$F,M$4)</f>
        <v>0</v>
      </c>
      <c r="N22" s="40">
        <f>SUMIFS(LANÇAMENTO!$C:$C,LANÇAMENTO!$D:$D,$A22,LANÇAMENTO!$E:$E,$B22,LANÇAMENTO!$F:$F,N$4)</f>
        <v>0</v>
      </c>
      <c r="O22" s="40">
        <f>SUMIFS(LANÇAMENTO!$C:$C,LANÇAMENTO!$D:$D,$A22,LANÇAMENTO!$E:$E,$B22,LANÇAMENTO!$F:$F,O$4)</f>
        <v>0</v>
      </c>
      <c r="P22" s="40">
        <f>SUMIFS(LANÇAMENTO!$C:$C,LANÇAMENTO!$D:$D,$A22,LANÇAMENTO!$E:$E,$B22,LANÇAMENTO!$F:$F,P$4)</f>
        <v>0</v>
      </c>
      <c r="Q22" s="37">
        <f t="shared" si="2"/>
        <v>0</v>
      </c>
      <c r="R22" s="29">
        <f t="shared" si="4"/>
        <v>0</v>
      </c>
    </row>
    <row r="23" spans="1:18" x14ac:dyDescent="0.25">
      <c r="A23" s="70" t="str">
        <f t="shared" si="30"/>
        <v>RENDA_EXTRA</v>
      </c>
      <c r="B23" s="31" t="s">
        <v>9</v>
      </c>
      <c r="C23" s="45">
        <v>2500</v>
      </c>
      <c r="D23" s="34">
        <f t="shared" si="31"/>
        <v>30000</v>
      </c>
      <c r="E23" s="40">
        <f>SUMIFS(LANÇAMENTO!$C:$C,LANÇAMENTO!$D:$D,$A23,LANÇAMENTO!$E:$E,$B23,LANÇAMENTO!$F:$F,E$4)</f>
        <v>0</v>
      </c>
      <c r="F23" s="40">
        <f>SUMIFS(LANÇAMENTO!$C:$C,LANÇAMENTO!$D:$D,$A23,LANÇAMENTO!$E:$E,$B23,LANÇAMENTO!$F:$F,F$4)</f>
        <v>0</v>
      </c>
      <c r="G23" s="40">
        <f>SUMIFS(LANÇAMENTO!$C:$C,LANÇAMENTO!$D:$D,$A23,LANÇAMENTO!$E:$E,$B23,LANÇAMENTO!$F:$F,G$4)</f>
        <v>0</v>
      </c>
      <c r="H23" s="40">
        <f>SUMIFS(LANÇAMENTO!$C:$C,LANÇAMENTO!$D:$D,$A23,LANÇAMENTO!$E:$E,$B23,LANÇAMENTO!$F:$F,H$4)</f>
        <v>0</v>
      </c>
      <c r="I23" s="40">
        <f>SUMIFS(LANÇAMENTO!$C:$C,LANÇAMENTO!$D:$D,$A23,LANÇAMENTO!$E:$E,$B23,LANÇAMENTO!$F:$F,I$4)</f>
        <v>0</v>
      </c>
      <c r="J23" s="40">
        <f>SUMIFS(LANÇAMENTO!$C:$C,LANÇAMENTO!$D:$D,$A23,LANÇAMENTO!$E:$E,$B23,LANÇAMENTO!$F:$F,J$4)</f>
        <v>0</v>
      </c>
      <c r="K23" s="40">
        <f>SUMIFS(LANÇAMENTO!$C:$C,LANÇAMENTO!$D:$D,$A23,LANÇAMENTO!$E:$E,$B23,LANÇAMENTO!$F:$F,K$4)</f>
        <v>0</v>
      </c>
      <c r="L23" s="40">
        <f>SUMIFS(LANÇAMENTO!$C:$C,LANÇAMENTO!$D:$D,$A23,LANÇAMENTO!$E:$E,$B23,LANÇAMENTO!$F:$F,L$4)</f>
        <v>0</v>
      </c>
      <c r="M23" s="40">
        <f>SUMIFS(LANÇAMENTO!$C:$C,LANÇAMENTO!$D:$D,$A23,LANÇAMENTO!$E:$E,$B23,LANÇAMENTO!$F:$F,M$4)</f>
        <v>0</v>
      </c>
      <c r="N23" s="40">
        <f>SUMIFS(LANÇAMENTO!$C:$C,LANÇAMENTO!$D:$D,$A23,LANÇAMENTO!$E:$E,$B23,LANÇAMENTO!$F:$F,N$4)</f>
        <v>0</v>
      </c>
      <c r="O23" s="40">
        <f>SUMIFS(LANÇAMENTO!$C:$C,LANÇAMENTO!$D:$D,$A23,LANÇAMENTO!$E:$E,$B23,LANÇAMENTO!$F:$F,O$4)</f>
        <v>0</v>
      </c>
      <c r="P23" s="40">
        <f>SUMIFS(LANÇAMENTO!$C:$C,LANÇAMENTO!$D:$D,$A23,LANÇAMENTO!$E:$E,$B23,LANÇAMENTO!$F:$F,P$4)</f>
        <v>0</v>
      </c>
      <c r="Q23" s="37">
        <f t="shared" si="2"/>
        <v>0</v>
      </c>
      <c r="R23" s="29">
        <f t="shared" si="4"/>
        <v>1</v>
      </c>
    </row>
    <row r="24" spans="1:18" x14ac:dyDescent="0.25">
      <c r="A24" s="70" t="str">
        <f t="shared" si="30"/>
        <v>RENDA_EXTRA</v>
      </c>
      <c r="B24" s="31" t="s">
        <v>10</v>
      </c>
      <c r="C24" s="45">
        <v>0</v>
      </c>
      <c r="D24" s="34">
        <f t="shared" si="31"/>
        <v>0</v>
      </c>
      <c r="E24" s="40">
        <f>SUMIFS(LANÇAMENTO!$C:$C,LANÇAMENTO!$D:$D,$A24,LANÇAMENTO!$E:$E,$B24,LANÇAMENTO!$F:$F,E$4)</f>
        <v>0</v>
      </c>
      <c r="F24" s="40">
        <f>SUMIFS(LANÇAMENTO!$C:$C,LANÇAMENTO!$D:$D,$A24,LANÇAMENTO!$E:$E,$B24,LANÇAMENTO!$F:$F,F$4)</f>
        <v>0</v>
      </c>
      <c r="G24" s="40">
        <f>SUMIFS(LANÇAMENTO!$C:$C,LANÇAMENTO!$D:$D,$A24,LANÇAMENTO!$E:$E,$B24,LANÇAMENTO!$F:$F,G$4)</f>
        <v>0</v>
      </c>
      <c r="H24" s="40">
        <f>SUMIFS(LANÇAMENTO!$C:$C,LANÇAMENTO!$D:$D,$A24,LANÇAMENTO!$E:$E,$B24,LANÇAMENTO!$F:$F,H$4)</f>
        <v>0</v>
      </c>
      <c r="I24" s="40">
        <f>SUMIFS(LANÇAMENTO!$C:$C,LANÇAMENTO!$D:$D,$A24,LANÇAMENTO!$E:$E,$B24,LANÇAMENTO!$F:$F,I$4)</f>
        <v>0</v>
      </c>
      <c r="J24" s="40">
        <f>SUMIFS(LANÇAMENTO!$C:$C,LANÇAMENTO!$D:$D,$A24,LANÇAMENTO!$E:$E,$B24,LANÇAMENTO!$F:$F,J$4)</f>
        <v>0</v>
      </c>
      <c r="K24" s="40">
        <f>SUMIFS(LANÇAMENTO!$C:$C,LANÇAMENTO!$D:$D,$A24,LANÇAMENTO!$E:$E,$B24,LANÇAMENTO!$F:$F,K$4)</f>
        <v>0</v>
      </c>
      <c r="L24" s="40">
        <f>SUMIFS(LANÇAMENTO!$C:$C,LANÇAMENTO!$D:$D,$A24,LANÇAMENTO!$E:$E,$B24,LANÇAMENTO!$F:$F,L$4)</f>
        <v>0</v>
      </c>
      <c r="M24" s="40">
        <f>SUMIFS(LANÇAMENTO!$C:$C,LANÇAMENTO!$D:$D,$A24,LANÇAMENTO!$E:$E,$B24,LANÇAMENTO!$F:$F,M$4)</f>
        <v>0</v>
      </c>
      <c r="N24" s="40">
        <f>SUMIFS(LANÇAMENTO!$C:$C,LANÇAMENTO!$D:$D,$A24,LANÇAMENTO!$E:$E,$B24,LANÇAMENTO!$F:$F,N$4)</f>
        <v>0</v>
      </c>
      <c r="O24" s="40">
        <f>SUMIFS(LANÇAMENTO!$C:$C,LANÇAMENTO!$D:$D,$A24,LANÇAMENTO!$E:$E,$B24,LANÇAMENTO!$F:$F,O$4)</f>
        <v>0</v>
      </c>
      <c r="P24" s="40">
        <f>SUMIFS(LANÇAMENTO!$C:$C,LANÇAMENTO!$D:$D,$A24,LANÇAMENTO!$E:$E,$B24,LANÇAMENTO!$F:$F,P$4)</f>
        <v>0</v>
      </c>
      <c r="Q24" s="37">
        <f t="shared" si="2"/>
        <v>0</v>
      </c>
      <c r="R24" s="29">
        <f t="shared" si="4"/>
        <v>0</v>
      </c>
    </row>
    <row r="25" spans="1:18" x14ac:dyDescent="0.25">
      <c r="A25" s="70" t="str">
        <f t="shared" si="30"/>
        <v>RENDA_EXTRA</v>
      </c>
      <c r="B25" s="31" t="s">
        <v>11</v>
      </c>
      <c r="C25" s="45">
        <v>800</v>
      </c>
      <c r="D25" s="34">
        <f t="shared" si="31"/>
        <v>9600</v>
      </c>
      <c r="E25" s="40">
        <f>SUMIFS(LANÇAMENTO!$C:$C,LANÇAMENTO!$D:$D,$A25,LANÇAMENTO!$E:$E,$B25,LANÇAMENTO!$F:$F,E$4)</f>
        <v>0</v>
      </c>
      <c r="F25" s="40">
        <f>SUMIFS(LANÇAMENTO!$C:$C,LANÇAMENTO!$D:$D,$A25,LANÇAMENTO!$E:$E,$B25,LANÇAMENTO!$F:$F,F$4)</f>
        <v>0</v>
      </c>
      <c r="G25" s="40">
        <f>SUMIFS(LANÇAMENTO!$C:$C,LANÇAMENTO!$D:$D,$A25,LANÇAMENTO!$E:$E,$B25,LANÇAMENTO!$F:$F,G$4)</f>
        <v>0</v>
      </c>
      <c r="H25" s="40">
        <f>SUMIFS(LANÇAMENTO!$C:$C,LANÇAMENTO!$D:$D,$A25,LANÇAMENTO!$E:$E,$B25,LANÇAMENTO!$F:$F,H$4)</f>
        <v>0</v>
      </c>
      <c r="I25" s="40">
        <f>SUMIFS(LANÇAMENTO!$C:$C,LANÇAMENTO!$D:$D,$A25,LANÇAMENTO!$E:$E,$B25,LANÇAMENTO!$F:$F,I$4)</f>
        <v>0</v>
      </c>
      <c r="J25" s="40">
        <f>SUMIFS(LANÇAMENTO!$C:$C,LANÇAMENTO!$D:$D,$A25,LANÇAMENTO!$E:$E,$B25,LANÇAMENTO!$F:$F,J$4)</f>
        <v>0</v>
      </c>
      <c r="K25" s="40">
        <f>SUMIFS(LANÇAMENTO!$C:$C,LANÇAMENTO!$D:$D,$A25,LANÇAMENTO!$E:$E,$B25,LANÇAMENTO!$F:$F,K$4)</f>
        <v>0</v>
      </c>
      <c r="L25" s="40">
        <f>SUMIFS(LANÇAMENTO!$C:$C,LANÇAMENTO!$D:$D,$A25,LANÇAMENTO!$E:$E,$B25,LANÇAMENTO!$F:$F,L$4)</f>
        <v>0</v>
      </c>
      <c r="M25" s="40">
        <f>SUMIFS(LANÇAMENTO!$C:$C,LANÇAMENTO!$D:$D,$A25,LANÇAMENTO!$E:$E,$B25,LANÇAMENTO!$F:$F,M$4)</f>
        <v>0</v>
      </c>
      <c r="N25" s="40">
        <f>SUMIFS(LANÇAMENTO!$C:$C,LANÇAMENTO!$D:$D,$A25,LANÇAMENTO!$E:$E,$B25,LANÇAMENTO!$F:$F,N$4)</f>
        <v>0</v>
      </c>
      <c r="O25" s="40">
        <f>SUMIFS(LANÇAMENTO!$C:$C,LANÇAMENTO!$D:$D,$A25,LANÇAMENTO!$E:$E,$B25,LANÇAMENTO!$F:$F,O$4)</f>
        <v>0</v>
      </c>
      <c r="P25" s="40">
        <f>SUMIFS(LANÇAMENTO!$C:$C,LANÇAMENTO!$D:$D,$A25,LANÇAMENTO!$E:$E,$B25,LANÇAMENTO!$F:$F,P$4)</f>
        <v>0</v>
      </c>
      <c r="Q25" s="37">
        <f t="shared" si="2"/>
        <v>0</v>
      </c>
      <c r="R25" s="29">
        <f t="shared" si="4"/>
        <v>1</v>
      </c>
    </row>
    <row r="26" spans="1:18" x14ac:dyDescent="0.25">
      <c r="A26" s="70" t="str">
        <f t="shared" si="30"/>
        <v>RENDA_EXTRA</v>
      </c>
      <c r="B26" s="31" t="s">
        <v>12</v>
      </c>
      <c r="C26" s="45">
        <v>0</v>
      </c>
      <c r="D26" s="34">
        <f t="shared" si="31"/>
        <v>0</v>
      </c>
      <c r="E26" s="40">
        <f>SUMIFS(LANÇAMENTO!$C:$C,LANÇAMENTO!$D:$D,$A26,LANÇAMENTO!$E:$E,$B26,LANÇAMENTO!$F:$F,E$4)</f>
        <v>0</v>
      </c>
      <c r="F26" s="40">
        <f>SUMIFS(LANÇAMENTO!$C:$C,LANÇAMENTO!$D:$D,$A26,LANÇAMENTO!$E:$E,$B26,LANÇAMENTO!$F:$F,F$4)</f>
        <v>0</v>
      </c>
      <c r="G26" s="40">
        <f>SUMIFS(LANÇAMENTO!$C:$C,LANÇAMENTO!$D:$D,$A26,LANÇAMENTO!$E:$E,$B26,LANÇAMENTO!$F:$F,G$4)</f>
        <v>0</v>
      </c>
      <c r="H26" s="40">
        <f>SUMIFS(LANÇAMENTO!$C:$C,LANÇAMENTO!$D:$D,$A26,LANÇAMENTO!$E:$E,$B26,LANÇAMENTO!$F:$F,H$4)</f>
        <v>0</v>
      </c>
      <c r="I26" s="40">
        <f>SUMIFS(LANÇAMENTO!$C:$C,LANÇAMENTO!$D:$D,$A26,LANÇAMENTO!$E:$E,$B26,LANÇAMENTO!$F:$F,I$4)</f>
        <v>0</v>
      </c>
      <c r="J26" s="40">
        <f>SUMIFS(LANÇAMENTO!$C:$C,LANÇAMENTO!$D:$D,$A26,LANÇAMENTO!$E:$E,$B26,LANÇAMENTO!$F:$F,J$4)</f>
        <v>0</v>
      </c>
      <c r="K26" s="40">
        <f>SUMIFS(LANÇAMENTO!$C:$C,LANÇAMENTO!$D:$D,$A26,LANÇAMENTO!$E:$E,$B26,LANÇAMENTO!$F:$F,K$4)</f>
        <v>0</v>
      </c>
      <c r="L26" s="40">
        <f>SUMIFS(LANÇAMENTO!$C:$C,LANÇAMENTO!$D:$D,$A26,LANÇAMENTO!$E:$E,$B26,LANÇAMENTO!$F:$F,L$4)</f>
        <v>0</v>
      </c>
      <c r="M26" s="40">
        <f>SUMIFS(LANÇAMENTO!$C:$C,LANÇAMENTO!$D:$D,$A26,LANÇAMENTO!$E:$E,$B26,LANÇAMENTO!$F:$F,M$4)</f>
        <v>0</v>
      </c>
      <c r="N26" s="40">
        <f>SUMIFS(LANÇAMENTO!$C:$C,LANÇAMENTO!$D:$D,$A26,LANÇAMENTO!$E:$E,$B26,LANÇAMENTO!$F:$F,N$4)</f>
        <v>0</v>
      </c>
      <c r="O26" s="40">
        <f>SUMIFS(LANÇAMENTO!$C:$C,LANÇAMENTO!$D:$D,$A26,LANÇAMENTO!$E:$E,$B26,LANÇAMENTO!$F:$F,O$4)</f>
        <v>0</v>
      </c>
      <c r="P26" s="40">
        <f>SUMIFS(LANÇAMENTO!$C:$C,LANÇAMENTO!$D:$D,$A26,LANÇAMENTO!$E:$E,$B26,LANÇAMENTO!$F:$F,P$4)</f>
        <v>0</v>
      </c>
      <c r="Q26" s="37">
        <f t="shared" si="2"/>
        <v>0</v>
      </c>
      <c r="R26" s="29">
        <f t="shared" si="4"/>
        <v>0</v>
      </c>
    </row>
    <row r="27" spans="1:18" ht="9" customHeight="1" x14ac:dyDescent="0.25">
      <c r="A27" s="70"/>
      <c r="B27" s="22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29">
        <v>1</v>
      </c>
    </row>
    <row r="28" spans="1:18" ht="19.5" x14ac:dyDescent="0.25">
      <c r="A28" s="70"/>
      <c r="B28" s="88" t="s">
        <v>13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29">
        <v>1</v>
      </c>
    </row>
    <row r="29" spans="1:18" x14ac:dyDescent="0.25">
      <c r="A29" s="70"/>
      <c r="B29" s="23" t="s">
        <v>14</v>
      </c>
      <c r="C29" s="17">
        <f>SUM(C30:C43)</f>
        <v>2650</v>
      </c>
      <c r="D29" s="17">
        <f>SUM(D30:D43)</f>
        <v>31800</v>
      </c>
      <c r="E29" s="17">
        <f>SUM(E30:E43)</f>
        <v>1916</v>
      </c>
      <c r="F29" s="17">
        <f t="shared" ref="F29:P29" si="32">SUM(F30:F43)</f>
        <v>1537</v>
      </c>
      <c r="G29" s="17">
        <f t="shared" si="32"/>
        <v>1879</v>
      </c>
      <c r="H29" s="17">
        <f t="shared" si="32"/>
        <v>1775</v>
      </c>
      <c r="I29" s="17">
        <f t="shared" si="32"/>
        <v>2027</v>
      </c>
      <c r="J29" s="17">
        <f t="shared" si="32"/>
        <v>1513</v>
      </c>
      <c r="K29" s="17">
        <f t="shared" si="32"/>
        <v>1605</v>
      </c>
      <c r="L29" s="17">
        <f t="shared" si="32"/>
        <v>2173</v>
      </c>
      <c r="M29" s="17">
        <f t="shared" si="32"/>
        <v>1867</v>
      </c>
      <c r="N29" s="17">
        <f t="shared" si="32"/>
        <v>1394</v>
      </c>
      <c r="O29" s="17">
        <f t="shared" si="32"/>
        <v>2179</v>
      </c>
      <c r="P29" s="17">
        <f t="shared" si="32"/>
        <v>1277</v>
      </c>
      <c r="Q29" s="24">
        <f>SUM(E29:P29)</f>
        <v>21142</v>
      </c>
      <c r="R29" s="29">
        <f>IF(SUM(R30:R43)=0,0,1)</f>
        <v>1</v>
      </c>
    </row>
    <row r="30" spans="1:18" x14ac:dyDescent="0.25">
      <c r="A30" s="70" t="str">
        <f>$B$29</f>
        <v>MORADIA</v>
      </c>
      <c r="B30" s="30" t="s">
        <v>15</v>
      </c>
      <c r="C30" s="44">
        <v>150</v>
      </c>
      <c r="D30" s="33">
        <f t="shared" ref="D30" si="33">C30*12</f>
        <v>1800</v>
      </c>
      <c r="E30" s="39">
        <f>-SUMIFS(LANÇAMENTO!$C:$C,LANÇAMENTO!$D:$D,$A30,LANÇAMENTO!$E:$E,$B30,LANÇAMENTO!$F:$F,E$4)</f>
        <v>0</v>
      </c>
      <c r="F30" s="39">
        <f>-SUMIFS(LANÇAMENTO!$C:$C,LANÇAMENTO!$D:$D,$A30,LANÇAMENTO!$E:$E,$B30,LANÇAMENTO!$F:$F,F$4)</f>
        <v>0</v>
      </c>
      <c r="G30" s="39">
        <f>-SUMIFS(LANÇAMENTO!$C:$C,LANÇAMENTO!$D:$D,$A30,LANÇAMENTO!$E:$E,$B30,LANÇAMENTO!$F:$F,G$4)</f>
        <v>0</v>
      </c>
      <c r="H30" s="39">
        <f>-SUMIFS(LANÇAMENTO!$C:$C,LANÇAMENTO!$D:$D,$A30,LANÇAMENTO!$E:$E,$B30,LANÇAMENTO!$F:$F,H$4)</f>
        <v>0</v>
      </c>
      <c r="I30" s="39">
        <f>-SUMIFS(LANÇAMENTO!$C:$C,LANÇAMENTO!$D:$D,$A30,LANÇAMENTO!$E:$E,$B30,LANÇAMENTO!$F:$F,I$4)</f>
        <v>0</v>
      </c>
      <c r="J30" s="39">
        <f>-SUMIFS(LANÇAMENTO!$C:$C,LANÇAMENTO!$D:$D,$A30,LANÇAMENTO!$E:$E,$B30,LANÇAMENTO!$F:$F,J$4)</f>
        <v>0</v>
      </c>
      <c r="K30" s="39">
        <f>-SUMIFS(LANÇAMENTO!$C:$C,LANÇAMENTO!$D:$D,$A30,LANÇAMENTO!$E:$E,$B30,LANÇAMENTO!$F:$F,K$4)</f>
        <v>0</v>
      </c>
      <c r="L30" s="39">
        <f>-SUMIFS(LANÇAMENTO!$C:$C,LANÇAMENTO!$D:$D,$A30,LANÇAMENTO!$E:$E,$B30,LANÇAMENTO!$F:$F,L$4)</f>
        <v>0</v>
      </c>
      <c r="M30" s="39">
        <f>-SUMIFS(LANÇAMENTO!$C:$C,LANÇAMENTO!$D:$D,$A30,LANÇAMENTO!$E:$E,$B30,LANÇAMENTO!$F:$F,M$4)</f>
        <v>0</v>
      </c>
      <c r="N30" s="39">
        <f>-SUMIFS(LANÇAMENTO!$C:$C,LANÇAMENTO!$D:$D,$A30,LANÇAMENTO!$E:$E,$B30,LANÇAMENTO!$F:$F,N$4)</f>
        <v>0</v>
      </c>
      <c r="O30" s="39">
        <f>-SUMIFS(LANÇAMENTO!$C:$C,LANÇAMENTO!$D:$D,$A30,LANÇAMENTO!$E:$E,$B30,LANÇAMENTO!$F:$F,O$4)</f>
        <v>0</v>
      </c>
      <c r="P30" s="39">
        <f>-SUMIFS(LANÇAMENTO!$C:$C,LANÇAMENTO!$D:$D,$A30,LANÇAMENTO!$E:$E,$B30,LANÇAMENTO!$F:$F,P$4)</f>
        <v>0</v>
      </c>
      <c r="Q30" s="36">
        <f t="shared" ref="Q30:Q93" si="34">SUM(E30:P30)</f>
        <v>0</v>
      </c>
      <c r="R30" s="29">
        <f t="shared" ref="R30:R93" si="35">IF(SUM(C30:Q30)=0,0,1)</f>
        <v>1</v>
      </c>
    </row>
    <row r="31" spans="1:18" x14ac:dyDescent="0.25">
      <c r="A31" s="70" t="str">
        <f t="shared" ref="A31:A43" si="36">$B$29</f>
        <v>MORADIA</v>
      </c>
      <c r="B31" s="31" t="s">
        <v>16</v>
      </c>
      <c r="C31" s="45">
        <v>50</v>
      </c>
      <c r="D31" s="34">
        <f t="shared" ref="D31:D43" si="37">C31*12</f>
        <v>600</v>
      </c>
      <c r="E31" s="40">
        <f>-SUMIFS(LANÇAMENTO!$C:$C,LANÇAMENTO!$D:$D,$A31,LANÇAMENTO!$E:$E,$B31,LANÇAMENTO!$F:$F,E$4)</f>
        <v>0</v>
      </c>
      <c r="F31" s="40">
        <f>-SUMIFS(LANÇAMENTO!$C:$C,LANÇAMENTO!$D:$D,$A31,LANÇAMENTO!$E:$E,$B31,LANÇAMENTO!$F:$F,F$4)</f>
        <v>0</v>
      </c>
      <c r="G31" s="40">
        <f>-SUMIFS(LANÇAMENTO!$C:$C,LANÇAMENTO!$D:$D,$A31,LANÇAMENTO!$E:$E,$B31,LANÇAMENTO!$F:$F,G$4)</f>
        <v>0</v>
      </c>
      <c r="H31" s="40">
        <f>-SUMIFS(LANÇAMENTO!$C:$C,LANÇAMENTO!$D:$D,$A31,LANÇAMENTO!$E:$E,$B31,LANÇAMENTO!$F:$F,H$4)</f>
        <v>0</v>
      </c>
      <c r="I31" s="40">
        <f>-SUMIFS(LANÇAMENTO!$C:$C,LANÇAMENTO!$D:$D,$A31,LANÇAMENTO!$E:$E,$B31,LANÇAMENTO!$F:$F,I$4)</f>
        <v>0</v>
      </c>
      <c r="J31" s="40">
        <f>-SUMIFS(LANÇAMENTO!$C:$C,LANÇAMENTO!$D:$D,$A31,LANÇAMENTO!$E:$E,$B31,LANÇAMENTO!$F:$F,J$4)</f>
        <v>0</v>
      </c>
      <c r="K31" s="40">
        <f>-SUMIFS(LANÇAMENTO!$C:$C,LANÇAMENTO!$D:$D,$A31,LANÇAMENTO!$E:$E,$B31,LANÇAMENTO!$F:$F,K$4)</f>
        <v>0</v>
      </c>
      <c r="L31" s="40">
        <f>-SUMIFS(LANÇAMENTO!$C:$C,LANÇAMENTO!$D:$D,$A31,LANÇAMENTO!$E:$E,$B31,LANÇAMENTO!$F:$F,L$4)</f>
        <v>0</v>
      </c>
      <c r="M31" s="40">
        <f>-SUMIFS(LANÇAMENTO!$C:$C,LANÇAMENTO!$D:$D,$A31,LANÇAMENTO!$E:$E,$B31,LANÇAMENTO!$F:$F,M$4)</f>
        <v>0</v>
      </c>
      <c r="N31" s="40">
        <f>-SUMIFS(LANÇAMENTO!$C:$C,LANÇAMENTO!$D:$D,$A31,LANÇAMENTO!$E:$E,$B31,LANÇAMENTO!$F:$F,N$4)</f>
        <v>0</v>
      </c>
      <c r="O31" s="40">
        <f>-SUMIFS(LANÇAMENTO!$C:$C,LANÇAMENTO!$D:$D,$A31,LANÇAMENTO!$E:$E,$B31,LANÇAMENTO!$F:$F,O$4)</f>
        <v>0</v>
      </c>
      <c r="P31" s="40">
        <f>-SUMIFS(LANÇAMENTO!$C:$C,LANÇAMENTO!$D:$D,$A31,LANÇAMENTO!$E:$E,$B31,LANÇAMENTO!$F:$F,P$4)</f>
        <v>0</v>
      </c>
      <c r="Q31" s="37">
        <f t="shared" si="34"/>
        <v>0</v>
      </c>
      <c r="R31" s="29">
        <f t="shared" si="35"/>
        <v>1</v>
      </c>
    </row>
    <row r="32" spans="1:18" x14ac:dyDescent="0.25">
      <c r="A32" s="70" t="str">
        <f t="shared" si="36"/>
        <v>MORADIA</v>
      </c>
      <c r="B32" s="31" t="s">
        <v>9</v>
      </c>
      <c r="C32" s="45">
        <v>1500</v>
      </c>
      <c r="D32" s="34">
        <f t="shared" si="37"/>
        <v>18000</v>
      </c>
      <c r="E32" s="40">
        <f>-SUMIFS(LANÇAMENTO!$C:$C,LANÇAMENTO!$D:$D,$A32,LANÇAMENTO!$E:$E,$B32,LANÇAMENTO!$F:$F,E$4)</f>
        <v>1916</v>
      </c>
      <c r="F32" s="40">
        <f>-SUMIFS(LANÇAMENTO!$C:$C,LANÇAMENTO!$D:$D,$A32,LANÇAMENTO!$E:$E,$B32,LANÇAMENTO!$F:$F,F$4)</f>
        <v>1537</v>
      </c>
      <c r="G32" s="40">
        <f>-SUMIFS(LANÇAMENTO!$C:$C,LANÇAMENTO!$D:$D,$A32,LANÇAMENTO!$E:$E,$B32,LANÇAMENTO!$F:$F,G$4)</f>
        <v>1879</v>
      </c>
      <c r="H32" s="40">
        <f>-SUMIFS(LANÇAMENTO!$C:$C,LANÇAMENTO!$D:$D,$A32,LANÇAMENTO!$E:$E,$B32,LANÇAMENTO!$F:$F,H$4)</f>
        <v>1775</v>
      </c>
      <c r="I32" s="40">
        <f>-SUMIFS(LANÇAMENTO!$C:$C,LANÇAMENTO!$D:$D,$A32,LANÇAMENTO!$E:$E,$B32,LANÇAMENTO!$F:$F,I$4)</f>
        <v>2027</v>
      </c>
      <c r="J32" s="40">
        <f>-SUMIFS(LANÇAMENTO!$C:$C,LANÇAMENTO!$D:$D,$A32,LANÇAMENTO!$E:$E,$B32,LANÇAMENTO!$F:$F,J$4)</f>
        <v>1513</v>
      </c>
      <c r="K32" s="40">
        <f>-SUMIFS(LANÇAMENTO!$C:$C,LANÇAMENTO!$D:$D,$A32,LANÇAMENTO!$E:$E,$B32,LANÇAMENTO!$F:$F,K$4)</f>
        <v>1605</v>
      </c>
      <c r="L32" s="40">
        <f>-SUMIFS(LANÇAMENTO!$C:$C,LANÇAMENTO!$D:$D,$A32,LANÇAMENTO!$E:$E,$B32,LANÇAMENTO!$F:$F,L$4)</f>
        <v>2173</v>
      </c>
      <c r="M32" s="40">
        <f>-SUMIFS(LANÇAMENTO!$C:$C,LANÇAMENTO!$D:$D,$A32,LANÇAMENTO!$E:$E,$B32,LANÇAMENTO!$F:$F,M$4)</f>
        <v>1867</v>
      </c>
      <c r="N32" s="40">
        <f>-SUMIFS(LANÇAMENTO!$C:$C,LANÇAMENTO!$D:$D,$A32,LANÇAMENTO!$E:$E,$B32,LANÇAMENTO!$F:$F,N$4)</f>
        <v>1394</v>
      </c>
      <c r="O32" s="40">
        <f>-SUMIFS(LANÇAMENTO!$C:$C,LANÇAMENTO!$D:$D,$A32,LANÇAMENTO!$E:$E,$B32,LANÇAMENTO!$F:$F,O$4)</f>
        <v>2179</v>
      </c>
      <c r="P32" s="40">
        <f>-SUMIFS(LANÇAMENTO!$C:$C,LANÇAMENTO!$D:$D,$A32,LANÇAMENTO!$E:$E,$B32,LANÇAMENTO!$F:$F,P$4)</f>
        <v>1277</v>
      </c>
      <c r="Q32" s="37">
        <f t="shared" si="34"/>
        <v>21142</v>
      </c>
      <c r="R32" s="29">
        <f t="shared" si="35"/>
        <v>1</v>
      </c>
    </row>
    <row r="33" spans="1:18" x14ac:dyDescent="0.25">
      <c r="A33" s="70" t="str">
        <f t="shared" si="36"/>
        <v>MORADIA</v>
      </c>
      <c r="B33" s="31" t="s">
        <v>17</v>
      </c>
      <c r="C33" s="45">
        <v>100</v>
      </c>
      <c r="D33" s="34">
        <f t="shared" si="37"/>
        <v>1200</v>
      </c>
      <c r="E33" s="40">
        <f>-SUMIFS(LANÇAMENTO!$C:$C,LANÇAMENTO!$D:$D,$A33,LANÇAMENTO!$E:$E,$B33,LANÇAMENTO!$F:$F,E$4)</f>
        <v>0</v>
      </c>
      <c r="F33" s="40">
        <f>-SUMIFS(LANÇAMENTO!$C:$C,LANÇAMENTO!$D:$D,$A33,LANÇAMENTO!$E:$E,$B33,LANÇAMENTO!$F:$F,F$4)</f>
        <v>0</v>
      </c>
      <c r="G33" s="40">
        <f>-SUMIFS(LANÇAMENTO!$C:$C,LANÇAMENTO!$D:$D,$A33,LANÇAMENTO!$E:$E,$B33,LANÇAMENTO!$F:$F,G$4)</f>
        <v>0</v>
      </c>
      <c r="H33" s="40">
        <f>-SUMIFS(LANÇAMENTO!$C:$C,LANÇAMENTO!$D:$D,$A33,LANÇAMENTO!$E:$E,$B33,LANÇAMENTO!$F:$F,H$4)</f>
        <v>0</v>
      </c>
      <c r="I33" s="40">
        <f>-SUMIFS(LANÇAMENTO!$C:$C,LANÇAMENTO!$D:$D,$A33,LANÇAMENTO!$E:$E,$B33,LANÇAMENTO!$F:$F,I$4)</f>
        <v>0</v>
      </c>
      <c r="J33" s="40">
        <f>-SUMIFS(LANÇAMENTO!$C:$C,LANÇAMENTO!$D:$D,$A33,LANÇAMENTO!$E:$E,$B33,LANÇAMENTO!$F:$F,J$4)</f>
        <v>0</v>
      </c>
      <c r="K33" s="40">
        <f>-SUMIFS(LANÇAMENTO!$C:$C,LANÇAMENTO!$D:$D,$A33,LANÇAMENTO!$E:$E,$B33,LANÇAMENTO!$F:$F,K$4)</f>
        <v>0</v>
      </c>
      <c r="L33" s="40">
        <f>-SUMIFS(LANÇAMENTO!$C:$C,LANÇAMENTO!$D:$D,$A33,LANÇAMENTO!$E:$E,$B33,LANÇAMENTO!$F:$F,L$4)</f>
        <v>0</v>
      </c>
      <c r="M33" s="40">
        <f>-SUMIFS(LANÇAMENTO!$C:$C,LANÇAMENTO!$D:$D,$A33,LANÇAMENTO!$E:$E,$B33,LANÇAMENTO!$F:$F,M$4)</f>
        <v>0</v>
      </c>
      <c r="N33" s="40">
        <f>-SUMIFS(LANÇAMENTO!$C:$C,LANÇAMENTO!$D:$D,$A33,LANÇAMENTO!$E:$E,$B33,LANÇAMENTO!$F:$F,N$4)</f>
        <v>0</v>
      </c>
      <c r="O33" s="40">
        <f>-SUMIFS(LANÇAMENTO!$C:$C,LANÇAMENTO!$D:$D,$A33,LANÇAMENTO!$E:$E,$B33,LANÇAMENTO!$F:$F,O$4)</f>
        <v>0</v>
      </c>
      <c r="P33" s="40">
        <f>-SUMIFS(LANÇAMENTO!$C:$C,LANÇAMENTO!$D:$D,$A33,LANÇAMENTO!$E:$E,$B33,LANÇAMENTO!$F:$F,P$4)</f>
        <v>0</v>
      </c>
      <c r="Q33" s="37">
        <f t="shared" si="34"/>
        <v>0</v>
      </c>
      <c r="R33" s="29">
        <f t="shared" si="35"/>
        <v>1</v>
      </c>
    </row>
    <row r="34" spans="1:18" x14ac:dyDescent="0.25">
      <c r="A34" s="70" t="str">
        <f t="shared" si="36"/>
        <v>MORADIA</v>
      </c>
      <c r="B34" s="31" t="s">
        <v>18</v>
      </c>
      <c r="C34" s="45">
        <v>0</v>
      </c>
      <c r="D34" s="34">
        <f t="shared" si="37"/>
        <v>0</v>
      </c>
      <c r="E34" s="40">
        <f>-SUMIFS(LANÇAMENTO!$C:$C,LANÇAMENTO!$D:$D,$A34,LANÇAMENTO!$E:$E,$B34,LANÇAMENTO!$F:$F,E$4)</f>
        <v>0</v>
      </c>
      <c r="F34" s="40">
        <f>-SUMIFS(LANÇAMENTO!$C:$C,LANÇAMENTO!$D:$D,$A34,LANÇAMENTO!$E:$E,$B34,LANÇAMENTO!$F:$F,F$4)</f>
        <v>0</v>
      </c>
      <c r="G34" s="40">
        <f>-SUMIFS(LANÇAMENTO!$C:$C,LANÇAMENTO!$D:$D,$A34,LANÇAMENTO!$E:$E,$B34,LANÇAMENTO!$F:$F,G$4)</f>
        <v>0</v>
      </c>
      <c r="H34" s="40">
        <f>-SUMIFS(LANÇAMENTO!$C:$C,LANÇAMENTO!$D:$D,$A34,LANÇAMENTO!$E:$E,$B34,LANÇAMENTO!$F:$F,H$4)</f>
        <v>0</v>
      </c>
      <c r="I34" s="40">
        <f>-SUMIFS(LANÇAMENTO!$C:$C,LANÇAMENTO!$D:$D,$A34,LANÇAMENTO!$E:$E,$B34,LANÇAMENTO!$F:$F,I$4)</f>
        <v>0</v>
      </c>
      <c r="J34" s="40">
        <f>-SUMIFS(LANÇAMENTO!$C:$C,LANÇAMENTO!$D:$D,$A34,LANÇAMENTO!$E:$E,$B34,LANÇAMENTO!$F:$F,J$4)</f>
        <v>0</v>
      </c>
      <c r="K34" s="40">
        <f>-SUMIFS(LANÇAMENTO!$C:$C,LANÇAMENTO!$D:$D,$A34,LANÇAMENTO!$E:$E,$B34,LANÇAMENTO!$F:$F,K$4)</f>
        <v>0</v>
      </c>
      <c r="L34" s="40">
        <f>-SUMIFS(LANÇAMENTO!$C:$C,LANÇAMENTO!$D:$D,$A34,LANÇAMENTO!$E:$E,$B34,LANÇAMENTO!$F:$F,L$4)</f>
        <v>0</v>
      </c>
      <c r="M34" s="40">
        <f>-SUMIFS(LANÇAMENTO!$C:$C,LANÇAMENTO!$D:$D,$A34,LANÇAMENTO!$E:$E,$B34,LANÇAMENTO!$F:$F,M$4)</f>
        <v>0</v>
      </c>
      <c r="N34" s="40">
        <f>-SUMIFS(LANÇAMENTO!$C:$C,LANÇAMENTO!$D:$D,$A34,LANÇAMENTO!$E:$E,$B34,LANÇAMENTO!$F:$F,N$4)</f>
        <v>0</v>
      </c>
      <c r="O34" s="40">
        <f>-SUMIFS(LANÇAMENTO!$C:$C,LANÇAMENTO!$D:$D,$A34,LANÇAMENTO!$E:$E,$B34,LANÇAMENTO!$F:$F,O$4)</f>
        <v>0</v>
      </c>
      <c r="P34" s="40">
        <f>-SUMIFS(LANÇAMENTO!$C:$C,LANÇAMENTO!$D:$D,$A34,LANÇAMENTO!$E:$E,$B34,LANÇAMENTO!$F:$F,P$4)</f>
        <v>0</v>
      </c>
      <c r="Q34" s="37">
        <f t="shared" si="34"/>
        <v>0</v>
      </c>
      <c r="R34" s="29">
        <f t="shared" si="35"/>
        <v>0</v>
      </c>
    </row>
    <row r="35" spans="1:18" x14ac:dyDescent="0.25">
      <c r="A35" s="70" t="str">
        <f t="shared" si="36"/>
        <v>MORADIA</v>
      </c>
      <c r="B35" s="31" t="s">
        <v>19</v>
      </c>
      <c r="C35" s="45">
        <v>100</v>
      </c>
      <c r="D35" s="34">
        <f t="shared" si="37"/>
        <v>1200</v>
      </c>
      <c r="E35" s="40">
        <f>-SUMIFS(LANÇAMENTO!$C:$C,LANÇAMENTO!$D:$D,$A35,LANÇAMENTO!$E:$E,$B35,LANÇAMENTO!$F:$F,E$4)</f>
        <v>0</v>
      </c>
      <c r="F35" s="40">
        <f>-SUMIFS(LANÇAMENTO!$C:$C,LANÇAMENTO!$D:$D,$A35,LANÇAMENTO!$E:$E,$B35,LANÇAMENTO!$F:$F,F$4)</f>
        <v>0</v>
      </c>
      <c r="G35" s="40">
        <f>-SUMIFS(LANÇAMENTO!$C:$C,LANÇAMENTO!$D:$D,$A35,LANÇAMENTO!$E:$E,$B35,LANÇAMENTO!$F:$F,G$4)</f>
        <v>0</v>
      </c>
      <c r="H35" s="40">
        <f>-SUMIFS(LANÇAMENTO!$C:$C,LANÇAMENTO!$D:$D,$A35,LANÇAMENTO!$E:$E,$B35,LANÇAMENTO!$F:$F,H$4)</f>
        <v>0</v>
      </c>
      <c r="I35" s="40">
        <f>-SUMIFS(LANÇAMENTO!$C:$C,LANÇAMENTO!$D:$D,$A35,LANÇAMENTO!$E:$E,$B35,LANÇAMENTO!$F:$F,I$4)</f>
        <v>0</v>
      </c>
      <c r="J35" s="40">
        <f>-SUMIFS(LANÇAMENTO!$C:$C,LANÇAMENTO!$D:$D,$A35,LANÇAMENTO!$E:$E,$B35,LANÇAMENTO!$F:$F,J$4)</f>
        <v>0</v>
      </c>
      <c r="K35" s="40">
        <f>-SUMIFS(LANÇAMENTO!$C:$C,LANÇAMENTO!$D:$D,$A35,LANÇAMENTO!$E:$E,$B35,LANÇAMENTO!$F:$F,K$4)</f>
        <v>0</v>
      </c>
      <c r="L35" s="40">
        <f>-SUMIFS(LANÇAMENTO!$C:$C,LANÇAMENTO!$D:$D,$A35,LANÇAMENTO!$E:$E,$B35,LANÇAMENTO!$F:$F,L$4)</f>
        <v>0</v>
      </c>
      <c r="M35" s="40">
        <f>-SUMIFS(LANÇAMENTO!$C:$C,LANÇAMENTO!$D:$D,$A35,LANÇAMENTO!$E:$E,$B35,LANÇAMENTO!$F:$F,M$4)</f>
        <v>0</v>
      </c>
      <c r="N35" s="40">
        <f>-SUMIFS(LANÇAMENTO!$C:$C,LANÇAMENTO!$D:$D,$A35,LANÇAMENTO!$E:$E,$B35,LANÇAMENTO!$F:$F,N$4)</f>
        <v>0</v>
      </c>
      <c r="O35" s="40">
        <f>-SUMIFS(LANÇAMENTO!$C:$C,LANÇAMENTO!$D:$D,$A35,LANÇAMENTO!$E:$E,$B35,LANÇAMENTO!$F:$F,O$4)</f>
        <v>0</v>
      </c>
      <c r="P35" s="40">
        <f>-SUMIFS(LANÇAMENTO!$C:$C,LANÇAMENTO!$D:$D,$A35,LANÇAMENTO!$E:$E,$B35,LANÇAMENTO!$F:$F,P$4)</f>
        <v>0</v>
      </c>
      <c r="Q35" s="37">
        <f t="shared" si="34"/>
        <v>0</v>
      </c>
      <c r="R35" s="29">
        <f t="shared" si="35"/>
        <v>1</v>
      </c>
    </row>
    <row r="36" spans="1:18" x14ac:dyDescent="0.25">
      <c r="A36" s="70" t="str">
        <f t="shared" si="36"/>
        <v>MORADIA</v>
      </c>
      <c r="B36" s="31" t="s">
        <v>20</v>
      </c>
      <c r="C36" s="45">
        <v>0</v>
      </c>
      <c r="D36" s="34">
        <f t="shared" si="37"/>
        <v>0</v>
      </c>
      <c r="E36" s="40">
        <f>-SUMIFS(LANÇAMENTO!$C:$C,LANÇAMENTO!$D:$D,$A36,LANÇAMENTO!$E:$E,$B36,LANÇAMENTO!$F:$F,E$4)</f>
        <v>0</v>
      </c>
      <c r="F36" s="40">
        <f>-SUMIFS(LANÇAMENTO!$C:$C,LANÇAMENTO!$D:$D,$A36,LANÇAMENTO!$E:$E,$B36,LANÇAMENTO!$F:$F,F$4)</f>
        <v>0</v>
      </c>
      <c r="G36" s="40">
        <f>-SUMIFS(LANÇAMENTO!$C:$C,LANÇAMENTO!$D:$D,$A36,LANÇAMENTO!$E:$E,$B36,LANÇAMENTO!$F:$F,G$4)</f>
        <v>0</v>
      </c>
      <c r="H36" s="40">
        <f>-SUMIFS(LANÇAMENTO!$C:$C,LANÇAMENTO!$D:$D,$A36,LANÇAMENTO!$E:$E,$B36,LANÇAMENTO!$F:$F,H$4)</f>
        <v>0</v>
      </c>
      <c r="I36" s="40">
        <f>-SUMIFS(LANÇAMENTO!$C:$C,LANÇAMENTO!$D:$D,$A36,LANÇAMENTO!$E:$E,$B36,LANÇAMENTO!$F:$F,I$4)</f>
        <v>0</v>
      </c>
      <c r="J36" s="40">
        <f>-SUMIFS(LANÇAMENTO!$C:$C,LANÇAMENTO!$D:$D,$A36,LANÇAMENTO!$E:$E,$B36,LANÇAMENTO!$F:$F,J$4)</f>
        <v>0</v>
      </c>
      <c r="K36" s="40">
        <f>-SUMIFS(LANÇAMENTO!$C:$C,LANÇAMENTO!$D:$D,$A36,LANÇAMENTO!$E:$E,$B36,LANÇAMENTO!$F:$F,K$4)</f>
        <v>0</v>
      </c>
      <c r="L36" s="40">
        <f>-SUMIFS(LANÇAMENTO!$C:$C,LANÇAMENTO!$D:$D,$A36,LANÇAMENTO!$E:$E,$B36,LANÇAMENTO!$F:$F,L$4)</f>
        <v>0</v>
      </c>
      <c r="M36" s="40">
        <f>-SUMIFS(LANÇAMENTO!$C:$C,LANÇAMENTO!$D:$D,$A36,LANÇAMENTO!$E:$E,$B36,LANÇAMENTO!$F:$F,M$4)</f>
        <v>0</v>
      </c>
      <c r="N36" s="40">
        <f>-SUMIFS(LANÇAMENTO!$C:$C,LANÇAMENTO!$D:$D,$A36,LANÇAMENTO!$E:$E,$B36,LANÇAMENTO!$F:$F,N$4)</f>
        <v>0</v>
      </c>
      <c r="O36" s="40">
        <f>-SUMIFS(LANÇAMENTO!$C:$C,LANÇAMENTO!$D:$D,$A36,LANÇAMENTO!$E:$E,$B36,LANÇAMENTO!$F:$F,O$4)</f>
        <v>0</v>
      </c>
      <c r="P36" s="40">
        <f>-SUMIFS(LANÇAMENTO!$C:$C,LANÇAMENTO!$D:$D,$A36,LANÇAMENTO!$E:$E,$B36,LANÇAMENTO!$F:$F,P$4)</f>
        <v>0</v>
      </c>
      <c r="Q36" s="37">
        <f t="shared" si="34"/>
        <v>0</v>
      </c>
      <c r="R36" s="29">
        <f t="shared" si="35"/>
        <v>0</v>
      </c>
    </row>
    <row r="37" spans="1:18" x14ac:dyDescent="0.25">
      <c r="A37" s="70" t="str">
        <f t="shared" si="36"/>
        <v>MORADIA</v>
      </c>
      <c r="B37" s="31" t="s">
        <v>21</v>
      </c>
      <c r="C37" s="45">
        <v>500</v>
      </c>
      <c r="D37" s="34">
        <f t="shared" si="37"/>
        <v>6000</v>
      </c>
      <c r="E37" s="40">
        <f>-SUMIFS(LANÇAMENTO!$C:$C,LANÇAMENTO!$D:$D,$A37,LANÇAMENTO!$E:$E,$B37,LANÇAMENTO!$F:$F,E$4)</f>
        <v>0</v>
      </c>
      <c r="F37" s="40">
        <f>-SUMIFS(LANÇAMENTO!$C:$C,LANÇAMENTO!$D:$D,$A37,LANÇAMENTO!$E:$E,$B37,LANÇAMENTO!$F:$F,F$4)</f>
        <v>0</v>
      </c>
      <c r="G37" s="40">
        <f>-SUMIFS(LANÇAMENTO!$C:$C,LANÇAMENTO!$D:$D,$A37,LANÇAMENTO!$E:$E,$B37,LANÇAMENTO!$F:$F,G$4)</f>
        <v>0</v>
      </c>
      <c r="H37" s="40">
        <f>-SUMIFS(LANÇAMENTO!$C:$C,LANÇAMENTO!$D:$D,$A37,LANÇAMENTO!$E:$E,$B37,LANÇAMENTO!$F:$F,H$4)</f>
        <v>0</v>
      </c>
      <c r="I37" s="40">
        <f>-SUMIFS(LANÇAMENTO!$C:$C,LANÇAMENTO!$D:$D,$A37,LANÇAMENTO!$E:$E,$B37,LANÇAMENTO!$F:$F,I$4)</f>
        <v>0</v>
      </c>
      <c r="J37" s="40">
        <f>-SUMIFS(LANÇAMENTO!$C:$C,LANÇAMENTO!$D:$D,$A37,LANÇAMENTO!$E:$E,$B37,LANÇAMENTO!$F:$F,J$4)</f>
        <v>0</v>
      </c>
      <c r="K37" s="40">
        <f>-SUMIFS(LANÇAMENTO!$C:$C,LANÇAMENTO!$D:$D,$A37,LANÇAMENTO!$E:$E,$B37,LANÇAMENTO!$F:$F,K$4)</f>
        <v>0</v>
      </c>
      <c r="L37" s="40">
        <f>-SUMIFS(LANÇAMENTO!$C:$C,LANÇAMENTO!$D:$D,$A37,LANÇAMENTO!$E:$E,$B37,LANÇAMENTO!$F:$F,L$4)</f>
        <v>0</v>
      </c>
      <c r="M37" s="40">
        <f>-SUMIFS(LANÇAMENTO!$C:$C,LANÇAMENTO!$D:$D,$A37,LANÇAMENTO!$E:$E,$B37,LANÇAMENTO!$F:$F,M$4)</f>
        <v>0</v>
      </c>
      <c r="N37" s="40">
        <f>-SUMIFS(LANÇAMENTO!$C:$C,LANÇAMENTO!$D:$D,$A37,LANÇAMENTO!$E:$E,$B37,LANÇAMENTO!$F:$F,N$4)</f>
        <v>0</v>
      </c>
      <c r="O37" s="40">
        <f>-SUMIFS(LANÇAMENTO!$C:$C,LANÇAMENTO!$D:$D,$A37,LANÇAMENTO!$E:$E,$B37,LANÇAMENTO!$F:$F,O$4)</f>
        <v>0</v>
      </c>
      <c r="P37" s="40">
        <f>-SUMIFS(LANÇAMENTO!$C:$C,LANÇAMENTO!$D:$D,$A37,LANÇAMENTO!$E:$E,$B37,LANÇAMENTO!$F:$F,P$4)</f>
        <v>0</v>
      </c>
      <c r="Q37" s="37">
        <f t="shared" si="34"/>
        <v>0</v>
      </c>
      <c r="R37" s="29">
        <f t="shared" si="35"/>
        <v>1</v>
      </c>
    </row>
    <row r="38" spans="1:18" x14ac:dyDescent="0.25">
      <c r="A38" s="70" t="str">
        <f t="shared" si="36"/>
        <v>MORADIA</v>
      </c>
      <c r="B38" s="31" t="s">
        <v>22</v>
      </c>
      <c r="C38" s="45">
        <v>0</v>
      </c>
      <c r="D38" s="34">
        <f t="shared" si="37"/>
        <v>0</v>
      </c>
      <c r="E38" s="40">
        <f>-SUMIFS(LANÇAMENTO!$C:$C,LANÇAMENTO!$D:$D,$A38,LANÇAMENTO!$E:$E,$B38,LANÇAMENTO!$F:$F,E$4)</f>
        <v>0</v>
      </c>
      <c r="F38" s="40">
        <f>-SUMIFS(LANÇAMENTO!$C:$C,LANÇAMENTO!$D:$D,$A38,LANÇAMENTO!$E:$E,$B38,LANÇAMENTO!$F:$F,F$4)</f>
        <v>0</v>
      </c>
      <c r="G38" s="40">
        <f>-SUMIFS(LANÇAMENTO!$C:$C,LANÇAMENTO!$D:$D,$A38,LANÇAMENTO!$E:$E,$B38,LANÇAMENTO!$F:$F,G$4)</f>
        <v>0</v>
      </c>
      <c r="H38" s="40">
        <f>-SUMIFS(LANÇAMENTO!$C:$C,LANÇAMENTO!$D:$D,$A38,LANÇAMENTO!$E:$E,$B38,LANÇAMENTO!$F:$F,H$4)</f>
        <v>0</v>
      </c>
      <c r="I38" s="40">
        <f>-SUMIFS(LANÇAMENTO!$C:$C,LANÇAMENTO!$D:$D,$A38,LANÇAMENTO!$E:$E,$B38,LANÇAMENTO!$F:$F,I$4)</f>
        <v>0</v>
      </c>
      <c r="J38" s="40">
        <f>-SUMIFS(LANÇAMENTO!$C:$C,LANÇAMENTO!$D:$D,$A38,LANÇAMENTO!$E:$E,$B38,LANÇAMENTO!$F:$F,J$4)</f>
        <v>0</v>
      </c>
      <c r="K38" s="40">
        <f>-SUMIFS(LANÇAMENTO!$C:$C,LANÇAMENTO!$D:$D,$A38,LANÇAMENTO!$E:$E,$B38,LANÇAMENTO!$F:$F,K$4)</f>
        <v>0</v>
      </c>
      <c r="L38" s="40">
        <f>-SUMIFS(LANÇAMENTO!$C:$C,LANÇAMENTO!$D:$D,$A38,LANÇAMENTO!$E:$E,$B38,LANÇAMENTO!$F:$F,L$4)</f>
        <v>0</v>
      </c>
      <c r="M38" s="40">
        <f>-SUMIFS(LANÇAMENTO!$C:$C,LANÇAMENTO!$D:$D,$A38,LANÇAMENTO!$E:$E,$B38,LANÇAMENTO!$F:$F,M$4)</f>
        <v>0</v>
      </c>
      <c r="N38" s="40">
        <f>-SUMIFS(LANÇAMENTO!$C:$C,LANÇAMENTO!$D:$D,$A38,LANÇAMENTO!$E:$E,$B38,LANÇAMENTO!$F:$F,N$4)</f>
        <v>0</v>
      </c>
      <c r="O38" s="40">
        <f>-SUMIFS(LANÇAMENTO!$C:$C,LANÇAMENTO!$D:$D,$A38,LANÇAMENTO!$E:$E,$B38,LANÇAMENTO!$F:$F,O$4)</f>
        <v>0</v>
      </c>
      <c r="P38" s="40">
        <f>-SUMIFS(LANÇAMENTO!$C:$C,LANÇAMENTO!$D:$D,$A38,LANÇAMENTO!$E:$E,$B38,LANÇAMENTO!$F:$F,P$4)</f>
        <v>0</v>
      </c>
      <c r="Q38" s="37">
        <f t="shared" si="34"/>
        <v>0</v>
      </c>
      <c r="R38" s="29">
        <f t="shared" si="35"/>
        <v>0</v>
      </c>
    </row>
    <row r="39" spans="1:18" x14ac:dyDescent="0.25">
      <c r="A39" s="70" t="str">
        <f t="shared" si="36"/>
        <v>MORADIA</v>
      </c>
      <c r="B39" s="31" t="s">
        <v>23</v>
      </c>
      <c r="C39" s="45">
        <v>0</v>
      </c>
      <c r="D39" s="34">
        <f t="shared" si="37"/>
        <v>0</v>
      </c>
      <c r="E39" s="40">
        <f>-SUMIFS(LANÇAMENTO!$C:$C,LANÇAMENTO!$D:$D,$A39,LANÇAMENTO!$E:$E,$B39,LANÇAMENTO!$F:$F,E$4)</f>
        <v>0</v>
      </c>
      <c r="F39" s="40">
        <f>-SUMIFS(LANÇAMENTO!$C:$C,LANÇAMENTO!$D:$D,$A39,LANÇAMENTO!$E:$E,$B39,LANÇAMENTO!$F:$F,F$4)</f>
        <v>0</v>
      </c>
      <c r="G39" s="40">
        <f>-SUMIFS(LANÇAMENTO!$C:$C,LANÇAMENTO!$D:$D,$A39,LANÇAMENTO!$E:$E,$B39,LANÇAMENTO!$F:$F,G$4)</f>
        <v>0</v>
      </c>
      <c r="H39" s="40">
        <f>-SUMIFS(LANÇAMENTO!$C:$C,LANÇAMENTO!$D:$D,$A39,LANÇAMENTO!$E:$E,$B39,LANÇAMENTO!$F:$F,H$4)</f>
        <v>0</v>
      </c>
      <c r="I39" s="40">
        <f>-SUMIFS(LANÇAMENTO!$C:$C,LANÇAMENTO!$D:$D,$A39,LANÇAMENTO!$E:$E,$B39,LANÇAMENTO!$F:$F,I$4)</f>
        <v>0</v>
      </c>
      <c r="J39" s="40">
        <f>-SUMIFS(LANÇAMENTO!$C:$C,LANÇAMENTO!$D:$D,$A39,LANÇAMENTO!$E:$E,$B39,LANÇAMENTO!$F:$F,J$4)</f>
        <v>0</v>
      </c>
      <c r="K39" s="40">
        <f>-SUMIFS(LANÇAMENTO!$C:$C,LANÇAMENTO!$D:$D,$A39,LANÇAMENTO!$E:$E,$B39,LANÇAMENTO!$F:$F,K$4)</f>
        <v>0</v>
      </c>
      <c r="L39" s="40">
        <f>-SUMIFS(LANÇAMENTO!$C:$C,LANÇAMENTO!$D:$D,$A39,LANÇAMENTO!$E:$E,$B39,LANÇAMENTO!$F:$F,L$4)</f>
        <v>0</v>
      </c>
      <c r="M39" s="40">
        <f>-SUMIFS(LANÇAMENTO!$C:$C,LANÇAMENTO!$D:$D,$A39,LANÇAMENTO!$E:$E,$B39,LANÇAMENTO!$F:$F,M$4)</f>
        <v>0</v>
      </c>
      <c r="N39" s="40">
        <f>-SUMIFS(LANÇAMENTO!$C:$C,LANÇAMENTO!$D:$D,$A39,LANÇAMENTO!$E:$E,$B39,LANÇAMENTO!$F:$F,N$4)</f>
        <v>0</v>
      </c>
      <c r="O39" s="40">
        <f>-SUMIFS(LANÇAMENTO!$C:$C,LANÇAMENTO!$D:$D,$A39,LANÇAMENTO!$E:$E,$B39,LANÇAMENTO!$F:$F,O$4)</f>
        <v>0</v>
      </c>
      <c r="P39" s="40">
        <f>-SUMIFS(LANÇAMENTO!$C:$C,LANÇAMENTO!$D:$D,$A39,LANÇAMENTO!$E:$E,$B39,LANÇAMENTO!$F:$F,P$4)</f>
        <v>0</v>
      </c>
      <c r="Q39" s="37">
        <f t="shared" si="34"/>
        <v>0</v>
      </c>
      <c r="R39" s="29">
        <f t="shared" si="35"/>
        <v>0</v>
      </c>
    </row>
    <row r="40" spans="1:18" x14ac:dyDescent="0.25">
      <c r="A40" s="70" t="str">
        <f t="shared" si="36"/>
        <v>MORADIA</v>
      </c>
      <c r="B40" s="31" t="s">
        <v>24</v>
      </c>
      <c r="C40" s="45">
        <v>250</v>
      </c>
      <c r="D40" s="34">
        <f t="shared" si="37"/>
        <v>3000</v>
      </c>
      <c r="E40" s="40">
        <f>-SUMIFS(LANÇAMENTO!$C:$C,LANÇAMENTO!$D:$D,$A40,LANÇAMENTO!$E:$E,$B40,LANÇAMENTO!$F:$F,E$4)</f>
        <v>0</v>
      </c>
      <c r="F40" s="40">
        <f>-SUMIFS(LANÇAMENTO!$C:$C,LANÇAMENTO!$D:$D,$A40,LANÇAMENTO!$E:$E,$B40,LANÇAMENTO!$F:$F,F$4)</f>
        <v>0</v>
      </c>
      <c r="G40" s="40">
        <f>-SUMIFS(LANÇAMENTO!$C:$C,LANÇAMENTO!$D:$D,$A40,LANÇAMENTO!$E:$E,$B40,LANÇAMENTO!$F:$F,G$4)</f>
        <v>0</v>
      </c>
      <c r="H40" s="40">
        <f>-SUMIFS(LANÇAMENTO!$C:$C,LANÇAMENTO!$D:$D,$A40,LANÇAMENTO!$E:$E,$B40,LANÇAMENTO!$F:$F,H$4)</f>
        <v>0</v>
      </c>
      <c r="I40" s="40">
        <f>-SUMIFS(LANÇAMENTO!$C:$C,LANÇAMENTO!$D:$D,$A40,LANÇAMENTO!$E:$E,$B40,LANÇAMENTO!$F:$F,I$4)</f>
        <v>0</v>
      </c>
      <c r="J40" s="40">
        <f>-SUMIFS(LANÇAMENTO!$C:$C,LANÇAMENTO!$D:$D,$A40,LANÇAMENTO!$E:$E,$B40,LANÇAMENTO!$F:$F,J$4)</f>
        <v>0</v>
      </c>
      <c r="K40" s="40">
        <f>-SUMIFS(LANÇAMENTO!$C:$C,LANÇAMENTO!$D:$D,$A40,LANÇAMENTO!$E:$E,$B40,LANÇAMENTO!$F:$F,K$4)</f>
        <v>0</v>
      </c>
      <c r="L40" s="40">
        <f>-SUMIFS(LANÇAMENTO!$C:$C,LANÇAMENTO!$D:$D,$A40,LANÇAMENTO!$E:$E,$B40,LANÇAMENTO!$F:$F,L$4)</f>
        <v>0</v>
      </c>
      <c r="M40" s="40">
        <f>-SUMIFS(LANÇAMENTO!$C:$C,LANÇAMENTO!$D:$D,$A40,LANÇAMENTO!$E:$E,$B40,LANÇAMENTO!$F:$F,M$4)</f>
        <v>0</v>
      </c>
      <c r="N40" s="40">
        <f>-SUMIFS(LANÇAMENTO!$C:$C,LANÇAMENTO!$D:$D,$A40,LANÇAMENTO!$E:$E,$B40,LANÇAMENTO!$F:$F,N$4)</f>
        <v>0</v>
      </c>
      <c r="O40" s="40">
        <f>-SUMIFS(LANÇAMENTO!$C:$C,LANÇAMENTO!$D:$D,$A40,LANÇAMENTO!$E:$E,$B40,LANÇAMENTO!$F:$F,O$4)</f>
        <v>0</v>
      </c>
      <c r="P40" s="40">
        <f>-SUMIFS(LANÇAMENTO!$C:$C,LANÇAMENTO!$D:$D,$A40,LANÇAMENTO!$E:$E,$B40,LANÇAMENTO!$F:$F,P$4)</f>
        <v>0</v>
      </c>
      <c r="Q40" s="37">
        <f t="shared" si="34"/>
        <v>0</v>
      </c>
      <c r="R40" s="29">
        <f t="shared" si="35"/>
        <v>1</v>
      </c>
    </row>
    <row r="41" spans="1:18" x14ac:dyDescent="0.25">
      <c r="A41" s="70" t="str">
        <f t="shared" si="36"/>
        <v>MORADIA</v>
      </c>
      <c r="B41" s="31" t="s">
        <v>25</v>
      </c>
      <c r="C41" s="45">
        <v>0</v>
      </c>
      <c r="D41" s="34">
        <f t="shared" si="37"/>
        <v>0</v>
      </c>
      <c r="E41" s="40">
        <f>-SUMIFS(LANÇAMENTO!$C:$C,LANÇAMENTO!$D:$D,$A41,LANÇAMENTO!$E:$E,$B41,LANÇAMENTO!$F:$F,E$4)</f>
        <v>0</v>
      </c>
      <c r="F41" s="40">
        <f>-SUMIFS(LANÇAMENTO!$C:$C,LANÇAMENTO!$D:$D,$A41,LANÇAMENTO!$E:$E,$B41,LANÇAMENTO!$F:$F,F$4)</f>
        <v>0</v>
      </c>
      <c r="G41" s="40">
        <f>-SUMIFS(LANÇAMENTO!$C:$C,LANÇAMENTO!$D:$D,$A41,LANÇAMENTO!$E:$E,$B41,LANÇAMENTO!$F:$F,G$4)</f>
        <v>0</v>
      </c>
      <c r="H41" s="40">
        <f>-SUMIFS(LANÇAMENTO!$C:$C,LANÇAMENTO!$D:$D,$A41,LANÇAMENTO!$E:$E,$B41,LANÇAMENTO!$F:$F,H$4)</f>
        <v>0</v>
      </c>
      <c r="I41" s="40">
        <f>-SUMIFS(LANÇAMENTO!$C:$C,LANÇAMENTO!$D:$D,$A41,LANÇAMENTO!$E:$E,$B41,LANÇAMENTO!$F:$F,I$4)</f>
        <v>0</v>
      </c>
      <c r="J41" s="40">
        <f>-SUMIFS(LANÇAMENTO!$C:$C,LANÇAMENTO!$D:$D,$A41,LANÇAMENTO!$E:$E,$B41,LANÇAMENTO!$F:$F,J$4)</f>
        <v>0</v>
      </c>
      <c r="K41" s="40">
        <f>-SUMIFS(LANÇAMENTO!$C:$C,LANÇAMENTO!$D:$D,$A41,LANÇAMENTO!$E:$E,$B41,LANÇAMENTO!$F:$F,K$4)</f>
        <v>0</v>
      </c>
      <c r="L41" s="40">
        <f>-SUMIFS(LANÇAMENTO!$C:$C,LANÇAMENTO!$D:$D,$A41,LANÇAMENTO!$E:$E,$B41,LANÇAMENTO!$F:$F,L$4)</f>
        <v>0</v>
      </c>
      <c r="M41" s="40">
        <f>-SUMIFS(LANÇAMENTO!$C:$C,LANÇAMENTO!$D:$D,$A41,LANÇAMENTO!$E:$E,$B41,LANÇAMENTO!$F:$F,M$4)</f>
        <v>0</v>
      </c>
      <c r="N41" s="40">
        <f>-SUMIFS(LANÇAMENTO!$C:$C,LANÇAMENTO!$D:$D,$A41,LANÇAMENTO!$E:$E,$B41,LANÇAMENTO!$F:$F,N$4)</f>
        <v>0</v>
      </c>
      <c r="O41" s="40">
        <f>-SUMIFS(LANÇAMENTO!$C:$C,LANÇAMENTO!$D:$D,$A41,LANÇAMENTO!$E:$E,$B41,LANÇAMENTO!$F:$F,O$4)</f>
        <v>0</v>
      </c>
      <c r="P41" s="40">
        <f>-SUMIFS(LANÇAMENTO!$C:$C,LANÇAMENTO!$D:$D,$A41,LANÇAMENTO!$E:$E,$B41,LANÇAMENTO!$F:$F,P$4)</f>
        <v>0</v>
      </c>
      <c r="Q41" s="37">
        <f t="shared" si="34"/>
        <v>0</v>
      </c>
      <c r="R41" s="29">
        <f t="shared" si="35"/>
        <v>0</v>
      </c>
    </row>
    <row r="42" spans="1:18" x14ac:dyDescent="0.25">
      <c r="A42" s="70" t="str">
        <f t="shared" si="36"/>
        <v>MORADIA</v>
      </c>
      <c r="B42" s="31" t="s">
        <v>26</v>
      </c>
      <c r="C42" s="45">
        <v>0</v>
      </c>
      <c r="D42" s="34">
        <f t="shared" si="37"/>
        <v>0</v>
      </c>
      <c r="E42" s="40">
        <f>-SUMIFS(LANÇAMENTO!$C:$C,LANÇAMENTO!$D:$D,$A42,LANÇAMENTO!$E:$E,$B42,LANÇAMENTO!$F:$F,E$4)</f>
        <v>0</v>
      </c>
      <c r="F42" s="40">
        <f>-SUMIFS(LANÇAMENTO!$C:$C,LANÇAMENTO!$D:$D,$A42,LANÇAMENTO!$E:$E,$B42,LANÇAMENTO!$F:$F,F$4)</f>
        <v>0</v>
      </c>
      <c r="G42" s="40">
        <f>-SUMIFS(LANÇAMENTO!$C:$C,LANÇAMENTO!$D:$D,$A42,LANÇAMENTO!$E:$E,$B42,LANÇAMENTO!$F:$F,G$4)</f>
        <v>0</v>
      </c>
      <c r="H42" s="40">
        <f>-SUMIFS(LANÇAMENTO!$C:$C,LANÇAMENTO!$D:$D,$A42,LANÇAMENTO!$E:$E,$B42,LANÇAMENTO!$F:$F,H$4)</f>
        <v>0</v>
      </c>
      <c r="I42" s="40">
        <f>-SUMIFS(LANÇAMENTO!$C:$C,LANÇAMENTO!$D:$D,$A42,LANÇAMENTO!$E:$E,$B42,LANÇAMENTO!$F:$F,I$4)</f>
        <v>0</v>
      </c>
      <c r="J42" s="40">
        <f>-SUMIFS(LANÇAMENTO!$C:$C,LANÇAMENTO!$D:$D,$A42,LANÇAMENTO!$E:$E,$B42,LANÇAMENTO!$F:$F,J$4)</f>
        <v>0</v>
      </c>
      <c r="K42" s="40">
        <f>-SUMIFS(LANÇAMENTO!$C:$C,LANÇAMENTO!$D:$D,$A42,LANÇAMENTO!$E:$E,$B42,LANÇAMENTO!$F:$F,K$4)</f>
        <v>0</v>
      </c>
      <c r="L42" s="40">
        <f>-SUMIFS(LANÇAMENTO!$C:$C,LANÇAMENTO!$D:$D,$A42,LANÇAMENTO!$E:$E,$B42,LANÇAMENTO!$F:$F,L$4)</f>
        <v>0</v>
      </c>
      <c r="M42" s="40">
        <f>-SUMIFS(LANÇAMENTO!$C:$C,LANÇAMENTO!$D:$D,$A42,LANÇAMENTO!$E:$E,$B42,LANÇAMENTO!$F:$F,M$4)</f>
        <v>0</v>
      </c>
      <c r="N42" s="40">
        <f>-SUMIFS(LANÇAMENTO!$C:$C,LANÇAMENTO!$D:$D,$A42,LANÇAMENTO!$E:$E,$B42,LANÇAMENTO!$F:$F,N$4)</f>
        <v>0</v>
      </c>
      <c r="O42" s="40">
        <f>-SUMIFS(LANÇAMENTO!$C:$C,LANÇAMENTO!$D:$D,$A42,LANÇAMENTO!$E:$E,$B42,LANÇAMENTO!$F:$F,O$4)</f>
        <v>0</v>
      </c>
      <c r="P42" s="40">
        <f>-SUMIFS(LANÇAMENTO!$C:$C,LANÇAMENTO!$D:$D,$A42,LANÇAMENTO!$E:$E,$B42,LANÇAMENTO!$F:$F,P$4)</f>
        <v>0</v>
      </c>
      <c r="Q42" s="37">
        <f t="shared" si="34"/>
        <v>0</v>
      </c>
      <c r="R42" s="29">
        <f t="shared" si="35"/>
        <v>0</v>
      </c>
    </row>
    <row r="43" spans="1:18" x14ac:dyDescent="0.25">
      <c r="A43" s="70" t="str">
        <f t="shared" si="36"/>
        <v>MORADIA</v>
      </c>
      <c r="B43" s="31" t="s">
        <v>142</v>
      </c>
      <c r="C43" s="45">
        <v>0</v>
      </c>
      <c r="D43" s="34">
        <f t="shared" si="37"/>
        <v>0</v>
      </c>
      <c r="E43" s="40">
        <f>-SUMIFS(LANÇAMENTO!$C:$C,LANÇAMENTO!$D:$D,$A43,LANÇAMENTO!$E:$E,$B43,LANÇAMENTO!$F:$F,E$4)</f>
        <v>0</v>
      </c>
      <c r="F43" s="40">
        <f>-SUMIFS(LANÇAMENTO!$C:$C,LANÇAMENTO!$D:$D,$A43,LANÇAMENTO!$E:$E,$B43,LANÇAMENTO!$F:$F,F$4)</f>
        <v>0</v>
      </c>
      <c r="G43" s="40">
        <f>-SUMIFS(LANÇAMENTO!$C:$C,LANÇAMENTO!$D:$D,$A43,LANÇAMENTO!$E:$E,$B43,LANÇAMENTO!$F:$F,G$4)</f>
        <v>0</v>
      </c>
      <c r="H43" s="40">
        <f>-SUMIFS(LANÇAMENTO!$C:$C,LANÇAMENTO!$D:$D,$A43,LANÇAMENTO!$E:$E,$B43,LANÇAMENTO!$F:$F,H$4)</f>
        <v>0</v>
      </c>
      <c r="I43" s="40">
        <f>-SUMIFS(LANÇAMENTO!$C:$C,LANÇAMENTO!$D:$D,$A43,LANÇAMENTO!$E:$E,$B43,LANÇAMENTO!$F:$F,I$4)</f>
        <v>0</v>
      </c>
      <c r="J43" s="40">
        <f>-SUMIFS(LANÇAMENTO!$C:$C,LANÇAMENTO!$D:$D,$A43,LANÇAMENTO!$E:$E,$B43,LANÇAMENTO!$F:$F,J$4)</f>
        <v>0</v>
      </c>
      <c r="K43" s="40">
        <f>-SUMIFS(LANÇAMENTO!$C:$C,LANÇAMENTO!$D:$D,$A43,LANÇAMENTO!$E:$E,$B43,LANÇAMENTO!$F:$F,K$4)</f>
        <v>0</v>
      </c>
      <c r="L43" s="40">
        <f>-SUMIFS(LANÇAMENTO!$C:$C,LANÇAMENTO!$D:$D,$A43,LANÇAMENTO!$E:$E,$B43,LANÇAMENTO!$F:$F,L$4)</f>
        <v>0</v>
      </c>
      <c r="M43" s="40">
        <f>-SUMIFS(LANÇAMENTO!$C:$C,LANÇAMENTO!$D:$D,$A43,LANÇAMENTO!$E:$E,$B43,LANÇAMENTO!$F:$F,M$4)</f>
        <v>0</v>
      </c>
      <c r="N43" s="40">
        <f>-SUMIFS(LANÇAMENTO!$C:$C,LANÇAMENTO!$D:$D,$A43,LANÇAMENTO!$E:$E,$B43,LANÇAMENTO!$F:$F,N$4)</f>
        <v>0</v>
      </c>
      <c r="O43" s="40">
        <f>-SUMIFS(LANÇAMENTO!$C:$C,LANÇAMENTO!$D:$D,$A43,LANÇAMENTO!$E:$E,$B43,LANÇAMENTO!$F:$F,O$4)</f>
        <v>0</v>
      </c>
      <c r="P43" s="40">
        <f>-SUMIFS(LANÇAMENTO!$C:$C,LANÇAMENTO!$D:$D,$A43,LANÇAMENTO!$E:$E,$B43,LANÇAMENTO!$F:$F,P$4)</f>
        <v>0</v>
      </c>
      <c r="Q43" s="37">
        <f t="shared" si="34"/>
        <v>0</v>
      </c>
      <c r="R43" s="29">
        <f t="shared" si="35"/>
        <v>0</v>
      </c>
    </row>
    <row r="44" spans="1:18" x14ac:dyDescent="0.25">
      <c r="A44" s="70"/>
      <c r="B44" s="26" t="s">
        <v>27</v>
      </c>
      <c r="C44" s="20">
        <f>SUM(C45:C51)</f>
        <v>270</v>
      </c>
      <c r="D44" s="20">
        <f>SUM(D45:D51)</f>
        <v>3240</v>
      </c>
      <c r="E44" s="20">
        <f t="shared" ref="E44:P44" si="38">SUM(E45:E51)</f>
        <v>169</v>
      </c>
      <c r="F44" s="20">
        <f t="shared" si="38"/>
        <v>255</v>
      </c>
      <c r="G44" s="20">
        <f t="shared" si="38"/>
        <v>146</v>
      </c>
      <c r="H44" s="20">
        <f t="shared" si="38"/>
        <v>170</v>
      </c>
      <c r="I44" s="20">
        <f t="shared" si="38"/>
        <v>162</v>
      </c>
      <c r="J44" s="20">
        <f t="shared" si="38"/>
        <v>203</v>
      </c>
      <c r="K44" s="20">
        <f t="shared" si="38"/>
        <v>171</v>
      </c>
      <c r="L44" s="20">
        <f t="shared" si="38"/>
        <v>222</v>
      </c>
      <c r="M44" s="20">
        <f t="shared" si="38"/>
        <v>157</v>
      </c>
      <c r="N44" s="20">
        <f t="shared" si="38"/>
        <v>254</v>
      </c>
      <c r="O44" s="20">
        <f t="shared" si="38"/>
        <v>235</v>
      </c>
      <c r="P44" s="20">
        <f t="shared" si="38"/>
        <v>160</v>
      </c>
      <c r="Q44" s="25">
        <f t="shared" si="34"/>
        <v>2304</v>
      </c>
      <c r="R44" s="29">
        <f>IF(SUM(R45:R51)=0,0,1)</f>
        <v>1</v>
      </c>
    </row>
    <row r="45" spans="1:18" x14ac:dyDescent="0.25">
      <c r="A45" s="70" t="str">
        <f>$B$44</f>
        <v>COMUNICAÇÃO</v>
      </c>
      <c r="B45" s="31" t="s">
        <v>28</v>
      </c>
      <c r="C45" s="45">
        <v>100</v>
      </c>
      <c r="D45" s="34">
        <f t="shared" ref="D45" si="39">C45*12</f>
        <v>1200</v>
      </c>
      <c r="E45" s="40">
        <f>-SUMIFS(LANÇAMENTO!$C:$C,LANÇAMENTO!$D:$D,$A45,LANÇAMENTO!$E:$E,$B45,LANÇAMENTO!$F:$F,E$4)</f>
        <v>169</v>
      </c>
      <c r="F45" s="40">
        <f>-SUMIFS(LANÇAMENTO!$C:$C,LANÇAMENTO!$D:$D,$A45,LANÇAMENTO!$E:$E,$B45,LANÇAMENTO!$F:$F,F$4)</f>
        <v>255</v>
      </c>
      <c r="G45" s="40">
        <f>-SUMIFS(LANÇAMENTO!$C:$C,LANÇAMENTO!$D:$D,$A45,LANÇAMENTO!$E:$E,$B45,LANÇAMENTO!$F:$F,G$4)</f>
        <v>146</v>
      </c>
      <c r="H45" s="40">
        <f>-SUMIFS(LANÇAMENTO!$C:$C,LANÇAMENTO!$D:$D,$A45,LANÇAMENTO!$E:$E,$B45,LANÇAMENTO!$F:$F,H$4)</f>
        <v>170</v>
      </c>
      <c r="I45" s="40">
        <f>-SUMIFS(LANÇAMENTO!$C:$C,LANÇAMENTO!$D:$D,$A45,LANÇAMENTO!$E:$E,$B45,LANÇAMENTO!$F:$F,I$4)</f>
        <v>162</v>
      </c>
      <c r="J45" s="40">
        <f>-SUMIFS(LANÇAMENTO!$C:$C,LANÇAMENTO!$D:$D,$A45,LANÇAMENTO!$E:$E,$B45,LANÇAMENTO!$F:$F,J$4)</f>
        <v>203</v>
      </c>
      <c r="K45" s="40">
        <f>-SUMIFS(LANÇAMENTO!$C:$C,LANÇAMENTO!$D:$D,$A45,LANÇAMENTO!$E:$E,$B45,LANÇAMENTO!$F:$F,K$4)</f>
        <v>171</v>
      </c>
      <c r="L45" s="40">
        <f>-SUMIFS(LANÇAMENTO!$C:$C,LANÇAMENTO!$D:$D,$A45,LANÇAMENTO!$E:$E,$B45,LANÇAMENTO!$F:$F,L$4)</f>
        <v>222</v>
      </c>
      <c r="M45" s="40">
        <f>-SUMIFS(LANÇAMENTO!$C:$C,LANÇAMENTO!$D:$D,$A45,LANÇAMENTO!$E:$E,$B45,LANÇAMENTO!$F:$F,M$4)</f>
        <v>157</v>
      </c>
      <c r="N45" s="40">
        <f>-SUMIFS(LANÇAMENTO!$C:$C,LANÇAMENTO!$D:$D,$A45,LANÇAMENTO!$E:$E,$B45,LANÇAMENTO!$F:$F,N$4)</f>
        <v>254</v>
      </c>
      <c r="O45" s="40">
        <f>-SUMIFS(LANÇAMENTO!$C:$C,LANÇAMENTO!$D:$D,$A45,LANÇAMENTO!$E:$E,$B45,LANÇAMENTO!$F:$F,O$4)</f>
        <v>235</v>
      </c>
      <c r="P45" s="40">
        <f>-SUMIFS(LANÇAMENTO!$C:$C,LANÇAMENTO!$D:$D,$A45,LANÇAMENTO!$E:$E,$B45,LANÇAMENTO!$F:$F,P$4)</f>
        <v>160</v>
      </c>
      <c r="Q45" s="37">
        <f t="shared" si="34"/>
        <v>2304</v>
      </c>
      <c r="R45" s="29">
        <f t="shared" si="35"/>
        <v>1</v>
      </c>
    </row>
    <row r="46" spans="1:18" x14ac:dyDescent="0.25">
      <c r="A46" s="70" t="str">
        <f t="shared" ref="A46:A51" si="40">$B$44</f>
        <v>COMUNICAÇÃO</v>
      </c>
      <c r="B46" s="31" t="s">
        <v>29</v>
      </c>
      <c r="C46" s="45">
        <v>100</v>
      </c>
      <c r="D46" s="34">
        <f t="shared" ref="D46:D51" si="41">C46*12</f>
        <v>1200</v>
      </c>
      <c r="E46" s="40">
        <f>-SUMIFS(LANÇAMENTO!$C:$C,LANÇAMENTO!$D:$D,$A46,LANÇAMENTO!$E:$E,$B46,LANÇAMENTO!$F:$F,E$4)</f>
        <v>0</v>
      </c>
      <c r="F46" s="40">
        <f>-SUMIFS(LANÇAMENTO!$C:$C,LANÇAMENTO!$D:$D,$A46,LANÇAMENTO!$E:$E,$B46,LANÇAMENTO!$F:$F,F$4)</f>
        <v>0</v>
      </c>
      <c r="G46" s="40">
        <f>-SUMIFS(LANÇAMENTO!$C:$C,LANÇAMENTO!$D:$D,$A46,LANÇAMENTO!$E:$E,$B46,LANÇAMENTO!$F:$F,G$4)</f>
        <v>0</v>
      </c>
      <c r="H46" s="40">
        <f>-SUMIFS(LANÇAMENTO!$C:$C,LANÇAMENTO!$D:$D,$A46,LANÇAMENTO!$E:$E,$B46,LANÇAMENTO!$F:$F,H$4)</f>
        <v>0</v>
      </c>
      <c r="I46" s="40">
        <f>-SUMIFS(LANÇAMENTO!$C:$C,LANÇAMENTO!$D:$D,$A46,LANÇAMENTO!$E:$E,$B46,LANÇAMENTO!$F:$F,I$4)</f>
        <v>0</v>
      </c>
      <c r="J46" s="40">
        <f>-SUMIFS(LANÇAMENTO!$C:$C,LANÇAMENTO!$D:$D,$A46,LANÇAMENTO!$E:$E,$B46,LANÇAMENTO!$F:$F,J$4)</f>
        <v>0</v>
      </c>
      <c r="K46" s="40">
        <f>-SUMIFS(LANÇAMENTO!$C:$C,LANÇAMENTO!$D:$D,$A46,LANÇAMENTO!$E:$E,$B46,LANÇAMENTO!$F:$F,K$4)</f>
        <v>0</v>
      </c>
      <c r="L46" s="40">
        <f>-SUMIFS(LANÇAMENTO!$C:$C,LANÇAMENTO!$D:$D,$A46,LANÇAMENTO!$E:$E,$B46,LANÇAMENTO!$F:$F,L$4)</f>
        <v>0</v>
      </c>
      <c r="M46" s="40">
        <f>-SUMIFS(LANÇAMENTO!$C:$C,LANÇAMENTO!$D:$D,$A46,LANÇAMENTO!$E:$E,$B46,LANÇAMENTO!$F:$F,M$4)</f>
        <v>0</v>
      </c>
      <c r="N46" s="40">
        <f>-SUMIFS(LANÇAMENTO!$C:$C,LANÇAMENTO!$D:$D,$A46,LANÇAMENTO!$E:$E,$B46,LANÇAMENTO!$F:$F,N$4)</f>
        <v>0</v>
      </c>
      <c r="O46" s="40">
        <f>-SUMIFS(LANÇAMENTO!$C:$C,LANÇAMENTO!$D:$D,$A46,LANÇAMENTO!$E:$E,$B46,LANÇAMENTO!$F:$F,O$4)</f>
        <v>0</v>
      </c>
      <c r="P46" s="40">
        <f>-SUMIFS(LANÇAMENTO!$C:$C,LANÇAMENTO!$D:$D,$A46,LANÇAMENTO!$E:$E,$B46,LANÇAMENTO!$F:$F,P$4)</f>
        <v>0</v>
      </c>
      <c r="Q46" s="37">
        <f t="shared" si="34"/>
        <v>0</v>
      </c>
      <c r="R46" s="29">
        <f t="shared" si="35"/>
        <v>1</v>
      </c>
    </row>
    <row r="47" spans="1:18" x14ac:dyDescent="0.25">
      <c r="A47" s="70" t="str">
        <f t="shared" si="40"/>
        <v>COMUNICAÇÃO</v>
      </c>
      <c r="B47" s="31" t="s">
        <v>30</v>
      </c>
      <c r="C47" s="45">
        <v>0</v>
      </c>
      <c r="D47" s="34">
        <f t="shared" si="41"/>
        <v>0</v>
      </c>
      <c r="E47" s="40">
        <f>-SUMIFS(LANÇAMENTO!$C:$C,LANÇAMENTO!$D:$D,$A47,LANÇAMENTO!$E:$E,$B47,LANÇAMENTO!$F:$F,E$4)</f>
        <v>0</v>
      </c>
      <c r="F47" s="40">
        <f>-SUMIFS(LANÇAMENTO!$C:$C,LANÇAMENTO!$D:$D,$A47,LANÇAMENTO!$E:$E,$B47,LANÇAMENTO!$F:$F,F$4)</f>
        <v>0</v>
      </c>
      <c r="G47" s="40">
        <f>-SUMIFS(LANÇAMENTO!$C:$C,LANÇAMENTO!$D:$D,$A47,LANÇAMENTO!$E:$E,$B47,LANÇAMENTO!$F:$F,G$4)</f>
        <v>0</v>
      </c>
      <c r="H47" s="40">
        <f>-SUMIFS(LANÇAMENTO!$C:$C,LANÇAMENTO!$D:$D,$A47,LANÇAMENTO!$E:$E,$B47,LANÇAMENTO!$F:$F,H$4)</f>
        <v>0</v>
      </c>
      <c r="I47" s="40">
        <f>-SUMIFS(LANÇAMENTO!$C:$C,LANÇAMENTO!$D:$D,$A47,LANÇAMENTO!$E:$E,$B47,LANÇAMENTO!$F:$F,I$4)</f>
        <v>0</v>
      </c>
      <c r="J47" s="40">
        <f>-SUMIFS(LANÇAMENTO!$C:$C,LANÇAMENTO!$D:$D,$A47,LANÇAMENTO!$E:$E,$B47,LANÇAMENTO!$F:$F,J$4)</f>
        <v>0</v>
      </c>
      <c r="K47" s="40">
        <f>-SUMIFS(LANÇAMENTO!$C:$C,LANÇAMENTO!$D:$D,$A47,LANÇAMENTO!$E:$E,$B47,LANÇAMENTO!$F:$F,K$4)</f>
        <v>0</v>
      </c>
      <c r="L47" s="40">
        <f>-SUMIFS(LANÇAMENTO!$C:$C,LANÇAMENTO!$D:$D,$A47,LANÇAMENTO!$E:$E,$B47,LANÇAMENTO!$F:$F,L$4)</f>
        <v>0</v>
      </c>
      <c r="M47" s="40">
        <f>-SUMIFS(LANÇAMENTO!$C:$C,LANÇAMENTO!$D:$D,$A47,LANÇAMENTO!$E:$E,$B47,LANÇAMENTO!$F:$F,M$4)</f>
        <v>0</v>
      </c>
      <c r="N47" s="40">
        <f>-SUMIFS(LANÇAMENTO!$C:$C,LANÇAMENTO!$D:$D,$A47,LANÇAMENTO!$E:$E,$B47,LANÇAMENTO!$F:$F,N$4)</f>
        <v>0</v>
      </c>
      <c r="O47" s="40">
        <f>-SUMIFS(LANÇAMENTO!$C:$C,LANÇAMENTO!$D:$D,$A47,LANÇAMENTO!$E:$E,$B47,LANÇAMENTO!$F:$F,O$4)</f>
        <v>0</v>
      </c>
      <c r="P47" s="40">
        <f>-SUMIFS(LANÇAMENTO!$C:$C,LANÇAMENTO!$D:$D,$A47,LANÇAMENTO!$E:$E,$B47,LANÇAMENTO!$F:$F,P$4)</f>
        <v>0</v>
      </c>
      <c r="Q47" s="37">
        <f t="shared" si="34"/>
        <v>0</v>
      </c>
      <c r="R47" s="29">
        <f t="shared" si="35"/>
        <v>0</v>
      </c>
    </row>
    <row r="48" spans="1:18" x14ac:dyDescent="0.25">
      <c r="A48" s="70" t="str">
        <f t="shared" si="40"/>
        <v>COMUNICAÇÃO</v>
      </c>
      <c r="B48" s="31" t="s">
        <v>31</v>
      </c>
      <c r="C48" s="45">
        <v>0</v>
      </c>
      <c r="D48" s="34">
        <f t="shared" si="41"/>
        <v>0</v>
      </c>
      <c r="E48" s="40">
        <f>-SUMIFS(LANÇAMENTO!$C:$C,LANÇAMENTO!$D:$D,$A48,LANÇAMENTO!$E:$E,$B48,LANÇAMENTO!$F:$F,E$4)</f>
        <v>0</v>
      </c>
      <c r="F48" s="40">
        <f>-SUMIFS(LANÇAMENTO!$C:$C,LANÇAMENTO!$D:$D,$A48,LANÇAMENTO!$E:$E,$B48,LANÇAMENTO!$F:$F,F$4)</f>
        <v>0</v>
      </c>
      <c r="G48" s="40">
        <f>-SUMIFS(LANÇAMENTO!$C:$C,LANÇAMENTO!$D:$D,$A48,LANÇAMENTO!$E:$E,$B48,LANÇAMENTO!$F:$F,G$4)</f>
        <v>0</v>
      </c>
      <c r="H48" s="40">
        <f>-SUMIFS(LANÇAMENTO!$C:$C,LANÇAMENTO!$D:$D,$A48,LANÇAMENTO!$E:$E,$B48,LANÇAMENTO!$F:$F,H$4)</f>
        <v>0</v>
      </c>
      <c r="I48" s="40">
        <f>-SUMIFS(LANÇAMENTO!$C:$C,LANÇAMENTO!$D:$D,$A48,LANÇAMENTO!$E:$E,$B48,LANÇAMENTO!$F:$F,I$4)</f>
        <v>0</v>
      </c>
      <c r="J48" s="40">
        <f>-SUMIFS(LANÇAMENTO!$C:$C,LANÇAMENTO!$D:$D,$A48,LANÇAMENTO!$E:$E,$B48,LANÇAMENTO!$F:$F,J$4)</f>
        <v>0</v>
      </c>
      <c r="K48" s="40">
        <f>-SUMIFS(LANÇAMENTO!$C:$C,LANÇAMENTO!$D:$D,$A48,LANÇAMENTO!$E:$E,$B48,LANÇAMENTO!$F:$F,K$4)</f>
        <v>0</v>
      </c>
      <c r="L48" s="40">
        <f>-SUMIFS(LANÇAMENTO!$C:$C,LANÇAMENTO!$D:$D,$A48,LANÇAMENTO!$E:$E,$B48,LANÇAMENTO!$F:$F,L$4)</f>
        <v>0</v>
      </c>
      <c r="M48" s="40">
        <f>-SUMIFS(LANÇAMENTO!$C:$C,LANÇAMENTO!$D:$D,$A48,LANÇAMENTO!$E:$E,$B48,LANÇAMENTO!$F:$F,M$4)</f>
        <v>0</v>
      </c>
      <c r="N48" s="40">
        <f>-SUMIFS(LANÇAMENTO!$C:$C,LANÇAMENTO!$D:$D,$A48,LANÇAMENTO!$E:$E,$B48,LANÇAMENTO!$F:$F,N$4)</f>
        <v>0</v>
      </c>
      <c r="O48" s="40">
        <f>-SUMIFS(LANÇAMENTO!$C:$C,LANÇAMENTO!$D:$D,$A48,LANÇAMENTO!$E:$E,$B48,LANÇAMENTO!$F:$F,O$4)</f>
        <v>0</v>
      </c>
      <c r="P48" s="40">
        <f>-SUMIFS(LANÇAMENTO!$C:$C,LANÇAMENTO!$D:$D,$A48,LANÇAMENTO!$E:$E,$B48,LANÇAMENTO!$F:$F,P$4)</f>
        <v>0</v>
      </c>
      <c r="Q48" s="37">
        <f t="shared" si="34"/>
        <v>0</v>
      </c>
      <c r="R48" s="29">
        <f t="shared" si="35"/>
        <v>0</v>
      </c>
    </row>
    <row r="49" spans="1:18" x14ac:dyDescent="0.25">
      <c r="A49" s="70" t="str">
        <f t="shared" si="40"/>
        <v>COMUNICAÇÃO</v>
      </c>
      <c r="B49" s="31" t="s">
        <v>32</v>
      </c>
      <c r="C49" s="45">
        <v>0</v>
      </c>
      <c r="D49" s="34">
        <f t="shared" si="41"/>
        <v>0</v>
      </c>
      <c r="E49" s="40">
        <f>-SUMIFS(LANÇAMENTO!$C:$C,LANÇAMENTO!$D:$D,$A49,LANÇAMENTO!$E:$E,$B49,LANÇAMENTO!$F:$F,E$4)</f>
        <v>0</v>
      </c>
      <c r="F49" s="40">
        <f>-SUMIFS(LANÇAMENTO!$C:$C,LANÇAMENTO!$D:$D,$A49,LANÇAMENTO!$E:$E,$B49,LANÇAMENTO!$F:$F,F$4)</f>
        <v>0</v>
      </c>
      <c r="G49" s="40">
        <f>-SUMIFS(LANÇAMENTO!$C:$C,LANÇAMENTO!$D:$D,$A49,LANÇAMENTO!$E:$E,$B49,LANÇAMENTO!$F:$F,G$4)</f>
        <v>0</v>
      </c>
      <c r="H49" s="40">
        <f>-SUMIFS(LANÇAMENTO!$C:$C,LANÇAMENTO!$D:$D,$A49,LANÇAMENTO!$E:$E,$B49,LANÇAMENTO!$F:$F,H$4)</f>
        <v>0</v>
      </c>
      <c r="I49" s="40">
        <f>-SUMIFS(LANÇAMENTO!$C:$C,LANÇAMENTO!$D:$D,$A49,LANÇAMENTO!$E:$E,$B49,LANÇAMENTO!$F:$F,I$4)</f>
        <v>0</v>
      </c>
      <c r="J49" s="40">
        <f>-SUMIFS(LANÇAMENTO!$C:$C,LANÇAMENTO!$D:$D,$A49,LANÇAMENTO!$E:$E,$B49,LANÇAMENTO!$F:$F,J$4)</f>
        <v>0</v>
      </c>
      <c r="K49" s="40">
        <f>-SUMIFS(LANÇAMENTO!$C:$C,LANÇAMENTO!$D:$D,$A49,LANÇAMENTO!$E:$E,$B49,LANÇAMENTO!$F:$F,K$4)</f>
        <v>0</v>
      </c>
      <c r="L49" s="40">
        <f>-SUMIFS(LANÇAMENTO!$C:$C,LANÇAMENTO!$D:$D,$A49,LANÇAMENTO!$E:$E,$B49,LANÇAMENTO!$F:$F,L$4)</f>
        <v>0</v>
      </c>
      <c r="M49" s="40">
        <f>-SUMIFS(LANÇAMENTO!$C:$C,LANÇAMENTO!$D:$D,$A49,LANÇAMENTO!$E:$E,$B49,LANÇAMENTO!$F:$F,M$4)</f>
        <v>0</v>
      </c>
      <c r="N49" s="40">
        <f>-SUMIFS(LANÇAMENTO!$C:$C,LANÇAMENTO!$D:$D,$A49,LANÇAMENTO!$E:$E,$B49,LANÇAMENTO!$F:$F,N$4)</f>
        <v>0</v>
      </c>
      <c r="O49" s="40">
        <f>-SUMIFS(LANÇAMENTO!$C:$C,LANÇAMENTO!$D:$D,$A49,LANÇAMENTO!$E:$E,$B49,LANÇAMENTO!$F:$F,O$4)</f>
        <v>0</v>
      </c>
      <c r="P49" s="40">
        <f>-SUMIFS(LANÇAMENTO!$C:$C,LANÇAMENTO!$D:$D,$A49,LANÇAMENTO!$E:$E,$B49,LANÇAMENTO!$F:$F,P$4)</f>
        <v>0</v>
      </c>
      <c r="Q49" s="37">
        <f t="shared" si="34"/>
        <v>0</v>
      </c>
      <c r="R49" s="29">
        <f t="shared" si="35"/>
        <v>0</v>
      </c>
    </row>
    <row r="50" spans="1:18" x14ac:dyDescent="0.25">
      <c r="A50" s="70" t="str">
        <f t="shared" si="40"/>
        <v>COMUNICAÇÃO</v>
      </c>
      <c r="B50" s="31" t="s">
        <v>33</v>
      </c>
      <c r="C50" s="45">
        <v>70</v>
      </c>
      <c r="D50" s="34">
        <f t="shared" si="41"/>
        <v>840</v>
      </c>
      <c r="E50" s="40">
        <f>-SUMIFS(LANÇAMENTO!$C:$C,LANÇAMENTO!$D:$D,$A50,LANÇAMENTO!$E:$E,$B50,LANÇAMENTO!$F:$F,E$4)</f>
        <v>0</v>
      </c>
      <c r="F50" s="40">
        <f>-SUMIFS(LANÇAMENTO!$C:$C,LANÇAMENTO!$D:$D,$A50,LANÇAMENTO!$E:$E,$B50,LANÇAMENTO!$F:$F,F$4)</f>
        <v>0</v>
      </c>
      <c r="G50" s="40">
        <f>-SUMIFS(LANÇAMENTO!$C:$C,LANÇAMENTO!$D:$D,$A50,LANÇAMENTO!$E:$E,$B50,LANÇAMENTO!$F:$F,G$4)</f>
        <v>0</v>
      </c>
      <c r="H50" s="40">
        <f>-SUMIFS(LANÇAMENTO!$C:$C,LANÇAMENTO!$D:$D,$A50,LANÇAMENTO!$E:$E,$B50,LANÇAMENTO!$F:$F,H$4)</f>
        <v>0</v>
      </c>
      <c r="I50" s="40">
        <f>-SUMIFS(LANÇAMENTO!$C:$C,LANÇAMENTO!$D:$D,$A50,LANÇAMENTO!$E:$E,$B50,LANÇAMENTO!$F:$F,I$4)</f>
        <v>0</v>
      </c>
      <c r="J50" s="40">
        <f>-SUMIFS(LANÇAMENTO!$C:$C,LANÇAMENTO!$D:$D,$A50,LANÇAMENTO!$E:$E,$B50,LANÇAMENTO!$F:$F,J$4)</f>
        <v>0</v>
      </c>
      <c r="K50" s="40">
        <f>-SUMIFS(LANÇAMENTO!$C:$C,LANÇAMENTO!$D:$D,$A50,LANÇAMENTO!$E:$E,$B50,LANÇAMENTO!$F:$F,K$4)</f>
        <v>0</v>
      </c>
      <c r="L50" s="40">
        <f>-SUMIFS(LANÇAMENTO!$C:$C,LANÇAMENTO!$D:$D,$A50,LANÇAMENTO!$E:$E,$B50,LANÇAMENTO!$F:$F,L$4)</f>
        <v>0</v>
      </c>
      <c r="M50" s="40">
        <f>-SUMIFS(LANÇAMENTO!$C:$C,LANÇAMENTO!$D:$D,$A50,LANÇAMENTO!$E:$E,$B50,LANÇAMENTO!$F:$F,M$4)</f>
        <v>0</v>
      </c>
      <c r="N50" s="40">
        <f>-SUMIFS(LANÇAMENTO!$C:$C,LANÇAMENTO!$D:$D,$A50,LANÇAMENTO!$E:$E,$B50,LANÇAMENTO!$F:$F,N$4)</f>
        <v>0</v>
      </c>
      <c r="O50" s="40">
        <f>-SUMIFS(LANÇAMENTO!$C:$C,LANÇAMENTO!$D:$D,$A50,LANÇAMENTO!$E:$E,$B50,LANÇAMENTO!$F:$F,O$4)</f>
        <v>0</v>
      </c>
      <c r="P50" s="40">
        <f>-SUMIFS(LANÇAMENTO!$C:$C,LANÇAMENTO!$D:$D,$A50,LANÇAMENTO!$E:$E,$B50,LANÇAMENTO!$F:$F,P$4)</f>
        <v>0</v>
      </c>
      <c r="Q50" s="37">
        <f t="shared" si="34"/>
        <v>0</v>
      </c>
      <c r="R50" s="29">
        <f t="shared" si="35"/>
        <v>1</v>
      </c>
    </row>
    <row r="51" spans="1:18" x14ac:dyDescent="0.25">
      <c r="A51" s="70" t="str">
        <f t="shared" si="40"/>
        <v>COMUNICAÇÃO</v>
      </c>
      <c r="B51" s="31" t="s">
        <v>142</v>
      </c>
      <c r="C51" s="45">
        <v>0</v>
      </c>
      <c r="D51" s="34">
        <f t="shared" si="41"/>
        <v>0</v>
      </c>
      <c r="E51" s="40">
        <f>-SUMIFS(LANÇAMENTO!$C:$C,LANÇAMENTO!$D:$D,$A51,LANÇAMENTO!$E:$E,$B51,LANÇAMENTO!$F:$F,E$4)</f>
        <v>0</v>
      </c>
      <c r="F51" s="40">
        <f>-SUMIFS(LANÇAMENTO!$C:$C,LANÇAMENTO!$D:$D,$A51,LANÇAMENTO!$E:$E,$B51,LANÇAMENTO!$F:$F,F$4)</f>
        <v>0</v>
      </c>
      <c r="G51" s="40">
        <f>-SUMIFS(LANÇAMENTO!$C:$C,LANÇAMENTO!$D:$D,$A51,LANÇAMENTO!$E:$E,$B51,LANÇAMENTO!$F:$F,G$4)</f>
        <v>0</v>
      </c>
      <c r="H51" s="40">
        <f>-SUMIFS(LANÇAMENTO!$C:$C,LANÇAMENTO!$D:$D,$A51,LANÇAMENTO!$E:$E,$B51,LANÇAMENTO!$F:$F,H$4)</f>
        <v>0</v>
      </c>
      <c r="I51" s="40">
        <f>-SUMIFS(LANÇAMENTO!$C:$C,LANÇAMENTO!$D:$D,$A51,LANÇAMENTO!$E:$E,$B51,LANÇAMENTO!$F:$F,I$4)</f>
        <v>0</v>
      </c>
      <c r="J51" s="40">
        <f>-SUMIFS(LANÇAMENTO!$C:$C,LANÇAMENTO!$D:$D,$A51,LANÇAMENTO!$E:$E,$B51,LANÇAMENTO!$F:$F,J$4)</f>
        <v>0</v>
      </c>
      <c r="K51" s="40">
        <f>-SUMIFS(LANÇAMENTO!$C:$C,LANÇAMENTO!$D:$D,$A51,LANÇAMENTO!$E:$E,$B51,LANÇAMENTO!$F:$F,K$4)</f>
        <v>0</v>
      </c>
      <c r="L51" s="40">
        <f>-SUMIFS(LANÇAMENTO!$C:$C,LANÇAMENTO!$D:$D,$A51,LANÇAMENTO!$E:$E,$B51,LANÇAMENTO!$F:$F,L$4)</f>
        <v>0</v>
      </c>
      <c r="M51" s="40">
        <f>-SUMIFS(LANÇAMENTO!$C:$C,LANÇAMENTO!$D:$D,$A51,LANÇAMENTO!$E:$E,$B51,LANÇAMENTO!$F:$F,M$4)</f>
        <v>0</v>
      </c>
      <c r="N51" s="40">
        <f>-SUMIFS(LANÇAMENTO!$C:$C,LANÇAMENTO!$D:$D,$A51,LANÇAMENTO!$E:$E,$B51,LANÇAMENTO!$F:$F,N$4)</f>
        <v>0</v>
      </c>
      <c r="O51" s="40">
        <f>-SUMIFS(LANÇAMENTO!$C:$C,LANÇAMENTO!$D:$D,$A51,LANÇAMENTO!$E:$E,$B51,LANÇAMENTO!$F:$F,O$4)</f>
        <v>0</v>
      </c>
      <c r="P51" s="40">
        <f>-SUMIFS(LANÇAMENTO!$C:$C,LANÇAMENTO!$D:$D,$A51,LANÇAMENTO!$E:$E,$B51,LANÇAMENTO!$F:$F,P$4)</f>
        <v>0</v>
      </c>
      <c r="Q51" s="37">
        <f t="shared" si="34"/>
        <v>0</v>
      </c>
      <c r="R51" s="29">
        <f t="shared" si="35"/>
        <v>0</v>
      </c>
    </row>
    <row r="52" spans="1:18" x14ac:dyDescent="0.25">
      <c r="A52" s="70"/>
      <c r="B52" s="26" t="s">
        <v>34</v>
      </c>
      <c r="C52" s="20">
        <f>SUM(C53:C58)</f>
        <v>2900</v>
      </c>
      <c r="D52" s="20">
        <f>SUM(D53:D58)</f>
        <v>34800</v>
      </c>
      <c r="E52" s="20">
        <f t="shared" ref="E52:P52" si="42">SUM(E53:E58)</f>
        <v>3069</v>
      </c>
      <c r="F52" s="20">
        <f t="shared" si="42"/>
        <v>1941</v>
      </c>
      <c r="G52" s="20">
        <f t="shared" si="42"/>
        <v>3057</v>
      </c>
      <c r="H52" s="20">
        <f t="shared" si="42"/>
        <v>3244</v>
      </c>
      <c r="I52" s="20">
        <f t="shared" si="42"/>
        <v>2724</v>
      </c>
      <c r="J52" s="20">
        <f t="shared" si="42"/>
        <v>2028</v>
      </c>
      <c r="K52" s="20">
        <f t="shared" si="42"/>
        <v>3369</v>
      </c>
      <c r="L52" s="20">
        <f t="shared" si="42"/>
        <v>2805</v>
      </c>
      <c r="M52" s="20">
        <f t="shared" si="42"/>
        <v>1942</v>
      </c>
      <c r="N52" s="20">
        <f t="shared" si="42"/>
        <v>2384</v>
      </c>
      <c r="O52" s="20">
        <f t="shared" si="42"/>
        <v>1953</v>
      </c>
      <c r="P52" s="20">
        <f t="shared" si="42"/>
        <v>4004</v>
      </c>
      <c r="Q52" s="25">
        <f t="shared" si="34"/>
        <v>32520</v>
      </c>
      <c r="R52" s="29">
        <f>IF(SUM(R53:R58)=0,0,1)</f>
        <v>1</v>
      </c>
    </row>
    <row r="53" spans="1:18" x14ac:dyDescent="0.25">
      <c r="A53" s="70" t="str">
        <f>$B$52</f>
        <v>ALIMENTAÇÃO</v>
      </c>
      <c r="B53" s="31" t="s">
        <v>35</v>
      </c>
      <c r="C53" s="45">
        <v>2000</v>
      </c>
      <c r="D53" s="34">
        <f t="shared" ref="D53:D55" si="43">C53*12</f>
        <v>24000</v>
      </c>
      <c r="E53" s="40">
        <f>-SUMIFS(LANÇAMENTO!$C:$C,LANÇAMENTO!$D:$D,$A53,LANÇAMENTO!$E:$E,$B53,LANÇAMENTO!$F:$F,E$4)</f>
        <v>3069</v>
      </c>
      <c r="F53" s="40">
        <f>-SUMIFS(LANÇAMENTO!$C:$C,LANÇAMENTO!$D:$D,$A53,LANÇAMENTO!$E:$E,$B53,LANÇAMENTO!$F:$F,F$4)</f>
        <v>1941</v>
      </c>
      <c r="G53" s="40">
        <f>-SUMIFS(LANÇAMENTO!$C:$C,LANÇAMENTO!$D:$D,$A53,LANÇAMENTO!$E:$E,$B53,LANÇAMENTO!$F:$F,G$4)</f>
        <v>3057</v>
      </c>
      <c r="H53" s="40">
        <f>-SUMIFS(LANÇAMENTO!$C:$C,LANÇAMENTO!$D:$D,$A53,LANÇAMENTO!$E:$E,$B53,LANÇAMENTO!$F:$F,H$4)</f>
        <v>3244</v>
      </c>
      <c r="I53" s="40">
        <f>-SUMIFS(LANÇAMENTO!$C:$C,LANÇAMENTO!$D:$D,$A53,LANÇAMENTO!$E:$E,$B53,LANÇAMENTO!$F:$F,I$4)</f>
        <v>2724</v>
      </c>
      <c r="J53" s="40">
        <f>-SUMIFS(LANÇAMENTO!$C:$C,LANÇAMENTO!$D:$D,$A53,LANÇAMENTO!$E:$E,$B53,LANÇAMENTO!$F:$F,J$4)</f>
        <v>2028</v>
      </c>
      <c r="K53" s="40">
        <f>-SUMIFS(LANÇAMENTO!$C:$C,LANÇAMENTO!$D:$D,$A53,LANÇAMENTO!$E:$E,$B53,LANÇAMENTO!$F:$F,K$4)</f>
        <v>3369</v>
      </c>
      <c r="L53" s="40">
        <f>-SUMIFS(LANÇAMENTO!$C:$C,LANÇAMENTO!$D:$D,$A53,LANÇAMENTO!$E:$E,$B53,LANÇAMENTO!$F:$F,L$4)</f>
        <v>2805</v>
      </c>
      <c r="M53" s="40">
        <f>-SUMIFS(LANÇAMENTO!$C:$C,LANÇAMENTO!$D:$D,$A53,LANÇAMENTO!$E:$E,$B53,LANÇAMENTO!$F:$F,M$4)</f>
        <v>1942</v>
      </c>
      <c r="N53" s="40">
        <f>-SUMIFS(LANÇAMENTO!$C:$C,LANÇAMENTO!$D:$D,$A53,LANÇAMENTO!$E:$E,$B53,LANÇAMENTO!$F:$F,N$4)</f>
        <v>2384</v>
      </c>
      <c r="O53" s="40">
        <f>-SUMIFS(LANÇAMENTO!$C:$C,LANÇAMENTO!$D:$D,$A53,LANÇAMENTO!$E:$E,$B53,LANÇAMENTO!$F:$F,O$4)</f>
        <v>1953</v>
      </c>
      <c r="P53" s="40">
        <f>-SUMIFS(LANÇAMENTO!$C:$C,LANÇAMENTO!$D:$D,$A53,LANÇAMENTO!$E:$E,$B53,LANÇAMENTO!$F:$F,P$4)</f>
        <v>4004</v>
      </c>
      <c r="Q53" s="37">
        <f t="shared" si="34"/>
        <v>32520</v>
      </c>
      <c r="R53" s="29">
        <f t="shared" si="35"/>
        <v>1</v>
      </c>
    </row>
    <row r="54" spans="1:18" x14ac:dyDescent="0.25">
      <c r="A54" s="70" t="str">
        <f t="shared" ref="A54:A58" si="44">$B$52</f>
        <v>ALIMENTAÇÃO</v>
      </c>
      <c r="B54" s="31" t="s">
        <v>36</v>
      </c>
      <c r="C54" s="45">
        <v>600</v>
      </c>
      <c r="D54" s="34">
        <f t="shared" si="43"/>
        <v>7200</v>
      </c>
      <c r="E54" s="40">
        <f>-SUMIFS(LANÇAMENTO!$C:$C,LANÇAMENTO!$D:$D,$A54,LANÇAMENTO!$E:$E,$B54,LANÇAMENTO!$F:$F,E$4)</f>
        <v>0</v>
      </c>
      <c r="F54" s="40">
        <f>-SUMIFS(LANÇAMENTO!$C:$C,LANÇAMENTO!$D:$D,$A54,LANÇAMENTO!$E:$E,$B54,LANÇAMENTO!$F:$F,F$4)</f>
        <v>0</v>
      </c>
      <c r="G54" s="40">
        <f>-SUMIFS(LANÇAMENTO!$C:$C,LANÇAMENTO!$D:$D,$A54,LANÇAMENTO!$E:$E,$B54,LANÇAMENTO!$F:$F,G$4)</f>
        <v>0</v>
      </c>
      <c r="H54" s="40">
        <f>-SUMIFS(LANÇAMENTO!$C:$C,LANÇAMENTO!$D:$D,$A54,LANÇAMENTO!$E:$E,$B54,LANÇAMENTO!$F:$F,H$4)</f>
        <v>0</v>
      </c>
      <c r="I54" s="40">
        <f>-SUMIFS(LANÇAMENTO!$C:$C,LANÇAMENTO!$D:$D,$A54,LANÇAMENTO!$E:$E,$B54,LANÇAMENTO!$F:$F,I$4)</f>
        <v>0</v>
      </c>
      <c r="J54" s="40">
        <f>-SUMIFS(LANÇAMENTO!$C:$C,LANÇAMENTO!$D:$D,$A54,LANÇAMENTO!$E:$E,$B54,LANÇAMENTO!$F:$F,J$4)</f>
        <v>0</v>
      </c>
      <c r="K54" s="40">
        <f>-SUMIFS(LANÇAMENTO!$C:$C,LANÇAMENTO!$D:$D,$A54,LANÇAMENTO!$E:$E,$B54,LANÇAMENTO!$F:$F,K$4)</f>
        <v>0</v>
      </c>
      <c r="L54" s="40">
        <f>-SUMIFS(LANÇAMENTO!$C:$C,LANÇAMENTO!$D:$D,$A54,LANÇAMENTO!$E:$E,$B54,LANÇAMENTO!$F:$F,L$4)</f>
        <v>0</v>
      </c>
      <c r="M54" s="40">
        <f>-SUMIFS(LANÇAMENTO!$C:$C,LANÇAMENTO!$D:$D,$A54,LANÇAMENTO!$E:$E,$B54,LANÇAMENTO!$F:$F,M$4)</f>
        <v>0</v>
      </c>
      <c r="N54" s="40">
        <f>-SUMIFS(LANÇAMENTO!$C:$C,LANÇAMENTO!$D:$D,$A54,LANÇAMENTO!$E:$E,$B54,LANÇAMENTO!$F:$F,N$4)</f>
        <v>0</v>
      </c>
      <c r="O54" s="40">
        <f>-SUMIFS(LANÇAMENTO!$C:$C,LANÇAMENTO!$D:$D,$A54,LANÇAMENTO!$E:$E,$B54,LANÇAMENTO!$F:$F,O$4)</f>
        <v>0</v>
      </c>
      <c r="P54" s="40">
        <f>-SUMIFS(LANÇAMENTO!$C:$C,LANÇAMENTO!$D:$D,$A54,LANÇAMENTO!$E:$E,$B54,LANÇAMENTO!$F:$F,P$4)</f>
        <v>0</v>
      </c>
      <c r="Q54" s="37">
        <f t="shared" si="34"/>
        <v>0</v>
      </c>
      <c r="R54" s="29">
        <f t="shared" si="35"/>
        <v>1</v>
      </c>
    </row>
    <row r="55" spans="1:18" x14ac:dyDescent="0.25">
      <c r="A55" s="70" t="str">
        <f t="shared" si="44"/>
        <v>ALIMENTAÇÃO</v>
      </c>
      <c r="B55" s="31" t="s">
        <v>37</v>
      </c>
      <c r="C55" s="45">
        <v>100</v>
      </c>
      <c r="D55" s="34">
        <f t="shared" si="43"/>
        <v>1200</v>
      </c>
      <c r="E55" s="40">
        <f>-SUMIFS(LANÇAMENTO!$C:$C,LANÇAMENTO!$D:$D,$A55,LANÇAMENTO!$E:$E,$B55,LANÇAMENTO!$F:$F,E$4)</f>
        <v>0</v>
      </c>
      <c r="F55" s="40">
        <f>-SUMIFS(LANÇAMENTO!$C:$C,LANÇAMENTO!$D:$D,$A55,LANÇAMENTO!$E:$E,$B55,LANÇAMENTO!$F:$F,F$4)</f>
        <v>0</v>
      </c>
      <c r="G55" s="40">
        <f>-SUMIFS(LANÇAMENTO!$C:$C,LANÇAMENTO!$D:$D,$A55,LANÇAMENTO!$E:$E,$B55,LANÇAMENTO!$F:$F,G$4)</f>
        <v>0</v>
      </c>
      <c r="H55" s="40">
        <f>-SUMIFS(LANÇAMENTO!$C:$C,LANÇAMENTO!$D:$D,$A55,LANÇAMENTO!$E:$E,$B55,LANÇAMENTO!$F:$F,H$4)</f>
        <v>0</v>
      </c>
      <c r="I55" s="40">
        <f>-SUMIFS(LANÇAMENTO!$C:$C,LANÇAMENTO!$D:$D,$A55,LANÇAMENTO!$E:$E,$B55,LANÇAMENTO!$F:$F,I$4)</f>
        <v>0</v>
      </c>
      <c r="J55" s="40">
        <f>-SUMIFS(LANÇAMENTO!$C:$C,LANÇAMENTO!$D:$D,$A55,LANÇAMENTO!$E:$E,$B55,LANÇAMENTO!$F:$F,J$4)</f>
        <v>0</v>
      </c>
      <c r="K55" s="40">
        <f>-SUMIFS(LANÇAMENTO!$C:$C,LANÇAMENTO!$D:$D,$A55,LANÇAMENTO!$E:$E,$B55,LANÇAMENTO!$F:$F,K$4)</f>
        <v>0</v>
      </c>
      <c r="L55" s="40">
        <f>-SUMIFS(LANÇAMENTO!$C:$C,LANÇAMENTO!$D:$D,$A55,LANÇAMENTO!$E:$E,$B55,LANÇAMENTO!$F:$F,L$4)</f>
        <v>0</v>
      </c>
      <c r="M55" s="40">
        <f>-SUMIFS(LANÇAMENTO!$C:$C,LANÇAMENTO!$D:$D,$A55,LANÇAMENTO!$E:$E,$B55,LANÇAMENTO!$F:$F,M$4)</f>
        <v>0</v>
      </c>
      <c r="N55" s="40">
        <f>-SUMIFS(LANÇAMENTO!$C:$C,LANÇAMENTO!$D:$D,$A55,LANÇAMENTO!$E:$E,$B55,LANÇAMENTO!$F:$F,N$4)</f>
        <v>0</v>
      </c>
      <c r="O55" s="40">
        <f>-SUMIFS(LANÇAMENTO!$C:$C,LANÇAMENTO!$D:$D,$A55,LANÇAMENTO!$E:$E,$B55,LANÇAMENTO!$F:$F,O$4)</f>
        <v>0</v>
      </c>
      <c r="P55" s="40">
        <f>-SUMIFS(LANÇAMENTO!$C:$C,LANÇAMENTO!$D:$D,$A55,LANÇAMENTO!$E:$E,$B55,LANÇAMENTO!$F:$F,P$4)</f>
        <v>0</v>
      </c>
      <c r="Q55" s="37">
        <f t="shared" si="34"/>
        <v>0</v>
      </c>
      <c r="R55" s="29">
        <f t="shared" si="35"/>
        <v>1</v>
      </c>
    </row>
    <row r="56" spans="1:18" x14ac:dyDescent="0.25">
      <c r="A56" s="70" t="str">
        <f t="shared" si="44"/>
        <v>ALIMENTAÇÃO</v>
      </c>
      <c r="B56" s="31" t="s">
        <v>38</v>
      </c>
      <c r="C56" s="45">
        <v>100</v>
      </c>
      <c r="D56" s="34">
        <f t="shared" ref="D56:D58" si="45">C56*12</f>
        <v>1200</v>
      </c>
      <c r="E56" s="40">
        <f>-SUMIFS(LANÇAMENTO!$C:$C,LANÇAMENTO!$D:$D,$A56,LANÇAMENTO!$E:$E,$B56,LANÇAMENTO!$F:$F,E$4)</f>
        <v>0</v>
      </c>
      <c r="F56" s="40">
        <f>-SUMIFS(LANÇAMENTO!$C:$C,LANÇAMENTO!$D:$D,$A56,LANÇAMENTO!$E:$E,$B56,LANÇAMENTO!$F:$F,F$4)</f>
        <v>0</v>
      </c>
      <c r="G56" s="40">
        <f>-SUMIFS(LANÇAMENTO!$C:$C,LANÇAMENTO!$D:$D,$A56,LANÇAMENTO!$E:$E,$B56,LANÇAMENTO!$F:$F,G$4)</f>
        <v>0</v>
      </c>
      <c r="H56" s="40">
        <f>-SUMIFS(LANÇAMENTO!$C:$C,LANÇAMENTO!$D:$D,$A56,LANÇAMENTO!$E:$E,$B56,LANÇAMENTO!$F:$F,H$4)</f>
        <v>0</v>
      </c>
      <c r="I56" s="40">
        <f>-SUMIFS(LANÇAMENTO!$C:$C,LANÇAMENTO!$D:$D,$A56,LANÇAMENTO!$E:$E,$B56,LANÇAMENTO!$F:$F,I$4)</f>
        <v>0</v>
      </c>
      <c r="J56" s="40">
        <f>-SUMIFS(LANÇAMENTO!$C:$C,LANÇAMENTO!$D:$D,$A56,LANÇAMENTO!$E:$E,$B56,LANÇAMENTO!$F:$F,J$4)</f>
        <v>0</v>
      </c>
      <c r="K56" s="40">
        <f>-SUMIFS(LANÇAMENTO!$C:$C,LANÇAMENTO!$D:$D,$A56,LANÇAMENTO!$E:$E,$B56,LANÇAMENTO!$F:$F,K$4)</f>
        <v>0</v>
      </c>
      <c r="L56" s="40">
        <f>-SUMIFS(LANÇAMENTO!$C:$C,LANÇAMENTO!$D:$D,$A56,LANÇAMENTO!$E:$E,$B56,LANÇAMENTO!$F:$F,L$4)</f>
        <v>0</v>
      </c>
      <c r="M56" s="40">
        <f>-SUMIFS(LANÇAMENTO!$C:$C,LANÇAMENTO!$D:$D,$A56,LANÇAMENTO!$E:$E,$B56,LANÇAMENTO!$F:$F,M$4)</f>
        <v>0</v>
      </c>
      <c r="N56" s="40">
        <f>-SUMIFS(LANÇAMENTO!$C:$C,LANÇAMENTO!$D:$D,$A56,LANÇAMENTO!$E:$E,$B56,LANÇAMENTO!$F:$F,N$4)</f>
        <v>0</v>
      </c>
      <c r="O56" s="40">
        <f>-SUMIFS(LANÇAMENTO!$C:$C,LANÇAMENTO!$D:$D,$A56,LANÇAMENTO!$E:$E,$B56,LANÇAMENTO!$F:$F,O$4)</f>
        <v>0</v>
      </c>
      <c r="P56" s="40">
        <f>-SUMIFS(LANÇAMENTO!$C:$C,LANÇAMENTO!$D:$D,$A56,LANÇAMENTO!$E:$E,$B56,LANÇAMENTO!$F:$F,P$4)</f>
        <v>0</v>
      </c>
      <c r="Q56" s="37">
        <f t="shared" si="34"/>
        <v>0</v>
      </c>
      <c r="R56" s="29">
        <f t="shared" si="35"/>
        <v>1</v>
      </c>
    </row>
    <row r="57" spans="1:18" x14ac:dyDescent="0.25">
      <c r="A57" s="70" t="str">
        <f t="shared" si="44"/>
        <v>ALIMENTAÇÃO</v>
      </c>
      <c r="B57" s="31" t="s">
        <v>39</v>
      </c>
      <c r="C57" s="45">
        <v>100</v>
      </c>
      <c r="D57" s="34">
        <f t="shared" si="45"/>
        <v>1200</v>
      </c>
      <c r="E57" s="40">
        <f>-SUMIFS(LANÇAMENTO!$C:$C,LANÇAMENTO!$D:$D,$A57,LANÇAMENTO!$E:$E,$B57,LANÇAMENTO!$F:$F,E$4)</f>
        <v>0</v>
      </c>
      <c r="F57" s="40">
        <f>-SUMIFS(LANÇAMENTO!$C:$C,LANÇAMENTO!$D:$D,$A57,LANÇAMENTO!$E:$E,$B57,LANÇAMENTO!$F:$F,F$4)</f>
        <v>0</v>
      </c>
      <c r="G57" s="40">
        <f>-SUMIFS(LANÇAMENTO!$C:$C,LANÇAMENTO!$D:$D,$A57,LANÇAMENTO!$E:$E,$B57,LANÇAMENTO!$F:$F,G$4)</f>
        <v>0</v>
      </c>
      <c r="H57" s="40">
        <f>-SUMIFS(LANÇAMENTO!$C:$C,LANÇAMENTO!$D:$D,$A57,LANÇAMENTO!$E:$E,$B57,LANÇAMENTO!$F:$F,H$4)</f>
        <v>0</v>
      </c>
      <c r="I57" s="40">
        <f>-SUMIFS(LANÇAMENTO!$C:$C,LANÇAMENTO!$D:$D,$A57,LANÇAMENTO!$E:$E,$B57,LANÇAMENTO!$F:$F,I$4)</f>
        <v>0</v>
      </c>
      <c r="J57" s="40">
        <f>-SUMIFS(LANÇAMENTO!$C:$C,LANÇAMENTO!$D:$D,$A57,LANÇAMENTO!$E:$E,$B57,LANÇAMENTO!$F:$F,J$4)</f>
        <v>0</v>
      </c>
      <c r="K57" s="40">
        <f>-SUMIFS(LANÇAMENTO!$C:$C,LANÇAMENTO!$D:$D,$A57,LANÇAMENTO!$E:$E,$B57,LANÇAMENTO!$F:$F,K$4)</f>
        <v>0</v>
      </c>
      <c r="L57" s="40">
        <f>-SUMIFS(LANÇAMENTO!$C:$C,LANÇAMENTO!$D:$D,$A57,LANÇAMENTO!$E:$E,$B57,LANÇAMENTO!$F:$F,L$4)</f>
        <v>0</v>
      </c>
      <c r="M57" s="40">
        <f>-SUMIFS(LANÇAMENTO!$C:$C,LANÇAMENTO!$D:$D,$A57,LANÇAMENTO!$E:$E,$B57,LANÇAMENTO!$F:$F,M$4)</f>
        <v>0</v>
      </c>
      <c r="N57" s="40">
        <f>-SUMIFS(LANÇAMENTO!$C:$C,LANÇAMENTO!$D:$D,$A57,LANÇAMENTO!$E:$E,$B57,LANÇAMENTO!$F:$F,N$4)</f>
        <v>0</v>
      </c>
      <c r="O57" s="40">
        <f>-SUMIFS(LANÇAMENTO!$C:$C,LANÇAMENTO!$D:$D,$A57,LANÇAMENTO!$E:$E,$B57,LANÇAMENTO!$F:$F,O$4)</f>
        <v>0</v>
      </c>
      <c r="P57" s="40">
        <f>-SUMIFS(LANÇAMENTO!$C:$C,LANÇAMENTO!$D:$D,$A57,LANÇAMENTO!$E:$E,$B57,LANÇAMENTO!$F:$F,P$4)</f>
        <v>0</v>
      </c>
      <c r="Q57" s="37">
        <f t="shared" si="34"/>
        <v>0</v>
      </c>
      <c r="R57" s="29">
        <f t="shared" si="35"/>
        <v>1</v>
      </c>
    </row>
    <row r="58" spans="1:18" x14ac:dyDescent="0.25">
      <c r="A58" s="70" t="str">
        <f t="shared" si="44"/>
        <v>ALIMENTAÇÃO</v>
      </c>
      <c r="B58" s="31" t="s">
        <v>142</v>
      </c>
      <c r="C58" s="45">
        <v>0</v>
      </c>
      <c r="D58" s="34">
        <f t="shared" si="45"/>
        <v>0</v>
      </c>
      <c r="E58" s="40">
        <f>-SUMIFS(LANÇAMENTO!$C:$C,LANÇAMENTO!$D:$D,$A58,LANÇAMENTO!$E:$E,$B58,LANÇAMENTO!$F:$F,E$4)</f>
        <v>0</v>
      </c>
      <c r="F58" s="40">
        <f>-SUMIFS(LANÇAMENTO!$C:$C,LANÇAMENTO!$D:$D,$A58,LANÇAMENTO!$E:$E,$B58,LANÇAMENTO!$F:$F,F$4)</f>
        <v>0</v>
      </c>
      <c r="G58" s="40">
        <f>-SUMIFS(LANÇAMENTO!$C:$C,LANÇAMENTO!$D:$D,$A58,LANÇAMENTO!$E:$E,$B58,LANÇAMENTO!$F:$F,G$4)</f>
        <v>0</v>
      </c>
      <c r="H58" s="40">
        <f>-SUMIFS(LANÇAMENTO!$C:$C,LANÇAMENTO!$D:$D,$A58,LANÇAMENTO!$E:$E,$B58,LANÇAMENTO!$F:$F,H$4)</f>
        <v>0</v>
      </c>
      <c r="I58" s="40">
        <f>-SUMIFS(LANÇAMENTO!$C:$C,LANÇAMENTO!$D:$D,$A58,LANÇAMENTO!$E:$E,$B58,LANÇAMENTO!$F:$F,I$4)</f>
        <v>0</v>
      </c>
      <c r="J58" s="40">
        <f>-SUMIFS(LANÇAMENTO!$C:$C,LANÇAMENTO!$D:$D,$A58,LANÇAMENTO!$E:$E,$B58,LANÇAMENTO!$F:$F,J$4)</f>
        <v>0</v>
      </c>
      <c r="K58" s="40">
        <f>-SUMIFS(LANÇAMENTO!$C:$C,LANÇAMENTO!$D:$D,$A58,LANÇAMENTO!$E:$E,$B58,LANÇAMENTO!$F:$F,K$4)</f>
        <v>0</v>
      </c>
      <c r="L58" s="40">
        <f>-SUMIFS(LANÇAMENTO!$C:$C,LANÇAMENTO!$D:$D,$A58,LANÇAMENTO!$E:$E,$B58,LANÇAMENTO!$F:$F,L$4)</f>
        <v>0</v>
      </c>
      <c r="M58" s="40">
        <f>-SUMIFS(LANÇAMENTO!$C:$C,LANÇAMENTO!$D:$D,$A58,LANÇAMENTO!$E:$E,$B58,LANÇAMENTO!$F:$F,M$4)</f>
        <v>0</v>
      </c>
      <c r="N58" s="40">
        <f>-SUMIFS(LANÇAMENTO!$C:$C,LANÇAMENTO!$D:$D,$A58,LANÇAMENTO!$E:$E,$B58,LANÇAMENTO!$F:$F,N$4)</f>
        <v>0</v>
      </c>
      <c r="O58" s="40">
        <f>-SUMIFS(LANÇAMENTO!$C:$C,LANÇAMENTO!$D:$D,$A58,LANÇAMENTO!$E:$E,$B58,LANÇAMENTO!$F:$F,O$4)</f>
        <v>0</v>
      </c>
      <c r="P58" s="40">
        <f>-SUMIFS(LANÇAMENTO!$C:$C,LANÇAMENTO!$D:$D,$A58,LANÇAMENTO!$E:$E,$B58,LANÇAMENTO!$F:$F,P$4)</f>
        <v>0</v>
      </c>
      <c r="Q58" s="37">
        <f t="shared" si="34"/>
        <v>0</v>
      </c>
      <c r="R58" s="29">
        <f t="shared" si="35"/>
        <v>0</v>
      </c>
    </row>
    <row r="59" spans="1:18" x14ac:dyDescent="0.25">
      <c r="A59" s="70"/>
      <c r="B59" s="26" t="s">
        <v>40</v>
      </c>
      <c r="C59" s="20">
        <f>SUM(C60:C71)</f>
        <v>1800</v>
      </c>
      <c r="D59" s="20">
        <f>SUM(D60:D71)</f>
        <v>21600</v>
      </c>
      <c r="E59" s="20">
        <f>SUM(E60:E71)</f>
        <v>809</v>
      </c>
      <c r="F59" s="20">
        <f t="shared" ref="F59:P59" si="46">SUM(F60:F71)</f>
        <v>751</v>
      </c>
      <c r="G59" s="20">
        <f t="shared" si="46"/>
        <v>660</v>
      </c>
      <c r="H59" s="20">
        <f t="shared" si="46"/>
        <v>771</v>
      </c>
      <c r="I59" s="20">
        <f t="shared" si="46"/>
        <v>853</v>
      </c>
      <c r="J59" s="20">
        <f t="shared" si="46"/>
        <v>797</v>
      </c>
      <c r="K59" s="20">
        <f t="shared" si="46"/>
        <v>638</v>
      </c>
      <c r="L59" s="20">
        <f t="shared" si="46"/>
        <v>848</v>
      </c>
      <c r="M59" s="20">
        <f t="shared" si="46"/>
        <v>685</v>
      </c>
      <c r="N59" s="20">
        <f t="shared" si="46"/>
        <v>809</v>
      </c>
      <c r="O59" s="20">
        <f t="shared" si="46"/>
        <v>704</v>
      </c>
      <c r="P59" s="20">
        <f t="shared" si="46"/>
        <v>802</v>
      </c>
      <c r="Q59" s="25">
        <f t="shared" si="34"/>
        <v>9127</v>
      </c>
      <c r="R59" s="29">
        <f>IF(SUM(R60:R71)=0,0,1)</f>
        <v>1</v>
      </c>
    </row>
    <row r="60" spans="1:18" x14ac:dyDescent="0.25">
      <c r="A60" s="70" t="str">
        <f>$B$59</f>
        <v>TRANSPORTE</v>
      </c>
      <c r="B60" s="31" t="s">
        <v>41</v>
      </c>
      <c r="C60" s="45">
        <v>800</v>
      </c>
      <c r="D60" s="34">
        <f t="shared" ref="D60:D63" si="47">C60*12</f>
        <v>9600</v>
      </c>
      <c r="E60" s="40">
        <f>-SUMIFS(LANÇAMENTO!$C:$C,LANÇAMENTO!$D:$D,$A60,LANÇAMENTO!$E:$E,$B60,LANÇAMENTO!$F:$F,E$4)</f>
        <v>809</v>
      </c>
      <c r="F60" s="40">
        <f>-SUMIFS(LANÇAMENTO!$C:$C,LANÇAMENTO!$D:$D,$A60,LANÇAMENTO!$E:$E,$B60,LANÇAMENTO!$F:$F,F$4)</f>
        <v>751</v>
      </c>
      <c r="G60" s="40">
        <f>-SUMIFS(LANÇAMENTO!$C:$C,LANÇAMENTO!$D:$D,$A60,LANÇAMENTO!$E:$E,$B60,LANÇAMENTO!$F:$F,G$4)</f>
        <v>660</v>
      </c>
      <c r="H60" s="40">
        <f>-SUMIFS(LANÇAMENTO!$C:$C,LANÇAMENTO!$D:$D,$A60,LANÇAMENTO!$E:$E,$B60,LANÇAMENTO!$F:$F,H$4)</f>
        <v>771</v>
      </c>
      <c r="I60" s="40">
        <f>-SUMIFS(LANÇAMENTO!$C:$C,LANÇAMENTO!$D:$D,$A60,LANÇAMENTO!$E:$E,$B60,LANÇAMENTO!$F:$F,I$4)</f>
        <v>853</v>
      </c>
      <c r="J60" s="40">
        <f>-SUMIFS(LANÇAMENTO!$C:$C,LANÇAMENTO!$D:$D,$A60,LANÇAMENTO!$E:$E,$B60,LANÇAMENTO!$F:$F,J$4)</f>
        <v>797</v>
      </c>
      <c r="K60" s="40">
        <f>-SUMIFS(LANÇAMENTO!$C:$C,LANÇAMENTO!$D:$D,$A60,LANÇAMENTO!$E:$E,$B60,LANÇAMENTO!$F:$F,K$4)</f>
        <v>638</v>
      </c>
      <c r="L60" s="40">
        <f>-SUMIFS(LANÇAMENTO!$C:$C,LANÇAMENTO!$D:$D,$A60,LANÇAMENTO!$E:$E,$B60,LANÇAMENTO!$F:$F,L$4)</f>
        <v>848</v>
      </c>
      <c r="M60" s="40">
        <f>-SUMIFS(LANÇAMENTO!$C:$C,LANÇAMENTO!$D:$D,$A60,LANÇAMENTO!$E:$E,$B60,LANÇAMENTO!$F:$F,M$4)</f>
        <v>685</v>
      </c>
      <c r="N60" s="40">
        <f>-SUMIFS(LANÇAMENTO!$C:$C,LANÇAMENTO!$D:$D,$A60,LANÇAMENTO!$E:$E,$B60,LANÇAMENTO!$F:$F,N$4)</f>
        <v>809</v>
      </c>
      <c r="O60" s="40">
        <f>-SUMIFS(LANÇAMENTO!$C:$C,LANÇAMENTO!$D:$D,$A60,LANÇAMENTO!$E:$E,$B60,LANÇAMENTO!$F:$F,O$4)</f>
        <v>704</v>
      </c>
      <c r="P60" s="40">
        <f>-SUMIFS(LANÇAMENTO!$C:$C,LANÇAMENTO!$D:$D,$A60,LANÇAMENTO!$E:$E,$B60,LANÇAMENTO!$F:$F,P$4)</f>
        <v>802</v>
      </c>
      <c r="Q60" s="37">
        <f t="shared" si="34"/>
        <v>9127</v>
      </c>
      <c r="R60" s="29">
        <f t="shared" si="35"/>
        <v>1</v>
      </c>
    </row>
    <row r="61" spans="1:18" x14ac:dyDescent="0.25">
      <c r="A61" s="70" t="str">
        <f t="shared" ref="A61:A71" si="48">$B$59</f>
        <v>TRANSPORTE</v>
      </c>
      <c r="B61" s="31" t="s">
        <v>42</v>
      </c>
      <c r="C61" s="45">
        <v>150</v>
      </c>
      <c r="D61" s="34">
        <f t="shared" si="47"/>
        <v>1800</v>
      </c>
      <c r="E61" s="40">
        <f>-SUMIFS(LANÇAMENTO!$C:$C,LANÇAMENTO!$D:$D,$A61,LANÇAMENTO!$E:$E,$B61,LANÇAMENTO!$F:$F,E$4)</f>
        <v>0</v>
      </c>
      <c r="F61" s="40">
        <f>-SUMIFS(LANÇAMENTO!$C:$C,LANÇAMENTO!$D:$D,$A61,LANÇAMENTO!$E:$E,$B61,LANÇAMENTO!$F:$F,F$4)</f>
        <v>0</v>
      </c>
      <c r="G61" s="40">
        <f>-SUMIFS(LANÇAMENTO!$C:$C,LANÇAMENTO!$D:$D,$A61,LANÇAMENTO!$E:$E,$B61,LANÇAMENTO!$F:$F,G$4)</f>
        <v>0</v>
      </c>
      <c r="H61" s="40">
        <f>-SUMIFS(LANÇAMENTO!$C:$C,LANÇAMENTO!$D:$D,$A61,LANÇAMENTO!$E:$E,$B61,LANÇAMENTO!$F:$F,H$4)</f>
        <v>0</v>
      </c>
      <c r="I61" s="40">
        <f>-SUMIFS(LANÇAMENTO!$C:$C,LANÇAMENTO!$D:$D,$A61,LANÇAMENTO!$E:$E,$B61,LANÇAMENTO!$F:$F,I$4)</f>
        <v>0</v>
      </c>
      <c r="J61" s="40">
        <f>-SUMIFS(LANÇAMENTO!$C:$C,LANÇAMENTO!$D:$D,$A61,LANÇAMENTO!$E:$E,$B61,LANÇAMENTO!$F:$F,J$4)</f>
        <v>0</v>
      </c>
      <c r="K61" s="40">
        <f>-SUMIFS(LANÇAMENTO!$C:$C,LANÇAMENTO!$D:$D,$A61,LANÇAMENTO!$E:$E,$B61,LANÇAMENTO!$F:$F,K$4)</f>
        <v>0</v>
      </c>
      <c r="L61" s="40">
        <f>-SUMIFS(LANÇAMENTO!$C:$C,LANÇAMENTO!$D:$D,$A61,LANÇAMENTO!$E:$E,$B61,LANÇAMENTO!$F:$F,L$4)</f>
        <v>0</v>
      </c>
      <c r="M61" s="40">
        <f>-SUMIFS(LANÇAMENTO!$C:$C,LANÇAMENTO!$D:$D,$A61,LANÇAMENTO!$E:$E,$B61,LANÇAMENTO!$F:$F,M$4)</f>
        <v>0</v>
      </c>
      <c r="N61" s="40">
        <f>-SUMIFS(LANÇAMENTO!$C:$C,LANÇAMENTO!$D:$D,$A61,LANÇAMENTO!$E:$E,$B61,LANÇAMENTO!$F:$F,N$4)</f>
        <v>0</v>
      </c>
      <c r="O61" s="40">
        <f>-SUMIFS(LANÇAMENTO!$C:$C,LANÇAMENTO!$D:$D,$A61,LANÇAMENTO!$E:$E,$B61,LANÇAMENTO!$F:$F,O$4)</f>
        <v>0</v>
      </c>
      <c r="P61" s="40">
        <f>-SUMIFS(LANÇAMENTO!$C:$C,LANÇAMENTO!$D:$D,$A61,LANÇAMENTO!$E:$E,$B61,LANÇAMENTO!$F:$F,P$4)</f>
        <v>0</v>
      </c>
      <c r="Q61" s="37">
        <f t="shared" si="34"/>
        <v>0</v>
      </c>
      <c r="R61" s="29">
        <f t="shared" si="35"/>
        <v>1</v>
      </c>
    </row>
    <row r="62" spans="1:18" x14ac:dyDescent="0.25">
      <c r="A62" s="70" t="str">
        <f t="shared" si="48"/>
        <v>TRANSPORTE</v>
      </c>
      <c r="B62" s="31" t="s">
        <v>43</v>
      </c>
      <c r="C62" s="45">
        <v>0</v>
      </c>
      <c r="D62" s="34">
        <f t="shared" si="47"/>
        <v>0</v>
      </c>
      <c r="E62" s="40">
        <f>-SUMIFS(LANÇAMENTO!$C:$C,LANÇAMENTO!$D:$D,$A62,LANÇAMENTO!$E:$E,$B62,LANÇAMENTO!$F:$F,E$4)</f>
        <v>0</v>
      </c>
      <c r="F62" s="40">
        <f>-SUMIFS(LANÇAMENTO!$C:$C,LANÇAMENTO!$D:$D,$A62,LANÇAMENTO!$E:$E,$B62,LANÇAMENTO!$F:$F,F$4)</f>
        <v>0</v>
      </c>
      <c r="G62" s="40">
        <f>-SUMIFS(LANÇAMENTO!$C:$C,LANÇAMENTO!$D:$D,$A62,LANÇAMENTO!$E:$E,$B62,LANÇAMENTO!$F:$F,G$4)</f>
        <v>0</v>
      </c>
      <c r="H62" s="40">
        <f>-SUMIFS(LANÇAMENTO!$C:$C,LANÇAMENTO!$D:$D,$A62,LANÇAMENTO!$E:$E,$B62,LANÇAMENTO!$F:$F,H$4)</f>
        <v>0</v>
      </c>
      <c r="I62" s="40">
        <f>-SUMIFS(LANÇAMENTO!$C:$C,LANÇAMENTO!$D:$D,$A62,LANÇAMENTO!$E:$E,$B62,LANÇAMENTO!$F:$F,I$4)</f>
        <v>0</v>
      </c>
      <c r="J62" s="40">
        <f>-SUMIFS(LANÇAMENTO!$C:$C,LANÇAMENTO!$D:$D,$A62,LANÇAMENTO!$E:$E,$B62,LANÇAMENTO!$F:$F,J$4)</f>
        <v>0</v>
      </c>
      <c r="K62" s="40">
        <f>-SUMIFS(LANÇAMENTO!$C:$C,LANÇAMENTO!$D:$D,$A62,LANÇAMENTO!$E:$E,$B62,LANÇAMENTO!$F:$F,K$4)</f>
        <v>0</v>
      </c>
      <c r="L62" s="40">
        <f>-SUMIFS(LANÇAMENTO!$C:$C,LANÇAMENTO!$D:$D,$A62,LANÇAMENTO!$E:$E,$B62,LANÇAMENTO!$F:$F,L$4)</f>
        <v>0</v>
      </c>
      <c r="M62" s="40">
        <f>-SUMIFS(LANÇAMENTO!$C:$C,LANÇAMENTO!$D:$D,$A62,LANÇAMENTO!$E:$E,$B62,LANÇAMENTO!$F:$F,M$4)</f>
        <v>0</v>
      </c>
      <c r="N62" s="40">
        <f>-SUMIFS(LANÇAMENTO!$C:$C,LANÇAMENTO!$D:$D,$A62,LANÇAMENTO!$E:$E,$B62,LANÇAMENTO!$F:$F,N$4)</f>
        <v>0</v>
      </c>
      <c r="O62" s="40">
        <f>-SUMIFS(LANÇAMENTO!$C:$C,LANÇAMENTO!$D:$D,$A62,LANÇAMENTO!$E:$E,$B62,LANÇAMENTO!$F:$F,O$4)</f>
        <v>0</v>
      </c>
      <c r="P62" s="40">
        <f>-SUMIFS(LANÇAMENTO!$C:$C,LANÇAMENTO!$D:$D,$A62,LANÇAMENTO!$E:$E,$B62,LANÇAMENTO!$F:$F,P$4)</f>
        <v>0</v>
      </c>
      <c r="Q62" s="37">
        <f t="shared" si="34"/>
        <v>0</v>
      </c>
      <c r="R62" s="29">
        <f t="shared" si="35"/>
        <v>0</v>
      </c>
    </row>
    <row r="63" spans="1:18" x14ac:dyDescent="0.25">
      <c r="A63" s="70" t="str">
        <f t="shared" si="48"/>
        <v>TRANSPORTE</v>
      </c>
      <c r="B63" s="31" t="s">
        <v>44</v>
      </c>
      <c r="C63" s="45">
        <v>0</v>
      </c>
      <c r="D63" s="34">
        <f t="shared" si="47"/>
        <v>0</v>
      </c>
      <c r="E63" s="40">
        <f>-SUMIFS(LANÇAMENTO!$C:$C,LANÇAMENTO!$D:$D,$A63,LANÇAMENTO!$E:$E,$B63,LANÇAMENTO!$F:$F,E$4)</f>
        <v>0</v>
      </c>
      <c r="F63" s="40">
        <f>-SUMIFS(LANÇAMENTO!$C:$C,LANÇAMENTO!$D:$D,$A63,LANÇAMENTO!$E:$E,$B63,LANÇAMENTO!$F:$F,F$4)</f>
        <v>0</v>
      </c>
      <c r="G63" s="40">
        <f>-SUMIFS(LANÇAMENTO!$C:$C,LANÇAMENTO!$D:$D,$A63,LANÇAMENTO!$E:$E,$B63,LANÇAMENTO!$F:$F,G$4)</f>
        <v>0</v>
      </c>
      <c r="H63" s="40">
        <f>-SUMIFS(LANÇAMENTO!$C:$C,LANÇAMENTO!$D:$D,$A63,LANÇAMENTO!$E:$E,$B63,LANÇAMENTO!$F:$F,H$4)</f>
        <v>0</v>
      </c>
      <c r="I63" s="40">
        <f>-SUMIFS(LANÇAMENTO!$C:$C,LANÇAMENTO!$D:$D,$A63,LANÇAMENTO!$E:$E,$B63,LANÇAMENTO!$F:$F,I$4)</f>
        <v>0</v>
      </c>
      <c r="J63" s="40">
        <f>-SUMIFS(LANÇAMENTO!$C:$C,LANÇAMENTO!$D:$D,$A63,LANÇAMENTO!$E:$E,$B63,LANÇAMENTO!$F:$F,J$4)</f>
        <v>0</v>
      </c>
      <c r="K63" s="40">
        <f>-SUMIFS(LANÇAMENTO!$C:$C,LANÇAMENTO!$D:$D,$A63,LANÇAMENTO!$E:$E,$B63,LANÇAMENTO!$F:$F,K$4)</f>
        <v>0</v>
      </c>
      <c r="L63" s="40">
        <f>-SUMIFS(LANÇAMENTO!$C:$C,LANÇAMENTO!$D:$D,$A63,LANÇAMENTO!$E:$E,$B63,LANÇAMENTO!$F:$F,L$4)</f>
        <v>0</v>
      </c>
      <c r="M63" s="40">
        <f>-SUMIFS(LANÇAMENTO!$C:$C,LANÇAMENTO!$D:$D,$A63,LANÇAMENTO!$E:$E,$B63,LANÇAMENTO!$F:$F,M$4)</f>
        <v>0</v>
      </c>
      <c r="N63" s="40">
        <f>-SUMIFS(LANÇAMENTO!$C:$C,LANÇAMENTO!$D:$D,$A63,LANÇAMENTO!$E:$E,$B63,LANÇAMENTO!$F:$F,N$4)</f>
        <v>0</v>
      </c>
      <c r="O63" s="40">
        <f>-SUMIFS(LANÇAMENTO!$C:$C,LANÇAMENTO!$D:$D,$A63,LANÇAMENTO!$E:$E,$B63,LANÇAMENTO!$F:$F,O$4)</f>
        <v>0</v>
      </c>
      <c r="P63" s="40">
        <f>-SUMIFS(LANÇAMENTO!$C:$C,LANÇAMENTO!$D:$D,$A63,LANÇAMENTO!$E:$E,$B63,LANÇAMENTO!$F:$F,P$4)</f>
        <v>0</v>
      </c>
      <c r="Q63" s="37">
        <f t="shared" si="34"/>
        <v>0</v>
      </c>
      <c r="R63" s="29">
        <f t="shared" si="35"/>
        <v>0</v>
      </c>
    </row>
    <row r="64" spans="1:18" x14ac:dyDescent="0.25">
      <c r="A64" s="70" t="str">
        <f t="shared" si="48"/>
        <v>TRANSPORTE</v>
      </c>
      <c r="B64" s="31" t="s">
        <v>45</v>
      </c>
      <c r="C64" s="45">
        <v>150</v>
      </c>
      <c r="D64" s="34">
        <f t="shared" ref="D64:D71" si="49">C64*12</f>
        <v>1800</v>
      </c>
      <c r="E64" s="40">
        <f>-SUMIFS(LANÇAMENTO!$C:$C,LANÇAMENTO!$D:$D,$A64,LANÇAMENTO!$E:$E,$B64,LANÇAMENTO!$F:$F,E$4)</f>
        <v>0</v>
      </c>
      <c r="F64" s="40">
        <f>-SUMIFS(LANÇAMENTO!$C:$C,LANÇAMENTO!$D:$D,$A64,LANÇAMENTO!$E:$E,$B64,LANÇAMENTO!$F:$F,F$4)</f>
        <v>0</v>
      </c>
      <c r="G64" s="40">
        <f>-SUMIFS(LANÇAMENTO!$C:$C,LANÇAMENTO!$D:$D,$A64,LANÇAMENTO!$E:$E,$B64,LANÇAMENTO!$F:$F,G$4)</f>
        <v>0</v>
      </c>
      <c r="H64" s="40">
        <f>-SUMIFS(LANÇAMENTO!$C:$C,LANÇAMENTO!$D:$D,$A64,LANÇAMENTO!$E:$E,$B64,LANÇAMENTO!$F:$F,H$4)</f>
        <v>0</v>
      </c>
      <c r="I64" s="40">
        <f>-SUMIFS(LANÇAMENTO!$C:$C,LANÇAMENTO!$D:$D,$A64,LANÇAMENTO!$E:$E,$B64,LANÇAMENTO!$F:$F,I$4)</f>
        <v>0</v>
      </c>
      <c r="J64" s="40">
        <f>-SUMIFS(LANÇAMENTO!$C:$C,LANÇAMENTO!$D:$D,$A64,LANÇAMENTO!$E:$E,$B64,LANÇAMENTO!$F:$F,J$4)</f>
        <v>0</v>
      </c>
      <c r="K64" s="40">
        <f>-SUMIFS(LANÇAMENTO!$C:$C,LANÇAMENTO!$D:$D,$A64,LANÇAMENTO!$E:$E,$B64,LANÇAMENTO!$F:$F,K$4)</f>
        <v>0</v>
      </c>
      <c r="L64" s="40">
        <f>-SUMIFS(LANÇAMENTO!$C:$C,LANÇAMENTO!$D:$D,$A64,LANÇAMENTO!$E:$E,$B64,LANÇAMENTO!$F:$F,L$4)</f>
        <v>0</v>
      </c>
      <c r="M64" s="40">
        <f>-SUMIFS(LANÇAMENTO!$C:$C,LANÇAMENTO!$D:$D,$A64,LANÇAMENTO!$E:$E,$B64,LANÇAMENTO!$F:$F,M$4)</f>
        <v>0</v>
      </c>
      <c r="N64" s="40">
        <f>-SUMIFS(LANÇAMENTO!$C:$C,LANÇAMENTO!$D:$D,$A64,LANÇAMENTO!$E:$E,$B64,LANÇAMENTO!$F:$F,N$4)</f>
        <v>0</v>
      </c>
      <c r="O64" s="40">
        <f>-SUMIFS(LANÇAMENTO!$C:$C,LANÇAMENTO!$D:$D,$A64,LANÇAMENTO!$E:$E,$B64,LANÇAMENTO!$F:$F,O$4)</f>
        <v>0</v>
      </c>
      <c r="P64" s="40">
        <f>-SUMIFS(LANÇAMENTO!$C:$C,LANÇAMENTO!$D:$D,$A64,LANÇAMENTO!$E:$E,$B64,LANÇAMENTO!$F:$F,P$4)</f>
        <v>0</v>
      </c>
      <c r="Q64" s="37">
        <f t="shared" si="34"/>
        <v>0</v>
      </c>
      <c r="R64" s="29">
        <f t="shared" si="35"/>
        <v>1</v>
      </c>
    </row>
    <row r="65" spans="1:18" x14ac:dyDescent="0.25">
      <c r="A65" s="70" t="str">
        <f t="shared" si="48"/>
        <v>TRANSPORTE</v>
      </c>
      <c r="B65" s="31" t="s">
        <v>46</v>
      </c>
      <c r="C65" s="45">
        <v>100</v>
      </c>
      <c r="D65" s="34">
        <f t="shared" si="49"/>
        <v>1200</v>
      </c>
      <c r="E65" s="40">
        <f>-SUMIFS(LANÇAMENTO!$C:$C,LANÇAMENTO!$D:$D,$A65,LANÇAMENTO!$E:$E,$B65,LANÇAMENTO!$F:$F,E$4)</f>
        <v>0</v>
      </c>
      <c r="F65" s="40">
        <f>-SUMIFS(LANÇAMENTO!$C:$C,LANÇAMENTO!$D:$D,$A65,LANÇAMENTO!$E:$E,$B65,LANÇAMENTO!$F:$F,F$4)</f>
        <v>0</v>
      </c>
      <c r="G65" s="40">
        <f>-SUMIFS(LANÇAMENTO!$C:$C,LANÇAMENTO!$D:$D,$A65,LANÇAMENTO!$E:$E,$B65,LANÇAMENTO!$F:$F,G$4)</f>
        <v>0</v>
      </c>
      <c r="H65" s="40">
        <f>-SUMIFS(LANÇAMENTO!$C:$C,LANÇAMENTO!$D:$D,$A65,LANÇAMENTO!$E:$E,$B65,LANÇAMENTO!$F:$F,H$4)</f>
        <v>0</v>
      </c>
      <c r="I65" s="40">
        <f>-SUMIFS(LANÇAMENTO!$C:$C,LANÇAMENTO!$D:$D,$A65,LANÇAMENTO!$E:$E,$B65,LANÇAMENTO!$F:$F,I$4)</f>
        <v>0</v>
      </c>
      <c r="J65" s="40">
        <f>-SUMIFS(LANÇAMENTO!$C:$C,LANÇAMENTO!$D:$D,$A65,LANÇAMENTO!$E:$E,$B65,LANÇAMENTO!$F:$F,J$4)</f>
        <v>0</v>
      </c>
      <c r="K65" s="40">
        <f>-SUMIFS(LANÇAMENTO!$C:$C,LANÇAMENTO!$D:$D,$A65,LANÇAMENTO!$E:$E,$B65,LANÇAMENTO!$F:$F,K$4)</f>
        <v>0</v>
      </c>
      <c r="L65" s="40">
        <f>-SUMIFS(LANÇAMENTO!$C:$C,LANÇAMENTO!$D:$D,$A65,LANÇAMENTO!$E:$E,$B65,LANÇAMENTO!$F:$F,L$4)</f>
        <v>0</v>
      </c>
      <c r="M65" s="40">
        <f>-SUMIFS(LANÇAMENTO!$C:$C,LANÇAMENTO!$D:$D,$A65,LANÇAMENTO!$E:$E,$B65,LANÇAMENTO!$F:$F,M$4)</f>
        <v>0</v>
      </c>
      <c r="N65" s="40">
        <f>-SUMIFS(LANÇAMENTO!$C:$C,LANÇAMENTO!$D:$D,$A65,LANÇAMENTO!$E:$E,$B65,LANÇAMENTO!$F:$F,N$4)</f>
        <v>0</v>
      </c>
      <c r="O65" s="40">
        <f>-SUMIFS(LANÇAMENTO!$C:$C,LANÇAMENTO!$D:$D,$A65,LANÇAMENTO!$E:$E,$B65,LANÇAMENTO!$F:$F,O$4)</f>
        <v>0</v>
      </c>
      <c r="P65" s="40">
        <f>-SUMIFS(LANÇAMENTO!$C:$C,LANÇAMENTO!$D:$D,$A65,LANÇAMENTO!$E:$E,$B65,LANÇAMENTO!$F:$F,P$4)</f>
        <v>0</v>
      </c>
      <c r="Q65" s="37">
        <f t="shared" si="34"/>
        <v>0</v>
      </c>
      <c r="R65" s="29">
        <f t="shared" si="35"/>
        <v>1</v>
      </c>
    </row>
    <row r="66" spans="1:18" x14ac:dyDescent="0.25">
      <c r="A66" s="70" t="str">
        <f t="shared" si="48"/>
        <v>TRANSPORTE</v>
      </c>
      <c r="B66" s="31" t="s">
        <v>47</v>
      </c>
      <c r="C66" s="45">
        <v>250</v>
      </c>
      <c r="D66" s="34">
        <f t="shared" si="49"/>
        <v>3000</v>
      </c>
      <c r="E66" s="40">
        <f>-SUMIFS(LANÇAMENTO!$C:$C,LANÇAMENTO!$D:$D,$A66,LANÇAMENTO!$E:$E,$B66,LANÇAMENTO!$F:$F,E$4)</f>
        <v>0</v>
      </c>
      <c r="F66" s="40">
        <f>-SUMIFS(LANÇAMENTO!$C:$C,LANÇAMENTO!$D:$D,$A66,LANÇAMENTO!$E:$E,$B66,LANÇAMENTO!$F:$F,F$4)</f>
        <v>0</v>
      </c>
      <c r="G66" s="40">
        <f>-SUMIFS(LANÇAMENTO!$C:$C,LANÇAMENTO!$D:$D,$A66,LANÇAMENTO!$E:$E,$B66,LANÇAMENTO!$F:$F,G$4)</f>
        <v>0</v>
      </c>
      <c r="H66" s="40">
        <f>-SUMIFS(LANÇAMENTO!$C:$C,LANÇAMENTO!$D:$D,$A66,LANÇAMENTO!$E:$E,$B66,LANÇAMENTO!$F:$F,H$4)</f>
        <v>0</v>
      </c>
      <c r="I66" s="40">
        <f>-SUMIFS(LANÇAMENTO!$C:$C,LANÇAMENTO!$D:$D,$A66,LANÇAMENTO!$E:$E,$B66,LANÇAMENTO!$F:$F,I$4)</f>
        <v>0</v>
      </c>
      <c r="J66" s="40">
        <f>-SUMIFS(LANÇAMENTO!$C:$C,LANÇAMENTO!$D:$D,$A66,LANÇAMENTO!$E:$E,$B66,LANÇAMENTO!$F:$F,J$4)</f>
        <v>0</v>
      </c>
      <c r="K66" s="40">
        <f>-SUMIFS(LANÇAMENTO!$C:$C,LANÇAMENTO!$D:$D,$A66,LANÇAMENTO!$E:$E,$B66,LANÇAMENTO!$F:$F,K$4)</f>
        <v>0</v>
      </c>
      <c r="L66" s="40">
        <f>-SUMIFS(LANÇAMENTO!$C:$C,LANÇAMENTO!$D:$D,$A66,LANÇAMENTO!$E:$E,$B66,LANÇAMENTO!$F:$F,L$4)</f>
        <v>0</v>
      </c>
      <c r="M66" s="40">
        <f>-SUMIFS(LANÇAMENTO!$C:$C,LANÇAMENTO!$D:$D,$A66,LANÇAMENTO!$E:$E,$B66,LANÇAMENTO!$F:$F,M$4)</f>
        <v>0</v>
      </c>
      <c r="N66" s="40">
        <f>-SUMIFS(LANÇAMENTO!$C:$C,LANÇAMENTO!$D:$D,$A66,LANÇAMENTO!$E:$E,$B66,LANÇAMENTO!$F:$F,N$4)</f>
        <v>0</v>
      </c>
      <c r="O66" s="40">
        <f>-SUMIFS(LANÇAMENTO!$C:$C,LANÇAMENTO!$D:$D,$A66,LANÇAMENTO!$E:$E,$B66,LANÇAMENTO!$F:$F,O$4)</f>
        <v>0</v>
      </c>
      <c r="P66" s="40">
        <f>-SUMIFS(LANÇAMENTO!$C:$C,LANÇAMENTO!$D:$D,$A66,LANÇAMENTO!$E:$E,$B66,LANÇAMENTO!$F:$F,P$4)</f>
        <v>0</v>
      </c>
      <c r="Q66" s="37">
        <f t="shared" si="34"/>
        <v>0</v>
      </c>
      <c r="R66" s="29">
        <f t="shared" si="35"/>
        <v>1</v>
      </c>
    </row>
    <row r="67" spans="1:18" x14ac:dyDescent="0.25">
      <c r="A67" s="70" t="str">
        <f t="shared" si="48"/>
        <v>TRANSPORTE</v>
      </c>
      <c r="B67" s="31" t="s">
        <v>48</v>
      </c>
      <c r="C67" s="45">
        <v>0</v>
      </c>
      <c r="D67" s="34">
        <f t="shared" si="49"/>
        <v>0</v>
      </c>
      <c r="E67" s="40">
        <f>-SUMIFS(LANÇAMENTO!$C:$C,LANÇAMENTO!$D:$D,$A67,LANÇAMENTO!$E:$E,$B67,LANÇAMENTO!$F:$F,E$4)</f>
        <v>0</v>
      </c>
      <c r="F67" s="40">
        <f>-SUMIFS(LANÇAMENTO!$C:$C,LANÇAMENTO!$D:$D,$A67,LANÇAMENTO!$E:$E,$B67,LANÇAMENTO!$F:$F,F$4)</f>
        <v>0</v>
      </c>
      <c r="G67" s="40">
        <f>-SUMIFS(LANÇAMENTO!$C:$C,LANÇAMENTO!$D:$D,$A67,LANÇAMENTO!$E:$E,$B67,LANÇAMENTO!$F:$F,G$4)</f>
        <v>0</v>
      </c>
      <c r="H67" s="40">
        <f>-SUMIFS(LANÇAMENTO!$C:$C,LANÇAMENTO!$D:$D,$A67,LANÇAMENTO!$E:$E,$B67,LANÇAMENTO!$F:$F,H$4)</f>
        <v>0</v>
      </c>
      <c r="I67" s="40">
        <f>-SUMIFS(LANÇAMENTO!$C:$C,LANÇAMENTO!$D:$D,$A67,LANÇAMENTO!$E:$E,$B67,LANÇAMENTO!$F:$F,I$4)</f>
        <v>0</v>
      </c>
      <c r="J67" s="40">
        <f>-SUMIFS(LANÇAMENTO!$C:$C,LANÇAMENTO!$D:$D,$A67,LANÇAMENTO!$E:$E,$B67,LANÇAMENTO!$F:$F,J$4)</f>
        <v>0</v>
      </c>
      <c r="K67" s="40">
        <f>-SUMIFS(LANÇAMENTO!$C:$C,LANÇAMENTO!$D:$D,$A67,LANÇAMENTO!$E:$E,$B67,LANÇAMENTO!$F:$F,K$4)</f>
        <v>0</v>
      </c>
      <c r="L67" s="40">
        <f>-SUMIFS(LANÇAMENTO!$C:$C,LANÇAMENTO!$D:$D,$A67,LANÇAMENTO!$E:$E,$B67,LANÇAMENTO!$F:$F,L$4)</f>
        <v>0</v>
      </c>
      <c r="M67" s="40">
        <f>-SUMIFS(LANÇAMENTO!$C:$C,LANÇAMENTO!$D:$D,$A67,LANÇAMENTO!$E:$E,$B67,LANÇAMENTO!$F:$F,M$4)</f>
        <v>0</v>
      </c>
      <c r="N67" s="40">
        <f>-SUMIFS(LANÇAMENTO!$C:$C,LANÇAMENTO!$D:$D,$A67,LANÇAMENTO!$E:$E,$B67,LANÇAMENTO!$F:$F,N$4)</f>
        <v>0</v>
      </c>
      <c r="O67" s="40">
        <f>-SUMIFS(LANÇAMENTO!$C:$C,LANÇAMENTO!$D:$D,$A67,LANÇAMENTO!$E:$E,$B67,LANÇAMENTO!$F:$F,O$4)</f>
        <v>0</v>
      </c>
      <c r="P67" s="40">
        <f>-SUMIFS(LANÇAMENTO!$C:$C,LANÇAMENTO!$D:$D,$A67,LANÇAMENTO!$E:$E,$B67,LANÇAMENTO!$F:$F,P$4)</f>
        <v>0</v>
      </c>
      <c r="Q67" s="37">
        <f t="shared" si="34"/>
        <v>0</v>
      </c>
      <c r="R67" s="29">
        <f t="shared" si="35"/>
        <v>0</v>
      </c>
    </row>
    <row r="68" spans="1:18" x14ac:dyDescent="0.25">
      <c r="A68" s="70" t="str">
        <f t="shared" si="48"/>
        <v>TRANSPORTE</v>
      </c>
      <c r="B68" s="31" t="s">
        <v>49</v>
      </c>
      <c r="C68" s="45">
        <v>0</v>
      </c>
      <c r="D68" s="34">
        <f t="shared" si="49"/>
        <v>0</v>
      </c>
      <c r="E68" s="40">
        <f>-SUMIFS(LANÇAMENTO!$C:$C,LANÇAMENTO!$D:$D,$A68,LANÇAMENTO!$E:$E,$B68,LANÇAMENTO!$F:$F,E$4)</f>
        <v>0</v>
      </c>
      <c r="F68" s="40">
        <f>-SUMIFS(LANÇAMENTO!$C:$C,LANÇAMENTO!$D:$D,$A68,LANÇAMENTO!$E:$E,$B68,LANÇAMENTO!$F:$F,F$4)</f>
        <v>0</v>
      </c>
      <c r="G68" s="40">
        <f>-SUMIFS(LANÇAMENTO!$C:$C,LANÇAMENTO!$D:$D,$A68,LANÇAMENTO!$E:$E,$B68,LANÇAMENTO!$F:$F,G$4)</f>
        <v>0</v>
      </c>
      <c r="H68" s="40">
        <f>-SUMIFS(LANÇAMENTO!$C:$C,LANÇAMENTO!$D:$D,$A68,LANÇAMENTO!$E:$E,$B68,LANÇAMENTO!$F:$F,H$4)</f>
        <v>0</v>
      </c>
      <c r="I68" s="40">
        <f>-SUMIFS(LANÇAMENTO!$C:$C,LANÇAMENTO!$D:$D,$A68,LANÇAMENTO!$E:$E,$B68,LANÇAMENTO!$F:$F,I$4)</f>
        <v>0</v>
      </c>
      <c r="J68" s="40">
        <f>-SUMIFS(LANÇAMENTO!$C:$C,LANÇAMENTO!$D:$D,$A68,LANÇAMENTO!$E:$E,$B68,LANÇAMENTO!$F:$F,J$4)</f>
        <v>0</v>
      </c>
      <c r="K68" s="40">
        <f>-SUMIFS(LANÇAMENTO!$C:$C,LANÇAMENTO!$D:$D,$A68,LANÇAMENTO!$E:$E,$B68,LANÇAMENTO!$F:$F,K$4)</f>
        <v>0</v>
      </c>
      <c r="L68" s="40">
        <f>-SUMIFS(LANÇAMENTO!$C:$C,LANÇAMENTO!$D:$D,$A68,LANÇAMENTO!$E:$E,$B68,LANÇAMENTO!$F:$F,L$4)</f>
        <v>0</v>
      </c>
      <c r="M68" s="40">
        <f>-SUMIFS(LANÇAMENTO!$C:$C,LANÇAMENTO!$D:$D,$A68,LANÇAMENTO!$E:$E,$B68,LANÇAMENTO!$F:$F,M$4)</f>
        <v>0</v>
      </c>
      <c r="N68" s="40">
        <f>-SUMIFS(LANÇAMENTO!$C:$C,LANÇAMENTO!$D:$D,$A68,LANÇAMENTO!$E:$E,$B68,LANÇAMENTO!$F:$F,N$4)</f>
        <v>0</v>
      </c>
      <c r="O68" s="40">
        <f>-SUMIFS(LANÇAMENTO!$C:$C,LANÇAMENTO!$D:$D,$A68,LANÇAMENTO!$E:$E,$B68,LANÇAMENTO!$F:$F,O$4)</f>
        <v>0</v>
      </c>
      <c r="P68" s="40">
        <f>-SUMIFS(LANÇAMENTO!$C:$C,LANÇAMENTO!$D:$D,$A68,LANÇAMENTO!$E:$E,$B68,LANÇAMENTO!$F:$F,P$4)</f>
        <v>0</v>
      </c>
      <c r="Q68" s="37">
        <f t="shared" si="34"/>
        <v>0</v>
      </c>
      <c r="R68" s="29">
        <f t="shared" si="35"/>
        <v>0</v>
      </c>
    </row>
    <row r="69" spans="1:18" x14ac:dyDescent="0.25">
      <c r="A69" s="70" t="str">
        <f t="shared" si="48"/>
        <v>TRANSPORTE</v>
      </c>
      <c r="B69" s="31" t="s">
        <v>50</v>
      </c>
      <c r="C69" s="45">
        <v>250</v>
      </c>
      <c r="D69" s="34">
        <f t="shared" si="49"/>
        <v>3000</v>
      </c>
      <c r="E69" s="40">
        <f>-SUMIFS(LANÇAMENTO!$C:$C,LANÇAMENTO!$D:$D,$A69,LANÇAMENTO!$E:$E,$B69,LANÇAMENTO!$F:$F,E$4)</f>
        <v>0</v>
      </c>
      <c r="F69" s="40">
        <f>-SUMIFS(LANÇAMENTO!$C:$C,LANÇAMENTO!$D:$D,$A69,LANÇAMENTO!$E:$E,$B69,LANÇAMENTO!$F:$F,F$4)</f>
        <v>0</v>
      </c>
      <c r="G69" s="40">
        <f>-SUMIFS(LANÇAMENTO!$C:$C,LANÇAMENTO!$D:$D,$A69,LANÇAMENTO!$E:$E,$B69,LANÇAMENTO!$F:$F,G$4)</f>
        <v>0</v>
      </c>
      <c r="H69" s="40">
        <f>-SUMIFS(LANÇAMENTO!$C:$C,LANÇAMENTO!$D:$D,$A69,LANÇAMENTO!$E:$E,$B69,LANÇAMENTO!$F:$F,H$4)</f>
        <v>0</v>
      </c>
      <c r="I69" s="40">
        <f>-SUMIFS(LANÇAMENTO!$C:$C,LANÇAMENTO!$D:$D,$A69,LANÇAMENTO!$E:$E,$B69,LANÇAMENTO!$F:$F,I$4)</f>
        <v>0</v>
      </c>
      <c r="J69" s="40">
        <f>-SUMIFS(LANÇAMENTO!$C:$C,LANÇAMENTO!$D:$D,$A69,LANÇAMENTO!$E:$E,$B69,LANÇAMENTO!$F:$F,J$4)</f>
        <v>0</v>
      </c>
      <c r="K69" s="40">
        <f>-SUMIFS(LANÇAMENTO!$C:$C,LANÇAMENTO!$D:$D,$A69,LANÇAMENTO!$E:$E,$B69,LANÇAMENTO!$F:$F,K$4)</f>
        <v>0</v>
      </c>
      <c r="L69" s="40">
        <f>-SUMIFS(LANÇAMENTO!$C:$C,LANÇAMENTO!$D:$D,$A69,LANÇAMENTO!$E:$E,$B69,LANÇAMENTO!$F:$F,L$4)</f>
        <v>0</v>
      </c>
      <c r="M69" s="40">
        <f>-SUMIFS(LANÇAMENTO!$C:$C,LANÇAMENTO!$D:$D,$A69,LANÇAMENTO!$E:$E,$B69,LANÇAMENTO!$F:$F,M$4)</f>
        <v>0</v>
      </c>
      <c r="N69" s="40">
        <f>-SUMIFS(LANÇAMENTO!$C:$C,LANÇAMENTO!$D:$D,$A69,LANÇAMENTO!$E:$E,$B69,LANÇAMENTO!$F:$F,N$4)</f>
        <v>0</v>
      </c>
      <c r="O69" s="40">
        <f>-SUMIFS(LANÇAMENTO!$C:$C,LANÇAMENTO!$D:$D,$A69,LANÇAMENTO!$E:$E,$B69,LANÇAMENTO!$F:$F,O$4)</f>
        <v>0</v>
      </c>
      <c r="P69" s="40">
        <f>-SUMIFS(LANÇAMENTO!$C:$C,LANÇAMENTO!$D:$D,$A69,LANÇAMENTO!$E:$E,$B69,LANÇAMENTO!$F:$F,P$4)</f>
        <v>0</v>
      </c>
      <c r="Q69" s="37">
        <f t="shared" si="34"/>
        <v>0</v>
      </c>
      <c r="R69" s="29">
        <f t="shared" si="35"/>
        <v>1</v>
      </c>
    </row>
    <row r="70" spans="1:18" x14ac:dyDescent="0.25">
      <c r="A70" s="70" t="str">
        <f t="shared" si="48"/>
        <v>TRANSPORTE</v>
      </c>
      <c r="B70" s="31" t="s">
        <v>51</v>
      </c>
      <c r="C70" s="45">
        <v>100</v>
      </c>
      <c r="D70" s="34">
        <f t="shared" si="49"/>
        <v>1200</v>
      </c>
      <c r="E70" s="40">
        <f>-SUMIFS(LANÇAMENTO!$C:$C,LANÇAMENTO!$D:$D,$A70,LANÇAMENTO!$E:$E,$B70,LANÇAMENTO!$F:$F,E$4)</f>
        <v>0</v>
      </c>
      <c r="F70" s="40">
        <f>-SUMIFS(LANÇAMENTO!$C:$C,LANÇAMENTO!$D:$D,$A70,LANÇAMENTO!$E:$E,$B70,LANÇAMENTO!$F:$F,F$4)</f>
        <v>0</v>
      </c>
      <c r="G70" s="40">
        <f>-SUMIFS(LANÇAMENTO!$C:$C,LANÇAMENTO!$D:$D,$A70,LANÇAMENTO!$E:$E,$B70,LANÇAMENTO!$F:$F,G$4)</f>
        <v>0</v>
      </c>
      <c r="H70" s="40">
        <f>-SUMIFS(LANÇAMENTO!$C:$C,LANÇAMENTO!$D:$D,$A70,LANÇAMENTO!$E:$E,$B70,LANÇAMENTO!$F:$F,H$4)</f>
        <v>0</v>
      </c>
      <c r="I70" s="40">
        <f>-SUMIFS(LANÇAMENTO!$C:$C,LANÇAMENTO!$D:$D,$A70,LANÇAMENTO!$E:$E,$B70,LANÇAMENTO!$F:$F,I$4)</f>
        <v>0</v>
      </c>
      <c r="J70" s="40">
        <f>-SUMIFS(LANÇAMENTO!$C:$C,LANÇAMENTO!$D:$D,$A70,LANÇAMENTO!$E:$E,$B70,LANÇAMENTO!$F:$F,J$4)</f>
        <v>0</v>
      </c>
      <c r="K70" s="40">
        <f>-SUMIFS(LANÇAMENTO!$C:$C,LANÇAMENTO!$D:$D,$A70,LANÇAMENTO!$E:$E,$B70,LANÇAMENTO!$F:$F,K$4)</f>
        <v>0</v>
      </c>
      <c r="L70" s="40">
        <f>-SUMIFS(LANÇAMENTO!$C:$C,LANÇAMENTO!$D:$D,$A70,LANÇAMENTO!$E:$E,$B70,LANÇAMENTO!$F:$F,L$4)</f>
        <v>0</v>
      </c>
      <c r="M70" s="40">
        <f>-SUMIFS(LANÇAMENTO!$C:$C,LANÇAMENTO!$D:$D,$A70,LANÇAMENTO!$E:$E,$B70,LANÇAMENTO!$F:$F,M$4)</f>
        <v>0</v>
      </c>
      <c r="N70" s="40">
        <f>-SUMIFS(LANÇAMENTO!$C:$C,LANÇAMENTO!$D:$D,$A70,LANÇAMENTO!$E:$E,$B70,LANÇAMENTO!$F:$F,N$4)</f>
        <v>0</v>
      </c>
      <c r="O70" s="40">
        <f>-SUMIFS(LANÇAMENTO!$C:$C,LANÇAMENTO!$D:$D,$A70,LANÇAMENTO!$E:$E,$B70,LANÇAMENTO!$F:$F,O$4)</f>
        <v>0</v>
      </c>
      <c r="P70" s="40">
        <f>-SUMIFS(LANÇAMENTO!$C:$C,LANÇAMENTO!$D:$D,$A70,LANÇAMENTO!$E:$E,$B70,LANÇAMENTO!$F:$F,P$4)</f>
        <v>0</v>
      </c>
      <c r="Q70" s="37">
        <f t="shared" si="34"/>
        <v>0</v>
      </c>
      <c r="R70" s="29">
        <f t="shared" si="35"/>
        <v>1</v>
      </c>
    </row>
    <row r="71" spans="1:18" x14ac:dyDescent="0.25">
      <c r="A71" s="70" t="str">
        <f t="shared" si="48"/>
        <v>TRANSPORTE</v>
      </c>
      <c r="B71" s="31" t="s">
        <v>142</v>
      </c>
      <c r="C71" s="45">
        <v>0</v>
      </c>
      <c r="D71" s="34">
        <f t="shared" si="49"/>
        <v>0</v>
      </c>
      <c r="E71" s="40">
        <f>-SUMIFS(LANÇAMENTO!$C:$C,LANÇAMENTO!$D:$D,$A71,LANÇAMENTO!$E:$E,$B71,LANÇAMENTO!$F:$F,E$4)</f>
        <v>0</v>
      </c>
      <c r="F71" s="40">
        <f>-SUMIFS(LANÇAMENTO!$C:$C,LANÇAMENTO!$D:$D,$A71,LANÇAMENTO!$E:$E,$B71,LANÇAMENTO!$F:$F,F$4)</f>
        <v>0</v>
      </c>
      <c r="G71" s="40">
        <f>-SUMIFS(LANÇAMENTO!$C:$C,LANÇAMENTO!$D:$D,$A71,LANÇAMENTO!$E:$E,$B71,LANÇAMENTO!$F:$F,G$4)</f>
        <v>0</v>
      </c>
      <c r="H71" s="40">
        <f>-SUMIFS(LANÇAMENTO!$C:$C,LANÇAMENTO!$D:$D,$A71,LANÇAMENTO!$E:$E,$B71,LANÇAMENTO!$F:$F,H$4)</f>
        <v>0</v>
      </c>
      <c r="I71" s="40">
        <f>-SUMIFS(LANÇAMENTO!$C:$C,LANÇAMENTO!$D:$D,$A71,LANÇAMENTO!$E:$E,$B71,LANÇAMENTO!$F:$F,I$4)</f>
        <v>0</v>
      </c>
      <c r="J71" s="40">
        <f>-SUMIFS(LANÇAMENTO!$C:$C,LANÇAMENTO!$D:$D,$A71,LANÇAMENTO!$E:$E,$B71,LANÇAMENTO!$F:$F,J$4)</f>
        <v>0</v>
      </c>
      <c r="K71" s="40">
        <f>-SUMIFS(LANÇAMENTO!$C:$C,LANÇAMENTO!$D:$D,$A71,LANÇAMENTO!$E:$E,$B71,LANÇAMENTO!$F:$F,K$4)</f>
        <v>0</v>
      </c>
      <c r="L71" s="40">
        <f>-SUMIFS(LANÇAMENTO!$C:$C,LANÇAMENTO!$D:$D,$A71,LANÇAMENTO!$E:$E,$B71,LANÇAMENTO!$F:$F,L$4)</f>
        <v>0</v>
      </c>
      <c r="M71" s="40">
        <f>-SUMIFS(LANÇAMENTO!$C:$C,LANÇAMENTO!$D:$D,$A71,LANÇAMENTO!$E:$E,$B71,LANÇAMENTO!$F:$F,M$4)</f>
        <v>0</v>
      </c>
      <c r="N71" s="40">
        <f>-SUMIFS(LANÇAMENTO!$C:$C,LANÇAMENTO!$D:$D,$A71,LANÇAMENTO!$E:$E,$B71,LANÇAMENTO!$F:$F,N$4)</f>
        <v>0</v>
      </c>
      <c r="O71" s="40">
        <f>-SUMIFS(LANÇAMENTO!$C:$C,LANÇAMENTO!$D:$D,$A71,LANÇAMENTO!$E:$E,$B71,LANÇAMENTO!$F:$F,O$4)</f>
        <v>0</v>
      </c>
      <c r="P71" s="40">
        <f>-SUMIFS(LANÇAMENTO!$C:$C,LANÇAMENTO!$D:$D,$A71,LANÇAMENTO!$E:$E,$B71,LANÇAMENTO!$F:$F,P$4)</f>
        <v>0</v>
      </c>
      <c r="Q71" s="37">
        <f t="shared" si="34"/>
        <v>0</v>
      </c>
      <c r="R71" s="29">
        <f t="shared" si="35"/>
        <v>0</v>
      </c>
    </row>
    <row r="72" spans="1:18" x14ac:dyDescent="0.25">
      <c r="A72" s="70"/>
      <c r="B72" s="26" t="s">
        <v>52</v>
      </c>
      <c r="C72" s="20">
        <f>SUM(C73:C78)</f>
        <v>1750</v>
      </c>
      <c r="D72" s="20">
        <f>SUM(D73:D78)</f>
        <v>21000</v>
      </c>
      <c r="E72" s="20">
        <f t="shared" ref="E72:P72" si="50">SUM(E73:E78)</f>
        <v>1940</v>
      </c>
      <c r="F72" s="20">
        <f t="shared" si="50"/>
        <v>1598</v>
      </c>
      <c r="G72" s="20">
        <f t="shared" si="50"/>
        <v>1177</v>
      </c>
      <c r="H72" s="20">
        <f t="shared" si="50"/>
        <v>1112</v>
      </c>
      <c r="I72" s="20">
        <f t="shared" si="50"/>
        <v>1174</v>
      </c>
      <c r="J72" s="20">
        <f t="shared" si="50"/>
        <v>1177</v>
      </c>
      <c r="K72" s="20">
        <f t="shared" si="50"/>
        <v>1360</v>
      </c>
      <c r="L72" s="20">
        <f t="shared" si="50"/>
        <v>1773</v>
      </c>
      <c r="M72" s="20">
        <f t="shared" si="50"/>
        <v>1180</v>
      </c>
      <c r="N72" s="20">
        <f t="shared" si="50"/>
        <v>1923</v>
      </c>
      <c r="O72" s="20">
        <f t="shared" si="50"/>
        <v>1920</v>
      </c>
      <c r="P72" s="20">
        <f t="shared" si="50"/>
        <v>1744</v>
      </c>
      <c r="Q72" s="25">
        <f t="shared" si="34"/>
        <v>18078</v>
      </c>
      <c r="R72" s="29">
        <f>IF(SUM(R73:R78)=0,0,1)</f>
        <v>1</v>
      </c>
    </row>
    <row r="73" spans="1:18" x14ac:dyDescent="0.25">
      <c r="A73" s="70" t="str">
        <f>$B$72</f>
        <v>SAÚDE</v>
      </c>
      <c r="B73" s="31" t="s">
        <v>53</v>
      </c>
      <c r="C73" s="45">
        <v>1500</v>
      </c>
      <c r="D73" s="34">
        <f t="shared" ref="D73:D75" si="51">C73*12</f>
        <v>18000</v>
      </c>
      <c r="E73" s="40">
        <f>-SUMIFS(LANÇAMENTO!$C:$C,LANÇAMENTO!$D:$D,$A73,LANÇAMENTO!$E:$E,$B73,LANÇAMENTO!$F:$F,E$4)</f>
        <v>1940</v>
      </c>
      <c r="F73" s="40">
        <f>-SUMIFS(LANÇAMENTO!$C:$C,LANÇAMENTO!$D:$D,$A73,LANÇAMENTO!$E:$E,$B73,LANÇAMENTO!$F:$F,F$4)</f>
        <v>1598</v>
      </c>
      <c r="G73" s="40">
        <f>-SUMIFS(LANÇAMENTO!$C:$C,LANÇAMENTO!$D:$D,$A73,LANÇAMENTO!$E:$E,$B73,LANÇAMENTO!$F:$F,G$4)</f>
        <v>1177</v>
      </c>
      <c r="H73" s="40">
        <f>-SUMIFS(LANÇAMENTO!$C:$C,LANÇAMENTO!$D:$D,$A73,LANÇAMENTO!$E:$E,$B73,LANÇAMENTO!$F:$F,H$4)</f>
        <v>1112</v>
      </c>
      <c r="I73" s="40">
        <f>-SUMIFS(LANÇAMENTO!$C:$C,LANÇAMENTO!$D:$D,$A73,LANÇAMENTO!$E:$E,$B73,LANÇAMENTO!$F:$F,I$4)</f>
        <v>1174</v>
      </c>
      <c r="J73" s="40">
        <f>-SUMIFS(LANÇAMENTO!$C:$C,LANÇAMENTO!$D:$D,$A73,LANÇAMENTO!$E:$E,$B73,LANÇAMENTO!$F:$F,J$4)</f>
        <v>1177</v>
      </c>
      <c r="K73" s="40">
        <f>-SUMIFS(LANÇAMENTO!$C:$C,LANÇAMENTO!$D:$D,$A73,LANÇAMENTO!$E:$E,$B73,LANÇAMENTO!$F:$F,K$4)</f>
        <v>1360</v>
      </c>
      <c r="L73" s="40">
        <f>-SUMIFS(LANÇAMENTO!$C:$C,LANÇAMENTO!$D:$D,$A73,LANÇAMENTO!$E:$E,$B73,LANÇAMENTO!$F:$F,L$4)</f>
        <v>1773</v>
      </c>
      <c r="M73" s="40">
        <f>-SUMIFS(LANÇAMENTO!$C:$C,LANÇAMENTO!$D:$D,$A73,LANÇAMENTO!$E:$E,$B73,LANÇAMENTO!$F:$F,M$4)</f>
        <v>1180</v>
      </c>
      <c r="N73" s="40">
        <f>-SUMIFS(LANÇAMENTO!$C:$C,LANÇAMENTO!$D:$D,$A73,LANÇAMENTO!$E:$E,$B73,LANÇAMENTO!$F:$F,N$4)</f>
        <v>1923</v>
      </c>
      <c r="O73" s="40">
        <f>-SUMIFS(LANÇAMENTO!$C:$C,LANÇAMENTO!$D:$D,$A73,LANÇAMENTO!$E:$E,$B73,LANÇAMENTO!$F:$F,O$4)</f>
        <v>1920</v>
      </c>
      <c r="P73" s="40">
        <f>-SUMIFS(LANÇAMENTO!$C:$C,LANÇAMENTO!$D:$D,$A73,LANÇAMENTO!$E:$E,$B73,LANÇAMENTO!$F:$F,P$4)</f>
        <v>1744</v>
      </c>
      <c r="Q73" s="37">
        <f t="shared" si="34"/>
        <v>18078</v>
      </c>
      <c r="R73" s="29">
        <f t="shared" si="35"/>
        <v>1</v>
      </c>
    </row>
    <row r="74" spans="1:18" x14ac:dyDescent="0.25">
      <c r="A74" s="70" t="str">
        <f t="shared" ref="A74:A78" si="52">$B$72</f>
        <v>SAÚDE</v>
      </c>
      <c r="B74" s="31" t="s">
        <v>54</v>
      </c>
      <c r="C74" s="45">
        <v>0</v>
      </c>
      <c r="D74" s="34">
        <f t="shared" si="51"/>
        <v>0</v>
      </c>
      <c r="E74" s="40">
        <f>-SUMIFS(LANÇAMENTO!$C:$C,LANÇAMENTO!$D:$D,$A74,LANÇAMENTO!$E:$E,$B74,LANÇAMENTO!$F:$F,E$4)</f>
        <v>0</v>
      </c>
      <c r="F74" s="40">
        <f>-SUMIFS(LANÇAMENTO!$C:$C,LANÇAMENTO!$D:$D,$A74,LANÇAMENTO!$E:$E,$B74,LANÇAMENTO!$F:$F,F$4)</f>
        <v>0</v>
      </c>
      <c r="G74" s="40">
        <f>-SUMIFS(LANÇAMENTO!$C:$C,LANÇAMENTO!$D:$D,$A74,LANÇAMENTO!$E:$E,$B74,LANÇAMENTO!$F:$F,G$4)</f>
        <v>0</v>
      </c>
      <c r="H74" s="40">
        <f>-SUMIFS(LANÇAMENTO!$C:$C,LANÇAMENTO!$D:$D,$A74,LANÇAMENTO!$E:$E,$B74,LANÇAMENTO!$F:$F,H$4)</f>
        <v>0</v>
      </c>
      <c r="I74" s="40">
        <f>-SUMIFS(LANÇAMENTO!$C:$C,LANÇAMENTO!$D:$D,$A74,LANÇAMENTO!$E:$E,$B74,LANÇAMENTO!$F:$F,I$4)</f>
        <v>0</v>
      </c>
      <c r="J74" s="40">
        <f>-SUMIFS(LANÇAMENTO!$C:$C,LANÇAMENTO!$D:$D,$A74,LANÇAMENTO!$E:$E,$B74,LANÇAMENTO!$F:$F,J$4)</f>
        <v>0</v>
      </c>
      <c r="K74" s="40">
        <f>-SUMIFS(LANÇAMENTO!$C:$C,LANÇAMENTO!$D:$D,$A74,LANÇAMENTO!$E:$E,$B74,LANÇAMENTO!$F:$F,K$4)</f>
        <v>0</v>
      </c>
      <c r="L74" s="40">
        <f>-SUMIFS(LANÇAMENTO!$C:$C,LANÇAMENTO!$D:$D,$A74,LANÇAMENTO!$E:$E,$B74,LANÇAMENTO!$F:$F,L$4)</f>
        <v>0</v>
      </c>
      <c r="M74" s="40">
        <f>-SUMIFS(LANÇAMENTO!$C:$C,LANÇAMENTO!$D:$D,$A74,LANÇAMENTO!$E:$E,$B74,LANÇAMENTO!$F:$F,M$4)</f>
        <v>0</v>
      </c>
      <c r="N74" s="40">
        <f>-SUMIFS(LANÇAMENTO!$C:$C,LANÇAMENTO!$D:$D,$A74,LANÇAMENTO!$E:$E,$B74,LANÇAMENTO!$F:$F,N$4)</f>
        <v>0</v>
      </c>
      <c r="O74" s="40">
        <f>-SUMIFS(LANÇAMENTO!$C:$C,LANÇAMENTO!$D:$D,$A74,LANÇAMENTO!$E:$E,$B74,LANÇAMENTO!$F:$F,O$4)</f>
        <v>0</v>
      </c>
      <c r="P74" s="40">
        <f>-SUMIFS(LANÇAMENTO!$C:$C,LANÇAMENTO!$D:$D,$A74,LANÇAMENTO!$E:$E,$B74,LANÇAMENTO!$F:$F,P$4)</f>
        <v>0</v>
      </c>
      <c r="Q74" s="37">
        <f t="shared" si="34"/>
        <v>0</v>
      </c>
      <c r="R74" s="29">
        <f t="shared" si="35"/>
        <v>0</v>
      </c>
    </row>
    <row r="75" spans="1:18" x14ac:dyDescent="0.25">
      <c r="A75" s="70" t="str">
        <f t="shared" si="52"/>
        <v>SAÚDE</v>
      </c>
      <c r="B75" s="31" t="s">
        <v>55</v>
      </c>
      <c r="C75" s="45">
        <v>0</v>
      </c>
      <c r="D75" s="34">
        <f t="shared" si="51"/>
        <v>0</v>
      </c>
      <c r="E75" s="40">
        <f>-SUMIFS(LANÇAMENTO!$C:$C,LANÇAMENTO!$D:$D,$A75,LANÇAMENTO!$E:$E,$B75,LANÇAMENTO!$F:$F,E$4)</f>
        <v>0</v>
      </c>
      <c r="F75" s="40">
        <f>-SUMIFS(LANÇAMENTO!$C:$C,LANÇAMENTO!$D:$D,$A75,LANÇAMENTO!$E:$E,$B75,LANÇAMENTO!$F:$F,F$4)</f>
        <v>0</v>
      </c>
      <c r="G75" s="40">
        <f>-SUMIFS(LANÇAMENTO!$C:$C,LANÇAMENTO!$D:$D,$A75,LANÇAMENTO!$E:$E,$B75,LANÇAMENTO!$F:$F,G$4)</f>
        <v>0</v>
      </c>
      <c r="H75" s="40">
        <f>-SUMIFS(LANÇAMENTO!$C:$C,LANÇAMENTO!$D:$D,$A75,LANÇAMENTO!$E:$E,$B75,LANÇAMENTO!$F:$F,H$4)</f>
        <v>0</v>
      </c>
      <c r="I75" s="40">
        <f>-SUMIFS(LANÇAMENTO!$C:$C,LANÇAMENTO!$D:$D,$A75,LANÇAMENTO!$E:$E,$B75,LANÇAMENTO!$F:$F,I$4)</f>
        <v>0</v>
      </c>
      <c r="J75" s="40">
        <f>-SUMIFS(LANÇAMENTO!$C:$C,LANÇAMENTO!$D:$D,$A75,LANÇAMENTO!$E:$E,$B75,LANÇAMENTO!$F:$F,J$4)</f>
        <v>0</v>
      </c>
      <c r="K75" s="40">
        <f>-SUMIFS(LANÇAMENTO!$C:$C,LANÇAMENTO!$D:$D,$A75,LANÇAMENTO!$E:$E,$B75,LANÇAMENTO!$F:$F,K$4)</f>
        <v>0</v>
      </c>
      <c r="L75" s="40">
        <f>-SUMIFS(LANÇAMENTO!$C:$C,LANÇAMENTO!$D:$D,$A75,LANÇAMENTO!$E:$E,$B75,LANÇAMENTO!$F:$F,L$4)</f>
        <v>0</v>
      </c>
      <c r="M75" s="40">
        <f>-SUMIFS(LANÇAMENTO!$C:$C,LANÇAMENTO!$D:$D,$A75,LANÇAMENTO!$E:$E,$B75,LANÇAMENTO!$F:$F,M$4)</f>
        <v>0</v>
      </c>
      <c r="N75" s="40">
        <f>-SUMIFS(LANÇAMENTO!$C:$C,LANÇAMENTO!$D:$D,$A75,LANÇAMENTO!$E:$E,$B75,LANÇAMENTO!$F:$F,N$4)</f>
        <v>0</v>
      </c>
      <c r="O75" s="40">
        <f>-SUMIFS(LANÇAMENTO!$C:$C,LANÇAMENTO!$D:$D,$A75,LANÇAMENTO!$E:$E,$B75,LANÇAMENTO!$F:$F,O$4)</f>
        <v>0</v>
      </c>
      <c r="P75" s="40">
        <f>-SUMIFS(LANÇAMENTO!$C:$C,LANÇAMENTO!$D:$D,$A75,LANÇAMENTO!$E:$E,$B75,LANÇAMENTO!$F:$F,P$4)</f>
        <v>0</v>
      </c>
      <c r="Q75" s="37">
        <f t="shared" si="34"/>
        <v>0</v>
      </c>
      <c r="R75" s="29">
        <f t="shared" si="35"/>
        <v>0</v>
      </c>
    </row>
    <row r="76" spans="1:18" x14ac:dyDescent="0.25">
      <c r="A76" s="70" t="str">
        <f t="shared" si="52"/>
        <v>SAÚDE</v>
      </c>
      <c r="B76" s="31" t="s">
        <v>56</v>
      </c>
      <c r="C76" s="45">
        <v>250</v>
      </c>
      <c r="D76" s="34">
        <f t="shared" ref="D76:D78" si="53">C76*12</f>
        <v>3000</v>
      </c>
      <c r="E76" s="40">
        <f>-SUMIFS(LANÇAMENTO!$C:$C,LANÇAMENTO!$D:$D,$A76,LANÇAMENTO!$E:$E,$B76,LANÇAMENTO!$F:$F,E$4)</f>
        <v>0</v>
      </c>
      <c r="F76" s="40">
        <f>-SUMIFS(LANÇAMENTO!$C:$C,LANÇAMENTO!$D:$D,$A76,LANÇAMENTO!$E:$E,$B76,LANÇAMENTO!$F:$F,F$4)</f>
        <v>0</v>
      </c>
      <c r="G76" s="40">
        <f>-SUMIFS(LANÇAMENTO!$C:$C,LANÇAMENTO!$D:$D,$A76,LANÇAMENTO!$E:$E,$B76,LANÇAMENTO!$F:$F,G$4)</f>
        <v>0</v>
      </c>
      <c r="H76" s="40">
        <f>-SUMIFS(LANÇAMENTO!$C:$C,LANÇAMENTO!$D:$D,$A76,LANÇAMENTO!$E:$E,$B76,LANÇAMENTO!$F:$F,H$4)</f>
        <v>0</v>
      </c>
      <c r="I76" s="40">
        <f>-SUMIFS(LANÇAMENTO!$C:$C,LANÇAMENTO!$D:$D,$A76,LANÇAMENTO!$E:$E,$B76,LANÇAMENTO!$F:$F,I$4)</f>
        <v>0</v>
      </c>
      <c r="J76" s="40">
        <f>-SUMIFS(LANÇAMENTO!$C:$C,LANÇAMENTO!$D:$D,$A76,LANÇAMENTO!$E:$E,$B76,LANÇAMENTO!$F:$F,J$4)</f>
        <v>0</v>
      </c>
      <c r="K76" s="40">
        <f>-SUMIFS(LANÇAMENTO!$C:$C,LANÇAMENTO!$D:$D,$A76,LANÇAMENTO!$E:$E,$B76,LANÇAMENTO!$F:$F,K$4)</f>
        <v>0</v>
      </c>
      <c r="L76" s="40">
        <f>-SUMIFS(LANÇAMENTO!$C:$C,LANÇAMENTO!$D:$D,$A76,LANÇAMENTO!$E:$E,$B76,LANÇAMENTO!$F:$F,L$4)</f>
        <v>0</v>
      </c>
      <c r="M76" s="40">
        <f>-SUMIFS(LANÇAMENTO!$C:$C,LANÇAMENTO!$D:$D,$A76,LANÇAMENTO!$E:$E,$B76,LANÇAMENTO!$F:$F,M$4)</f>
        <v>0</v>
      </c>
      <c r="N76" s="40">
        <f>-SUMIFS(LANÇAMENTO!$C:$C,LANÇAMENTO!$D:$D,$A76,LANÇAMENTO!$E:$E,$B76,LANÇAMENTO!$F:$F,N$4)</f>
        <v>0</v>
      </c>
      <c r="O76" s="40">
        <f>-SUMIFS(LANÇAMENTO!$C:$C,LANÇAMENTO!$D:$D,$A76,LANÇAMENTO!$E:$E,$B76,LANÇAMENTO!$F:$F,O$4)</f>
        <v>0</v>
      </c>
      <c r="P76" s="40">
        <f>-SUMIFS(LANÇAMENTO!$C:$C,LANÇAMENTO!$D:$D,$A76,LANÇAMENTO!$E:$E,$B76,LANÇAMENTO!$F:$F,P$4)</f>
        <v>0</v>
      </c>
      <c r="Q76" s="37">
        <f t="shared" si="34"/>
        <v>0</v>
      </c>
      <c r="R76" s="29">
        <f t="shared" si="35"/>
        <v>1</v>
      </c>
    </row>
    <row r="77" spans="1:18" x14ac:dyDescent="0.25">
      <c r="A77" s="70" t="str">
        <f t="shared" si="52"/>
        <v>SAÚDE</v>
      </c>
      <c r="B77" s="31" t="s">
        <v>57</v>
      </c>
      <c r="C77" s="45">
        <v>0</v>
      </c>
      <c r="D77" s="34">
        <f t="shared" si="53"/>
        <v>0</v>
      </c>
      <c r="E77" s="40">
        <f>-SUMIFS(LANÇAMENTO!$C:$C,LANÇAMENTO!$D:$D,$A77,LANÇAMENTO!$E:$E,$B77,LANÇAMENTO!$F:$F,E$4)</f>
        <v>0</v>
      </c>
      <c r="F77" s="40">
        <f>-SUMIFS(LANÇAMENTO!$C:$C,LANÇAMENTO!$D:$D,$A77,LANÇAMENTO!$E:$E,$B77,LANÇAMENTO!$F:$F,F$4)</f>
        <v>0</v>
      </c>
      <c r="G77" s="40">
        <f>-SUMIFS(LANÇAMENTO!$C:$C,LANÇAMENTO!$D:$D,$A77,LANÇAMENTO!$E:$E,$B77,LANÇAMENTO!$F:$F,G$4)</f>
        <v>0</v>
      </c>
      <c r="H77" s="40">
        <f>-SUMIFS(LANÇAMENTO!$C:$C,LANÇAMENTO!$D:$D,$A77,LANÇAMENTO!$E:$E,$B77,LANÇAMENTO!$F:$F,H$4)</f>
        <v>0</v>
      </c>
      <c r="I77" s="40">
        <f>-SUMIFS(LANÇAMENTO!$C:$C,LANÇAMENTO!$D:$D,$A77,LANÇAMENTO!$E:$E,$B77,LANÇAMENTO!$F:$F,I$4)</f>
        <v>0</v>
      </c>
      <c r="J77" s="40">
        <f>-SUMIFS(LANÇAMENTO!$C:$C,LANÇAMENTO!$D:$D,$A77,LANÇAMENTO!$E:$E,$B77,LANÇAMENTO!$F:$F,J$4)</f>
        <v>0</v>
      </c>
      <c r="K77" s="40">
        <f>-SUMIFS(LANÇAMENTO!$C:$C,LANÇAMENTO!$D:$D,$A77,LANÇAMENTO!$E:$E,$B77,LANÇAMENTO!$F:$F,K$4)</f>
        <v>0</v>
      </c>
      <c r="L77" s="40">
        <f>-SUMIFS(LANÇAMENTO!$C:$C,LANÇAMENTO!$D:$D,$A77,LANÇAMENTO!$E:$E,$B77,LANÇAMENTO!$F:$F,L$4)</f>
        <v>0</v>
      </c>
      <c r="M77" s="40">
        <f>-SUMIFS(LANÇAMENTO!$C:$C,LANÇAMENTO!$D:$D,$A77,LANÇAMENTO!$E:$E,$B77,LANÇAMENTO!$F:$F,M$4)</f>
        <v>0</v>
      </c>
      <c r="N77" s="40">
        <f>-SUMIFS(LANÇAMENTO!$C:$C,LANÇAMENTO!$D:$D,$A77,LANÇAMENTO!$E:$E,$B77,LANÇAMENTO!$F:$F,N$4)</f>
        <v>0</v>
      </c>
      <c r="O77" s="40">
        <f>-SUMIFS(LANÇAMENTO!$C:$C,LANÇAMENTO!$D:$D,$A77,LANÇAMENTO!$E:$E,$B77,LANÇAMENTO!$F:$F,O$4)</f>
        <v>0</v>
      </c>
      <c r="P77" s="40">
        <f>-SUMIFS(LANÇAMENTO!$C:$C,LANÇAMENTO!$D:$D,$A77,LANÇAMENTO!$E:$E,$B77,LANÇAMENTO!$F:$F,P$4)</f>
        <v>0</v>
      </c>
      <c r="Q77" s="37">
        <f t="shared" si="34"/>
        <v>0</v>
      </c>
      <c r="R77" s="29">
        <f t="shared" si="35"/>
        <v>0</v>
      </c>
    </row>
    <row r="78" spans="1:18" x14ac:dyDescent="0.25">
      <c r="A78" s="70" t="str">
        <f t="shared" si="52"/>
        <v>SAÚDE</v>
      </c>
      <c r="B78" s="31" t="s">
        <v>142</v>
      </c>
      <c r="C78" s="45">
        <v>0</v>
      </c>
      <c r="D78" s="34">
        <f t="shared" si="53"/>
        <v>0</v>
      </c>
      <c r="E78" s="40">
        <f>-SUMIFS(LANÇAMENTO!$C:$C,LANÇAMENTO!$D:$D,$A78,LANÇAMENTO!$E:$E,$B78,LANÇAMENTO!$F:$F,E$4)</f>
        <v>0</v>
      </c>
      <c r="F78" s="40">
        <f>-SUMIFS(LANÇAMENTO!$C:$C,LANÇAMENTO!$D:$D,$A78,LANÇAMENTO!$E:$E,$B78,LANÇAMENTO!$F:$F,F$4)</f>
        <v>0</v>
      </c>
      <c r="G78" s="40">
        <f>-SUMIFS(LANÇAMENTO!$C:$C,LANÇAMENTO!$D:$D,$A78,LANÇAMENTO!$E:$E,$B78,LANÇAMENTO!$F:$F,G$4)</f>
        <v>0</v>
      </c>
      <c r="H78" s="40">
        <f>-SUMIFS(LANÇAMENTO!$C:$C,LANÇAMENTO!$D:$D,$A78,LANÇAMENTO!$E:$E,$B78,LANÇAMENTO!$F:$F,H$4)</f>
        <v>0</v>
      </c>
      <c r="I78" s="40">
        <f>-SUMIFS(LANÇAMENTO!$C:$C,LANÇAMENTO!$D:$D,$A78,LANÇAMENTO!$E:$E,$B78,LANÇAMENTO!$F:$F,I$4)</f>
        <v>0</v>
      </c>
      <c r="J78" s="40">
        <f>-SUMIFS(LANÇAMENTO!$C:$C,LANÇAMENTO!$D:$D,$A78,LANÇAMENTO!$E:$E,$B78,LANÇAMENTO!$F:$F,J$4)</f>
        <v>0</v>
      </c>
      <c r="K78" s="40">
        <f>-SUMIFS(LANÇAMENTO!$C:$C,LANÇAMENTO!$D:$D,$A78,LANÇAMENTO!$E:$E,$B78,LANÇAMENTO!$F:$F,K$4)</f>
        <v>0</v>
      </c>
      <c r="L78" s="40">
        <f>-SUMIFS(LANÇAMENTO!$C:$C,LANÇAMENTO!$D:$D,$A78,LANÇAMENTO!$E:$E,$B78,LANÇAMENTO!$F:$F,L$4)</f>
        <v>0</v>
      </c>
      <c r="M78" s="40">
        <f>-SUMIFS(LANÇAMENTO!$C:$C,LANÇAMENTO!$D:$D,$A78,LANÇAMENTO!$E:$E,$B78,LANÇAMENTO!$F:$F,M$4)</f>
        <v>0</v>
      </c>
      <c r="N78" s="40">
        <f>-SUMIFS(LANÇAMENTO!$C:$C,LANÇAMENTO!$D:$D,$A78,LANÇAMENTO!$E:$E,$B78,LANÇAMENTO!$F:$F,N$4)</f>
        <v>0</v>
      </c>
      <c r="O78" s="40">
        <f>-SUMIFS(LANÇAMENTO!$C:$C,LANÇAMENTO!$D:$D,$A78,LANÇAMENTO!$E:$E,$B78,LANÇAMENTO!$F:$F,O$4)</f>
        <v>0</v>
      </c>
      <c r="P78" s="40">
        <f>-SUMIFS(LANÇAMENTO!$C:$C,LANÇAMENTO!$D:$D,$A78,LANÇAMENTO!$E:$E,$B78,LANÇAMENTO!$F:$F,P$4)</f>
        <v>0</v>
      </c>
      <c r="Q78" s="37">
        <f t="shared" si="34"/>
        <v>0</v>
      </c>
      <c r="R78" s="29">
        <f t="shared" si="35"/>
        <v>0</v>
      </c>
    </row>
    <row r="79" spans="1:18" x14ac:dyDescent="0.25">
      <c r="A79" s="70"/>
      <c r="B79" s="26" t="s">
        <v>58</v>
      </c>
      <c r="C79" s="20">
        <f>SUM(C80:C87)</f>
        <v>1550</v>
      </c>
      <c r="D79" s="20">
        <f>SUM(D80:D87)</f>
        <v>18600</v>
      </c>
      <c r="E79" s="20">
        <f>SUM(E80:E87)</f>
        <v>967</v>
      </c>
      <c r="F79" s="20">
        <f t="shared" ref="F79:P79" si="54">SUM(F80:F87)</f>
        <v>902</v>
      </c>
      <c r="G79" s="20">
        <f t="shared" si="54"/>
        <v>1134</v>
      </c>
      <c r="H79" s="20">
        <f t="shared" si="54"/>
        <v>1081</v>
      </c>
      <c r="I79" s="20">
        <f t="shared" si="54"/>
        <v>1043</v>
      </c>
      <c r="J79" s="20">
        <f t="shared" si="54"/>
        <v>1254</v>
      </c>
      <c r="K79" s="20">
        <f t="shared" si="54"/>
        <v>868</v>
      </c>
      <c r="L79" s="20">
        <f t="shared" si="54"/>
        <v>716</v>
      </c>
      <c r="M79" s="20">
        <f t="shared" si="54"/>
        <v>1212</v>
      </c>
      <c r="N79" s="20">
        <f t="shared" si="54"/>
        <v>1038</v>
      </c>
      <c r="O79" s="20">
        <f t="shared" si="54"/>
        <v>1122</v>
      </c>
      <c r="P79" s="20">
        <f t="shared" si="54"/>
        <v>1200</v>
      </c>
      <c r="Q79" s="25">
        <f t="shared" si="34"/>
        <v>12537</v>
      </c>
      <c r="R79" s="29">
        <f>IF(SUM(R80:R87)=0,0,1)</f>
        <v>1</v>
      </c>
    </row>
    <row r="80" spans="1:18" x14ac:dyDescent="0.25">
      <c r="A80" s="70" t="str">
        <f>$B$79</f>
        <v>PESSOAIS</v>
      </c>
      <c r="B80" s="31" t="s">
        <v>59</v>
      </c>
      <c r="C80" s="45">
        <v>1000</v>
      </c>
      <c r="D80" s="34">
        <f t="shared" ref="D80:D82" si="55">C80*12</f>
        <v>12000</v>
      </c>
      <c r="E80" s="40">
        <f>-SUMIFS(LANÇAMENTO!$C:$C,LANÇAMENTO!$D:$D,$A80,LANÇAMENTO!$E:$E,$B80,LANÇAMENTO!$F:$F,E$4)</f>
        <v>967</v>
      </c>
      <c r="F80" s="40">
        <f>-SUMIFS(LANÇAMENTO!$C:$C,LANÇAMENTO!$D:$D,$A80,LANÇAMENTO!$E:$E,$B80,LANÇAMENTO!$F:$F,F$4)</f>
        <v>902</v>
      </c>
      <c r="G80" s="40">
        <f>-SUMIFS(LANÇAMENTO!$C:$C,LANÇAMENTO!$D:$D,$A80,LANÇAMENTO!$E:$E,$B80,LANÇAMENTO!$F:$F,G$4)</f>
        <v>1134</v>
      </c>
      <c r="H80" s="40">
        <f>-SUMIFS(LANÇAMENTO!$C:$C,LANÇAMENTO!$D:$D,$A80,LANÇAMENTO!$E:$E,$B80,LANÇAMENTO!$F:$F,H$4)</f>
        <v>1081</v>
      </c>
      <c r="I80" s="40">
        <f>-SUMIFS(LANÇAMENTO!$C:$C,LANÇAMENTO!$D:$D,$A80,LANÇAMENTO!$E:$E,$B80,LANÇAMENTO!$F:$F,I$4)</f>
        <v>1043</v>
      </c>
      <c r="J80" s="40">
        <f>-SUMIFS(LANÇAMENTO!$C:$C,LANÇAMENTO!$D:$D,$A80,LANÇAMENTO!$E:$E,$B80,LANÇAMENTO!$F:$F,J$4)</f>
        <v>1254</v>
      </c>
      <c r="K80" s="40">
        <f>-SUMIFS(LANÇAMENTO!$C:$C,LANÇAMENTO!$D:$D,$A80,LANÇAMENTO!$E:$E,$B80,LANÇAMENTO!$F:$F,K$4)</f>
        <v>868</v>
      </c>
      <c r="L80" s="40">
        <f>-SUMIFS(LANÇAMENTO!$C:$C,LANÇAMENTO!$D:$D,$A80,LANÇAMENTO!$E:$E,$B80,LANÇAMENTO!$F:$F,L$4)</f>
        <v>716</v>
      </c>
      <c r="M80" s="40">
        <f>-SUMIFS(LANÇAMENTO!$C:$C,LANÇAMENTO!$D:$D,$A80,LANÇAMENTO!$E:$E,$B80,LANÇAMENTO!$F:$F,M$4)</f>
        <v>1212</v>
      </c>
      <c r="N80" s="40">
        <f>-SUMIFS(LANÇAMENTO!$C:$C,LANÇAMENTO!$D:$D,$A80,LANÇAMENTO!$E:$E,$B80,LANÇAMENTO!$F:$F,N$4)</f>
        <v>1038</v>
      </c>
      <c r="O80" s="40">
        <f>-SUMIFS(LANÇAMENTO!$C:$C,LANÇAMENTO!$D:$D,$A80,LANÇAMENTO!$E:$E,$B80,LANÇAMENTO!$F:$F,O$4)</f>
        <v>1122</v>
      </c>
      <c r="P80" s="40">
        <f>-SUMIFS(LANÇAMENTO!$C:$C,LANÇAMENTO!$D:$D,$A80,LANÇAMENTO!$E:$E,$B80,LANÇAMENTO!$F:$F,P$4)</f>
        <v>1200</v>
      </c>
      <c r="Q80" s="37">
        <f t="shared" si="34"/>
        <v>12537</v>
      </c>
      <c r="R80" s="29">
        <f t="shared" si="35"/>
        <v>1</v>
      </c>
    </row>
    <row r="81" spans="1:18" x14ac:dyDescent="0.25">
      <c r="A81" s="70" t="str">
        <f t="shared" ref="A81:A87" si="56">$B$79</f>
        <v>PESSOAIS</v>
      </c>
      <c r="B81" s="31" t="s">
        <v>60</v>
      </c>
      <c r="C81" s="45">
        <v>0</v>
      </c>
      <c r="D81" s="34">
        <f t="shared" si="55"/>
        <v>0</v>
      </c>
      <c r="E81" s="40">
        <f>-SUMIFS(LANÇAMENTO!$C:$C,LANÇAMENTO!$D:$D,$A81,LANÇAMENTO!$E:$E,$B81,LANÇAMENTO!$F:$F,E$4)</f>
        <v>0</v>
      </c>
      <c r="F81" s="40">
        <f>-SUMIFS(LANÇAMENTO!$C:$C,LANÇAMENTO!$D:$D,$A81,LANÇAMENTO!$E:$E,$B81,LANÇAMENTO!$F:$F,F$4)</f>
        <v>0</v>
      </c>
      <c r="G81" s="40">
        <f>-SUMIFS(LANÇAMENTO!$C:$C,LANÇAMENTO!$D:$D,$A81,LANÇAMENTO!$E:$E,$B81,LANÇAMENTO!$F:$F,G$4)</f>
        <v>0</v>
      </c>
      <c r="H81" s="40">
        <f>-SUMIFS(LANÇAMENTO!$C:$C,LANÇAMENTO!$D:$D,$A81,LANÇAMENTO!$E:$E,$B81,LANÇAMENTO!$F:$F,H$4)</f>
        <v>0</v>
      </c>
      <c r="I81" s="40">
        <f>-SUMIFS(LANÇAMENTO!$C:$C,LANÇAMENTO!$D:$D,$A81,LANÇAMENTO!$E:$E,$B81,LANÇAMENTO!$F:$F,I$4)</f>
        <v>0</v>
      </c>
      <c r="J81" s="40">
        <f>-SUMIFS(LANÇAMENTO!$C:$C,LANÇAMENTO!$D:$D,$A81,LANÇAMENTO!$E:$E,$B81,LANÇAMENTO!$F:$F,J$4)</f>
        <v>0</v>
      </c>
      <c r="K81" s="40">
        <f>-SUMIFS(LANÇAMENTO!$C:$C,LANÇAMENTO!$D:$D,$A81,LANÇAMENTO!$E:$E,$B81,LANÇAMENTO!$F:$F,K$4)</f>
        <v>0</v>
      </c>
      <c r="L81" s="40">
        <f>-SUMIFS(LANÇAMENTO!$C:$C,LANÇAMENTO!$D:$D,$A81,LANÇAMENTO!$E:$E,$B81,LANÇAMENTO!$F:$F,L$4)</f>
        <v>0</v>
      </c>
      <c r="M81" s="40">
        <f>-SUMIFS(LANÇAMENTO!$C:$C,LANÇAMENTO!$D:$D,$A81,LANÇAMENTO!$E:$E,$B81,LANÇAMENTO!$F:$F,M$4)</f>
        <v>0</v>
      </c>
      <c r="N81" s="40">
        <f>-SUMIFS(LANÇAMENTO!$C:$C,LANÇAMENTO!$D:$D,$A81,LANÇAMENTO!$E:$E,$B81,LANÇAMENTO!$F:$F,N$4)</f>
        <v>0</v>
      </c>
      <c r="O81" s="40">
        <f>-SUMIFS(LANÇAMENTO!$C:$C,LANÇAMENTO!$D:$D,$A81,LANÇAMENTO!$E:$E,$B81,LANÇAMENTO!$F:$F,O$4)</f>
        <v>0</v>
      </c>
      <c r="P81" s="40">
        <f>-SUMIFS(LANÇAMENTO!$C:$C,LANÇAMENTO!$D:$D,$A81,LANÇAMENTO!$E:$E,$B81,LANÇAMENTO!$F:$F,P$4)</f>
        <v>0</v>
      </c>
      <c r="Q81" s="37">
        <f t="shared" si="34"/>
        <v>0</v>
      </c>
      <c r="R81" s="29">
        <f t="shared" si="35"/>
        <v>0</v>
      </c>
    </row>
    <row r="82" spans="1:18" x14ac:dyDescent="0.25">
      <c r="A82" s="70" t="str">
        <f t="shared" si="56"/>
        <v>PESSOAIS</v>
      </c>
      <c r="B82" s="31" t="s">
        <v>61</v>
      </c>
      <c r="C82" s="45">
        <v>0</v>
      </c>
      <c r="D82" s="34">
        <f t="shared" si="55"/>
        <v>0</v>
      </c>
      <c r="E82" s="40">
        <f>-SUMIFS(LANÇAMENTO!$C:$C,LANÇAMENTO!$D:$D,$A82,LANÇAMENTO!$E:$E,$B82,LANÇAMENTO!$F:$F,E$4)</f>
        <v>0</v>
      </c>
      <c r="F82" s="40">
        <f>-SUMIFS(LANÇAMENTO!$C:$C,LANÇAMENTO!$D:$D,$A82,LANÇAMENTO!$E:$E,$B82,LANÇAMENTO!$F:$F,F$4)</f>
        <v>0</v>
      </c>
      <c r="G82" s="40">
        <f>-SUMIFS(LANÇAMENTO!$C:$C,LANÇAMENTO!$D:$D,$A82,LANÇAMENTO!$E:$E,$B82,LANÇAMENTO!$F:$F,G$4)</f>
        <v>0</v>
      </c>
      <c r="H82" s="40">
        <f>-SUMIFS(LANÇAMENTO!$C:$C,LANÇAMENTO!$D:$D,$A82,LANÇAMENTO!$E:$E,$B82,LANÇAMENTO!$F:$F,H$4)</f>
        <v>0</v>
      </c>
      <c r="I82" s="40">
        <f>-SUMIFS(LANÇAMENTO!$C:$C,LANÇAMENTO!$D:$D,$A82,LANÇAMENTO!$E:$E,$B82,LANÇAMENTO!$F:$F,I$4)</f>
        <v>0</v>
      </c>
      <c r="J82" s="40">
        <f>-SUMIFS(LANÇAMENTO!$C:$C,LANÇAMENTO!$D:$D,$A82,LANÇAMENTO!$E:$E,$B82,LANÇAMENTO!$F:$F,J$4)</f>
        <v>0</v>
      </c>
      <c r="K82" s="40">
        <f>-SUMIFS(LANÇAMENTO!$C:$C,LANÇAMENTO!$D:$D,$A82,LANÇAMENTO!$E:$E,$B82,LANÇAMENTO!$F:$F,K$4)</f>
        <v>0</v>
      </c>
      <c r="L82" s="40">
        <f>-SUMIFS(LANÇAMENTO!$C:$C,LANÇAMENTO!$D:$D,$A82,LANÇAMENTO!$E:$E,$B82,LANÇAMENTO!$F:$F,L$4)</f>
        <v>0</v>
      </c>
      <c r="M82" s="40">
        <f>-SUMIFS(LANÇAMENTO!$C:$C,LANÇAMENTO!$D:$D,$A82,LANÇAMENTO!$E:$E,$B82,LANÇAMENTO!$F:$F,M$4)</f>
        <v>0</v>
      </c>
      <c r="N82" s="40">
        <f>-SUMIFS(LANÇAMENTO!$C:$C,LANÇAMENTO!$D:$D,$A82,LANÇAMENTO!$E:$E,$B82,LANÇAMENTO!$F:$F,N$4)</f>
        <v>0</v>
      </c>
      <c r="O82" s="40">
        <f>-SUMIFS(LANÇAMENTO!$C:$C,LANÇAMENTO!$D:$D,$A82,LANÇAMENTO!$E:$E,$B82,LANÇAMENTO!$F:$F,O$4)</f>
        <v>0</v>
      </c>
      <c r="P82" s="40">
        <f>-SUMIFS(LANÇAMENTO!$C:$C,LANÇAMENTO!$D:$D,$A82,LANÇAMENTO!$E:$E,$B82,LANÇAMENTO!$F:$F,P$4)</f>
        <v>0</v>
      </c>
      <c r="Q82" s="37">
        <f t="shared" si="34"/>
        <v>0</v>
      </c>
      <c r="R82" s="29">
        <f t="shared" si="35"/>
        <v>0</v>
      </c>
    </row>
    <row r="83" spans="1:18" x14ac:dyDescent="0.25">
      <c r="A83" s="70" t="str">
        <f t="shared" si="56"/>
        <v>PESSOAIS</v>
      </c>
      <c r="B83" s="31" t="s">
        <v>62</v>
      </c>
      <c r="C83" s="45">
        <v>150</v>
      </c>
      <c r="D83" s="34">
        <f t="shared" ref="D83:D87" si="57">C83*12</f>
        <v>1800</v>
      </c>
      <c r="E83" s="40">
        <f>-SUMIFS(LANÇAMENTO!$C:$C,LANÇAMENTO!$D:$D,$A83,LANÇAMENTO!$E:$E,$B83,LANÇAMENTO!$F:$F,E$4)</f>
        <v>0</v>
      </c>
      <c r="F83" s="40">
        <f>-SUMIFS(LANÇAMENTO!$C:$C,LANÇAMENTO!$D:$D,$A83,LANÇAMENTO!$E:$E,$B83,LANÇAMENTO!$F:$F,F$4)</f>
        <v>0</v>
      </c>
      <c r="G83" s="40">
        <f>-SUMIFS(LANÇAMENTO!$C:$C,LANÇAMENTO!$D:$D,$A83,LANÇAMENTO!$E:$E,$B83,LANÇAMENTO!$F:$F,G$4)</f>
        <v>0</v>
      </c>
      <c r="H83" s="40">
        <f>-SUMIFS(LANÇAMENTO!$C:$C,LANÇAMENTO!$D:$D,$A83,LANÇAMENTO!$E:$E,$B83,LANÇAMENTO!$F:$F,H$4)</f>
        <v>0</v>
      </c>
      <c r="I83" s="40">
        <f>-SUMIFS(LANÇAMENTO!$C:$C,LANÇAMENTO!$D:$D,$A83,LANÇAMENTO!$E:$E,$B83,LANÇAMENTO!$F:$F,I$4)</f>
        <v>0</v>
      </c>
      <c r="J83" s="40">
        <f>-SUMIFS(LANÇAMENTO!$C:$C,LANÇAMENTO!$D:$D,$A83,LANÇAMENTO!$E:$E,$B83,LANÇAMENTO!$F:$F,J$4)</f>
        <v>0</v>
      </c>
      <c r="K83" s="40">
        <f>-SUMIFS(LANÇAMENTO!$C:$C,LANÇAMENTO!$D:$D,$A83,LANÇAMENTO!$E:$E,$B83,LANÇAMENTO!$F:$F,K$4)</f>
        <v>0</v>
      </c>
      <c r="L83" s="40">
        <f>-SUMIFS(LANÇAMENTO!$C:$C,LANÇAMENTO!$D:$D,$A83,LANÇAMENTO!$E:$E,$B83,LANÇAMENTO!$F:$F,L$4)</f>
        <v>0</v>
      </c>
      <c r="M83" s="40">
        <f>-SUMIFS(LANÇAMENTO!$C:$C,LANÇAMENTO!$D:$D,$A83,LANÇAMENTO!$E:$E,$B83,LANÇAMENTO!$F:$F,M$4)</f>
        <v>0</v>
      </c>
      <c r="N83" s="40">
        <f>-SUMIFS(LANÇAMENTO!$C:$C,LANÇAMENTO!$D:$D,$A83,LANÇAMENTO!$E:$E,$B83,LANÇAMENTO!$F:$F,N$4)</f>
        <v>0</v>
      </c>
      <c r="O83" s="40">
        <f>-SUMIFS(LANÇAMENTO!$C:$C,LANÇAMENTO!$D:$D,$A83,LANÇAMENTO!$E:$E,$B83,LANÇAMENTO!$F:$F,O$4)</f>
        <v>0</v>
      </c>
      <c r="P83" s="40">
        <f>-SUMIFS(LANÇAMENTO!$C:$C,LANÇAMENTO!$D:$D,$A83,LANÇAMENTO!$E:$E,$B83,LANÇAMENTO!$F:$F,P$4)</f>
        <v>0</v>
      </c>
      <c r="Q83" s="37">
        <f t="shared" si="34"/>
        <v>0</v>
      </c>
      <c r="R83" s="29">
        <f t="shared" si="35"/>
        <v>1</v>
      </c>
    </row>
    <row r="84" spans="1:18" x14ac:dyDescent="0.25">
      <c r="A84" s="70" t="str">
        <f t="shared" si="56"/>
        <v>PESSOAIS</v>
      </c>
      <c r="B84" s="31" t="s">
        <v>63</v>
      </c>
      <c r="C84" s="45">
        <v>200</v>
      </c>
      <c r="D84" s="34">
        <f t="shared" si="57"/>
        <v>2400</v>
      </c>
      <c r="E84" s="40">
        <f>-SUMIFS(LANÇAMENTO!$C:$C,LANÇAMENTO!$D:$D,$A84,LANÇAMENTO!$E:$E,$B84,LANÇAMENTO!$F:$F,E$4)</f>
        <v>0</v>
      </c>
      <c r="F84" s="40">
        <f>-SUMIFS(LANÇAMENTO!$C:$C,LANÇAMENTO!$D:$D,$A84,LANÇAMENTO!$E:$E,$B84,LANÇAMENTO!$F:$F,F$4)</f>
        <v>0</v>
      </c>
      <c r="G84" s="40">
        <f>-SUMIFS(LANÇAMENTO!$C:$C,LANÇAMENTO!$D:$D,$A84,LANÇAMENTO!$E:$E,$B84,LANÇAMENTO!$F:$F,G$4)</f>
        <v>0</v>
      </c>
      <c r="H84" s="40">
        <f>-SUMIFS(LANÇAMENTO!$C:$C,LANÇAMENTO!$D:$D,$A84,LANÇAMENTO!$E:$E,$B84,LANÇAMENTO!$F:$F,H$4)</f>
        <v>0</v>
      </c>
      <c r="I84" s="40">
        <f>-SUMIFS(LANÇAMENTO!$C:$C,LANÇAMENTO!$D:$D,$A84,LANÇAMENTO!$E:$E,$B84,LANÇAMENTO!$F:$F,I$4)</f>
        <v>0</v>
      </c>
      <c r="J84" s="40">
        <f>-SUMIFS(LANÇAMENTO!$C:$C,LANÇAMENTO!$D:$D,$A84,LANÇAMENTO!$E:$E,$B84,LANÇAMENTO!$F:$F,J$4)</f>
        <v>0</v>
      </c>
      <c r="K84" s="40">
        <f>-SUMIFS(LANÇAMENTO!$C:$C,LANÇAMENTO!$D:$D,$A84,LANÇAMENTO!$E:$E,$B84,LANÇAMENTO!$F:$F,K$4)</f>
        <v>0</v>
      </c>
      <c r="L84" s="40">
        <f>-SUMIFS(LANÇAMENTO!$C:$C,LANÇAMENTO!$D:$D,$A84,LANÇAMENTO!$E:$E,$B84,LANÇAMENTO!$F:$F,L$4)</f>
        <v>0</v>
      </c>
      <c r="M84" s="40">
        <f>-SUMIFS(LANÇAMENTO!$C:$C,LANÇAMENTO!$D:$D,$A84,LANÇAMENTO!$E:$E,$B84,LANÇAMENTO!$F:$F,M$4)</f>
        <v>0</v>
      </c>
      <c r="N84" s="40">
        <f>-SUMIFS(LANÇAMENTO!$C:$C,LANÇAMENTO!$D:$D,$A84,LANÇAMENTO!$E:$E,$B84,LANÇAMENTO!$F:$F,N$4)</f>
        <v>0</v>
      </c>
      <c r="O84" s="40">
        <f>-SUMIFS(LANÇAMENTO!$C:$C,LANÇAMENTO!$D:$D,$A84,LANÇAMENTO!$E:$E,$B84,LANÇAMENTO!$F:$F,O$4)</f>
        <v>0</v>
      </c>
      <c r="P84" s="40">
        <f>-SUMIFS(LANÇAMENTO!$C:$C,LANÇAMENTO!$D:$D,$A84,LANÇAMENTO!$E:$E,$B84,LANÇAMENTO!$F:$F,P$4)</f>
        <v>0</v>
      </c>
      <c r="Q84" s="37">
        <f t="shared" si="34"/>
        <v>0</v>
      </c>
      <c r="R84" s="29">
        <f t="shared" si="35"/>
        <v>1</v>
      </c>
    </row>
    <row r="85" spans="1:18" x14ac:dyDescent="0.25">
      <c r="A85" s="70" t="str">
        <f t="shared" si="56"/>
        <v>PESSOAIS</v>
      </c>
      <c r="B85" s="31" t="s">
        <v>64</v>
      </c>
      <c r="C85" s="45">
        <v>200</v>
      </c>
      <c r="D85" s="34">
        <f t="shared" si="57"/>
        <v>2400</v>
      </c>
      <c r="E85" s="40">
        <f>-SUMIFS(LANÇAMENTO!$C:$C,LANÇAMENTO!$D:$D,$A85,LANÇAMENTO!$E:$E,$B85,LANÇAMENTO!$F:$F,E$4)</f>
        <v>0</v>
      </c>
      <c r="F85" s="40">
        <f>-SUMIFS(LANÇAMENTO!$C:$C,LANÇAMENTO!$D:$D,$A85,LANÇAMENTO!$E:$E,$B85,LANÇAMENTO!$F:$F,F$4)</f>
        <v>0</v>
      </c>
      <c r="G85" s="40">
        <f>-SUMIFS(LANÇAMENTO!$C:$C,LANÇAMENTO!$D:$D,$A85,LANÇAMENTO!$E:$E,$B85,LANÇAMENTO!$F:$F,G$4)</f>
        <v>0</v>
      </c>
      <c r="H85" s="40">
        <f>-SUMIFS(LANÇAMENTO!$C:$C,LANÇAMENTO!$D:$D,$A85,LANÇAMENTO!$E:$E,$B85,LANÇAMENTO!$F:$F,H$4)</f>
        <v>0</v>
      </c>
      <c r="I85" s="40">
        <f>-SUMIFS(LANÇAMENTO!$C:$C,LANÇAMENTO!$D:$D,$A85,LANÇAMENTO!$E:$E,$B85,LANÇAMENTO!$F:$F,I$4)</f>
        <v>0</v>
      </c>
      <c r="J85" s="40">
        <f>-SUMIFS(LANÇAMENTO!$C:$C,LANÇAMENTO!$D:$D,$A85,LANÇAMENTO!$E:$E,$B85,LANÇAMENTO!$F:$F,J$4)</f>
        <v>0</v>
      </c>
      <c r="K85" s="40">
        <f>-SUMIFS(LANÇAMENTO!$C:$C,LANÇAMENTO!$D:$D,$A85,LANÇAMENTO!$E:$E,$B85,LANÇAMENTO!$F:$F,K$4)</f>
        <v>0</v>
      </c>
      <c r="L85" s="40">
        <f>-SUMIFS(LANÇAMENTO!$C:$C,LANÇAMENTO!$D:$D,$A85,LANÇAMENTO!$E:$E,$B85,LANÇAMENTO!$F:$F,L$4)</f>
        <v>0</v>
      </c>
      <c r="M85" s="40">
        <f>-SUMIFS(LANÇAMENTO!$C:$C,LANÇAMENTO!$D:$D,$A85,LANÇAMENTO!$E:$E,$B85,LANÇAMENTO!$F:$F,M$4)</f>
        <v>0</v>
      </c>
      <c r="N85" s="40">
        <f>-SUMIFS(LANÇAMENTO!$C:$C,LANÇAMENTO!$D:$D,$A85,LANÇAMENTO!$E:$E,$B85,LANÇAMENTO!$F:$F,N$4)</f>
        <v>0</v>
      </c>
      <c r="O85" s="40">
        <f>-SUMIFS(LANÇAMENTO!$C:$C,LANÇAMENTO!$D:$D,$A85,LANÇAMENTO!$E:$E,$B85,LANÇAMENTO!$F:$F,O$4)</f>
        <v>0</v>
      </c>
      <c r="P85" s="40">
        <f>-SUMIFS(LANÇAMENTO!$C:$C,LANÇAMENTO!$D:$D,$A85,LANÇAMENTO!$E:$E,$B85,LANÇAMENTO!$F:$F,P$4)</f>
        <v>0</v>
      </c>
      <c r="Q85" s="37">
        <f t="shared" si="34"/>
        <v>0</v>
      </c>
      <c r="R85" s="29">
        <f t="shared" si="35"/>
        <v>1</v>
      </c>
    </row>
    <row r="86" spans="1:18" x14ac:dyDescent="0.25">
      <c r="A86" s="70" t="str">
        <f t="shared" si="56"/>
        <v>PESSOAIS</v>
      </c>
      <c r="B86" s="31" t="s">
        <v>65</v>
      </c>
      <c r="C86" s="45">
        <v>0</v>
      </c>
      <c r="D86" s="34">
        <f t="shared" si="57"/>
        <v>0</v>
      </c>
      <c r="E86" s="40">
        <f>-SUMIFS(LANÇAMENTO!$C:$C,LANÇAMENTO!$D:$D,$A86,LANÇAMENTO!$E:$E,$B86,LANÇAMENTO!$F:$F,E$4)</f>
        <v>0</v>
      </c>
      <c r="F86" s="40">
        <f>-SUMIFS(LANÇAMENTO!$C:$C,LANÇAMENTO!$D:$D,$A86,LANÇAMENTO!$E:$E,$B86,LANÇAMENTO!$F:$F,F$4)</f>
        <v>0</v>
      </c>
      <c r="G86" s="40">
        <f>-SUMIFS(LANÇAMENTO!$C:$C,LANÇAMENTO!$D:$D,$A86,LANÇAMENTO!$E:$E,$B86,LANÇAMENTO!$F:$F,G$4)</f>
        <v>0</v>
      </c>
      <c r="H86" s="40">
        <f>-SUMIFS(LANÇAMENTO!$C:$C,LANÇAMENTO!$D:$D,$A86,LANÇAMENTO!$E:$E,$B86,LANÇAMENTO!$F:$F,H$4)</f>
        <v>0</v>
      </c>
      <c r="I86" s="40">
        <f>-SUMIFS(LANÇAMENTO!$C:$C,LANÇAMENTO!$D:$D,$A86,LANÇAMENTO!$E:$E,$B86,LANÇAMENTO!$F:$F,I$4)</f>
        <v>0</v>
      </c>
      <c r="J86" s="40">
        <f>-SUMIFS(LANÇAMENTO!$C:$C,LANÇAMENTO!$D:$D,$A86,LANÇAMENTO!$E:$E,$B86,LANÇAMENTO!$F:$F,J$4)</f>
        <v>0</v>
      </c>
      <c r="K86" s="40">
        <f>-SUMIFS(LANÇAMENTO!$C:$C,LANÇAMENTO!$D:$D,$A86,LANÇAMENTO!$E:$E,$B86,LANÇAMENTO!$F:$F,K$4)</f>
        <v>0</v>
      </c>
      <c r="L86" s="40">
        <f>-SUMIFS(LANÇAMENTO!$C:$C,LANÇAMENTO!$D:$D,$A86,LANÇAMENTO!$E:$E,$B86,LANÇAMENTO!$F:$F,L$4)</f>
        <v>0</v>
      </c>
      <c r="M86" s="40">
        <f>-SUMIFS(LANÇAMENTO!$C:$C,LANÇAMENTO!$D:$D,$A86,LANÇAMENTO!$E:$E,$B86,LANÇAMENTO!$F:$F,M$4)</f>
        <v>0</v>
      </c>
      <c r="N86" s="40">
        <f>-SUMIFS(LANÇAMENTO!$C:$C,LANÇAMENTO!$D:$D,$A86,LANÇAMENTO!$E:$E,$B86,LANÇAMENTO!$F:$F,N$4)</f>
        <v>0</v>
      </c>
      <c r="O86" s="40">
        <f>-SUMIFS(LANÇAMENTO!$C:$C,LANÇAMENTO!$D:$D,$A86,LANÇAMENTO!$E:$E,$B86,LANÇAMENTO!$F:$F,O$4)</f>
        <v>0</v>
      </c>
      <c r="P86" s="40">
        <f>-SUMIFS(LANÇAMENTO!$C:$C,LANÇAMENTO!$D:$D,$A86,LANÇAMENTO!$E:$E,$B86,LANÇAMENTO!$F:$F,P$4)</f>
        <v>0</v>
      </c>
      <c r="Q86" s="37">
        <f t="shared" si="34"/>
        <v>0</v>
      </c>
      <c r="R86" s="29">
        <f t="shared" si="35"/>
        <v>0</v>
      </c>
    </row>
    <row r="87" spans="1:18" x14ac:dyDescent="0.25">
      <c r="A87" s="70" t="str">
        <f t="shared" si="56"/>
        <v>PESSOAIS</v>
      </c>
      <c r="B87" s="31" t="s">
        <v>142</v>
      </c>
      <c r="C87" s="45">
        <v>0</v>
      </c>
      <c r="D87" s="34">
        <f t="shared" si="57"/>
        <v>0</v>
      </c>
      <c r="E87" s="40">
        <f>-SUMIFS(LANÇAMENTO!$C:$C,LANÇAMENTO!$D:$D,$A87,LANÇAMENTO!$E:$E,$B87,LANÇAMENTO!$F:$F,E$4)</f>
        <v>0</v>
      </c>
      <c r="F87" s="40">
        <f>-SUMIFS(LANÇAMENTO!$C:$C,LANÇAMENTO!$D:$D,$A87,LANÇAMENTO!$E:$E,$B87,LANÇAMENTO!$F:$F,F$4)</f>
        <v>0</v>
      </c>
      <c r="G87" s="40">
        <f>-SUMIFS(LANÇAMENTO!$C:$C,LANÇAMENTO!$D:$D,$A87,LANÇAMENTO!$E:$E,$B87,LANÇAMENTO!$F:$F,G$4)</f>
        <v>0</v>
      </c>
      <c r="H87" s="40">
        <f>-SUMIFS(LANÇAMENTO!$C:$C,LANÇAMENTO!$D:$D,$A87,LANÇAMENTO!$E:$E,$B87,LANÇAMENTO!$F:$F,H$4)</f>
        <v>0</v>
      </c>
      <c r="I87" s="40">
        <f>-SUMIFS(LANÇAMENTO!$C:$C,LANÇAMENTO!$D:$D,$A87,LANÇAMENTO!$E:$E,$B87,LANÇAMENTO!$F:$F,I$4)</f>
        <v>0</v>
      </c>
      <c r="J87" s="40">
        <f>-SUMIFS(LANÇAMENTO!$C:$C,LANÇAMENTO!$D:$D,$A87,LANÇAMENTO!$E:$E,$B87,LANÇAMENTO!$F:$F,J$4)</f>
        <v>0</v>
      </c>
      <c r="K87" s="40">
        <f>-SUMIFS(LANÇAMENTO!$C:$C,LANÇAMENTO!$D:$D,$A87,LANÇAMENTO!$E:$E,$B87,LANÇAMENTO!$F:$F,K$4)</f>
        <v>0</v>
      </c>
      <c r="L87" s="40">
        <f>-SUMIFS(LANÇAMENTO!$C:$C,LANÇAMENTO!$D:$D,$A87,LANÇAMENTO!$E:$E,$B87,LANÇAMENTO!$F:$F,L$4)</f>
        <v>0</v>
      </c>
      <c r="M87" s="40">
        <f>-SUMIFS(LANÇAMENTO!$C:$C,LANÇAMENTO!$D:$D,$A87,LANÇAMENTO!$E:$E,$B87,LANÇAMENTO!$F:$F,M$4)</f>
        <v>0</v>
      </c>
      <c r="N87" s="40">
        <f>-SUMIFS(LANÇAMENTO!$C:$C,LANÇAMENTO!$D:$D,$A87,LANÇAMENTO!$E:$E,$B87,LANÇAMENTO!$F:$F,N$4)</f>
        <v>0</v>
      </c>
      <c r="O87" s="40">
        <f>-SUMIFS(LANÇAMENTO!$C:$C,LANÇAMENTO!$D:$D,$A87,LANÇAMENTO!$E:$E,$B87,LANÇAMENTO!$F:$F,O$4)</f>
        <v>0</v>
      </c>
      <c r="P87" s="40">
        <f>-SUMIFS(LANÇAMENTO!$C:$C,LANÇAMENTO!$D:$D,$A87,LANÇAMENTO!$E:$E,$B87,LANÇAMENTO!$F:$F,P$4)</f>
        <v>0</v>
      </c>
      <c r="Q87" s="37">
        <f t="shared" si="34"/>
        <v>0</v>
      </c>
      <c r="R87" s="29">
        <f t="shared" si="35"/>
        <v>0</v>
      </c>
    </row>
    <row r="88" spans="1:18" x14ac:dyDescent="0.25">
      <c r="A88" s="70"/>
      <c r="B88" s="26" t="s">
        <v>66</v>
      </c>
      <c r="C88" s="20">
        <f>SUM(C89:C94)</f>
        <v>1200</v>
      </c>
      <c r="D88" s="20">
        <f>SUM(D89:D94)</f>
        <v>14400</v>
      </c>
      <c r="E88" s="20">
        <f t="shared" ref="E88:P88" si="58">SUM(E89:E94)</f>
        <v>828</v>
      </c>
      <c r="F88" s="20">
        <f t="shared" si="58"/>
        <v>790</v>
      </c>
      <c r="G88" s="20">
        <f t="shared" si="58"/>
        <v>957</v>
      </c>
      <c r="H88" s="20">
        <f t="shared" si="58"/>
        <v>793</v>
      </c>
      <c r="I88" s="20">
        <f t="shared" si="58"/>
        <v>986</v>
      </c>
      <c r="J88" s="20">
        <f t="shared" si="58"/>
        <v>1197</v>
      </c>
      <c r="K88" s="20">
        <f t="shared" si="58"/>
        <v>1048</v>
      </c>
      <c r="L88" s="20">
        <f t="shared" si="58"/>
        <v>1048</v>
      </c>
      <c r="M88" s="20">
        <f t="shared" si="58"/>
        <v>1066</v>
      </c>
      <c r="N88" s="20">
        <f t="shared" si="58"/>
        <v>767</v>
      </c>
      <c r="O88" s="20">
        <f t="shared" si="58"/>
        <v>1061</v>
      </c>
      <c r="P88" s="20">
        <f t="shared" si="58"/>
        <v>786</v>
      </c>
      <c r="Q88" s="25">
        <f t="shared" si="34"/>
        <v>11327</v>
      </c>
      <c r="R88" s="29">
        <f>IF(SUM(R89:R94)=0,0,1)</f>
        <v>1</v>
      </c>
    </row>
    <row r="89" spans="1:18" x14ac:dyDescent="0.25">
      <c r="A89" s="70" t="str">
        <f>$B$88</f>
        <v>EDUCAÇÃO</v>
      </c>
      <c r="B89" s="31" t="s">
        <v>67</v>
      </c>
      <c r="C89" s="45">
        <v>1000</v>
      </c>
      <c r="D89" s="34">
        <f t="shared" ref="D89:D94" si="59">C89*12</f>
        <v>12000</v>
      </c>
      <c r="E89" s="40">
        <f>-SUMIFS(LANÇAMENTO!$C:$C,LANÇAMENTO!$D:$D,$A89,LANÇAMENTO!$E:$E,$B89,LANÇAMENTO!$F:$F,E$4)</f>
        <v>828</v>
      </c>
      <c r="F89" s="40">
        <f>-SUMIFS(LANÇAMENTO!$C:$C,LANÇAMENTO!$D:$D,$A89,LANÇAMENTO!$E:$E,$B89,LANÇAMENTO!$F:$F,F$4)</f>
        <v>790</v>
      </c>
      <c r="G89" s="40">
        <f>-SUMIFS(LANÇAMENTO!$C:$C,LANÇAMENTO!$D:$D,$A89,LANÇAMENTO!$E:$E,$B89,LANÇAMENTO!$F:$F,G$4)</f>
        <v>957</v>
      </c>
      <c r="H89" s="40">
        <f>-SUMIFS(LANÇAMENTO!$C:$C,LANÇAMENTO!$D:$D,$A89,LANÇAMENTO!$E:$E,$B89,LANÇAMENTO!$F:$F,H$4)</f>
        <v>793</v>
      </c>
      <c r="I89" s="40">
        <f>-SUMIFS(LANÇAMENTO!$C:$C,LANÇAMENTO!$D:$D,$A89,LANÇAMENTO!$E:$E,$B89,LANÇAMENTO!$F:$F,I$4)</f>
        <v>986</v>
      </c>
      <c r="J89" s="40">
        <f>-SUMIFS(LANÇAMENTO!$C:$C,LANÇAMENTO!$D:$D,$A89,LANÇAMENTO!$E:$E,$B89,LANÇAMENTO!$F:$F,J$4)</f>
        <v>1197</v>
      </c>
      <c r="K89" s="40">
        <f>-SUMIFS(LANÇAMENTO!$C:$C,LANÇAMENTO!$D:$D,$A89,LANÇAMENTO!$E:$E,$B89,LANÇAMENTO!$F:$F,K$4)</f>
        <v>1048</v>
      </c>
      <c r="L89" s="40">
        <f>-SUMIFS(LANÇAMENTO!$C:$C,LANÇAMENTO!$D:$D,$A89,LANÇAMENTO!$E:$E,$B89,LANÇAMENTO!$F:$F,L$4)</f>
        <v>1048</v>
      </c>
      <c r="M89" s="40">
        <f>-SUMIFS(LANÇAMENTO!$C:$C,LANÇAMENTO!$D:$D,$A89,LANÇAMENTO!$E:$E,$B89,LANÇAMENTO!$F:$F,M$4)</f>
        <v>1066</v>
      </c>
      <c r="N89" s="40">
        <f>-SUMIFS(LANÇAMENTO!$C:$C,LANÇAMENTO!$D:$D,$A89,LANÇAMENTO!$E:$E,$B89,LANÇAMENTO!$F:$F,N$4)</f>
        <v>767</v>
      </c>
      <c r="O89" s="40">
        <f>-SUMIFS(LANÇAMENTO!$C:$C,LANÇAMENTO!$D:$D,$A89,LANÇAMENTO!$E:$E,$B89,LANÇAMENTO!$F:$F,O$4)</f>
        <v>1061</v>
      </c>
      <c r="P89" s="40">
        <f>-SUMIFS(LANÇAMENTO!$C:$C,LANÇAMENTO!$D:$D,$A89,LANÇAMENTO!$E:$E,$B89,LANÇAMENTO!$F:$F,P$4)</f>
        <v>786</v>
      </c>
      <c r="Q89" s="37">
        <f t="shared" si="34"/>
        <v>11327</v>
      </c>
      <c r="R89" s="29">
        <f t="shared" si="35"/>
        <v>1</v>
      </c>
    </row>
    <row r="90" spans="1:18" x14ac:dyDescent="0.25">
      <c r="A90" s="70" t="str">
        <f t="shared" ref="A90:A94" si="60">$B$88</f>
        <v>EDUCAÇÃO</v>
      </c>
      <c r="B90" s="31" t="s">
        <v>68</v>
      </c>
      <c r="C90" s="45">
        <v>0</v>
      </c>
      <c r="D90" s="34">
        <f t="shared" si="59"/>
        <v>0</v>
      </c>
      <c r="E90" s="40">
        <f>-SUMIFS(LANÇAMENTO!$C:$C,LANÇAMENTO!$D:$D,$A90,LANÇAMENTO!$E:$E,$B90,LANÇAMENTO!$F:$F,E$4)</f>
        <v>0</v>
      </c>
      <c r="F90" s="40">
        <f>-SUMIFS(LANÇAMENTO!$C:$C,LANÇAMENTO!$D:$D,$A90,LANÇAMENTO!$E:$E,$B90,LANÇAMENTO!$F:$F,F$4)</f>
        <v>0</v>
      </c>
      <c r="G90" s="40">
        <f>-SUMIFS(LANÇAMENTO!$C:$C,LANÇAMENTO!$D:$D,$A90,LANÇAMENTO!$E:$E,$B90,LANÇAMENTO!$F:$F,G$4)</f>
        <v>0</v>
      </c>
      <c r="H90" s="40">
        <f>-SUMIFS(LANÇAMENTO!$C:$C,LANÇAMENTO!$D:$D,$A90,LANÇAMENTO!$E:$E,$B90,LANÇAMENTO!$F:$F,H$4)</f>
        <v>0</v>
      </c>
      <c r="I90" s="40">
        <f>-SUMIFS(LANÇAMENTO!$C:$C,LANÇAMENTO!$D:$D,$A90,LANÇAMENTO!$E:$E,$B90,LANÇAMENTO!$F:$F,I$4)</f>
        <v>0</v>
      </c>
      <c r="J90" s="40">
        <f>-SUMIFS(LANÇAMENTO!$C:$C,LANÇAMENTO!$D:$D,$A90,LANÇAMENTO!$E:$E,$B90,LANÇAMENTO!$F:$F,J$4)</f>
        <v>0</v>
      </c>
      <c r="K90" s="40">
        <f>-SUMIFS(LANÇAMENTO!$C:$C,LANÇAMENTO!$D:$D,$A90,LANÇAMENTO!$E:$E,$B90,LANÇAMENTO!$F:$F,K$4)</f>
        <v>0</v>
      </c>
      <c r="L90" s="40">
        <f>-SUMIFS(LANÇAMENTO!$C:$C,LANÇAMENTO!$D:$D,$A90,LANÇAMENTO!$E:$E,$B90,LANÇAMENTO!$F:$F,L$4)</f>
        <v>0</v>
      </c>
      <c r="M90" s="40">
        <f>-SUMIFS(LANÇAMENTO!$C:$C,LANÇAMENTO!$D:$D,$A90,LANÇAMENTO!$E:$E,$B90,LANÇAMENTO!$F:$F,M$4)</f>
        <v>0</v>
      </c>
      <c r="N90" s="40">
        <f>-SUMIFS(LANÇAMENTO!$C:$C,LANÇAMENTO!$D:$D,$A90,LANÇAMENTO!$E:$E,$B90,LANÇAMENTO!$F:$F,N$4)</f>
        <v>0</v>
      </c>
      <c r="O90" s="40">
        <f>-SUMIFS(LANÇAMENTO!$C:$C,LANÇAMENTO!$D:$D,$A90,LANÇAMENTO!$E:$E,$B90,LANÇAMENTO!$F:$F,O$4)</f>
        <v>0</v>
      </c>
      <c r="P90" s="40">
        <f>-SUMIFS(LANÇAMENTO!$C:$C,LANÇAMENTO!$D:$D,$A90,LANÇAMENTO!$E:$E,$B90,LANÇAMENTO!$F:$F,P$4)</f>
        <v>0</v>
      </c>
      <c r="Q90" s="37">
        <f t="shared" si="34"/>
        <v>0</v>
      </c>
      <c r="R90" s="29">
        <f t="shared" si="35"/>
        <v>0</v>
      </c>
    </row>
    <row r="91" spans="1:18" x14ac:dyDescent="0.25">
      <c r="A91" s="70" t="str">
        <f t="shared" si="60"/>
        <v>EDUCAÇÃO</v>
      </c>
      <c r="B91" s="31" t="s">
        <v>69</v>
      </c>
      <c r="C91" s="45">
        <v>0</v>
      </c>
      <c r="D91" s="34">
        <f t="shared" si="59"/>
        <v>0</v>
      </c>
      <c r="E91" s="40">
        <f>-SUMIFS(LANÇAMENTO!$C:$C,LANÇAMENTO!$D:$D,$A91,LANÇAMENTO!$E:$E,$B91,LANÇAMENTO!$F:$F,E$4)</f>
        <v>0</v>
      </c>
      <c r="F91" s="40">
        <f>-SUMIFS(LANÇAMENTO!$C:$C,LANÇAMENTO!$D:$D,$A91,LANÇAMENTO!$E:$E,$B91,LANÇAMENTO!$F:$F,F$4)</f>
        <v>0</v>
      </c>
      <c r="G91" s="40">
        <f>-SUMIFS(LANÇAMENTO!$C:$C,LANÇAMENTO!$D:$D,$A91,LANÇAMENTO!$E:$E,$B91,LANÇAMENTO!$F:$F,G$4)</f>
        <v>0</v>
      </c>
      <c r="H91" s="40">
        <f>-SUMIFS(LANÇAMENTO!$C:$C,LANÇAMENTO!$D:$D,$A91,LANÇAMENTO!$E:$E,$B91,LANÇAMENTO!$F:$F,H$4)</f>
        <v>0</v>
      </c>
      <c r="I91" s="40">
        <f>-SUMIFS(LANÇAMENTO!$C:$C,LANÇAMENTO!$D:$D,$A91,LANÇAMENTO!$E:$E,$B91,LANÇAMENTO!$F:$F,I$4)</f>
        <v>0</v>
      </c>
      <c r="J91" s="40">
        <f>-SUMIFS(LANÇAMENTO!$C:$C,LANÇAMENTO!$D:$D,$A91,LANÇAMENTO!$E:$E,$B91,LANÇAMENTO!$F:$F,J$4)</f>
        <v>0</v>
      </c>
      <c r="K91" s="40">
        <f>-SUMIFS(LANÇAMENTO!$C:$C,LANÇAMENTO!$D:$D,$A91,LANÇAMENTO!$E:$E,$B91,LANÇAMENTO!$F:$F,K$4)</f>
        <v>0</v>
      </c>
      <c r="L91" s="40">
        <f>-SUMIFS(LANÇAMENTO!$C:$C,LANÇAMENTO!$D:$D,$A91,LANÇAMENTO!$E:$E,$B91,LANÇAMENTO!$F:$F,L$4)</f>
        <v>0</v>
      </c>
      <c r="M91" s="40">
        <f>-SUMIFS(LANÇAMENTO!$C:$C,LANÇAMENTO!$D:$D,$A91,LANÇAMENTO!$E:$E,$B91,LANÇAMENTO!$F:$F,M$4)</f>
        <v>0</v>
      </c>
      <c r="N91" s="40">
        <f>-SUMIFS(LANÇAMENTO!$C:$C,LANÇAMENTO!$D:$D,$A91,LANÇAMENTO!$E:$E,$B91,LANÇAMENTO!$F:$F,N$4)</f>
        <v>0</v>
      </c>
      <c r="O91" s="40">
        <f>-SUMIFS(LANÇAMENTO!$C:$C,LANÇAMENTO!$D:$D,$A91,LANÇAMENTO!$E:$E,$B91,LANÇAMENTO!$F:$F,O$4)</f>
        <v>0</v>
      </c>
      <c r="P91" s="40">
        <f>-SUMIFS(LANÇAMENTO!$C:$C,LANÇAMENTO!$D:$D,$A91,LANÇAMENTO!$E:$E,$B91,LANÇAMENTO!$F:$F,P$4)</f>
        <v>0</v>
      </c>
      <c r="Q91" s="37">
        <f t="shared" si="34"/>
        <v>0</v>
      </c>
      <c r="R91" s="29">
        <f t="shared" si="35"/>
        <v>0</v>
      </c>
    </row>
    <row r="92" spans="1:18" x14ac:dyDescent="0.25">
      <c r="A92" s="70" t="str">
        <f t="shared" si="60"/>
        <v>EDUCAÇÃO</v>
      </c>
      <c r="B92" s="31" t="s">
        <v>70</v>
      </c>
      <c r="C92" s="45">
        <v>0</v>
      </c>
      <c r="D92" s="34">
        <f t="shared" si="59"/>
        <v>0</v>
      </c>
      <c r="E92" s="40">
        <f>-SUMIFS(LANÇAMENTO!$C:$C,LANÇAMENTO!$D:$D,$A92,LANÇAMENTO!$E:$E,$B92,LANÇAMENTO!$F:$F,E$4)</f>
        <v>0</v>
      </c>
      <c r="F92" s="40">
        <f>-SUMIFS(LANÇAMENTO!$C:$C,LANÇAMENTO!$D:$D,$A92,LANÇAMENTO!$E:$E,$B92,LANÇAMENTO!$F:$F,F$4)</f>
        <v>0</v>
      </c>
      <c r="G92" s="40">
        <f>-SUMIFS(LANÇAMENTO!$C:$C,LANÇAMENTO!$D:$D,$A92,LANÇAMENTO!$E:$E,$B92,LANÇAMENTO!$F:$F,G$4)</f>
        <v>0</v>
      </c>
      <c r="H92" s="40">
        <f>-SUMIFS(LANÇAMENTO!$C:$C,LANÇAMENTO!$D:$D,$A92,LANÇAMENTO!$E:$E,$B92,LANÇAMENTO!$F:$F,H$4)</f>
        <v>0</v>
      </c>
      <c r="I92" s="40">
        <f>-SUMIFS(LANÇAMENTO!$C:$C,LANÇAMENTO!$D:$D,$A92,LANÇAMENTO!$E:$E,$B92,LANÇAMENTO!$F:$F,I$4)</f>
        <v>0</v>
      </c>
      <c r="J92" s="40">
        <f>-SUMIFS(LANÇAMENTO!$C:$C,LANÇAMENTO!$D:$D,$A92,LANÇAMENTO!$E:$E,$B92,LANÇAMENTO!$F:$F,J$4)</f>
        <v>0</v>
      </c>
      <c r="K92" s="40">
        <f>-SUMIFS(LANÇAMENTO!$C:$C,LANÇAMENTO!$D:$D,$A92,LANÇAMENTO!$E:$E,$B92,LANÇAMENTO!$F:$F,K$4)</f>
        <v>0</v>
      </c>
      <c r="L92" s="40">
        <f>-SUMIFS(LANÇAMENTO!$C:$C,LANÇAMENTO!$D:$D,$A92,LANÇAMENTO!$E:$E,$B92,LANÇAMENTO!$F:$F,L$4)</f>
        <v>0</v>
      </c>
      <c r="M92" s="40">
        <f>-SUMIFS(LANÇAMENTO!$C:$C,LANÇAMENTO!$D:$D,$A92,LANÇAMENTO!$E:$E,$B92,LANÇAMENTO!$F:$F,M$4)</f>
        <v>0</v>
      </c>
      <c r="N92" s="40">
        <f>-SUMIFS(LANÇAMENTO!$C:$C,LANÇAMENTO!$D:$D,$A92,LANÇAMENTO!$E:$E,$B92,LANÇAMENTO!$F:$F,N$4)</f>
        <v>0</v>
      </c>
      <c r="O92" s="40">
        <f>-SUMIFS(LANÇAMENTO!$C:$C,LANÇAMENTO!$D:$D,$A92,LANÇAMENTO!$E:$E,$B92,LANÇAMENTO!$F:$F,O$4)</f>
        <v>0</v>
      </c>
      <c r="P92" s="40">
        <f>-SUMIFS(LANÇAMENTO!$C:$C,LANÇAMENTO!$D:$D,$A92,LANÇAMENTO!$E:$E,$B92,LANÇAMENTO!$F:$F,P$4)</f>
        <v>0</v>
      </c>
      <c r="Q92" s="37">
        <f t="shared" si="34"/>
        <v>0</v>
      </c>
      <c r="R92" s="29">
        <f t="shared" si="35"/>
        <v>0</v>
      </c>
    </row>
    <row r="93" spans="1:18" x14ac:dyDescent="0.25">
      <c r="A93" s="70" t="str">
        <f t="shared" si="60"/>
        <v>EDUCAÇÃO</v>
      </c>
      <c r="B93" s="31" t="s">
        <v>71</v>
      </c>
      <c r="C93" s="45">
        <v>200</v>
      </c>
      <c r="D93" s="34">
        <f t="shared" si="59"/>
        <v>2400</v>
      </c>
      <c r="E93" s="40">
        <f>-SUMIFS(LANÇAMENTO!$C:$C,LANÇAMENTO!$D:$D,$A93,LANÇAMENTO!$E:$E,$B93,LANÇAMENTO!$F:$F,E$4)</f>
        <v>0</v>
      </c>
      <c r="F93" s="40">
        <f>-SUMIFS(LANÇAMENTO!$C:$C,LANÇAMENTO!$D:$D,$A93,LANÇAMENTO!$E:$E,$B93,LANÇAMENTO!$F:$F,F$4)</f>
        <v>0</v>
      </c>
      <c r="G93" s="40">
        <f>-SUMIFS(LANÇAMENTO!$C:$C,LANÇAMENTO!$D:$D,$A93,LANÇAMENTO!$E:$E,$B93,LANÇAMENTO!$F:$F,G$4)</f>
        <v>0</v>
      </c>
      <c r="H93" s="40">
        <f>-SUMIFS(LANÇAMENTO!$C:$C,LANÇAMENTO!$D:$D,$A93,LANÇAMENTO!$E:$E,$B93,LANÇAMENTO!$F:$F,H$4)</f>
        <v>0</v>
      </c>
      <c r="I93" s="40">
        <f>-SUMIFS(LANÇAMENTO!$C:$C,LANÇAMENTO!$D:$D,$A93,LANÇAMENTO!$E:$E,$B93,LANÇAMENTO!$F:$F,I$4)</f>
        <v>0</v>
      </c>
      <c r="J93" s="40">
        <f>-SUMIFS(LANÇAMENTO!$C:$C,LANÇAMENTO!$D:$D,$A93,LANÇAMENTO!$E:$E,$B93,LANÇAMENTO!$F:$F,J$4)</f>
        <v>0</v>
      </c>
      <c r="K93" s="40">
        <f>-SUMIFS(LANÇAMENTO!$C:$C,LANÇAMENTO!$D:$D,$A93,LANÇAMENTO!$E:$E,$B93,LANÇAMENTO!$F:$F,K$4)</f>
        <v>0</v>
      </c>
      <c r="L93" s="40">
        <f>-SUMIFS(LANÇAMENTO!$C:$C,LANÇAMENTO!$D:$D,$A93,LANÇAMENTO!$E:$E,$B93,LANÇAMENTO!$F:$F,L$4)</f>
        <v>0</v>
      </c>
      <c r="M93" s="40">
        <f>-SUMIFS(LANÇAMENTO!$C:$C,LANÇAMENTO!$D:$D,$A93,LANÇAMENTO!$E:$E,$B93,LANÇAMENTO!$F:$F,M$4)</f>
        <v>0</v>
      </c>
      <c r="N93" s="40">
        <f>-SUMIFS(LANÇAMENTO!$C:$C,LANÇAMENTO!$D:$D,$A93,LANÇAMENTO!$E:$E,$B93,LANÇAMENTO!$F:$F,N$4)</f>
        <v>0</v>
      </c>
      <c r="O93" s="40">
        <f>-SUMIFS(LANÇAMENTO!$C:$C,LANÇAMENTO!$D:$D,$A93,LANÇAMENTO!$E:$E,$B93,LANÇAMENTO!$F:$F,O$4)</f>
        <v>0</v>
      </c>
      <c r="P93" s="40">
        <f>-SUMIFS(LANÇAMENTO!$C:$C,LANÇAMENTO!$D:$D,$A93,LANÇAMENTO!$E:$E,$B93,LANÇAMENTO!$F:$F,P$4)</f>
        <v>0</v>
      </c>
      <c r="Q93" s="37">
        <f t="shared" si="34"/>
        <v>0</v>
      </c>
      <c r="R93" s="29">
        <f t="shared" si="35"/>
        <v>1</v>
      </c>
    </row>
    <row r="94" spans="1:18" x14ac:dyDescent="0.25">
      <c r="A94" s="70" t="str">
        <f t="shared" si="60"/>
        <v>EDUCAÇÃO</v>
      </c>
      <c r="B94" s="31" t="s">
        <v>142</v>
      </c>
      <c r="C94" s="45">
        <v>0</v>
      </c>
      <c r="D94" s="34">
        <f t="shared" si="59"/>
        <v>0</v>
      </c>
      <c r="E94" s="40">
        <f>-SUMIFS(LANÇAMENTO!$C:$C,LANÇAMENTO!$D:$D,$A94,LANÇAMENTO!$E:$E,$B94,LANÇAMENTO!$F:$F,E$4)</f>
        <v>0</v>
      </c>
      <c r="F94" s="40">
        <f>-SUMIFS(LANÇAMENTO!$C:$C,LANÇAMENTO!$D:$D,$A94,LANÇAMENTO!$E:$E,$B94,LANÇAMENTO!$F:$F,F$4)</f>
        <v>0</v>
      </c>
      <c r="G94" s="40">
        <f>-SUMIFS(LANÇAMENTO!$C:$C,LANÇAMENTO!$D:$D,$A94,LANÇAMENTO!$E:$E,$B94,LANÇAMENTO!$F:$F,G$4)</f>
        <v>0</v>
      </c>
      <c r="H94" s="40">
        <f>-SUMIFS(LANÇAMENTO!$C:$C,LANÇAMENTO!$D:$D,$A94,LANÇAMENTO!$E:$E,$B94,LANÇAMENTO!$F:$F,H$4)</f>
        <v>0</v>
      </c>
      <c r="I94" s="40">
        <f>-SUMIFS(LANÇAMENTO!$C:$C,LANÇAMENTO!$D:$D,$A94,LANÇAMENTO!$E:$E,$B94,LANÇAMENTO!$F:$F,I$4)</f>
        <v>0</v>
      </c>
      <c r="J94" s="40">
        <f>-SUMIFS(LANÇAMENTO!$C:$C,LANÇAMENTO!$D:$D,$A94,LANÇAMENTO!$E:$E,$B94,LANÇAMENTO!$F:$F,J$4)</f>
        <v>0</v>
      </c>
      <c r="K94" s="40">
        <f>-SUMIFS(LANÇAMENTO!$C:$C,LANÇAMENTO!$D:$D,$A94,LANÇAMENTO!$E:$E,$B94,LANÇAMENTO!$F:$F,K$4)</f>
        <v>0</v>
      </c>
      <c r="L94" s="40">
        <f>-SUMIFS(LANÇAMENTO!$C:$C,LANÇAMENTO!$D:$D,$A94,LANÇAMENTO!$E:$E,$B94,LANÇAMENTO!$F:$F,L$4)</f>
        <v>0</v>
      </c>
      <c r="M94" s="40">
        <f>-SUMIFS(LANÇAMENTO!$C:$C,LANÇAMENTO!$D:$D,$A94,LANÇAMENTO!$E:$E,$B94,LANÇAMENTO!$F:$F,M$4)</f>
        <v>0</v>
      </c>
      <c r="N94" s="40">
        <f>-SUMIFS(LANÇAMENTO!$C:$C,LANÇAMENTO!$D:$D,$A94,LANÇAMENTO!$E:$E,$B94,LANÇAMENTO!$F:$F,N$4)</f>
        <v>0</v>
      </c>
      <c r="O94" s="40">
        <f>-SUMIFS(LANÇAMENTO!$C:$C,LANÇAMENTO!$D:$D,$A94,LANÇAMENTO!$E:$E,$B94,LANÇAMENTO!$F:$F,O$4)</f>
        <v>0</v>
      </c>
      <c r="P94" s="40">
        <f>-SUMIFS(LANÇAMENTO!$C:$C,LANÇAMENTO!$D:$D,$A94,LANÇAMENTO!$E:$E,$B94,LANÇAMENTO!$F:$F,P$4)</f>
        <v>0</v>
      </c>
      <c r="Q94" s="37">
        <f t="shared" ref="Q94:Q128" si="61">SUM(E94:P94)</f>
        <v>0</v>
      </c>
      <c r="R94" s="29">
        <f t="shared" ref="R94" si="62">IF(SUM(C94:Q94)=0,0,1)</f>
        <v>0</v>
      </c>
    </row>
    <row r="95" spans="1:18" x14ac:dyDescent="0.25">
      <c r="A95" s="70"/>
      <c r="B95" s="26" t="s">
        <v>201</v>
      </c>
      <c r="C95" s="20">
        <f>SUM(C96:C101)</f>
        <v>1000</v>
      </c>
      <c r="D95" s="20">
        <f>SUM(D96:D101)</f>
        <v>12000</v>
      </c>
      <c r="E95" s="20">
        <f t="shared" ref="E95:P95" si="63">SUM(E96:E101)</f>
        <v>529</v>
      </c>
      <c r="F95" s="20">
        <f t="shared" si="63"/>
        <v>558</v>
      </c>
      <c r="G95" s="20">
        <f t="shared" si="63"/>
        <v>405</v>
      </c>
      <c r="H95" s="20">
        <f t="shared" si="63"/>
        <v>515</v>
      </c>
      <c r="I95" s="20">
        <f t="shared" si="63"/>
        <v>570</v>
      </c>
      <c r="J95" s="20">
        <f t="shared" si="63"/>
        <v>553</v>
      </c>
      <c r="K95" s="20">
        <f t="shared" si="63"/>
        <v>462</v>
      </c>
      <c r="L95" s="20">
        <f t="shared" si="63"/>
        <v>618</v>
      </c>
      <c r="M95" s="20">
        <f t="shared" si="63"/>
        <v>354</v>
      </c>
      <c r="N95" s="20">
        <f t="shared" si="63"/>
        <v>496</v>
      </c>
      <c r="O95" s="20">
        <f t="shared" si="63"/>
        <v>396</v>
      </c>
      <c r="P95" s="20">
        <f t="shared" si="63"/>
        <v>458</v>
      </c>
      <c r="Q95" s="25">
        <f t="shared" si="61"/>
        <v>5914</v>
      </c>
      <c r="R95" s="29">
        <f>IF(SUM(R96:R101)=0,0,1)</f>
        <v>1</v>
      </c>
    </row>
    <row r="96" spans="1:18" x14ac:dyDescent="0.25">
      <c r="A96" s="70" t="str">
        <f>$B$95</f>
        <v>LAZER</v>
      </c>
      <c r="B96" s="31" t="s">
        <v>72</v>
      </c>
      <c r="C96" s="45">
        <v>500</v>
      </c>
      <c r="D96" s="34">
        <f t="shared" ref="D96:D97" si="64">C96*12</f>
        <v>6000</v>
      </c>
      <c r="E96" s="40">
        <f>-SUMIFS(LANÇAMENTO!$C:$C,LANÇAMENTO!$D:$D,$A96,LANÇAMENTO!$E:$E,$B96,LANÇAMENTO!$F:$F,E$4)</f>
        <v>529</v>
      </c>
      <c r="F96" s="40">
        <f>-SUMIFS(LANÇAMENTO!$C:$C,LANÇAMENTO!$D:$D,$A96,LANÇAMENTO!$E:$E,$B96,LANÇAMENTO!$F:$F,F$4)</f>
        <v>558</v>
      </c>
      <c r="G96" s="40">
        <f>-SUMIFS(LANÇAMENTO!$C:$C,LANÇAMENTO!$D:$D,$A96,LANÇAMENTO!$E:$E,$B96,LANÇAMENTO!$F:$F,G$4)</f>
        <v>405</v>
      </c>
      <c r="H96" s="40">
        <f>-SUMIFS(LANÇAMENTO!$C:$C,LANÇAMENTO!$D:$D,$A96,LANÇAMENTO!$E:$E,$B96,LANÇAMENTO!$F:$F,H$4)</f>
        <v>515</v>
      </c>
      <c r="I96" s="40">
        <f>-SUMIFS(LANÇAMENTO!$C:$C,LANÇAMENTO!$D:$D,$A96,LANÇAMENTO!$E:$E,$B96,LANÇAMENTO!$F:$F,I$4)</f>
        <v>570</v>
      </c>
      <c r="J96" s="40">
        <f>-SUMIFS(LANÇAMENTO!$C:$C,LANÇAMENTO!$D:$D,$A96,LANÇAMENTO!$E:$E,$B96,LANÇAMENTO!$F:$F,J$4)</f>
        <v>553</v>
      </c>
      <c r="K96" s="40">
        <f>-SUMIFS(LANÇAMENTO!$C:$C,LANÇAMENTO!$D:$D,$A96,LANÇAMENTO!$E:$E,$B96,LANÇAMENTO!$F:$F,K$4)</f>
        <v>462</v>
      </c>
      <c r="L96" s="40">
        <f>-SUMIFS(LANÇAMENTO!$C:$C,LANÇAMENTO!$D:$D,$A96,LANÇAMENTO!$E:$E,$B96,LANÇAMENTO!$F:$F,L$4)</f>
        <v>618</v>
      </c>
      <c r="M96" s="40">
        <f>-SUMIFS(LANÇAMENTO!$C:$C,LANÇAMENTO!$D:$D,$A96,LANÇAMENTO!$E:$E,$B96,LANÇAMENTO!$F:$F,M$4)</f>
        <v>354</v>
      </c>
      <c r="N96" s="40">
        <f>-SUMIFS(LANÇAMENTO!$C:$C,LANÇAMENTO!$D:$D,$A96,LANÇAMENTO!$E:$E,$B96,LANÇAMENTO!$F:$F,N$4)</f>
        <v>496</v>
      </c>
      <c r="O96" s="40">
        <f>-SUMIFS(LANÇAMENTO!$C:$C,LANÇAMENTO!$D:$D,$A96,LANÇAMENTO!$E:$E,$B96,LANÇAMENTO!$F:$F,O$4)</f>
        <v>396</v>
      </c>
      <c r="P96" s="40">
        <f>-SUMIFS(LANÇAMENTO!$C:$C,LANÇAMENTO!$D:$D,$A96,LANÇAMENTO!$E:$E,$B96,LANÇAMENTO!$F:$F,P$4)</f>
        <v>458</v>
      </c>
      <c r="Q96" s="37">
        <f t="shared" si="61"/>
        <v>5914</v>
      </c>
      <c r="R96" s="29">
        <f t="shared" ref="R96:R128" si="65">IF(SUM(C96:Q96)=0,0,1)</f>
        <v>1</v>
      </c>
    </row>
    <row r="97" spans="1:18" x14ac:dyDescent="0.25">
      <c r="A97" s="70" t="str">
        <f t="shared" ref="A97:A101" si="66">$B$95</f>
        <v>LAZER</v>
      </c>
      <c r="B97" s="31" t="s">
        <v>73</v>
      </c>
      <c r="C97" s="45">
        <v>0</v>
      </c>
      <c r="D97" s="34">
        <f t="shared" si="64"/>
        <v>0</v>
      </c>
      <c r="E97" s="40">
        <f>-SUMIFS(LANÇAMENTO!$C:$C,LANÇAMENTO!$D:$D,$A97,LANÇAMENTO!$E:$E,$B97,LANÇAMENTO!$F:$F,E$4)</f>
        <v>0</v>
      </c>
      <c r="F97" s="40">
        <f>-SUMIFS(LANÇAMENTO!$C:$C,LANÇAMENTO!$D:$D,$A97,LANÇAMENTO!$E:$E,$B97,LANÇAMENTO!$F:$F,F$4)</f>
        <v>0</v>
      </c>
      <c r="G97" s="40">
        <f>-SUMIFS(LANÇAMENTO!$C:$C,LANÇAMENTO!$D:$D,$A97,LANÇAMENTO!$E:$E,$B97,LANÇAMENTO!$F:$F,G$4)</f>
        <v>0</v>
      </c>
      <c r="H97" s="40">
        <f>-SUMIFS(LANÇAMENTO!$C:$C,LANÇAMENTO!$D:$D,$A97,LANÇAMENTO!$E:$E,$B97,LANÇAMENTO!$F:$F,H$4)</f>
        <v>0</v>
      </c>
      <c r="I97" s="40">
        <f>-SUMIFS(LANÇAMENTO!$C:$C,LANÇAMENTO!$D:$D,$A97,LANÇAMENTO!$E:$E,$B97,LANÇAMENTO!$F:$F,I$4)</f>
        <v>0</v>
      </c>
      <c r="J97" s="40">
        <f>-SUMIFS(LANÇAMENTO!$C:$C,LANÇAMENTO!$D:$D,$A97,LANÇAMENTO!$E:$E,$B97,LANÇAMENTO!$F:$F,J$4)</f>
        <v>0</v>
      </c>
      <c r="K97" s="40">
        <f>-SUMIFS(LANÇAMENTO!$C:$C,LANÇAMENTO!$D:$D,$A97,LANÇAMENTO!$E:$E,$B97,LANÇAMENTO!$F:$F,K$4)</f>
        <v>0</v>
      </c>
      <c r="L97" s="40">
        <f>-SUMIFS(LANÇAMENTO!$C:$C,LANÇAMENTO!$D:$D,$A97,LANÇAMENTO!$E:$E,$B97,LANÇAMENTO!$F:$F,L$4)</f>
        <v>0</v>
      </c>
      <c r="M97" s="40">
        <f>-SUMIFS(LANÇAMENTO!$C:$C,LANÇAMENTO!$D:$D,$A97,LANÇAMENTO!$E:$E,$B97,LANÇAMENTO!$F:$F,M$4)</f>
        <v>0</v>
      </c>
      <c r="N97" s="40">
        <f>-SUMIFS(LANÇAMENTO!$C:$C,LANÇAMENTO!$D:$D,$A97,LANÇAMENTO!$E:$E,$B97,LANÇAMENTO!$F:$F,N$4)</f>
        <v>0</v>
      </c>
      <c r="O97" s="40">
        <f>-SUMIFS(LANÇAMENTO!$C:$C,LANÇAMENTO!$D:$D,$A97,LANÇAMENTO!$E:$E,$B97,LANÇAMENTO!$F:$F,O$4)</f>
        <v>0</v>
      </c>
      <c r="P97" s="40">
        <f>-SUMIFS(LANÇAMENTO!$C:$C,LANÇAMENTO!$D:$D,$A97,LANÇAMENTO!$E:$E,$B97,LANÇAMENTO!$F:$F,P$4)</f>
        <v>0</v>
      </c>
      <c r="Q97" s="37">
        <f t="shared" si="61"/>
        <v>0</v>
      </c>
      <c r="R97" s="29">
        <f t="shared" si="65"/>
        <v>0</v>
      </c>
    </row>
    <row r="98" spans="1:18" x14ac:dyDescent="0.25">
      <c r="A98" s="70" t="str">
        <f t="shared" si="66"/>
        <v>LAZER</v>
      </c>
      <c r="B98" s="31" t="s">
        <v>74</v>
      </c>
      <c r="C98" s="45">
        <v>300</v>
      </c>
      <c r="D98" s="34">
        <f t="shared" ref="D98:D101" si="67">C98*12</f>
        <v>3600</v>
      </c>
      <c r="E98" s="40">
        <f>-SUMIFS(LANÇAMENTO!$C:$C,LANÇAMENTO!$D:$D,$A98,LANÇAMENTO!$E:$E,$B98,LANÇAMENTO!$F:$F,E$4)</f>
        <v>0</v>
      </c>
      <c r="F98" s="40">
        <f>-SUMIFS(LANÇAMENTO!$C:$C,LANÇAMENTO!$D:$D,$A98,LANÇAMENTO!$E:$E,$B98,LANÇAMENTO!$F:$F,F$4)</f>
        <v>0</v>
      </c>
      <c r="G98" s="40">
        <f>-SUMIFS(LANÇAMENTO!$C:$C,LANÇAMENTO!$D:$D,$A98,LANÇAMENTO!$E:$E,$B98,LANÇAMENTO!$F:$F,G$4)</f>
        <v>0</v>
      </c>
      <c r="H98" s="40">
        <f>-SUMIFS(LANÇAMENTO!$C:$C,LANÇAMENTO!$D:$D,$A98,LANÇAMENTO!$E:$E,$B98,LANÇAMENTO!$F:$F,H$4)</f>
        <v>0</v>
      </c>
      <c r="I98" s="40">
        <f>-SUMIFS(LANÇAMENTO!$C:$C,LANÇAMENTO!$D:$D,$A98,LANÇAMENTO!$E:$E,$B98,LANÇAMENTO!$F:$F,I$4)</f>
        <v>0</v>
      </c>
      <c r="J98" s="40">
        <f>-SUMIFS(LANÇAMENTO!$C:$C,LANÇAMENTO!$D:$D,$A98,LANÇAMENTO!$E:$E,$B98,LANÇAMENTO!$F:$F,J$4)</f>
        <v>0</v>
      </c>
      <c r="K98" s="40">
        <f>-SUMIFS(LANÇAMENTO!$C:$C,LANÇAMENTO!$D:$D,$A98,LANÇAMENTO!$E:$E,$B98,LANÇAMENTO!$F:$F,K$4)</f>
        <v>0</v>
      </c>
      <c r="L98" s="40">
        <f>-SUMIFS(LANÇAMENTO!$C:$C,LANÇAMENTO!$D:$D,$A98,LANÇAMENTO!$E:$E,$B98,LANÇAMENTO!$F:$F,L$4)</f>
        <v>0</v>
      </c>
      <c r="M98" s="40">
        <f>-SUMIFS(LANÇAMENTO!$C:$C,LANÇAMENTO!$D:$D,$A98,LANÇAMENTO!$E:$E,$B98,LANÇAMENTO!$F:$F,M$4)</f>
        <v>0</v>
      </c>
      <c r="N98" s="40">
        <f>-SUMIFS(LANÇAMENTO!$C:$C,LANÇAMENTO!$D:$D,$A98,LANÇAMENTO!$E:$E,$B98,LANÇAMENTO!$F:$F,N$4)</f>
        <v>0</v>
      </c>
      <c r="O98" s="40">
        <f>-SUMIFS(LANÇAMENTO!$C:$C,LANÇAMENTO!$D:$D,$A98,LANÇAMENTO!$E:$E,$B98,LANÇAMENTO!$F:$F,O$4)</f>
        <v>0</v>
      </c>
      <c r="P98" s="40">
        <f>-SUMIFS(LANÇAMENTO!$C:$C,LANÇAMENTO!$D:$D,$A98,LANÇAMENTO!$E:$E,$B98,LANÇAMENTO!$F:$F,P$4)</f>
        <v>0</v>
      </c>
      <c r="Q98" s="37">
        <f t="shared" si="61"/>
        <v>0</v>
      </c>
      <c r="R98" s="29">
        <f t="shared" si="65"/>
        <v>1</v>
      </c>
    </row>
    <row r="99" spans="1:18" x14ac:dyDescent="0.25">
      <c r="A99" s="70" t="str">
        <f t="shared" si="66"/>
        <v>LAZER</v>
      </c>
      <c r="B99" s="31" t="s">
        <v>75</v>
      </c>
      <c r="C99" s="45">
        <v>200</v>
      </c>
      <c r="D99" s="34">
        <f t="shared" si="67"/>
        <v>2400</v>
      </c>
      <c r="E99" s="40">
        <f>-SUMIFS(LANÇAMENTO!$C:$C,LANÇAMENTO!$D:$D,$A99,LANÇAMENTO!$E:$E,$B99,LANÇAMENTO!$F:$F,E$4)</f>
        <v>0</v>
      </c>
      <c r="F99" s="40">
        <f>-SUMIFS(LANÇAMENTO!$C:$C,LANÇAMENTO!$D:$D,$A99,LANÇAMENTO!$E:$E,$B99,LANÇAMENTO!$F:$F,F$4)</f>
        <v>0</v>
      </c>
      <c r="G99" s="40">
        <f>-SUMIFS(LANÇAMENTO!$C:$C,LANÇAMENTO!$D:$D,$A99,LANÇAMENTO!$E:$E,$B99,LANÇAMENTO!$F:$F,G$4)</f>
        <v>0</v>
      </c>
      <c r="H99" s="40">
        <f>-SUMIFS(LANÇAMENTO!$C:$C,LANÇAMENTO!$D:$D,$A99,LANÇAMENTO!$E:$E,$B99,LANÇAMENTO!$F:$F,H$4)</f>
        <v>0</v>
      </c>
      <c r="I99" s="40">
        <f>-SUMIFS(LANÇAMENTO!$C:$C,LANÇAMENTO!$D:$D,$A99,LANÇAMENTO!$E:$E,$B99,LANÇAMENTO!$F:$F,I$4)</f>
        <v>0</v>
      </c>
      <c r="J99" s="40">
        <f>-SUMIFS(LANÇAMENTO!$C:$C,LANÇAMENTO!$D:$D,$A99,LANÇAMENTO!$E:$E,$B99,LANÇAMENTO!$F:$F,J$4)</f>
        <v>0</v>
      </c>
      <c r="K99" s="40">
        <f>-SUMIFS(LANÇAMENTO!$C:$C,LANÇAMENTO!$D:$D,$A99,LANÇAMENTO!$E:$E,$B99,LANÇAMENTO!$F:$F,K$4)</f>
        <v>0</v>
      </c>
      <c r="L99" s="40">
        <f>-SUMIFS(LANÇAMENTO!$C:$C,LANÇAMENTO!$D:$D,$A99,LANÇAMENTO!$E:$E,$B99,LANÇAMENTO!$F:$F,L$4)</f>
        <v>0</v>
      </c>
      <c r="M99" s="40">
        <f>-SUMIFS(LANÇAMENTO!$C:$C,LANÇAMENTO!$D:$D,$A99,LANÇAMENTO!$E:$E,$B99,LANÇAMENTO!$F:$F,M$4)</f>
        <v>0</v>
      </c>
      <c r="N99" s="40">
        <f>-SUMIFS(LANÇAMENTO!$C:$C,LANÇAMENTO!$D:$D,$A99,LANÇAMENTO!$E:$E,$B99,LANÇAMENTO!$F:$F,N$4)</f>
        <v>0</v>
      </c>
      <c r="O99" s="40">
        <f>-SUMIFS(LANÇAMENTO!$C:$C,LANÇAMENTO!$D:$D,$A99,LANÇAMENTO!$E:$E,$B99,LANÇAMENTO!$F:$F,O$4)</f>
        <v>0</v>
      </c>
      <c r="P99" s="40">
        <f>-SUMIFS(LANÇAMENTO!$C:$C,LANÇAMENTO!$D:$D,$A99,LANÇAMENTO!$E:$E,$B99,LANÇAMENTO!$F:$F,P$4)</f>
        <v>0</v>
      </c>
      <c r="Q99" s="37">
        <f t="shared" si="61"/>
        <v>0</v>
      </c>
      <c r="R99" s="29">
        <f t="shared" si="65"/>
        <v>1</v>
      </c>
    </row>
    <row r="100" spans="1:18" x14ac:dyDescent="0.25">
      <c r="A100" s="70" t="str">
        <f t="shared" si="66"/>
        <v>LAZER</v>
      </c>
      <c r="B100" s="31" t="s">
        <v>76</v>
      </c>
      <c r="C100" s="45">
        <v>0</v>
      </c>
      <c r="D100" s="34">
        <f t="shared" si="67"/>
        <v>0</v>
      </c>
      <c r="E100" s="40">
        <f>-SUMIFS(LANÇAMENTO!$C:$C,LANÇAMENTO!$D:$D,$A100,LANÇAMENTO!$E:$E,$B100,LANÇAMENTO!$F:$F,E$4)</f>
        <v>0</v>
      </c>
      <c r="F100" s="40">
        <f>-SUMIFS(LANÇAMENTO!$C:$C,LANÇAMENTO!$D:$D,$A100,LANÇAMENTO!$E:$E,$B100,LANÇAMENTO!$F:$F,F$4)</f>
        <v>0</v>
      </c>
      <c r="G100" s="40">
        <f>-SUMIFS(LANÇAMENTO!$C:$C,LANÇAMENTO!$D:$D,$A100,LANÇAMENTO!$E:$E,$B100,LANÇAMENTO!$F:$F,G$4)</f>
        <v>0</v>
      </c>
      <c r="H100" s="40">
        <f>-SUMIFS(LANÇAMENTO!$C:$C,LANÇAMENTO!$D:$D,$A100,LANÇAMENTO!$E:$E,$B100,LANÇAMENTO!$F:$F,H$4)</f>
        <v>0</v>
      </c>
      <c r="I100" s="40">
        <f>-SUMIFS(LANÇAMENTO!$C:$C,LANÇAMENTO!$D:$D,$A100,LANÇAMENTO!$E:$E,$B100,LANÇAMENTO!$F:$F,I$4)</f>
        <v>0</v>
      </c>
      <c r="J100" s="40">
        <f>-SUMIFS(LANÇAMENTO!$C:$C,LANÇAMENTO!$D:$D,$A100,LANÇAMENTO!$E:$E,$B100,LANÇAMENTO!$F:$F,J$4)</f>
        <v>0</v>
      </c>
      <c r="K100" s="40">
        <f>-SUMIFS(LANÇAMENTO!$C:$C,LANÇAMENTO!$D:$D,$A100,LANÇAMENTO!$E:$E,$B100,LANÇAMENTO!$F:$F,K$4)</f>
        <v>0</v>
      </c>
      <c r="L100" s="40">
        <f>-SUMIFS(LANÇAMENTO!$C:$C,LANÇAMENTO!$D:$D,$A100,LANÇAMENTO!$E:$E,$B100,LANÇAMENTO!$F:$F,L$4)</f>
        <v>0</v>
      </c>
      <c r="M100" s="40">
        <f>-SUMIFS(LANÇAMENTO!$C:$C,LANÇAMENTO!$D:$D,$A100,LANÇAMENTO!$E:$E,$B100,LANÇAMENTO!$F:$F,M$4)</f>
        <v>0</v>
      </c>
      <c r="N100" s="40">
        <f>-SUMIFS(LANÇAMENTO!$C:$C,LANÇAMENTO!$D:$D,$A100,LANÇAMENTO!$E:$E,$B100,LANÇAMENTO!$F:$F,N$4)</f>
        <v>0</v>
      </c>
      <c r="O100" s="40">
        <f>-SUMIFS(LANÇAMENTO!$C:$C,LANÇAMENTO!$D:$D,$A100,LANÇAMENTO!$E:$E,$B100,LANÇAMENTO!$F:$F,O$4)</f>
        <v>0</v>
      </c>
      <c r="P100" s="40">
        <f>-SUMIFS(LANÇAMENTO!$C:$C,LANÇAMENTO!$D:$D,$A100,LANÇAMENTO!$E:$E,$B100,LANÇAMENTO!$F:$F,P$4)</f>
        <v>0</v>
      </c>
      <c r="Q100" s="37">
        <f t="shared" si="61"/>
        <v>0</v>
      </c>
      <c r="R100" s="29">
        <f t="shared" si="65"/>
        <v>0</v>
      </c>
    </row>
    <row r="101" spans="1:18" x14ac:dyDescent="0.25">
      <c r="A101" s="70" t="str">
        <f t="shared" si="66"/>
        <v>LAZER</v>
      </c>
      <c r="B101" s="31" t="s">
        <v>142</v>
      </c>
      <c r="C101" s="45">
        <v>0</v>
      </c>
      <c r="D101" s="34">
        <f t="shared" si="67"/>
        <v>0</v>
      </c>
      <c r="E101" s="40">
        <f>-SUMIFS(LANÇAMENTO!$C:$C,LANÇAMENTO!$D:$D,$A101,LANÇAMENTO!$E:$E,$B101,LANÇAMENTO!$F:$F,E$4)</f>
        <v>0</v>
      </c>
      <c r="F101" s="40">
        <f>-SUMIFS(LANÇAMENTO!$C:$C,LANÇAMENTO!$D:$D,$A101,LANÇAMENTO!$E:$E,$B101,LANÇAMENTO!$F:$F,F$4)</f>
        <v>0</v>
      </c>
      <c r="G101" s="40">
        <f>-SUMIFS(LANÇAMENTO!$C:$C,LANÇAMENTO!$D:$D,$A101,LANÇAMENTO!$E:$E,$B101,LANÇAMENTO!$F:$F,G$4)</f>
        <v>0</v>
      </c>
      <c r="H101" s="40">
        <f>-SUMIFS(LANÇAMENTO!$C:$C,LANÇAMENTO!$D:$D,$A101,LANÇAMENTO!$E:$E,$B101,LANÇAMENTO!$F:$F,H$4)</f>
        <v>0</v>
      </c>
      <c r="I101" s="40">
        <f>-SUMIFS(LANÇAMENTO!$C:$C,LANÇAMENTO!$D:$D,$A101,LANÇAMENTO!$E:$E,$B101,LANÇAMENTO!$F:$F,I$4)</f>
        <v>0</v>
      </c>
      <c r="J101" s="40">
        <f>-SUMIFS(LANÇAMENTO!$C:$C,LANÇAMENTO!$D:$D,$A101,LANÇAMENTO!$E:$E,$B101,LANÇAMENTO!$F:$F,J$4)</f>
        <v>0</v>
      </c>
      <c r="K101" s="40">
        <f>-SUMIFS(LANÇAMENTO!$C:$C,LANÇAMENTO!$D:$D,$A101,LANÇAMENTO!$E:$E,$B101,LANÇAMENTO!$F:$F,K$4)</f>
        <v>0</v>
      </c>
      <c r="L101" s="40">
        <f>-SUMIFS(LANÇAMENTO!$C:$C,LANÇAMENTO!$D:$D,$A101,LANÇAMENTO!$E:$E,$B101,LANÇAMENTO!$F:$F,L$4)</f>
        <v>0</v>
      </c>
      <c r="M101" s="40">
        <f>-SUMIFS(LANÇAMENTO!$C:$C,LANÇAMENTO!$D:$D,$A101,LANÇAMENTO!$E:$E,$B101,LANÇAMENTO!$F:$F,M$4)</f>
        <v>0</v>
      </c>
      <c r="N101" s="40">
        <f>-SUMIFS(LANÇAMENTO!$C:$C,LANÇAMENTO!$D:$D,$A101,LANÇAMENTO!$E:$E,$B101,LANÇAMENTO!$F:$F,N$4)</f>
        <v>0</v>
      </c>
      <c r="O101" s="40">
        <f>-SUMIFS(LANÇAMENTO!$C:$C,LANÇAMENTO!$D:$D,$A101,LANÇAMENTO!$E:$E,$B101,LANÇAMENTO!$F:$F,O$4)</f>
        <v>0</v>
      </c>
      <c r="P101" s="40">
        <f>-SUMIFS(LANÇAMENTO!$C:$C,LANÇAMENTO!$D:$D,$A101,LANÇAMENTO!$E:$E,$B101,LANÇAMENTO!$F:$F,P$4)</f>
        <v>0</v>
      </c>
      <c r="Q101" s="37">
        <f t="shared" si="61"/>
        <v>0</v>
      </c>
      <c r="R101" s="29">
        <f t="shared" si="65"/>
        <v>0</v>
      </c>
    </row>
    <row r="102" spans="1:18" x14ac:dyDescent="0.25">
      <c r="A102" s="70"/>
      <c r="B102" s="26" t="s">
        <v>202</v>
      </c>
      <c r="C102" s="20">
        <f>SUM(C103:C106)</f>
        <v>200</v>
      </c>
      <c r="D102" s="20">
        <f>SUM(D103:D106)</f>
        <v>2400</v>
      </c>
      <c r="E102" s="20">
        <f t="shared" ref="E102:P102" si="68">SUM(E103:E106)</f>
        <v>153</v>
      </c>
      <c r="F102" s="20">
        <f t="shared" si="68"/>
        <v>136</v>
      </c>
      <c r="G102" s="20">
        <f t="shared" si="68"/>
        <v>142</v>
      </c>
      <c r="H102" s="20">
        <f t="shared" si="68"/>
        <v>157</v>
      </c>
      <c r="I102" s="20">
        <f t="shared" si="68"/>
        <v>139</v>
      </c>
      <c r="J102" s="20">
        <f t="shared" si="68"/>
        <v>116</v>
      </c>
      <c r="K102" s="20">
        <f t="shared" si="68"/>
        <v>146</v>
      </c>
      <c r="L102" s="20">
        <f t="shared" si="68"/>
        <v>105</v>
      </c>
      <c r="M102" s="20">
        <f t="shared" si="68"/>
        <v>136</v>
      </c>
      <c r="N102" s="20">
        <f t="shared" si="68"/>
        <v>500</v>
      </c>
      <c r="O102" s="20">
        <f t="shared" si="68"/>
        <v>108</v>
      </c>
      <c r="P102" s="20">
        <f t="shared" si="68"/>
        <v>134</v>
      </c>
      <c r="Q102" s="25">
        <f t="shared" si="61"/>
        <v>1972</v>
      </c>
      <c r="R102" s="29">
        <f>IF(SUM(R103:R106)=0,0,1)</f>
        <v>1</v>
      </c>
    </row>
    <row r="103" spans="1:18" x14ac:dyDescent="0.25">
      <c r="A103" s="70" t="str">
        <f>$B$102</f>
        <v>SERV.FINANCEIROS</v>
      </c>
      <c r="B103" s="31" t="s">
        <v>77</v>
      </c>
      <c r="C103" s="45">
        <v>150</v>
      </c>
      <c r="D103" s="34">
        <f t="shared" ref="D103:D106" si="69">C103*12</f>
        <v>1800</v>
      </c>
      <c r="E103" s="40">
        <f>-SUMIFS(LANÇAMENTO!$C:$C,LANÇAMENTO!$D:$D,$A103,LANÇAMENTO!$E:$E,$B103,LANÇAMENTO!$F:$F,E$4)</f>
        <v>153</v>
      </c>
      <c r="F103" s="40">
        <f>-SUMIFS(LANÇAMENTO!$C:$C,LANÇAMENTO!$D:$D,$A103,LANÇAMENTO!$E:$E,$B103,LANÇAMENTO!$F:$F,F$4)</f>
        <v>136</v>
      </c>
      <c r="G103" s="40">
        <f>-SUMIFS(LANÇAMENTO!$C:$C,LANÇAMENTO!$D:$D,$A103,LANÇAMENTO!$E:$E,$B103,LANÇAMENTO!$F:$F,G$4)</f>
        <v>142</v>
      </c>
      <c r="H103" s="40">
        <f>-SUMIFS(LANÇAMENTO!$C:$C,LANÇAMENTO!$D:$D,$A103,LANÇAMENTO!$E:$E,$B103,LANÇAMENTO!$F:$F,H$4)</f>
        <v>157</v>
      </c>
      <c r="I103" s="40">
        <f>-SUMIFS(LANÇAMENTO!$C:$C,LANÇAMENTO!$D:$D,$A103,LANÇAMENTO!$E:$E,$B103,LANÇAMENTO!$F:$F,I$4)</f>
        <v>139</v>
      </c>
      <c r="J103" s="40">
        <f>-SUMIFS(LANÇAMENTO!$C:$C,LANÇAMENTO!$D:$D,$A103,LANÇAMENTO!$E:$E,$B103,LANÇAMENTO!$F:$F,J$4)</f>
        <v>116</v>
      </c>
      <c r="K103" s="40">
        <f>-SUMIFS(LANÇAMENTO!$C:$C,LANÇAMENTO!$D:$D,$A103,LANÇAMENTO!$E:$E,$B103,LANÇAMENTO!$F:$F,K$4)</f>
        <v>146</v>
      </c>
      <c r="L103" s="40">
        <f>-SUMIFS(LANÇAMENTO!$C:$C,LANÇAMENTO!$D:$D,$A103,LANÇAMENTO!$E:$E,$B103,LANÇAMENTO!$F:$F,L$4)</f>
        <v>105</v>
      </c>
      <c r="M103" s="40">
        <f>-SUMIFS(LANÇAMENTO!$C:$C,LANÇAMENTO!$D:$D,$A103,LANÇAMENTO!$E:$E,$B103,LANÇAMENTO!$F:$F,M$4)</f>
        <v>136</v>
      </c>
      <c r="N103" s="40">
        <f>-SUMIFS(LANÇAMENTO!$C:$C,LANÇAMENTO!$D:$D,$A103,LANÇAMENTO!$E:$E,$B103,LANÇAMENTO!$F:$F,N$4)</f>
        <v>500</v>
      </c>
      <c r="O103" s="40">
        <f>-SUMIFS(LANÇAMENTO!$C:$C,LANÇAMENTO!$D:$D,$A103,LANÇAMENTO!$E:$E,$B103,LANÇAMENTO!$F:$F,O$4)</f>
        <v>108</v>
      </c>
      <c r="P103" s="40">
        <f>-SUMIFS(LANÇAMENTO!$C:$C,LANÇAMENTO!$D:$D,$A103,LANÇAMENTO!$E:$E,$B103,LANÇAMENTO!$F:$F,P$4)</f>
        <v>134</v>
      </c>
      <c r="Q103" s="37">
        <f t="shared" si="61"/>
        <v>1972</v>
      </c>
      <c r="R103" s="29">
        <f t="shared" si="65"/>
        <v>1</v>
      </c>
    </row>
    <row r="104" spans="1:18" x14ac:dyDescent="0.25">
      <c r="A104" s="70" t="str">
        <f t="shared" ref="A104:A106" si="70">$B$102</f>
        <v>SERV.FINANCEIROS</v>
      </c>
      <c r="B104" s="31" t="s">
        <v>78</v>
      </c>
      <c r="C104" s="45">
        <v>50</v>
      </c>
      <c r="D104" s="34">
        <f t="shared" si="69"/>
        <v>600</v>
      </c>
      <c r="E104" s="40">
        <f>-SUMIFS(LANÇAMENTO!$C:$C,LANÇAMENTO!$D:$D,$A104,LANÇAMENTO!$E:$E,$B104,LANÇAMENTO!$F:$F,E$4)</f>
        <v>0</v>
      </c>
      <c r="F104" s="40">
        <f>-SUMIFS(LANÇAMENTO!$C:$C,LANÇAMENTO!$D:$D,$A104,LANÇAMENTO!$E:$E,$B104,LANÇAMENTO!$F:$F,F$4)</f>
        <v>0</v>
      </c>
      <c r="G104" s="40">
        <f>-SUMIFS(LANÇAMENTO!$C:$C,LANÇAMENTO!$D:$D,$A104,LANÇAMENTO!$E:$E,$B104,LANÇAMENTO!$F:$F,G$4)</f>
        <v>0</v>
      </c>
      <c r="H104" s="40">
        <f>-SUMIFS(LANÇAMENTO!$C:$C,LANÇAMENTO!$D:$D,$A104,LANÇAMENTO!$E:$E,$B104,LANÇAMENTO!$F:$F,H$4)</f>
        <v>0</v>
      </c>
      <c r="I104" s="40">
        <f>-SUMIFS(LANÇAMENTO!$C:$C,LANÇAMENTO!$D:$D,$A104,LANÇAMENTO!$E:$E,$B104,LANÇAMENTO!$F:$F,I$4)</f>
        <v>0</v>
      </c>
      <c r="J104" s="40">
        <f>-SUMIFS(LANÇAMENTO!$C:$C,LANÇAMENTO!$D:$D,$A104,LANÇAMENTO!$E:$E,$B104,LANÇAMENTO!$F:$F,J$4)</f>
        <v>0</v>
      </c>
      <c r="K104" s="40">
        <f>-SUMIFS(LANÇAMENTO!$C:$C,LANÇAMENTO!$D:$D,$A104,LANÇAMENTO!$E:$E,$B104,LANÇAMENTO!$F:$F,K$4)</f>
        <v>0</v>
      </c>
      <c r="L104" s="40">
        <f>-SUMIFS(LANÇAMENTO!$C:$C,LANÇAMENTO!$D:$D,$A104,LANÇAMENTO!$E:$E,$B104,LANÇAMENTO!$F:$F,L$4)</f>
        <v>0</v>
      </c>
      <c r="M104" s="40">
        <f>-SUMIFS(LANÇAMENTO!$C:$C,LANÇAMENTO!$D:$D,$A104,LANÇAMENTO!$E:$E,$B104,LANÇAMENTO!$F:$F,M$4)</f>
        <v>0</v>
      </c>
      <c r="N104" s="40">
        <f>-SUMIFS(LANÇAMENTO!$C:$C,LANÇAMENTO!$D:$D,$A104,LANÇAMENTO!$E:$E,$B104,LANÇAMENTO!$F:$F,N$4)</f>
        <v>0</v>
      </c>
      <c r="O104" s="40">
        <f>-SUMIFS(LANÇAMENTO!$C:$C,LANÇAMENTO!$D:$D,$A104,LANÇAMENTO!$E:$E,$B104,LANÇAMENTO!$F:$F,O$4)</f>
        <v>0</v>
      </c>
      <c r="P104" s="40">
        <f>-SUMIFS(LANÇAMENTO!$C:$C,LANÇAMENTO!$D:$D,$A104,LANÇAMENTO!$E:$E,$B104,LANÇAMENTO!$F:$F,P$4)</f>
        <v>0</v>
      </c>
      <c r="Q104" s="37">
        <f t="shared" si="61"/>
        <v>0</v>
      </c>
      <c r="R104" s="29">
        <f t="shared" si="65"/>
        <v>1</v>
      </c>
    </row>
    <row r="105" spans="1:18" x14ac:dyDescent="0.25">
      <c r="A105" s="70" t="str">
        <f t="shared" si="70"/>
        <v>SERV.FINANCEIROS</v>
      </c>
      <c r="B105" s="31" t="s">
        <v>79</v>
      </c>
      <c r="C105" s="45">
        <v>0</v>
      </c>
      <c r="D105" s="34">
        <f t="shared" si="69"/>
        <v>0</v>
      </c>
      <c r="E105" s="40">
        <f>-SUMIFS(LANÇAMENTO!$C:$C,LANÇAMENTO!$D:$D,$A105,LANÇAMENTO!$E:$E,$B105,LANÇAMENTO!$F:$F,E$4)</f>
        <v>0</v>
      </c>
      <c r="F105" s="40">
        <f>-SUMIFS(LANÇAMENTO!$C:$C,LANÇAMENTO!$D:$D,$A105,LANÇAMENTO!$E:$E,$B105,LANÇAMENTO!$F:$F,F$4)</f>
        <v>0</v>
      </c>
      <c r="G105" s="40">
        <f>-SUMIFS(LANÇAMENTO!$C:$C,LANÇAMENTO!$D:$D,$A105,LANÇAMENTO!$E:$E,$B105,LANÇAMENTO!$F:$F,G$4)</f>
        <v>0</v>
      </c>
      <c r="H105" s="40">
        <f>-SUMIFS(LANÇAMENTO!$C:$C,LANÇAMENTO!$D:$D,$A105,LANÇAMENTO!$E:$E,$B105,LANÇAMENTO!$F:$F,H$4)</f>
        <v>0</v>
      </c>
      <c r="I105" s="40">
        <f>-SUMIFS(LANÇAMENTO!$C:$C,LANÇAMENTO!$D:$D,$A105,LANÇAMENTO!$E:$E,$B105,LANÇAMENTO!$F:$F,I$4)</f>
        <v>0</v>
      </c>
      <c r="J105" s="40">
        <f>-SUMIFS(LANÇAMENTO!$C:$C,LANÇAMENTO!$D:$D,$A105,LANÇAMENTO!$E:$E,$B105,LANÇAMENTO!$F:$F,J$4)</f>
        <v>0</v>
      </c>
      <c r="K105" s="40">
        <f>-SUMIFS(LANÇAMENTO!$C:$C,LANÇAMENTO!$D:$D,$A105,LANÇAMENTO!$E:$E,$B105,LANÇAMENTO!$F:$F,K$4)</f>
        <v>0</v>
      </c>
      <c r="L105" s="40">
        <f>-SUMIFS(LANÇAMENTO!$C:$C,LANÇAMENTO!$D:$D,$A105,LANÇAMENTO!$E:$E,$B105,LANÇAMENTO!$F:$F,L$4)</f>
        <v>0</v>
      </c>
      <c r="M105" s="40">
        <f>-SUMIFS(LANÇAMENTO!$C:$C,LANÇAMENTO!$D:$D,$A105,LANÇAMENTO!$E:$E,$B105,LANÇAMENTO!$F:$F,M$4)</f>
        <v>0</v>
      </c>
      <c r="N105" s="40">
        <f>-SUMIFS(LANÇAMENTO!$C:$C,LANÇAMENTO!$D:$D,$A105,LANÇAMENTO!$E:$E,$B105,LANÇAMENTO!$F:$F,N$4)</f>
        <v>0</v>
      </c>
      <c r="O105" s="40">
        <f>-SUMIFS(LANÇAMENTO!$C:$C,LANÇAMENTO!$D:$D,$A105,LANÇAMENTO!$E:$E,$B105,LANÇAMENTO!$F:$F,O$4)</f>
        <v>0</v>
      </c>
      <c r="P105" s="40">
        <f>-SUMIFS(LANÇAMENTO!$C:$C,LANÇAMENTO!$D:$D,$A105,LANÇAMENTO!$E:$E,$B105,LANÇAMENTO!$F:$F,P$4)</f>
        <v>0</v>
      </c>
      <c r="Q105" s="37">
        <f t="shared" si="61"/>
        <v>0</v>
      </c>
      <c r="R105" s="29">
        <f t="shared" si="65"/>
        <v>0</v>
      </c>
    </row>
    <row r="106" spans="1:18" x14ac:dyDescent="0.25">
      <c r="A106" s="70" t="str">
        <f t="shared" si="70"/>
        <v>SERV.FINANCEIROS</v>
      </c>
      <c r="B106" s="31" t="s">
        <v>142</v>
      </c>
      <c r="C106" s="45">
        <v>0</v>
      </c>
      <c r="D106" s="34">
        <f t="shared" si="69"/>
        <v>0</v>
      </c>
      <c r="E106" s="40">
        <f>-SUMIFS(LANÇAMENTO!$C:$C,LANÇAMENTO!$D:$D,$A106,LANÇAMENTO!$E:$E,$B106,LANÇAMENTO!$F:$F,E$4)</f>
        <v>0</v>
      </c>
      <c r="F106" s="40">
        <f>-SUMIFS(LANÇAMENTO!$C:$C,LANÇAMENTO!$D:$D,$A106,LANÇAMENTO!$E:$E,$B106,LANÇAMENTO!$F:$F,F$4)</f>
        <v>0</v>
      </c>
      <c r="G106" s="40">
        <f>-SUMIFS(LANÇAMENTO!$C:$C,LANÇAMENTO!$D:$D,$A106,LANÇAMENTO!$E:$E,$B106,LANÇAMENTO!$F:$F,G$4)</f>
        <v>0</v>
      </c>
      <c r="H106" s="40">
        <f>-SUMIFS(LANÇAMENTO!$C:$C,LANÇAMENTO!$D:$D,$A106,LANÇAMENTO!$E:$E,$B106,LANÇAMENTO!$F:$F,H$4)</f>
        <v>0</v>
      </c>
      <c r="I106" s="40">
        <f>-SUMIFS(LANÇAMENTO!$C:$C,LANÇAMENTO!$D:$D,$A106,LANÇAMENTO!$E:$E,$B106,LANÇAMENTO!$F:$F,I$4)</f>
        <v>0</v>
      </c>
      <c r="J106" s="40">
        <f>-SUMIFS(LANÇAMENTO!$C:$C,LANÇAMENTO!$D:$D,$A106,LANÇAMENTO!$E:$E,$B106,LANÇAMENTO!$F:$F,J$4)</f>
        <v>0</v>
      </c>
      <c r="K106" s="40">
        <f>-SUMIFS(LANÇAMENTO!$C:$C,LANÇAMENTO!$D:$D,$A106,LANÇAMENTO!$E:$E,$B106,LANÇAMENTO!$F:$F,K$4)</f>
        <v>0</v>
      </c>
      <c r="L106" s="40">
        <f>-SUMIFS(LANÇAMENTO!$C:$C,LANÇAMENTO!$D:$D,$A106,LANÇAMENTO!$E:$E,$B106,LANÇAMENTO!$F:$F,L$4)</f>
        <v>0</v>
      </c>
      <c r="M106" s="40">
        <f>-SUMIFS(LANÇAMENTO!$C:$C,LANÇAMENTO!$D:$D,$A106,LANÇAMENTO!$E:$E,$B106,LANÇAMENTO!$F:$F,M$4)</f>
        <v>0</v>
      </c>
      <c r="N106" s="40">
        <f>-SUMIFS(LANÇAMENTO!$C:$C,LANÇAMENTO!$D:$D,$A106,LANÇAMENTO!$E:$E,$B106,LANÇAMENTO!$F:$F,N$4)</f>
        <v>0</v>
      </c>
      <c r="O106" s="40">
        <f>-SUMIFS(LANÇAMENTO!$C:$C,LANÇAMENTO!$D:$D,$A106,LANÇAMENTO!$E:$E,$B106,LANÇAMENTO!$F:$F,O$4)</f>
        <v>0</v>
      </c>
      <c r="P106" s="40">
        <f>-SUMIFS(LANÇAMENTO!$C:$C,LANÇAMENTO!$D:$D,$A106,LANÇAMENTO!$E:$E,$B106,LANÇAMENTO!$F:$F,P$4)</f>
        <v>0</v>
      </c>
      <c r="Q106" s="37">
        <f t="shared" si="61"/>
        <v>0</v>
      </c>
      <c r="R106" s="29">
        <f t="shared" si="65"/>
        <v>0</v>
      </c>
    </row>
    <row r="107" spans="1:18" x14ac:dyDescent="0.25">
      <c r="A107" s="70"/>
      <c r="B107" s="26" t="s">
        <v>153</v>
      </c>
      <c r="C107" s="20">
        <f>SUM(C108:C111)</f>
        <v>850</v>
      </c>
      <c r="D107" s="20">
        <f>SUM(D108:D111)</f>
        <v>10200</v>
      </c>
      <c r="E107" s="20">
        <f t="shared" ref="E107:P107" si="71">SUM(E108:E111)</f>
        <v>449</v>
      </c>
      <c r="F107" s="20">
        <f t="shared" si="71"/>
        <v>384</v>
      </c>
      <c r="G107" s="20">
        <f t="shared" si="71"/>
        <v>369</v>
      </c>
      <c r="H107" s="20">
        <f t="shared" si="71"/>
        <v>425</v>
      </c>
      <c r="I107" s="20">
        <f t="shared" si="71"/>
        <v>402</v>
      </c>
      <c r="J107" s="20">
        <f t="shared" si="71"/>
        <v>246</v>
      </c>
      <c r="K107" s="20">
        <f t="shared" si="71"/>
        <v>357</v>
      </c>
      <c r="L107" s="20">
        <f t="shared" si="71"/>
        <v>421</v>
      </c>
      <c r="M107" s="20">
        <f t="shared" si="71"/>
        <v>336</v>
      </c>
      <c r="N107" s="20">
        <f t="shared" si="71"/>
        <v>277</v>
      </c>
      <c r="O107" s="20">
        <f t="shared" si="71"/>
        <v>369</v>
      </c>
      <c r="P107" s="20">
        <f t="shared" si="71"/>
        <v>305</v>
      </c>
      <c r="Q107" s="25">
        <f t="shared" si="61"/>
        <v>4340</v>
      </c>
      <c r="R107" s="29">
        <f>IF(SUM(R108:R111)=0,0,1)</f>
        <v>1</v>
      </c>
    </row>
    <row r="108" spans="1:18" x14ac:dyDescent="0.25">
      <c r="A108" s="70" t="str">
        <f>$B$107</f>
        <v>EMPRESA</v>
      </c>
      <c r="B108" s="31" t="s">
        <v>80</v>
      </c>
      <c r="C108" s="45">
        <v>350</v>
      </c>
      <c r="D108" s="34">
        <f t="shared" ref="D108:D111" si="72">C108*12</f>
        <v>4200</v>
      </c>
      <c r="E108" s="40">
        <f>-SUMIFS(LANÇAMENTO!$C:$C,LANÇAMENTO!$D:$D,$A108,LANÇAMENTO!$E:$E,$B108,LANÇAMENTO!$F:$F,E$4)</f>
        <v>449</v>
      </c>
      <c r="F108" s="40">
        <f>-SUMIFS(LANÇAMENTO!$C:$C,LANÇAMENTO!$D:$D,$A108,LANÇAMENTO!$E:$E,$B108,LANÇAMENTO!$F:$F,F$4)</f>
        <v>384</v>
      </c>
      <c r="G108" s="40">
        <f>-SUMIFS(LANÇAMENTO!$C:$C,LANÇAMENTO!$D:$D,$A108,LANÇAMENTO!$E:$E,$B108,LANÇAMENTO!$F:$F,G$4)</f>
        <v>369</v>
      </c>
      <c r="H108" s="40">
        <f>-SUMIFS(LANÇAMENTO!$C:$C,LANÇAMENTO!$D:$D,$A108,LANÇAMENTO!$E:$E,$B108,LANÇAMENTO!$F:$F,H$4)</f>
        <v>425</v>
      </c>
      <c r="I108" s="40">
        <f>-SUMIFS(LANÇAMENTO!$C:$C,LANÇAMENTO!$D:$D,$A108,LANÇAMENTO!$E:$E,$B108,LANÇAMENTO!$F:$F,I$4)</f>
        <v>402</v>
      </c>
      <c r="J108" s="40">
        <f>-SUMIFS(LANÇAMENTO!$C:$C,LANÇAMENTO!$D:$D,$A108,LANÇAMENTO!$E:$E,$B108,LANÇAMENTO!$F:$F,J$4)</f>
        <v>246</v>
      </c>
      <c r="K108" s="40">
        <f>-SUMIFS(LANÇAMENTO!$C:$C,LANÇAMENTO!$D:$D,$A108,LANÇAMENTO!$E:$E,$B108,LANÇAMENTO!$F:$F,K$4)</f>
        <v>357</v>
      </c>
      <c r="L108" s="40">
        <f>-SUMIFS(LANÇAMENTO!$C:$C,LANÇAMENTO!$D:$D,$A108,LANÇAMENTO!$E:$E,$B108,LANÇAMENTO!$F:$F,L$4)</f>
        <v>421</v>
      </c>
      <c r="M108" s="40">
        <f>-SUMIFS(LANÇAMENTO!$C:$C,LANÇAMENTO!$D:$D,$A108,LANÇAMENTO!$E:$E,$B108,LANÇAMENTO!$F:$F,M$4)</f>
        <v>336</v>
      </c>
      <c r="N108" s="40">
        <f>-SUMIFS(LANÇAMENTO!$C:$C,LANÇAMENTO!$D:$D,$A108,LANÇAMENTO!$E:$E,$B108,LANÇAMENTO!$F:$F,N$4)</f>
        <v>277</v>
      </c>
      <c r="O108" s="40">
        <f>-SUMIFS(LANÇAMENTO!$C:$C,LANÇAMENTO!$D:$D,$A108,LANÇAMENTO!$E:$E,$B108,LANÇAMENTO!$F:$F,O$4)</f>
        <v>369</v>
      </c>
      <c r="P108" s="40">
        <f>-SUMIFS(LANÇAMENTO!$C:$C,LANÇAMENTO!$D:$D,$A108,LANÇAMENTO!$E:$E,$B108,LANÇAMENTO!$F:$F,P$4)</f>
        <v>305</v>
      </c>
      <c r="Q108" s="37">
        <f t="shared" si="61"/>
        <v>4340</v>
      </c>
      <c r="R108" s="29">
        <f t="shared" si="65"/>
        <v>1</v>
      </c>
    </row>
    <row r="109" spans="1:18" x14ac:dyDescent="0.25">
      <c r="A109" s="70" t="str">
        <f t="shared" ref="A109:A111" si="73">$B$107</f>
        <v>EMPRESA</v>
      </c>
      <c r="B109" s="31" t="s">
        <v>81</v>
      </c>
      <c r="C109" s="45">
        <v>500</v>
      </c>
      <c r="D109" s="34">
        <f t="shared" si="72"/>
        <v>6000</v>
      </c>
      <c r="E109" s="40">
        <f>-SUMIFS(LANÇAMENTO!$C:$C,LANÇAMENTO!$D:$D,$A109,LANÇAMENTO!$E:$E,$B109,LANÇAMENTO!$F:$F,E$4)</f>
        <v>0</v>
      </c>
      <c r="F109" s="40">
        <f>-SUMIFS(LANÇAMENTO!$C:$C,LANÇAMENTO!$D:$D,$A109,LANÇAMENTO!$E:$E,$B109,LANÇAMENTO!$F:$F,F$4)</f>
        <v>0</v>
      </c>
      <c r="G109" s="40">
        <f>-SUMIFS(LANÇAMENTO!$C:$C,LANÇAMENTO!$D:$D,$A109,LANÇAMENTO!$E:$E,$B109,LANÇAMENTO!$F:$F,G$4)</f>
        <v>0</v>
      </c>
      <c r="H109" s="40">
        <f>-SUMIFS(LANÇAMENTO!$C:$C,LANÇAMENTO!$D:$D,$A109,LANÇAMENTO!$E:$E,$B109,LANÇAMENTO!$F:$F,H$4)</f>
        <v>0</v>
      </c>
      <c r="I109" s="40">
        <f>-SUMIFS(LANÇAMENTO!$C:$C,LANÇAMENTO!$D:$D,$A109,LANÇAMENTO!$E:$E,$B109,LANÇAMENTO!$F:$F,I$4)</f>
        <v>0</v>
      </c>
      <c r="J109" s="40">
        <f>-SUMIFS(LANÇAMENTO!$C:$C,LANÇAMENTO!$D:$D,$A109,LANÇAMENTO!$E:$E,$B109,LANÇAMENTO!$F:$F,J$4)</f>
        <v>0</v>
      </c>
      <c r="K109" s="40">
        <f>-SUMIFS(LANÇAMENTO!$C:$C,LANÇAMENTO!$D:$D,$A109,LANÇAMENTO!$E:$E,$B109,LANÇAMENTO!$F:$F,K$4)</f>
        <v>0</v>
      </c>
      <c r="L109" s="40">
        <f>-SUMIFS(LANÇAMENTO!$C:$C,LANÇAMENTO!$D:$D,$A109,LANÇAMENTO!$E:$E,$B109,LANÇAMENTO!$F:$F,L$4)</f>
        <v>0</v>
      </c>
      <c r="M109" s="40">
        <f>-SUMIFS(LANÇAMENTO!$C:$C,LANÇAMENTO!$D:$D,$A109,LANÇAMENTO!$E:$E,$B109,LANÇAMENTO!$F:$F,M$4)</f>
        <v>0</v>
      </c>
      <c r="N109" s="40">
        <f>-SUMIFS(LANÇAMENTO!$C:$C,LANÇAMENTO!$D:$D,$A109,LANÇAMENTO!$E:$E,$B109,LANÇAMENTO!$F:$F,N$4)</f>
        <v>0</v>
      </c>
      <c r="O109" s="40">
        <f>-SUMIFS(LANÇAMENTO!$C:$C,LANÇAMENTO!$D:$D,$A109,LANÇAMENTO!$E:$E,$B109,LANÇAMENTO!$F:$F,O$4)</f>
        <v>0</v>
      </c>
      <c r="P109" s="40">
        <f>-SUMIFS(LANÇAMENTO!$C:$C,LANÇAMENTO!$D:$D,$A109,LANÇAMENTO!$E:$E,$B109,LANÇAMENTO!$F:$F,P$4)</f>
        <v>0</v>
      </c>
      <c r="Q109" s="37">
        <f t="shared" si="61"/>
        <v>0</v>
      </c>
      <c r="R109" s="29">
        <f t="shared" si="65"/>
        <v>1</v>
      </c>
    </row>
    <row r="110" spans="1:18" x14ac:dyDescent="0.25">
      <c r="A110" s="70" t="str">
        <f t="shared" si="73"/>
        <v>EMPRESA</v>
      </c>
      <c r="B110" s="31" t="s">
        <v>82</v>
      </c>
      <c r="C110" s="45">
        <v>0</v>
      </c>
      <c r="D110" s="34">
        <f t="shared" si="72"/>
        <v>0</v>
      </c>
      <c r="E110" s="40">
        <f>-SUMIFS(LANÇAMENTO!$C:$C,LANÇAMENTO!$D:$D,$A110,LANÇAMENTO!$E:$E,$B110,LANÇAMENTO!$F:$F,E$4)</f>
        <v>0</v>
      </c>
      <c r="F110" s="40">
        <f>-SUMIFS(LANÇAMENTO!$C:$C,LANÇAMENTO!$D:$D,$A110,LANÇAMENTO!$E:$E,$B110,LANÇAMENTO!$F:$F,F$4)</f>
        <v>0</v>
      </c>
      <c r="G110" s="40">
        <f>-SUMIFS(LANÇAMENTO!$C:$C,LANÇAMENTO!$D:$D,$A110,LANÇAMENTO!$E:$E,$B110,LANÇAMENTO!$F:$F,G$4)</f>
        <v>0</v>
      </c>
      <c r="H110" s="40">
        <f>-SUMIFS(LANÇAMENTO!$C:$C,LANÇAMENTO!$D:$D,$A110,LANÇAMENTO!$E:$E,$B110,LANÇAMENTO!$F:$F,H$4)</f>
        <v>0</v>
      </c>
      <c r="I110" s="40">
        <f>-SUMIFS(LANÇAMENTO!$C:$C,LANÇAMENTO!$D:$D,$A110,LANÇAMENTO!$E:$E,$B110,LANÇAMENTO!$F:$F,I$4)</f>
        <v>0</v>
      </c>
      <c r="J110" s="40">
        <f>-SUMIFS(LANÇAMENTO!$C:$C,LANÇAMENTO!$D:$D,$A110,LANÇAMENTO!$E:$E,$B110,LANÇAMENTO!$F:$F,J$4)</f>
        <v>0</v>
      </c>
      <c r="K110" s="40">
        <f>-SUMIFS(LANÇAMENTO!$C:$C,LANÇAMENTO!$D:$D,$A110,LANÇAMENTO!$E:$E,$B110,LANÇAMENTO!$F:$F,K$4)</f>
        <v>0</v>
      </c>
      <c r="L110" s="40">
        <f>-SUMIFS(LANÇAMENTO!$C:$C,LANÇAMENTO!$D:$D,$A110,LANÇAMENTO!$E:$E,$B110,LANÇAMENTO!$F:$F,L$4)</f>
        <v>0</v>
      </c>
      <c r="M110" s="40">
        <f>-SUMIFS(LANÇAMENTO!$C:$C,LANÇAMENTO!$D:$D,$A110,LANÇAMENTO!$E:$E,$B110,LANÇAMENTO!$F:$F,M$4)</f>
        <v>0</v>
      </c>
      <c r="N110" s="40">
        <f>-SUMIFS(LANÇAMENTO!$C:$C,LANÇAMENTO!$D:$D,$A110,LANÇAMENTO!$E:$E,$B110,LANÇAMENTO!$F:$F,N$4)</f>
        <v>0</v>
      </c>
      <c r="O110" s="40">
        <f>-SUMIFS(LANÇAMENTO!$C:$C,LANÇAMENTO!$D:$D,$A110,LANÇAMENTO!$E:$E,$B110,LANÇAMENTO!$F:$F,O$4)</f>
        <v>0</v>
      </c>
      <c r="P110" s="40">
        <f>-SUMIFS(LANÇAMENTO!$C:$C,LANÇAMENTO!$D:$D,$A110,LANÇAMENTO!$E:$E,$B110,LANÇAMENTO!$F:$F,P$4)</f>
        <v>0</v>
      </c>
      <c r="Q110" s="37">
        <f t="shared" si="61"/>
        <v>0</v>
      </c>
      <c r="R110" s="29">
        <f t="shared" si="65"/>
        <v>0</v>
      </c>
    </row>
    <row r="111" spans="1:18" x14ac:dyDescent="0.25">
      <c r="A111" s="70" t="str">
        <f t="shared" si="73"/>
        <v>EMPRESA</v>
      </c>
      <c r="B111" s="31" t="s">
        <v>142</v>
      </c>
      <c r="C111" s="45">
        <v>0</v>
      </c>
      <c r="D111" s="34">
        <f t="shared" si="72"/>
        <v>0</v>
      </c>
      <c r="E111" s="40">
        <f>-SUMIFS(LANÇAMENTO!$C:$C,LANÇAMENTO!$D:$D,$A111,LANÇAMENTO!$E:$E,$B111,LANÇAMENTO!$F:$F,E$4)</f>
        <v>0</v>
      </c>
      <c r="F111" s="40">
        <f>-SUMIFS(LANÇAMENTO!$C:$C,LANÇAMENTO!$D:$D,$A111,LANÇAMENTO!$E:$E,$B111,LANÇAMENTO!$F:$F,F$4)</f>
        <v>0</v>
      </c>
      <c r="G111" s="40">
        <f>-SUMIFS(LANÇAMENTO!$C:$C,LANÇAMENTO!$D:$D,$A111,LANÇAMENTO!$E:$E,$B111,LANÇAMENTO!$F:$F,G$4)</f>
        <v>0</v>
      </c>
      <c r="H111" s="40">
        <f>-SUMIFS(LANÇAMENTO!$C:$C,LANÇAMENTO!$D:$D,$A111,LANÇAMENTO!$E:$E,$B111,LANÇAMENTO!$F:$F,H$4)</f>
        <v>0</v>
      </c>
      <c r="I111" s="40">
        <f>-SUMIFS(LANÇAMENTO!$C:$C,LANÇAMENTO!$D:$D,$A111,LANÇAMENTO!$E:$E,$B111,LANÇAMENTO!$F:$F,I$4)</f>
        <v>0</v>
      </c>
      <c r="J111" s="40">
        <f>-SUMIFS(LANÇAMENTO!$C:$C,LANÇAMENTO!$D:$D,$A111,LANÇAMENTO!$E:$E,$B111,LANÇAMENTO!$F:$F,J$4)</f>
        <v>0</v>
      </c>
      <c r="K111" s="40">
        <f>-SUMIFS(LANÇAMENTO!$C:$C,LANÇAMENTO!$D:$D,$A111,LANÇAMENTO!$E:$E,$B111,LANÇAMENTO!$F:$F,K$4)</f>
        <v>0</v>
      </c>
      <c r="L111" s="40">
        <f>-SUMIFS(LANÇAMENTO!$C:$C,LANÇAMENTO!$D:$D,$A111,LANÇAMENTO!$E:$E,$B111,LANÇAMENTO!$F:$F,L$4)</f>
        <v>0</v>
      </c>
      <c r="M111" s="40">
        <f>-SUMIFS(LANÇAMENTO!$C:$C,LANÇAMENTO!$D:$D,$A111,LANÇAMENTO!$E:$E,$B111,LANÇAMENTO!$F:$F,M$4)</f>
        <v>0</v>
      </c>
      <c r="N111" s="40">
        <f>-SUMIFS(LANÇAMENTO!$C:$C,LANÇAMENTO!$D:$D,$A111,LANÇAMENTO!$E:$E,$B111,LANÇAMENTO!$F:$F,N$4)</f>
        <v>0</v>
      </c>
      <c r="O111" s="40">
        <f>-SUMIFS(LANÇAMENTO!$C:$C,LANÇAMENTO!$D:$D,$A111,LANÇAMENTO!$E:$E,$B111,LANÇAMENTO!$F:$F,O$4)</f>
        <v>0</v>
      </c>
      <c r="P111" s="40">
        <f>-SUMIFS(LANÇAMENTO!$C:$C,LANÇAMENTO!$D:$D,$A111,LANÇAMENTO!$E:$E,$B111,LANÇAMENTO!$F:$F,P$4)</f>
        <v>0</v>
      </c>
      <c r="Q111" s="37">
        <f t="shared" si="61"/>
        <v>0</v>
      </c>
      <c r="R111" s="29">
        <f t="shared" si="65"/>
        <v>0</v>
      </c>
    </row>
    <row r="112" spans="1:18" x14ac:dyDescent="0.25">
      <c r="A112" s="70"/>
      <c r="B112" s="19" t="s">
        <v>83</v>
      </c>
      <c r="C112" s="20">
        <f>SUM(C113:C122)</f>
        <v>950</v>
      </c>
      <c r="D112" s="20">
        <f>SUM(D113:D122)</f>
        <v>11400</v>
      </c>
      <c r="E112" s="20">
        <f t="shared" ref="E112:P112" si="74">SUM(E113:E122)</f>
        <v>536</v>
      </c>
      <c r="F112" s="20">
        <f t="shared" si="74"/>
        <v>469</v>
      </c>
      <c r="G112" s="20">
        <f t="shared" si="74"/>
        <v>655</v>
      </c>
      <c r="H112" s="20">
        <f t="shared" si="74"/>
        <v>537</v>
      </c>
      <c r="I112" s="20">
        <f t="shared" si="74"/>
        <v>469</v>
      </c>
      <c r="J112" s="20">
        <f t="shared" si="74"/>
        <v>710</v>
      </c>
      <c r="K112" s="20">
        <f t="shared" si="74"/>
        <v>396</v>
      </c>
      <c r="L112" s="20">
        <f t="shared" si="74"/>
        <v>510</v>
      </c>
      <c r="M112" s="20">
        <f t="shared" si="74"/>
        <v>612</v>
      </c>
      <c r="N112" s="20">
        <f t="shared" si="74"/>
        <v>391</v>
      </c>
      <c r="O112" s="20">
        <f t="shared" si="74"/>
        <v>424</v>
      </c>
      <c r="P112" s="20">
        <f t="shared" si="74"/>
        <v>664</v>
      </c>
      <c r="Q112" s="25">
        <f t="shared" si="61"/>
        <v>6373</v>
      </c>
      <c r="R112" s="29">
        <f>IF(SUM(R113:R122)=0,0,1)</f>
        <v>1</v>
      </c>
    </row>
    <row r="113" spans="1:18" x14ac:dyDescent="0.25">
      <c r="A113" s="70" t="str">
        <f>$B$112</f>
        <v>DEPENDENTES</v>
      </c>
      <c r="B113" s="31" t="s">
        <v>84</v>
      </c>
      <c r="C113" s="45">
        <v>550</v>
      </c>
      <c r="D113" s="34">
        <f t="shared" ref="D113:D115" si="75">C113*12</f>
        <v>6600</v>
      </c>
      <c r="E113" s="40">
        <f>-SUMIFS(LANÇAMENTO!$C:$C,LANÇAMENTO!$D:$D,$A113,LANÇAMENTO!$E:$E,$B113,LANÇAMENTO!$F:$F,E$4)</f>
        <v>536</v>
      </c>
      <c r="F113" s="40">
        <f>-SUMIFS(LANÇAMENTO!$C:$C,LANÇAMENTO!$D:$D,$A113,LANÇAMENTO!$E:$E,$B113,LANÇAMENTO!$F:$F,F$4)</f>
        <v>469</v>
      </c>
      <c r="G113" s="40">
        <f>-SUMIFS(LANÇAMENTO!$C:$C,LANÇAMENTO!$D:$D,$A113,LANÇAMENTO!$E:$E,$B113,LANÇAMENTO!$F:$F,G$4)</f>
        <v>655</v>
      </c>
      <c r="H113" s="40">
        <f>-SUMIFS(LANÇAMENTO!$C:$C,LANÇAMENTO!$D:$D,$A113,LANÇAMENTO!$E:$E,$B113,LANÇAMENTO!$F:$F,H$4)</f>
        <v>537</v>
      </c>
      <c r="I113" s="40">
        <f>-SUMIFS(LANÇAMENTO!$C:$C,LANÇAMENTO!$D:$D,$A113,LANÇAMENTO!$E:$E,$B113,LANÇAMENTO!$F:$F,I$4)</f>
        <v>469</v>
      </c>
      <c r="J113" s="40">
        <f>-SUMIFS(LANÇAMENTO!$C:$C,LANÇAMENTO!$D:$D,$A113,LANÇAMENTO!$E:$E,$B113,LANÇAMENTO!$F:$F,J$4)</f>
        <v>710</v>
      </c>
      <c r="K113" s="40">
        <f>-SUMIFS(LANÇAMENTO!$C:$C,LANÇAMENTO!$D:$D,$A113,LANÇAMENTO!$E:$E,$B113,LANÇAMENTO!$F:$F,K$4)</f>
        <v>396</v>
      </c>
      <c r="L113" s="40">
        <f>-SUMIFS(LANÇAMENTO!$C:$C,LANÇAMENTO!$D:$D,$A113,LANÇAMENTO!$E:$E,$B113,LANÇAMENTO!$F:$F,L$4)</f>
        <v>510</v>
      </c>
      <c r="M113" s="40">
        <f>-SUMIFS(LANÇAMENTO!$C:$C,LANÇAMENTO!$D:$D,$A113,LANÇAMENTO!$E:$E,$B113,LANÇAMENTO!$F:$F,M$4)</f>
        <v>612</v>
      </c>
      <c r="N113" s="40">
        <f>-SUMIFS(LANÇAMENTO!$C:$C,LANÇAMENTO!$D:$D,$A113,LANÇAMENTO!$E:$E,$B113,LANÇAMENTO!$F:$F,N$4)</f>
        <v>391</v>
      </c>
      <c r="O113" s="40">
        <f>-SUMIFS(LANÇAMENTO!$C:$C,LANÇAMENTO!$D:$D,$A113,LANÇAMENTO!$E:$E,$B113,LANÇAMENTO!$F:$F,O$4)</f>
        <v>424</v>
      </c>
      <c r="P113" s="40">
        <f>-SUMIFS(LANÇAMENTO!$C:$C,LANÇAMENTO!$D:$D,$A113,LANÇAMENTO!$E:$E,$B113,LANÇAMENTO!$F:$F,P$4)</f>
        <v>664</v>
      </c>
      <c r="Q113" s="37">
        <f t="shared" si="61"/>
        <v>6373</v>
      </c>
      <c r="R113" s="29">
        <f t="shared" si="65"/>
        <v>1</v>
      </c>
    </row>
    <row r="114" spans="1:18" x14ac:dyDescent="0.25">
      <c r="A114" s="70" t="str">
        <f t="shared" ref="A114:A122" si="76">$B$112</f>
        <v>DEPENDENTES</v>
      </c>
      <c r="B114" s="31" t="s">
        <v>85</v>
      </c>
      <c r="C114" s="45">
        <v>200</v>
      </c>
      <c r="D114" s="34">
        <f t="shared" si="75"/>
        <v>2400</v>
      </c>
      <c r="E114" s="40">
        <f>-SUMIFS(LANÇAMENTO!$C:$C,LANÇAMENTO!$D:$D,$A114,LANÇAMENTO!$E:$E,$B114,LANÇAMENTO!$F:$F,E$4)</f>
        <v>0</v>
      </c>
      <c r="F114" s="40">
        <f>-SUMIFS(LANÇAMENTO!$C:$C,LANÇAMENTO!$D:$D,$A114,LANÇAMENTO!$E:$E,$B114,LANÇAMENTO!$F:$F,F$4)</f>
        <v>0</v>
      </c>
      <c r="G114" s="40">
        <f>-SUMIFS(LANÇAMENTO!$C:$C,LANÇAMENTO!$D:$D,$A114,LANÇAMENTO!$E:$E,$B114,LANÇAMENTO!$F:$F,G$4)</f>
        <v>0</v>
      </c>
      <c r="H114" s="40">
        <f>-SUMIFS(LANÇAMENTO!$C:$C,LANÇAMENTO!$D:$D,$A114,LANÇAMENTO!$E:$E,$B114,LANÇAMENTO!$F:$F,H$4)</f>
        <v>0</v>
      </c>
      <c r="I114" s="40">
        <f>-SUMIFS(LANÇAMENTO!$C:$C,LANÇAMENTO!$D:$D,$A114,LANÇAMENTO!$E:$E,$B114,LANÇAMENTO!$F:$F,I$4)</f>
        <v>0</v>
      </c>
      <c r="J114" s="40">
        <f>-SUMIFS(LANÇAMENTO!$C:$C,LANÇAMENTO!$D:$D,$A114,LANÇAMENTO!$E:$E,$B114,LANÇAMENTO!$F:$F,J$4)</f>
        <v>0</v>
      </c>
      <c r="K114" s="40">
        <f>-SUMIFS(LANÇAMENTO!$C:$C,LANÇAMENTO!$D:$D,$A114,LANÇAMENTO!$E:$E,$B114,LANÇAMENTO!$F:$F,K$4)</f>
        <v>0</v>
      </c>
      <c r="L114" s="40">
        <f>-SUMIFS(LANÇAMENTO!$C:$C,LANÇAMENTO!$D:$D,$A114,LANÇAMENTO!$E:$E,$B114,LANÇAMENTO!$F:$F,L$4)</f>
        <v>0</v>
      </c>
      <c r="M114" s="40">
        <f>-SUMIFS(LANÇAMENTO!$C:$C,LANÇAMENTO!$D:$D,$A114,LANÇAMENTO!$E:$E,$B114,LANÇAMENTO!$F:$F,M$4)</f>
        <v>0</v>
      </c>
      <c r="N114" s="40">
        <f>-SUMIFS(LANÇAMENTO!$C:$C,LANÇAMENTO!$D:$D,$A114,LANÇAMENTO!$E:$E,$B114,LANÇAMENTO!$F:$F,N$4)</f>
        <v>0</v>
      </c>
      <c r="O114" s="40">
        <f>-SUMIFS(LANÇAMENTO!$C:$C,LANÇAMENTO!$D:$D,$A114,LANÇAMENTO!$E:$E,$B114,LANÇAMENTO!$F:$F,O$4)</f>
        <v>0</v>
      </c>
      <c r="P114" s="40">
        <f>-SUMIFS(LANÇAMENTO!$C:$C,LANÇAMENTO!$D:$D,$A114,LANÇAMENTO!$E:$E,$B114,LANÇAMENTO!$F:$F,P$4)</f>
        <v>0</v>
      </c>
      <c r="Q114" s="37">
        <f t="shared" si="61"/>
        <v>0</v>
      </c>
      <c r="R114" s="29">
        <f t="shared" si="65"/>
        <v>1</v>
      </c>
    </row>
    <row r="115" spans="1:18" x14ac:dyDescent="0.25">
      <c r="A115" s="70" t="str">
        <f t="shared" si="76"/>
        <v>DEPENDENTES</v>
      </c>
      <c r="B115" s="31" t="s">
        <v>86</v>
      </c>
      <c r="C115" s="45">
        <v>0</v>
      </c>
      <c r="D115" s="34">
        <f t="shared" si="75"/>
        <v>0</v>
      </c>
      <c r="E115" s="40">
        <f>-SUMIFS(LANÇAMENTO!$C:$C,LANÇAMENTO!$D:$D,$A115,LANÇAMENTO!$E:$E,$B115,LANÇAMENTO!$F:$F,E$4)</f>
        <v>0</v>
      </c>
      <c r="F115" s="40">
        <f>-SUMIFS(LANÇAMENTO!$C:$C,LANÇAMENTO!$D:$D,$A115,LANÇAMENTO!$E:$E,$B115,LANÇAMENTO!$F:$F,F$4)</f>
        <v>0</v>
      </c>
      <c r="G115" s="40">
        <f>-SUMIFS(LANÇAMENTO!$C:$C,LANÇAMENTO!$D:$D,$A115,LANÇAMENTO!$E:$E,$B115,LANÇAMENTO!$F:$F,G$4)</f>
        <v>0</v>
      </c>
      <c r="H115" s="40">
        <f>-SUMIFS(LANÇAMENTO!$C:$C,LANÇAMENTO!$D:$D,$A115,LANÇAMENTO!$E:$E,$B115,LANÇAMENTO!$F:$F,H$4)</f>
        <v>0</v>
      </c>
      <c r="I115" s="40">
        <f>-SUMIFS(LANÇAMENTO!$C:$C,LANÇAMENTO!$D:$D,$A115,LANÇAMENTO!$E:$E,$B115,LANÇAMENTO!$F:$F,I$4)</f>
        <v>0</v>
      </c>
      <c r="J115" s="40">
        <f>-SUMIFS(LANÇAMENTO!$C:$C,LANÇAMENTO!$D:$D,$A115,LANÇAMENTO!$E:$E,$B115,LANÇAMENTO!$F:$F,J$4)</f>
        <v>0</v>
      </c>
      <c r="K115" s="40">
        <f>-SUMIFS(LANÇAMENTO!$C:$C,LANÇAMENTO!$D:$D,$A115,LANÇAMENTO!$E:$E,$B115,LANÇAMENTO!$F:$F,K$4)</f>
        <v>0</v>
      </c>
      <c r="L115" s="40">
        <f>-SUMIFS(LANÇAMENTO!$C:$C,LANÇAMENTO!$D:$D,$A115,LANÇAMENTO!$E:$E,$B115,LANÇAMENTO!$F:$F,L$4)</f>
        <v>0</v>
      </c>
      <c r="M115" s="40">
        <f>-SUMIFS(LANÇAMENTO!$C:$C,LANÇAMENTO!$D:$D,$A115,LANÇAMENTO!$E:$E,$B115,LANÇAMENTO!$F:$F,M$4)</f>
        <v>0</v>
      </c>
      <c r="N115" s="40">
        <f>-SUMIFS(LANÇAMENTO!$C:$C,LANÇAMENTO!$D:$D,$A115,LANÇAMENTO!$E:$E,$B115,LANÇAMENTO!$F:$F,N$4)</f>
        <v>0</v>
      </c>
      <c r="O115" s="40">
        <f>-SUMIFS(LANÇAMENTO!$C:$C,LANÇAMENTO!$D:$D,$A115,LANÇAMENTO!$E:$E,$B115,LANÇAMENTO!$F:$F,O$4)</f>
        <v>0</v>
      </c>
      <c r="P115" s="40">
        <f>-SUMIFS(LANÇAMENTO!$C:$C,LANÇAMENTO!$D:$D,$A115,LANÇAMENTO!$E:$E,$B115,LANÇAMENTO!$F:$F,P$4)</f>
        <v>0</v>
      </c>
      <c r="Q115" s="37">
        <f t="shared" si="61"/>
        <v>0</v>
      </c>
      <c r="R115" s="29">
        <f t="shared" si="65"/>
        <v>0</v>
      </c>
    </row>
    <row r="116" spans="1:18" x14ac:dyDescent="0.25">
      <c r="A116" s="70" t="str">
        <f t="shared" si="76"/>
        <v>DEPENDENTES</v>
      </c>
      <c r="B116" s="31" t="s">
        <v>59</v>
      </c>
      <c r="C116" s="45">
        <v>200</v>
      </c>
      <c r="D116" s="34">
        <f t="shared" ref="D116:D122" si="77">C116*12</f>
        <v>2400</v>
      </c>
      <c r="E116" s="40">
        <f>-SUMIFS(LANÇAMENTO!$C:$C,LANÇAMENTO!$D:$D,$A116,LANÇAMENTO!$E:$E,$B116,LANÇAMENTO!$F:$F,E$4)</f>
        <v>0</v>
      </c>
      <c r="F116" s="40">
        <f>-SUMIFS(LANÇAMENTO!$C:$C,LANÇAMENTO!$D:$D,$A116,LANÇAMENTO!$E:$E,$B116,LANÇAMENTO!$F:$F,F$4)</f>
        <v>0</v>
      </c>
      <c r="G116" s="40">
        <f>-SUMIFS(LANÇAMENTO!$C:$C,LANÇAMENTO!$D:$D,$A116,LANÇAMENTO!$E:$E,$B116,LANÇAMENTO!$F:$F,G$4)</f>
        <v>0</v>
      </c>
      <c r="H116" s="40">
        <f>-SUMIFS(LANÇAMENTO!$C:$C,LANÇAMENTO!$D:$D,$A116,LANÇAMENTO!$E:$E,$B116,LANÇAMENTO!$F:$F,H$4)</f>
        <v>0</v>
      </c>
      <c r="I116" s="40">
        <f>-SUMIFS(LANÇAMENTO!$C:$C,LANÇAMENTO!$D:$D,$A116,LANÇAMENTO!$E:$E,$B116,LANÇAMENTO!$F:$F,I$4)</f>
        <v>0</v>
      </c>
      <c r="J116" s="40">
        <f>-SUMIFS(LANÇAMENTO!$C:$C,LANÇAMENTO!$D:$D,$A116,LANÇAMENTO!$E:$E,$B116,LANÇAMENTO!$F:$F,J$4)</f>
        <v>0</v>
      </c>
      <c r="K116" s="40">
        <f>-SUMIFS(LANÇAMENTO!$C:$C,LANÇAMENTO!$D:$D,$A116,LANÇAMENTO!$E:$E,$B116,LANÇAMENTO!$F:$F,K$4)</f>
        <v>0</v>
      </c>
      <c r="L116" s="40">
        <f>-SUMIFS(LANÇAMENTO!$C:$C,LANÇAMENTO!$D:$D,$A116,LANÇAMENTO!$E:$E,$B116,LANÇAMENTO!$F:$F,L$4)</f>
        <v>0</v>
      </c>
      <c r="M116" s="40">
        <f>-SUMIFS(LANÇAMENTO!$C:$C,LANÇAMENTO!$D:$D,$A116,LANÇAMENTO!$E:$E,$B116,LANÇAMENTO!$F:$F,M$4)</f>
        <v>0</v>
      </c>
      <c r="N116" s="40">
        <f>-SUMIFS(LANÇAMENTO!$C:$C,LANÇAMENTO!$D:$D,$A116,LANÇAMENTO!$E:$E,$B116,LANÇAMENTO!$F:$F,N$4)</f>
        <v>0</v>
      </c>
      <c r="O116" s="40">
        <f>-SUMIFS(LANÇAMENTO!$C:$C,LANÇAMENTO!$D:$D,$A116,LANÇAMENTO!$E:$E,$B116,LANÇAMENTO!$F:$F,O$4)</f>
        <v>0</v>
      </c>
      <c r="P116" s="40">
        <f>-SUMIFS(LANÇAMENTO!$C:$C,LANÇAMENTO!$D:$D,$A116,LANÇAMENTO!$E:$E,$B116,LANÇAMENTO!$F:$F,P$4)</f>
        <v>0</v>
      </c>
      <c r="Q116" s="37">
        <f t="shared" si="61"/>
        <v>0</v>
      </c>
      <c r="R116" s="29">
        <f t="shared" si="65"/>
        <v>1</v>
      </c>
    </row>
    <row r="117" spans="1:18" x14ac:dyDescent="0.25">
      <c r="A117" s="70" t="str">
        <f t="shared" si="76"/>
        <v>DEPENDENTES</v>
      </c>
      <c r="B117" s="31" t="s">
        <v>87</v>
      </c>
      <c r="C117" s="45">
        <v>0</v>
      </c>
      <c r="D117" s="34">
        <f t="shared" si="77"/>
        <v>0</v>
      </c>
      <c r="E117" s="40">
        <f>-SUMIFS(LANÇAMENTO!$C:$C,LANÇAMENTO!$D:$D,$A117,LANÇAMENTO!$E:$E,$B117,LANÇAMENTO!$F:$F,E$4)</f>
        <v>0</v>
      </c>
      <c r="F117" s="40">
        <f>-SUMIFS(LANÇAMENTO!$C:$C,LANÇAMENTO!$D:$D,$A117,LANÇAMENTO!$E:$E,$B117,LANÇAMENTO!$F:$F,F$4)</f>
        <v>0</v>
      </c>
      <c r="G117" s="40">
        <f>-SUMIFS(LANÇAMENTO!$C:$C,LANÇAMENTO!$D:$D,$A117,LANÇAMENTO!$E:$E,$B117,LANÇAMENTO!$F:$F,G$4)</f>
        <v>0</v>
      </c>
      <c r="H117" s="40">
        <f>-SUMIFS(LANÇAMENTO!$C:$C,LANÇAMENTO!$D:$D,$A117,LANÇAMENTO!$E:$E,$B117,LANÇAMENTO!$F:$F,H$4)</f>
        <v>0</v>
      </c>
      <c r="I117" s="40">
        <f>-SUMIFS(LANÇAMENTO!$C:$C,LANÇAMENTO!$D:$D,$A117,LANÇAMENTO!$E:$E,$B117,LANÇAMENTO!$F:$F,I$4)</f>
        <v>0</v>
      </c>
      <c r="J117" s="40">
        <f>-SUMIFS(LANÇAMENTO!$C:$C,LANÇAMENTO!$D:$D,$A117,LANÇAMENTO!$E:$E,$B117,LANÇAMENTO!$F:$F,J$4)</f>
        <v>0</v>
      </c>
      <c r="K117" s="40">
        <f>-SUMIFS(LANÇAMENTO!$C:$C,LANÇAMENTO!$D:$D,$A117,LANÇAMENTO!$E:$E,$B117,LANÇAMENTO!$F:$F,K$4)</f>
        <v>0</v>
      </c>
      <c r="L117" s="40">
        <f>-SUMIFS(LANÇAMENTO!$C:$C,LANÇAMENTO!$D:$D,$A117,LANÇAMENTO!$E:$E,$B117,LANÇAMENTO!$F:$F,L$4)</f>
        <v>0</v>
      </c>
      <c r="M117" s="40">
        <f>-SUMIFS(LANÇAMENTO!$C:$C,LANÇAMENTO!$D:$D,$A117,LANÇAMENTO!$E:$E,$B117,LANÇAMENTO!$F:$F,M$4)</f>
        <v>0</v>
      </c>
      <c r="N117" s="40">
        <f>-SUMIFS(LANÇAMENTO!$C:$C,LANÇAMENTO!$D:$D,$A117,LANÇAMENTO!$E:$E,$B117,LANÇAMENTO!$F:$F,N$4)</f>
        <v>0</v>
      </c>
      <c r="O117" s="40">
        <f>-SUMIFS(LANÇAMENTO!$C:$C,LANÇAMENTO!$D:$D,$A117,LANÇAMENTO!$E:$E,$B117,LANÇAMENTO!$F:$F,O$4)</f>
        <v>0</v>
      </c>
      <c r="P117" s="40">
        <f>-SUMIFS(LANÇAMENTO!$C:$C,LANÇAMENTO!$D:$D,$A117,LANÇAMENTO!$E:$E,$B117,LANÇAMENTO!$F:$F,P$4)</f>
        <v>0</v>
      </c>
      <c r="Q117" s="37">
        <f t="shared" si="61"/>
        <v>0</v>
      </c>
      <c r="R117" s="29">
        <f t="shared" si="65"/>
        <v>0</v>
      </c>
    </row>
    <row r="118" spans="1:18" x14ac:dyDescent="0.25">
      <c r="A118" s="70" t="str">
        <f t="shared" si="76"/>
        <v>DEPENDENTES</v>
      </c>
      <c r="B118" s="31" t="s">
        <v>64</v>
      </c>
      <c r="C118" s="45">
        <v>0</v>
      </c>
      <c r="D118" s="34">
        <f t="shared" si="77"/>
        <v>0</v>
      </c>
      <c r="E118" s="40">
        <f>-SUMIFS(LANÇAMENTO!$C:$C,LANÇAMENTO!$D:$D,$A118,LANÇAMENTO!$E:$E,$B118,LANÇAMENTO!$F:$F,E$4)</f>
        <v>0</v>
      </c>
      <c r="F118" s="40">
        <f>-SUMIFS(LANÇAMENTO!$C:$C,LANÇAMENTO!$D:$D,$A118,LANÇAMENTO!$E:$E,$B118,LANÇAMENTO!$F:$F,F$4)</f>
        <v>0</v>
      </c>
      <c r="G118" s="40">
        <f>-SUMIFS(LANÇAMENTO!$C:$C,LANÇAMENTO!$D:$D,$A118,LANÇAMENTO!$E:$E,$B118,LANÇAMENTO!$F:$F,G$4)</f>
        <v>0</v>
      </c>
      <c r="H118" s="40">
        <f>-SUMIFS(LANÇAMENTO!$C:$C,LANÇAMENTO!$D:$D,$A118,LANÇAMENTO!$E:$E,$B118,LANÇAMENTO!$F:$F,H$4)</f>
        <v>0</v>
      </c>
      <c r="I118" s="40">
        <f>-SUMIFS(LANÇAMENTO!$C:$C,LANÇAMENTO!$D:$D,$A118,LANÇAMENTO!$E:$E,$B118,LANÇAMENTO!$F:$F,I$4)</f>
        <v>0</v>
      </c>
      <c r="J118" s="40">
        <f>-SUMIFS(LANÇAMENTO!$C:$C,LANÇAMENTO!$D:$D,$A118,LANÇAMENTO!$E:$E,$B118,LANÇAMENTO!$F:$F,J$4)</f>
        <v>0</v>
      </c>
      <c r="K118" s="40">
        <f>-SUMIFS(LANÇAMENTO!$C:$C,LANÇAMENTO!$D:$D,$A118,LANÇAMENTO!$E:$E,$B118,LANÇAMENTO!$F:$F,K$4)</f>
        <v>0</v>
      </c>
      <c r="L118" s="40">
        <f>-SUMIFS(LANÇAMENTO!$C:$C,LANÇAMENTO!$D:$D,$A118,LANÇAMENTO!$E:$E,$B118,LANÇAMENTO!$F:$F,L$4)</f>
        <v>0</v>
      </c>
      <c r="M118" s="40">
        <f>-SUMIFS(LANÇAMENTO!$C:$C,LANÇAMENTO!$D:$D,$A118,LANÇAMENTO!$E:$E,$B118,LANÇAMENTO!$F:$F,M$4)</f>
        <v>0</v>
      </c>
      <c r="N118" s="40">
        <f>-SUMIFS(LANÇAMENTO!$C:$C,LANÇAMENTO!$D:$D,$A118,LANÇAMENTO!$E:$E,$B118,LANÇAMENTO!$F:$F,N$4)</f>
        <v>0</v>
      </c>
      <c r="O118" s="40">
        <f>-SUMIFS(LANÇAMENTO!$C:$C,LANÇAMENTO!$D:$D,$A118,LANÇAMENTO!$E:$E,$B118,LANÇAMENTO!$F:$F,O$4)</f>
        <v>0</v>
      </c>
      <c r="P118" s="40">
        <f>-SUMIFS(LANÇAMENTO!$C:$C,LANÇAMENTO!$D:$D,$A118,LANÇAMENTO!$E:$E,$B118,LANÇAMENTO!$F:$F,P$4)</f>
        <v>0</v>
      </c>
      <c r="Q118" s="37">
        <f t="shared" si="61"/>
        <v>0</v>
      </c>
      <c r="R118" s="29">
        <f t="shared" si="65"/>
        <v>0</v>
      </c>
    </row>
    <row r="119" spans="1:18" x14ac:dyDescent="0.25">
      <c r="A119" s="70" t="str">
        <f t="shared" si="76"/>
        <v>DEPENDENTES</v>
      </c>
      <c r="B119" s="31" t="s">
        <v>88</v>
      </c>
      <c r="C119" s="45">
        <v>0</v>
      </c>
      <c r="D119" s="34">
        <f t="shared" si="77"/>
        <v>0</v>
      </c>
      <c r="E119" s="40">
        <f>-SUMIFS(LANÇAMENTO!$C:$C,LANÇAMENTO!$D:$D,$A119,LANÇAMENTO!$E:$E,$B119,LANÇAMENTO!$F:$F,E$4)</f>
        <v>0</v>
      </c>
      <c r="F119" s="40">
        <f>-SUMIFS(LANÇAMENTO!$C:$C,LANÇAMENTO!$D:$D,$A119,LANÇAMENTO!$E:$E,$B119,LANÇAMENTO!$F:$F,F$4)</f>
        <v>0</v>
      </c>
      <c r="G119" s="40">
        <f>-SUMIFS(LANÇAMENTO!$C:$C,LANÇAMENTO!$D:$D,$A119,LANÇAMENTO!$E:$E,$B119,LANÇAMENTO!$F:$F,G$4)</f>
        <v>0</v>
      </c>
      <c r="H119" s="40">
        <f>-SUMIFS(LANÇAMENTO!$C:$C,LANÇAMENTO!$D:$D,$A119,LANÇAMENTO!$E:$E,$B119,LANÇAMENTO!$F:$F,H$4)</f>
        <v>0</v>
      </c>
      <c r="I119" s="40">
        <f>-SUMIFS(LANÇAMENTO!$C:$C,LANÇAMENTO!$D:$D,$A119,LANÇAMENTO!$E:$E,$B119,LANÇAMENTO!$F:$F,I$4)</f>
        <v>0</v>
      </c>
      <c r="J119" s="40">
        <f>-SUMIFS(LANÇAMENTO!$C:$C,LANÇAMENTO!$D:$D,$A119,LANÇAMENTO!$E:$E,$B119,LANÇAMENTO!$F:$F,J$4)</f>
        <v>0</v>
      </c>
      <c r="K119" s="40">
        <f>-SUMIFS(LANÇAMENTO!$C:$C,LANÇAMENTO!$D:$D,$A119,LANÇAMENTO!$E:$E,$B119,LANÇAMENTO!$F:$F,K$4)</f>
        <v>0</v>
      </c>
      <c r="L119" s="40">
        <f>-SUMIFS(LANÇAMENTO!$C:$C,LANÇAMENTO!$D:$D,$A119,LANÇAMENTO!$E:$E,$B119,LANÇAMENTO!$F:$F,L$4)</f>
        <v>0</v>
      </c>
      <c r="M119" s="40">
        <f>-SUMIFS(LANÇAMENTO!$C:$C,LANÇAMENTO!$D:$D,$A119,LANÇAMENTO!$E:$E,$B119,LANÇAMENTO!$F:$F,M$4)</f>
        <v>0</v>
      </c>
      <c r="N119" s="40">
        <f>-SUMIFS(LANÇAMENTO!$C:$C,LANÇAMENTO!$D:$D,$A119,LANÇAMENTO!$E:$E,$B119,LANÇAMENTO!$F:$F,N$4)</f>
        <v>0</v>
      </c>
      <c r="O119" s="40">
        <f>-SUMIFS(LANÇAMENTO!$C:$C,LANÇAMENTO!$D:$D,$A119,LANÇAMENTO!$E:$E,$B119,LANÇAMENTO!$F:$F,O$4)</f>
        <v>0</v>
      </c>
      <c r="P119" s="40">
        <f>-SUMIFS(LANÇAMENTO!$C:$C,LANÇAMENTO!$D:$D,$A119,LANÇAMENTO!$E:$E,$B119,LANÇAMENTO!$F:$F,P$4)</f>
        <v>0</v>
      </c>
      <c r="Q119" s="37">
        <f t="shared" si="61"/>
        <v>0</v>
      </c>
      <c r="R119" s="29">
        <f t="shared" si="65"/>
        <v>0</v>
      </c>
    </row>
    <row r="120" spans="1:18" x14ac:dyDescent="0.25">
      <c r="A120" s="70" t="str">
        <f t="shared" si="76"/>
        <v>DEPENDENTES</v>
      </c>
      <c r="B120" s="31" t="s">
        <v>89</v>
      </c>
      <c r="C120" s="45">
        <v>0</v>
      </c>
      <c r="D120" s="34">
        <f t="shared" si="77"/>
        <v>0</v>
      </c>
      <c r="E120" s="40">
        <f>-SUMIFS(LANÇAMENTO!$C:$C,LANÇAMENTO!$D:$D,$A120,LANÇAMENTO!$E:$E,$B120,LANÇAMENTO!$F:$F,E$4)</f>
        <v>0</v>
      </c>
      <c r="F120" s="40">
        <f>-SUMIFS(LANÇAMENTO!$C:$C,LANÇAMENTO!$D:$D,$A120,LANÇAMENTO!$E:$E,$B120,LANÇAMENTO!$F:$F,F$4)</f>
        <v>0</v>
      </c>
      <c r="G120" s="40">
        <f>-SUMIFS(LANÇAMENTO!$C:$C,LANÇAMENTO!$D:$D,$A120,LANÇAMENTO!$E:$E,$B120,LANÇAMENTO!$F:$F,G$4)</f>
        <v>0</v>
      </c>
      <c r="H120" s="40">
        <f>-SUMIFS(LANÇAMENTO!$C:$C,LANÇAMENTO!$D:$D,$A120,LANÇAMENTO!$E:$E,$B120,LANÇAMENTO!$F:$F,H$4)</f>
        <v>0</v>
      </c>
      <c r="I120" s="40">
        <f>-SUMIFS(LANÇAMENTO!$C:$C,LANÇAMENTO!$D:$D,$A120,LANÇAMENTO!$E:$E,$B120,LANÇAMENTO!$F:$F,I$4)</f>
        <v>0</v>
      </c>
      <c r="J120" s="40">
        <f>-SUMIFS(LANÇAMENTO!$C:$C,LANÇAMENTO!$D:$D,$A120,LANÇAMENTO!$E:$E,$B120,LANÇAMENTO!$F:$F,J$4)</f>
        <v>0</v>
      </c>
      <c r="K120" s="40">
        <f>-SUMIFS(LANÇAMENTO!$C:$C,LANÇAMENTO!$D:$D,$A120,LANÇAMENTO!$E:$E,$B120,LANÇAMENTO!$F:$F,K$4)</f>
        <v>0</v>
      </c>
      <c r="L120" s="40">
        <f>-SUMIFS(LANÇAMENTO!$C:$C,LANÇAMENTO!$D:$D,$A120,LANÇAMENTO!$E:$E,$B120,LANÇAMENTO!$F:$F,L$4)</f>
        <v>0</v>
      </c>
      <c r="M120" s="40">
        <f>-SUMIFS(LANÇAMENTO!$C:$C,LANÇAMENTO!$D:$D,$A120,LANÇAMENTO!$E:$E,$B120,LANÇAMENTO!$F:$F,M$4)</f>
        <v>0</v>
      </c>
      <c r="N120" s="40">
        <f>-SUMIFS(LANÇAMENTO!$C:$C,LANÇAMENTO!$D:$D,$A120,LANÇAMENTO!$E:$E,$B120,LANÇAMENTO!$F:$F,N$4)</f>
        <v>0</v>
      </c>
      <c r="O120" s="40">
        <f>-SUMIFS(LANÇAMENTO!$C:$C,LANÇAMENTO!$D:$D,$A120,LANÇAMENTO!$E:$E,$B120,LANÇAMENTO!$F:$F,O$4)</f>
        <v>0</v>
      </c>
      <c r="P120" s="40">
        <f>-SUMIFS(LANÇAMENTO!$C:$C,LANÇAMENTO!$D:$D,$A120,LANÇAMENTO!$E:$E,$B120,LANÇAMENTO!$F:$F,P$4)</f>
        <v>0</v>
      </c>
      <c r="Q120" s="37">
        <f t="shared" si="61"/>
        <v>0</v>
      </c>
      <c r="R120" s="29">
        <f t="shared" si="65"/>
        <v>0</v>
      </c>
    </row>
    <row r="121" spans="1:18" x14ac:dyDescent="0.25">
      <c r="A121" s="70" t="str">
        <f t="shared" si="76"/>
        <v>DEPENDENTES</v>
      </c>
      <c r="B121" s="31" t="s">
        <v>90</v>
      </c>
      <c r="C121" s="45">
        <v>0</v>
      </c>
      <c r="D121" s="34">
        <f t="shared" si="77"/>
        <v>0</v>
      </c>
      <c r="E121" s="40">
        <f>-SUMIFS(LANÇAMENTO!$C:$C,LANÇAMENTO!$D:$D,$A121,LANÇAMENTO!$E:$E,$B121,LANÇAMENTO!$F:$F,E$4)</f>
        <v>0</v>
      </c>
      <c r="F121" s="40">
        <f>-SUMIFS(LANÇAMENTO!$C:$C,LANÇAMENTO!$D:$D,$A121,LANÇAMENTO!$E:$E,$B121,LANÇAMENTO!$F:$F,F$4)</f>
        <v>0</v>
      </c>
      <c r="G121" s="40">
        <f>-SUMIFS(LANÇAMENTO!$C:$C,LANÇAMENTO!$D:$D,$A121,LANÇAMENTO!$E:$E,$B121,LANÇAMENTO!$F:$F,G$4)</f>
        <v>0</v>
      </c>
      <c r="H121" s="40">
        <f>-SUMIFS(LANÇAMENTO!$C:$C,LANÇAMENTO!$D:$D,$A121,LANÇAMENTO!$E:$E,$B121,LANÇAMENTO!$F:$F,H$4)</f>
        <v>0</v>
      </c>
      <c r="I121" s="40">
        <f>-SUMIFS(LANÇAMENTO!$C:$C,LANÇAMENTO!$D:$D,$A121,LANÇAMENTO!$E:$E,$B121,LANÇAMENTO!$F:$F,I$4)</f>
        <v>0</v>
      </c>
      <c r="J121" s="40">
        <f>-SUMIFS(LANÇAMENTO!$C:$C,LANÇAMENTO!$D:$D,$A121,LANÇAMENTO!$E:$E,$B121,LANÇAMENTO!$F:$F,J$4)</f>
        <v>0</v>
      </c>
      <c r="K121" s="40">
        <f>-SUMIFS(LANÇAMENTO!$C:$C,LANÇAMENTO!$D:$D,$A121,LANÇAMENTO!$E:$E,$B121,LANÇAMENTO!$F:$F,K$4)</f>
        <v>0</v>
      </c>
      <c r="L121" s="40">
        <f>-SUMIFS(LANÇAMENTO!$C:$C,LANÇAMENTO!$D:$D,$A121,LANÇAMENTO!$E:$E,$B121,LANÇAMENTO!$F:$F,L$4)</f>
        <v>0</v>
      </c>
      <c r="M121" s="40">
        <f>-SUMIFS(LANÇAMENTO!$C:$C,LANÇAMENTO!$D:$D,$A121,LANÇAMENTO!$E:$E,$B121,LANÇAMENTO!$F:$F,M$4)</f>
        <v>0</v>
      </c>
      <c r="N121" s="40">
        <f>-SUMIFS(LANÇAMENTO!$C:$C,LANÇAMENTO!$D:$D,$A121,LANÇAMENTO!$E:$E,$B121,LANÇAMENTO!$F:$F,N$4)</f>
        <v>0</v>
      </c>
      <c r="O121" s="40">
        <f>-SUMIFS(LANÇAMENTO!$C:$C,LANÇAMENTO!$D:$D,$A121,LANÇAMENTO!$E:$E,$B121,LANÇAMENTO!$F:$F,O$4)</f>
        <v>0</v>
      </c>
      <c r="P121" s="40">
        <f>-SUMIFS(LANÇAMENTO!$C:$C,LANÇAMENTO!$D:$D,$A121,LANÇAMENTO!$E:$E,$B121,LANÇAMENTO!$F:$F,P$4)</f>
        <v>0</v>
      </c>
      <c r="Q121" s="37">
        <f t="shared" si="61"/>
        <v>0</v>
      </c>
      <c r="R121" s="29">
        <f t="shared" si="65"/>
        <v>0</v>
      </c>
    </row>
    <row r="122" spans="1:18" x14ac:dyDescent="0.25">
      <c r="A122" s="70" t="str">
        <f t="shared" si="76"/>
        <v>DEPENDENTES</v>
      </c>
      <c r="B122" s="31" t="s">
        <v>142</v>
      </c>
      <c r="C122" s="45">
        <v>0</v>
      </c>
      <c r="D122" s="34">
        <f t="shared" si="77"/>
        <v>0</v>
      </c>
      <c r="E122" s="40">
        <f>-SUMIFS(LANÇAMENTO!$C:$C,LANÇAMENTO!$D:$D,$A122,LANÇAMENTO!$E:$E,$B122,LANÇAMENTO!$F:$F,E$4)</f>
        <v>0</v>
      </c>
      <c r="F122" s="40">
        <f>-SUMIFS(LANÇAMENTO!$C:$C,LANÇAMENTO!$D:$D,$A122,LANÇAMENTO!$E:$E,$B122,LANÇAMENTO!$F:$F,F$4)</f>
        <v>0</v>
      </c>
      <c r="G122" s="40">
        <f>-SUMIFS(LANÇAMENTO!$C:$C,LANÇAMENTO!$D:$D,$A122,LANÇAMENTO!$E:$E,$B122,LANÇAMENTO!$F:$F,G$4)</f>
        <v>0</v>
      </c>
      <c r="H122" s="40">
        <f>-SUMIFS(LANÇAMENTO!$C:$C,LANÇAMENTO!$D:$D,$A122,LANÇAMENTO!$E:$E,$B122,LANÇAMENTO!$F:$F,H$4)</f>
        <v>0</v>
      </c>
      <c r="I122" s="40">
        <f>-SUMIFS(LANÇAMENTO!$C:$C,LANÇAMENTO!$D:$D,$A122,LANÇAMENTO!$E:$E,$B122,LANÇAMENTO!$F:$F,I$4)</f>
        <v>0</v>
      </c>
      <c r="J122" s="40">
        <f>-SUMIFS(LANÇAMENTO!$C:$C,LANÇAMENTO!$D:$D,$A122,LANÇAMENTO!$E:$E,$B122,LANÇAMENTO!$F:$F,J$4)</f>
        <v>0</v>
      </c>
      <c r="K122" s="40">
        <f>-SUMIFS(LANÇAMENTO!$C:$C,LANÇAMENTO!$D:$D,$A122,LANÇAMENTO!$E:$E,$B122,LANÇAMENTO!$F:$F,K$4)</f>
        <v>0</v>
      </c>
      <c r="L122" s="40">
        <f>-SUMIFS(LANÇAMENTO!$C:$C,LANÇAMENTO!$D:$D,$A122,LANÇAMENTO!$E:$E,$B122,LANÇAMENTO!$F:$F,L$4)</f>
        <v>0</v>
      </c>
      <c r="M122" s="40">
        <f>-SUMIFS(LANÇAMENTO!$C:$C,LANÇAMENTO!$D:$D,$A122,LANÇAMENTO!$E:$E,$B122,LANÇAMENTO!$F:$F,M$4)</f>
        <v>0</v>
      </c>
      <c r="N122" s="40">
        <f>-SUMIFS(LANÇAMENTO!$C:$C,LANÇAMENTO!$D:$D,$A122,LANÇAMENTO!$E:$E,$B122,LANÇAMENTO!$F:$F,N$4)</f>
        <v>0</v>
      </c>
      <c r="O122" s="40">
        <f>-SUMIFS(LANÇAMENTO!$C:$C,LANÇAMENTO!$D:$D,$A122,LANÇAMENTO!$E:$E,$B122,LANÇAMENTO!$F:$F,O$4)</f>
        <v>0</v>
      </c>
      <c r="P122" s="40">
        <f>-SUMIFS(LANÇAMENTO!$C:$C,LANÇAMENTO!$D:$D,$A122,LANÇAMENTO!$E:$E,$B122,LANÇAMENTO!$F:$F,P$4)</f>
        <v>0</v>
      </c>
      <c r="Q122" s="37">
        <f t="shared" si="61"/>
        <v>0</v>
      </c>
      <c r="R122" s="29">
        <f t="shared" si="65"/>
        <v>0</v>
      </c>
    </row>
    <row r="123" spans="1:18" x14ac:dyDescent="0.25">
      <c r="A123" s="70"/>
      <c r="B123" s="26" t="s">
        <v>91</v>
      </c>
      <c r="C123" s="20">
        <f>SUM(C124:C128)</f>
        <v>250</v>
      </c>
      <c r="D123" s="20">
        <f>SUM(D124:D128)</f>
        <v>3000</v>
      </c>
      <c r="E123" s="20">
        <f t="shared" ref="E123:P123" si="78">SUM(E124:E128)</f>
        <v>74</v>
      </c>
      <c r="F123" s="20">
        <f t="shared" si="78"/>
        <v>125</v>
      </c>
      <c r="G123" s="20">
        <f t="shared" si="78"/>
        <v>126</v>
      </c>
      <c r="H123" s="20">
        <f t="shared" si="78"/>
        <v>124</v>
      </c>
      <c r="I123" s="20">
        <f t="shared" si="78"/>
        <v>81</v>
      </c>
      <c r="J123" s="20">
        <f t="shared" si="78"/>
        <v>90</v>
      </c>
      <c r="K123" s="20">
        <f t="shared" si="78"/>
        <v>101</v>
      </c>
      <c r="L123" s="20">
        <f t="shared" si="78"/>
        <v>108</v>
      </c>
      <c r="M123" s="20">
        <f t="shared" si="78"/>
        <v>93</v>
      </c>
      <c r="N123" s="20">
        <f t="shared" si="78"/>
        <v>116</v>
      </c>
      <c r="O123" s="20">
        <f t="shared" si="78"/>
        <v>127</v>
      </c>
      <c r="P123" s="20">
        <f t="shared" si="78"/>
        <v>79</v>
      </c>
      <c r="Q123" s="25">
        <f t="shared" si="61"/>
        <v>1244</v>
      </c>
      <c r="R123" s="29">
        <f>IF(SUM(R124:R130)=0,0,1)</f>
        <v>1</v>
      </c>
    </row>
    <row r="124" spans="1:18" x14ac:dyDescent="0.25">
      <c r="A124" s="70" t="str">
        <f>$B$123</f>
        <v>DIVERSOS</v>
      </c>
      <c r="B124" s="31" t="s">
        <v>92</v>
      </c>
      <c r="C124" s="45">
        <v>100</v>
      </c>
      <c r="D124" s="34">
        <f t="shared" ref="D124" si="79">C124*12</f>
        <v>1200</v>
      </c>
      <c r="E124" s="40">
        <f>-SUMIFS(LANÇAMENTO!$C:$C,LANÇAMENTO!$D:$D,$A124,LANÇAMENTO!$E:$E,$B124,LANÇAMENTO!$F:$F,E$4)</f>
        <v>74</v>
      </c>
      <c r="F124" s="40">
        <f>-SUMIFS(LANÇAMENTO!$C:$C,LANÇAMENTO!$D:$D,$A124,LANÇAMENTO!$E:$E,$B124,LANÇAMENTO!$F:$F,F$4)</f>
        <v>125</v>
      </c>
      <c r="G124" s="40">
        <f>-SUMIFS(LANÇAMENTO!$C:$C,LANÇAMENTO!$D:$D,$A124,LANÇAMENTO!$E:$E,$B124,LANÇAMENTO!$F:$F,G$4)</f>
        <v>126</v>
      </c>
      <c r="H124" s="40">
        <f>-SUMIFS(LANÇAMENTO!$C:$C,LANÇAMENTO!$D:$D,$A124,LANÇAMENTO!$E:$E,$B124,LANÇAMENTO!$F:$F,H$4)</f>
        <v>124</v>
      </c>
      <c r="I124" s="40">
        <f>-SUMIFS(LANÇAMENTO!$C:$C,LANÇAMENTO!$D:$D,$A124,LANÇAMENTO!$E:$E,$B124,LANÇAMENTO!$F:$F,I$4)</f>
        <v>81</v>
      </c>
      <c r="J124" s="40">
        <f>-SUMIFS(LANÇAMENTO!$C:$C,LANÇAMENTO!$D:$D,$A124,LANÇAMENTO!$E:$E,$B124,LANÇAMENTO!$F:$F,J$4)</f>
        <v>90</v>
      </c>
      <c r="K124" s="40">
        <f>-SUMIFS(LANÇAMENTO!$C:$C,LANÇAMENTO!$D:$D,$A124,LANÇAMENTO!$E:$E,$B124,LANÇAMENTO!$F:$F,K$4)</f>
        <v>101</v>
      </c>
      <c r="L124" s="40">
        <f>-SUMIFS(LANÇAMENTO!$C:$C,LANÇAMENTO!$D:$D,$A124,LANÇAMENTO!$E:$E,$B124,LANÇAMENTO!$F:$F,L$4)</f>
        <v>108</v>
      </c>
      <c r="M124" s="40">
        <f>-SUMIFS(LANÇAMENTO!$C:$C,LANÇAMENTO!$D:$D,$A124,LANÇAMENTO!$E:$E,$B124,LANÇAMENTO!$F:$F,M$4)</f>
        <v>93</v>
      </c>
      <c r="N124" s="40">
        <f>-SUMIFS(LANÇAMENTO!$C:$C,LANÇAMENTO!$D:$D,$A124,LANÇAMENTO!$E:$E,$B124,LANÇAMENTO!$F:$F,N$4)</f>
        <v>116</v>
      </c>
      <c r="O124" s="40">
        <f>-SUMIFS(LANÇAMENTO!$C:$C,LANÇAMENTO!$D:$D,$A124,LANÇAMENTO!$E:$E,$B124,LANÇAMENTO!$F:$F,O$4)</f>
        <v>127</v>
      </c>
      <c r="P124" s="40">
        <f>-SUMIFS(LANÇAMENTO!$C:$C,LANÇAMENTO!$D:$D,$A124,LANÇAMENTO!$E:$E,$B124,LANÇAMENTO!$F:$F,P$4)</f>
        <v>79</v>
      </c>
      <c r="Q124" s="37">
        <f t="shared" si="61"/>
        <v>1244</v>
      </c>
      <c r="R124" s="29">
        <f t="shared" si="65"/>
        <v>1</v>
      </c>
    </row>
    <row r="125" spans="1:18" x14ac:dyDescent="0.25">
      <c r="A125" s="70" t="str">
        <f t="shared" ref="A125:A128" si="80">$B$123</f>
        <v>DIVERSOS</v>
      </c>
      <c r="B125" s="31" t="s">
        <v>93</v>
      </c>
      <c r="C125" s="45">
        <v>150</v>
      </c>
      <c r="D125" s="34">
        <f t="shared" ref="D125:D128" si="81">C125*12</f>
        <v>1800</v>
      </c>
      <c r="E125" s="40">
        <f>-SUMIFS(LANÇAMENTO!$C:$C,LANÇAMENTO!$D:$D,$A125,LANÇAMENTO!$E:$E,$B125,LANÇAMENTO!$F:$F,E$4)</f>
        <v>0</v>
      </c>
      <c r="F125" s="40">
        <f>-SUMIFS(LANÇAMENTO!$C:$C,LANÇAMENTO!$D:$D,$A125,LANÇAMENTO!$E:$E,$B125,LANÇAMENTO!$F:$F,F$4)</f>
        <v>0</v>
      </c>
      <c r="G125" s="40">
        <f>-SUMIFS(LANÇAMENTO!$C:$C,LANÇAMENTO!$D:$D,$A125,LANÇAMENTO!$E:$E,$B125,LANÇAMENTO!$F:$F,G$4)</f>
        <v>0</v>
      </c>
      <c r="H125" s="40">
        <f>-SUMIFS(LANÇAMENTO!$C:$C,LANÇAMENTO!$D:$D,$A125,LANÇAMENTO!$E:$E,$B125,LANÇAMENTO!$F:$F,H$4)</f>
        <v>0</v>
      </c>
      <c r="I125" s="40">
        <f>-SUMIFS(LANÇAMENTO!$C:$C,LANÇAMENTO!$D:$D,$A125,LANÇAMENTO!$E:$E,$B125,LANÇAMENTO!$F:$F,I$4)</f>
        <v>0</v>
      </c>
      <c r="J125" s="40">
        <f>-SUMIFS(LANÇAMENTO!$C:$C,LANÇAMENTO!$D:$D,$A125,LANÇAMENTO!$E:$E,$B125,LANÇAMENTO!$F:$F,J$4)</f>
        <v>0</v>
      </c>
      <c r="K125" s="40">
        <f>-SUMIFS(LANÇAMENTO!$C:$C,LANÇAMENTO!$D:$D,$A125,LANÇAMENTO!$E:$E,$B125,LANÇAMENTO!$F:$F,K$4)</f>
        <v>0</v>
      </c>
      <c r="L125" s="40">
        <f>-SUMIFS(LANÇAMENTO!$C:$C,LANÇAMENTO!$D:$D,$A125,LANÇAMENTO!$E:$E,$B125,LANÇAMENTO!$F:$F,L$4)</f>
        <v>0</v>
      </c>
      <c r="M125" s="40">
        <f>-SUMIFS(LANÇAMENTO!$C:$C,LANÇAMENTO!$D:$D,$A125,LANÇAMENTO!$E:$E,$B125,LANÇAMENTO!$F:$F,M$4)</f>
        <v>0</v>
      </c>
      <c r="N125" s="40">
        <f>-SUMIFS(LANÇAMENTO!$C:$C,LANÇAMENTO!$D:$D,$A125,LANÇAMENTO!$E:$E,$B125,LANÇAMENTO!$F:$F,N$4)</f>
        <v>0</v>
      </c>
      <c r="O125" s="40">
        <f>-SUMIFS(LANÇAMENTO!$C:$C,LANÇAMENTO!$D:$D,$A125,LANÇAMENTO!$E:$E,$B125,LANÇAMENTO!$F:$F,O$4)</f>
        <v>0</v>
      </c>
      <c r="P125" s="40">
        <f>-SUMIFS(LANÇAMENTO!$C:$C,LANÇAMENTO!$D:$D,$A125,LANÇAMENTO!$E:$E,$B125,LANÇAMENTO!$F:$F,P$4)</f>
        <v>0</v>
      </c>
      <c r="Q125" s="37">
        <f t="shared" si="61"/>
        <v>0</v>
      </c>
      <c r="R125" s="29">
        <f t="shared" si="65"/>
        <v>1</v>
      </c>
    </row>
    <row r="126" spans="1:18" x14ac:dyDescent="0.25">
      <c r="A126" s="70" t="str">
        <f t="shared" si="80"/>
        <v>DIVERSOS</v>
      </c>
      <c r="B126" s="31" t="s">
        <v>94</v>
      </c>
      <c r="C126" s="45">
        <v>0</v>
      </c>
      <c r="D126" s="34">
        <f t="shared" si="81"/>
        <v>0</v>
      </c>
      <c r="E126" s="40">
        <f>-SUMIFS(LANÇAMENTO!$C:$C,LANÇAMENTO!$D:$D,$A126,LANÇAMENTO!$E:$E,$B126,LANÇAMENTO!$F:$F,E$4)</f>
        <v>0</v>
      </c>
      <c r="F126" s="40">
        <f>-SUMIFS(LANÇAMENTO!$C:$C,LANÇAMENTO!$D:$D,$A126,LANÇAMENTO!$E:$E,$B126,LANÇAMENTO!$F:$F,F$4)</f>
        <v>0</v>
      </c>
      <c r="G126" s="40">
        <f>-SUMIFS(LANÇAMENTO!$C:$C,LANÇAMENTO!$D:$D,$A126,LANÇAMENTO!$E:$E,$B126,LANÇAMENTO!$F:$F,G$4)</f>
        <v>0</v>
      </c>
      <c r="H126" s="40">
        <f>-SUMIFS(LANÇAMENTO!$C:$C,LANÇAMENTO!$D:$D,$A126,LANÇAMENTO!$E:$E,$B126,LANÇAMENTO!$F:$F,H$4)</f>
        <v>0</v>
      </c>
      <c r="I126" s="40">
        <f>-SUMIFS(LANÇAMENTO!$C:$C,LANÇAMENTO!$D:$D,$A126,LANÇAMENTO!$E:$E,$B126,LANÇAMENTO!$F:$F,I$4)</f>
        <v>0</v>
      </c>
      <c r="J126" s="40">
        <f>-SUMIFS(LANÇAMENTO!$C:$C,LANÇAMENTO!$D:$D,$A126,LANÇAMENTO!$E:$E,$B126,LANÇAMENTO!$F:$F,J$4)</f>
        <v>0</v>
      </c>
      <c r="K126" s="40">
        <f>-SUMIFS(LANÇAMENTO!$C:$C,LANÇAMENTO!$D:$D,$A126,LANÇAMENTO!$E:$E,$B126,LANÇAMENTO!$F:$F,K$4)</f>
        <v>0</v>
      </c>
      <c r="L126" s="40">
        <f>-SUMIFS(LANÇAMENTO!$C:$C,LANÇAMENTO!$D:$D,$A126,LANÇAMENTO!$E:$E,$B126,LANÇAMENTO!$F:$F,L$4)</f>
        <v>0</v>
      </c>
      <c r="M126" s="40">
        <f>-SUMIFS(LANÇAMENTO!$C:$C,LANÇAMENTO!$D:$D,$A126,LANÇAMENTO!$E:$E,$B126,LANÇAMENTO!$F:$F,M$4)</f>
        <v>0</v>
      </c>
      <c r="N126" s="40">
        <f>-SUMIFS(LANÇAMENTO!$C:$C,LANÇAMENTO!$D:$D,$A126,LANÇAMENTO!$E:$E,$B126,LANÇAMENTO!$F:$F,N$4)</f>
        <v>0</v>
      </c>
      <c r="O126" s="40">
        <f>-SUMIFS(LANÇAMENTO!$C:$C,LANÇAMENTO!$D:$D,$A126,LANÇAMENTO!$E:$E,$B126,LANÇAMENTO!$F:$F,O$4)</f>
        <v>0</v>
      </c>
      <c r="P126" s="40">
        <f>-SUMIFS(LANÇAMENTO!$C:$C,LANÇAMENTO!$D:$D,$A126,LANÇAMENTO!$E:$E,$B126,LANÇAMENTO!$F:$F,P$4)</f>
        <v>0</v>
      </c>
      <c r="Q126" s="37">
        <f t="shared" si="61"/>
        <v>0</v>
      </c>
      <c r="R126" s="29">
        <f t="shared" si="65"/>
        <v>0</v>
      </c>
    </row>
    <row r="127" spans="1:18" x14ac:dyDescent="0.25">
      <c r="A127" s="70" t="str">
        <f t="shared" si="80"/>
        <v>DIVERSOS</v>
      </c>
      <c r="B127" s="31" t="s">
        <v>95</v>
      </c>
      <c r="C127" s="45">
        <v>0</v>
      </c>
      <c r="D127" s="34">
        <f t="shared" si="81"/>
        <v>0</v>
      </c>
      <c r="E127" s="40">
        <f>-SUMIFS(LANÇAMENTO!$C:$C,LANÇAMENTO!$D:$D,$A127,LANÇAMENTO!$E:$E,$B127,LANÇAMENTO!$F:$F,E$4)</f>
        <v>0</v>
      </c>
      <c r="F127" s="40">
        <f>-SUMIFS(LANÇAMENTO!$C:$C,LANÇAMENTO!$D:$D,$A127,LANÇAMENTO!$E:$E,$B127,LANÇAMENTO!$F:$F,F$4)</f>
        <v>0</v>
      </c>
      <c r="G127" s="40">
        <f>-SUMIFS(LANÇAMENTO!$C:$C,LANÇAMENTO!$D:$D,$A127,LANÇAMENTO!$E:$E,$B127,LANÇAMENTO!$F:$F,G$4)</f>
        <v>0</v>
      </c>
      <c r="H127" s="40">
        <f>-SUMIFS(LANÇAMENTO!$C:$C,LANÇAMENTO!$D:$D,$A127,LANÇAMENTO!$E:$E,$B127,LANÇAMENTO!$F:$F,H$4)</f>
        <v>0</v>
      </c>
      <c r="I127" s="40">
        <f>-SUMIFS(LANÇAMENTO!$C:$C,LANÇAMENTO!$D:$D,$A127,LANÇAMENTO!$E:$E,$B127,LANÇAMENTO!$F:$F,I$4)</f>
        <v>0</v>
      </c>
      <c r="J127" s="40">
        <f>-SUMIFS(LANÇAMENTO!$C:$C,LANÇAMENTO!$D:$D,$A127,LANÇAMENTO!$E:$E,$B127,LANÇAMENTO!$F:$F,J$4)</f>
        <v>0</v>
      </c>
      <c r="K127" s="40">
        <f>-SUMIFS(LANÇAMENTO!$C:$C,LANÇAMENTO!$D:$D,$A127,LANÇAMENTO!$E:$E,$B127,LANÇAMENTO!$F:$F,K$4)</f>
        <v>0</v>
      </c>
      <c r="L127" s="40">
        <f>-SUMIFS(LANÇAMENTO!$C:$C,LANÇAMENTO!$D:$D,$A127,LANÇAMENTO!$E:$E,$B127,LANÇAMENTO!$F:$F,L$4)</f>
        <v>0</v>
      </c>
      <c r="M127" s="40">
        <f>-SUMIFS(LANÇAMENTO!$C:$C,LANÇAMENTO!$D:$D,$A127,LANÇAMENTO!$E:$E,$B127,LANÇAMENTO!$F:$F,M$4)</f>
        <v>0</v>
      </c>
      <c r="N127" s="40">
        <f>-SUMIFS(LANÇAMENTO!$C:$C,LANÇAMENTO!$D:$D,$A127,LANÇAMENTO!$E:$E,$B127,LANÇAMENTO!$F:$F,N$4)</f>
        <v>0</v>
      </c>
      <c r="O127" s="40">
        <f>-SUMIFS(LANÇAMENTO!$C:$C,LANÇAMENTO!$D:$D,$A127,LANÇAMENTO!$E:$E,$B127,LANÇAMENTO!$F:$F,O$4)</f>
        <v>0</v>
      </c>
      <c r="P127" s="40">
        <f>-SUMIFS(LANÇAMENTO!$C:$C,LANÇAMENTO!$D:$D,$A127,LANÇAMENTO!$E:$E,$B127,LANÇAMENTO!$F:$F,P$4)</f>
        <v>0</v>
      </c>
      <c r="Q127" s="37">
        <f t="shared" si="61"/>
        <v>0</v>
      </c>
      <c r="R127" s="29">
        <f t="shared" si="65"/>
        <v>0</v>
      </c>
    </row>
    <row r="128" spans="1:18" x14ac:dyDescent="0.25">
      <c r="A128" s="70" t="str">
        <f t="shared" si="80"/>
        <v>DIVERSOS</v>
      </c>
      <c r="B128" s="31" t="s">
        <v>142</v>
      </c>
      <c r="C128" s="45">
        <v>0</v>
      </c>
      <c r="D128" s="34">
        <f t="shared" si="81"/>
        <v>0</v>
      </c>
      <c r="E128" s="40">
        <f>-SUMIFS(LANÇAMENTO!$C:$C,LANÇAMENTO!$D:$D,$A128,LANÇAMENTO!$E:$E,$B128,LANÇAMENTO!$F:$F,E$4)</f>
        <v>0</v>
      </c>
      <c r="F128" s="40">
        <f>-SUMIFS(LANÇAMENTO!$C:$C,LANÇAMENTO!$D:$D,$A128,LANÇAMENTO!$E:$E,$B128,LANÇAMENTO!$F:$F,F$4)</f>
        <v>0</v>
      </c>
      <c r="G128" s="40">
        <f>-SUMIFS(LANÇAMENTO!$C:$C,LANÇAMENTO!$D:$D,$A128,LANÇAMENTO!$E:$E,$B128,LANÇAMENTO!$F:$F,G$4)</f>
        <v>0</v>
      </c>
      <c r="H128" s="40">
        <f>-SUMIFS(LANÇAMENTO!$C:$C,LANÇAMENTO!$D:$D,$A128,LANÇAMENTO!$E:$E,$B128,LANÇAMENTO!$F:$F,H$4)</f>
        <v>0</v>
      </c>
      <c r="I128" s="40">
        <f>-SUMIFS(LANÇAMENTO!$C:$C,LANÇAMENTO!$D:$D,$A128,LANÇAMENTO!$E:$E,$B128,LANÇAMENTO!$F:$F,I$4)</f>
        <v>0</v>
      </c>
      <c r="J128" s="40">
        <f>-SUMIFS(LANÇAMENTO!$C:$C,LANÇAMENTO!$D:$D,$A128,LANÇAMENTO!$E:$E,$B128,LANÇAMENTO!$F:$F,J$4)</f>
        <v>0</v>
      </c>
      <c r="K128" s="40">
        <f>-SUMIFS(LANÇAMENTO!$C:$C,LANÇAMENTO!$D:$D,$A128,LANÇAMENTO!$E:$E,$B128,LANÇAMENTO!$F:$F,K$4)</f>
        <v>0</v>
      </c>
      <c r="L128" s="40">
        <f>-SUMIFS(LANÇAMENTO!$C:$C,LANÇAMENTO!$D:$D,$A128,LANÇAMENTO!$E:$E,$B128,LANÇAMENTO!$F:$F,L$4)</f>
        <v>0</v>
      </c>
      <c r="M128" s="40">
        <f>-SUMIFS(LANÇAMENTO!$C:$C,LANÇAMENTO!$D:$D,$A128,LANÇAMENTO!$E:$E,$B128,LANÇAMENTO!$F:$F,M$4)</f>
        <v>0</v>
      </c>
      <c r="N128" s="40">
        <f>-SUMIFS(LANÇAMENTO!$C:$C,LANÇAMENTO!$D:$D,$A128,LANÇAMENTO!$E:$E,$B128,LANÇAMENTO!$F:$F,N$4)</f>
        <v>0</v>
      </c>
      <c r="O128" s="40">
        <f>-SUMIFS(LANÇAMENTO!$C:$C,LANÇAMENTO!$D:$D,$A128,LANÇAMENTO!$E:$E,$B128,LANÇAMENTO!$F:$F,O$4)</f>
        <v>0</v>
      </c>
      <c r="P128" s="40">
        <f>-SUMIFS(LANÇAMENTO!$C:$C,LANÇAMENTO!$D:$D,$A128,LANÇAMENTO!$E:$E,$B128,LANÇAMENTO!$F:$F,P$4)</f>
        <v>0</v>
      </c>
      <c r="Q128" s="37">
        <f t="shared" si="61"/>
        <v>0</v>
      </c>
      <c r="R128" s="29">
        <f t="shared" si="65"/>
        <v>0</v>
      </c>
    </row>
    <row r="129" spans="1:18" ht="9" customHeight="1" x14ac:dyDescent="0.25">
      <c r="A129" s="70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9">
        <v>1</v>
      </c>
    </row>
    <row r="130" spans="1:18" ht="19.5" x14ac:dyDescent="0.25">
      <c r="A130" s="70"/>
      <c r="B130" s="89" t="s">
        <v>96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9">
        <f>IF((R131+R136+R140)=0,0,1)</f>
        <v>0</v>
      </c>
    </row>
    <row r="131" spans="1:18" x14ac:dyDescent="0.25">
      <c r="A131" s="70"/>
      <c r="B131" s="62" t="s">
        <v>141</v>
      </c>
      <c r="C131" s="17">
        <f>SUM(C132:C135)</f>
        <v>0</v>
      </c>
      <c r="D131" s="17">
        <f>SUM(D132:D135)</f>
        <v>0</v>
      </c>
      <c r="E131" s="17">
        <f>SUM(E132:E135)</f>
        <v>0</v>
      </c>
      <c r="F131" s="17">
        <f t="shared" ref="F131:P131" si="82">SUM(F132:F135)</f>
        <v>0</v>
      </c>
      <c r="G131" s="17">
        <f t="shared" si="82"/>
        <v>0</v>
      </c>
      <c r="H131" s="17">
        <f t="shared" si="82"/>
        <v>0</v>
      </c>
      <c r="I131" s="17">
        <f t="shared" si="82"/>
        <v>0</v>
      </c>
      <c r="J131" s="17">
        <f t="shared" si="82"/>
        <v>0</v>
      </c>
      <c r="K131" s="17">
        <f t="shared" si="82"/>
        <v>0</v>
      </c>
      <c r="L131" s="17">
        <f t="shared" si="82"/>
        <v>0</v>
      </c>
      <c r="M131" s="17">
        <f t="shared" si="82"/>
        <v>0</v>
      </c>
      <c r="N131" s="17">
        <f t="shared" si="82"/>
        <v>0</v>
      </c>
      <c r="O131" s="17">
        <f t="shared" si="82"/>
        <v>0</v>
      </c>
      <c r="P131" s="17">
        <f t="shared" si="82"/>
        <v>0</v>
      </c>
      <c r="Q131" s="24">
        <f>SUM(E131:P131)</f>
        <v>0</v>
      </c>
      <c r="R131" s="29">
        <f>IF(SUM(R132:R135)=0,0,1)</f>
        <v>0</v>
      </c>
    </row>
    <row r="132" spans="1:18" x14ac:dyDescent="0.25">
      <c r="A132" s="70" t="str">
        <f>$B$131</f>
        <v>PREVIDÊNCIA</v>
      </c>
      <c r="B132" s="31" t="s">
        <v>97</v>
      </c>
      <c r="C132" s="45">
        <v>0</v>
      </c>
      <c r="D132" s="34">
        <f t="shared" ref="D132:D135" si="83">C132*12</f>
        <v>0</v>
      </c>
      <c r="E132" s="40">
        <f>-SUMIFS(LANÇAMENTO!$C:$C,LANÇAMENTO!$D:$D,$A132,LANÇAMENTO!$E:$E,$B132,LANÇAMENTO!$F:$F,E$4)</f>
        <v>0</v>
      </c>
      <c r="F132" s="40">
        <f>-SUMIFS(LANÇAMENTO!$C:$C,LANÇAMENTO!$D:$D,$A132,LANÇAMENTO!$E:$E,$B132,LANÇAMENTO!$F:$F,F$4)</f>
        <v>0</v>
      </c>
      <c r="G132" s="40">
        <f>-SUMIFS(LANÇAMENTO!$C:$C,LANÇAMENTO!$D:$D,$A132,LANÇAMENTO!$E:$E,$B132,LANÇAMENTO!$F:$F,G$4)</f>
        <v>0</v>
      </c>
      <c r="H132" s="40">
        <f>-SUMIFS(LANÇAMENTO!$C:$C,LANÇAMENTO!$D:$D,$A132,LANÇAMENTO!$E:$E,$B132,LANÇAMENTO!$F:$F,H$4)</f>
        <v>0</v>
      </c>
      <c r="I132" s="40">
        <f>-SUMIFS(LANÇAMENTO!$C:$C,LANÇAMENTO!$D:$D,$A132,LANÇAMENTO!$E:$E,$B132,LANÇAMENTO!$F:$F,I$4)</f>
        <v>0</v>
      </c>
      <c r="J132" s="40">
        <f>-SUMIFS(LANÇAMENTO!$C:$C,LANÇAMENTO!$D:$D,$A132,LANÇAMENTO!$E:$E,$B132,LANÇAMENTO!$F:$F,J$4)</f>
        <v>0</v>
      </c>
      <c r="K132" s="40">
        <f>-SUMIFS(LANÇAMENTO!$C:$C,LANÇAMENTO!$D:$D,$A132,LANÇAMENTO!$E:$E,$B132,LANÇAMENTO!$F:$F,K$4)</f>
        <v>0</v>
      </c>
      <c r="L132" s="40">
        <f>-SUMIFS(LANÇAMENTO!$C:$C,LANÇAMENTO!$D:$D,$A132,LANÇAMENTO!$E:$E,$B132,LANÇAMENTO!$F:$F,L$4)</f>
        <v>0</v>
      </c>
      <c r="M132" s="40">
        <f>-SUMIFS(LANÇAMENTO!$C:$C,LANÇAMENTO!$D:$D,$A132,LANÇAMENTO!$E:$E,$B132,LANÇAMENTO!$F:$F,M$4)</f>
        <v>0</v>
      </c>
      <c r="N132" s="40">
        <f>-SUMIFS(LANÇAMENTO!$C:$C,LANÇAMENTO!$D:$D,$A132,LANÇAMENTO!$E:$E,$B132,LANÇAMENTO!$F:$F,N$4)</f>
        <v>0</v>
      </c>
      <c r="O132" s="40">
        <f>-SUMIFS(LANÇAMENTO!$C:$C,LANÇAMENTO!$D:$D,$A132,LANÇAMENTO!$E:$E,$B132,LANÇAMENTO!$F:$F,O$4)</f>
        <v>0</v>
      </c>
      <c r="P132" s="40">
        <f>-SUMIFS(LANÇAMENTO!$C:$C,LANÇAMENTO!$D:$D,$A132,LANÇAMENTO!$E:$E,$B132,LANÇAMENTO!$F:$F,P$4)</f>
        <v>0</v>
      </c>
      <c r="Q132" s="37">
        <f t="shared" ref="Q132:Q143" si="84">SUM(E132:P132)</f>
        <v>0</v>
      </c>
      <c r="R132" s="29">
        <f t="shared" ref="R132:R143" si="85">IF(SUM(C132:Q132)=0,0,1)</f>
        <v>0</v>
      </c>
    </row>
    <row r="133" spans="1:18" x14ac:dyDescent="0.25">
      <c r="A133" s="70" t="str">
        <f t="shared" ref="A133:A135" si="86">$B$131</f>
        <v>PREVIDÊNCIA</v>
      </c>
      <c r="B133" s="31" t="s">
        <v>98</v>
      </c>
      <c r="C133" s="45"/>
      <c r="D133" s="34">
        <f t="shared" si="83"/>
        <v>0</v>
      </c>
      <c r="E133" s="40">
        <f>-SUMIFS(LANÇAMENTO!$C:$C,LANÇAMENTO!$D:$D,$A133,LANÇAMENTO!$E:$E,$B133,LANÇAMENTO!$F:$F,E$4)</f>
        <v>0</v>
      </c>
      <c r="F133" s="40">
        <f>-SUMIFS(LANÇAMENTO!$C:$C,LANÇAMENTO!$D:$D,$A133,LANÇAMENTO!$E:$E,$B133,LANÇAMENTO!$F:$F,F$4)</f>
        <v>0</v>
      </c>
      <c r="G133" s="40">
        <f>-SUMIFS(LANÇAMENTO!$C:$C,LANÇAMENTO!$D:$D,$A133,LANÇAMENTO!$E:$E,$B133,LANÇAMENTO!$F:$F,G$4)</f>
        <v>0</v>
      </c>
      <c r="H133" s="40">
        <f>-SUMIFS(LANÇAMENTO!$C:$C,LANÇAMENTO!$D:$D,$A133,LANÇAMENTO!$E:$E,$B133,LANÇAMENTO!$F:$F,H$4)</f>
        <v>0</v>
      </c>
      <c r="I133" s="40">
        <f>-SUMIFS(LANÇAMENTO!$C:$C,LANÇAMENTO!$D:$D,$A133,LANÇAMENTO!$E:$E,$B133,LANÇAMENTO!$F:$F,I$4)</f>
        <v>0</v>
      </c>
      <c r="J133" s="40">
        <f>-SUMIFS(LANÇAMENTO!$C:$C,LANÇAMENTO!$D:$D,$A133,LANÇAMENTO!$E:$E,$B133,LANÇAMENTO!$F:$F,J$4)</f>
        <v>0</v>
      </c>
      <c r="K133" s="40">
        <f>-SUMIFS(LANÇAMENTO!$C:$C,LANÇAMENTO!$D:$D,$A133,LANÇAMENTO!$E:$E,$B133,LANÇAMENTO!$F:$F,K$4)</f>
        <v>0</v>
      </c>
      <c r="L133" s="40">
        <f>-SUMIFS(LANÇAMENTO!$C:$C,LANÇAMENTO!$D:$D,$A133,LANÇAMENTO!$E:$E,$B133,LANÇAMENTO!$F:$F,L$4)</f>
        <v>0</v>
      </c>
      <c r="M133" s="40">
        <f>-SUMIFS(LANÇAMENTO!$C:$C,LANÇAMENTO!$D:$D,$A133,LANÇAMENTO!$E:$E,$B133,LANÇAMENTO!$F:$F,M$4)</f>
        <v>0</v>
      </c>
      <c r="N133" s="40">
        <f>-SUMIFS(LANÇAMENTO!$C:$C,LANÇAMENTO!$D:$D,$A133,LANÇAMENTO!$E:$E,$B133,LANÇAMENTO!$F:$F,N$4)</f>
        <v>0</v>
      </c>
      <c r="O133" s="40">
        <f>-SUMIFS(LANÇAMENTO!$C:$C,LANÇAMENTO!$D:$D,$A133,LANÇAMENTO!$E:$E,$B133,LANÇAMENTO!$F:$F,O$4)</f>
        <v>0</v>
      </c>
      <c r="P133" s="40">
        <f>-SUMIFS(LANÇAMENTO!$C:$C,LANÇAMENTO!$D:$D,$A133,LANÇAMENTO!$E:$E,$B133,LANÇAMENTO!$F:$F,P$4)</f>
        <v>0</v>
      </c>
      <c r="Q133" s="37">
        <f t="shared" si="84"/>
        <v>0</v>
      </c>
      <c r="R133" s="29">
        <f t="shared" si="85"/>
        <v>0</v>
      </c>
    </row>
    <row r="134" spans="1:18" x14ac:dyDescent="0.25">
      <c r="A134" s="70" t="str">
        <f t="shared" si="86"/>
        <v>PREVIDÊNCIA</v>
      </c>
      <c r="B134" s="31" t="s">
        <v>99</v>
      </c>
      <c r="C134" s="45">
        <v>0</v>
      </c>
      <c r="D134" s="34">
        <f t="shared" si="83"/>
        <v>0</v>
      </c>
      <c r="E134" s="40">
        <f>-SUMIFS(LANÇAMENTO!$C:$C,LANÇAMENTO!$D:$D,$A134,LANÇAMENTO!$E:$E,$B134,LANÇAMENTO!$F:$F,E$4)</f>
        <v>0</v>
      </c>
      <c r="F134" s="40">
        <f>-SUMIFS(LANÇAMENTO!$C:$C,LANÇAMENTO!$D:$D,$A134,LANÇAMENTO!$E:$E,$B134,LANÇAMENTO!$F:$F,F$4)</f>
        <v>0</v>
      </c>
      <c r="G134" s="40">
        <f>-SUMIFS(LANÇAMENTO!$C:$C,LANÇAMENTO!$D:$D,$A134,LANÇAMENTO!$E:$E,$B134,LANÇAMENTO!$F:$F,G$4)</f>
        <v>0</v>
      </c>
      <c r="H134" s="40">
        <f>-SUMIFS(LANÇAMENTO!$C:$C,LANÇAMENTO!$D:$D,$A134,LANÇAMENTO!$E:$E,$B134,LANÇAMENTO!$F:$F,H$4)</f>
        <v>0</v>
      </c>
      <c r="I134" s="40">
        <f>-SUMIFS(LANÇAMENTO!$C:$C,LANÇAMENTO!$D:$D,$A134,LANÇAMENTO!$E:$E,$B134,LANÇAMENTO!$F:$F,I$4)</f>
        <v>0</v>
      </c>
      <c r="J134" s="40">
        <f>-SUMIFS(LANÇAMENTO!$C:$C,LANÇAMENTO!$D:$D,$A134,LANÇAMENTO!$E:$E,$B134,LANÇAMENTO!$F:$F,J$4)</f>
        <v>0</v>
      </c>
      <c r="K134" s="40">
        <f>-SUMIFS(LANÇAMENTO!$C:$C,LANÇAMENTO!$D:$D,$A134,LANÇAMENTO!$E:$E,$B134,LANÇAMENTO!$F:$F,K$4)</f>
        <v>0</v>
      </c>
      <c r="L134" s="40">
        <f>-SUMIFS(LANÇAMENTO!$C:$C,LANÇAMENTO!$D:$D,$A134,LANÇAMENTO!$E:$E,$B134,LANÇAMENTO!$F:$F,L$4)</f>
        <v>0</v>
      </c>
      <c r="M134" s="40">
        <f>-SUMIFS(LANÇAMENTO!$C:$C,LANÇAMENTO!$D:$D,$A134,LANÇAMENTO!$E:$E,$B134,LANÇAMENTO!$F:$F,M$4)</f>
        <v>0</v>
      </c>
      <c r="N134" s="40">
        <f>-SUMIFS(LANÇAMENTO!$C:$C,LANÇAMENTO!$D:$D,$A134,LANÇAMENTO!$E:$E,$B134,LANÇAMENTO!$F:$F,N$4)</f>
        <v>0</v>
      </c>
      <c r="O134" s="40">
        <f>-SUMIFS(LANÇAMENTO!$C:$C,LANÇAMENTO!$D:$D,$A134,LANÇAMENTO!$E:$E,$B134,LANÇAMENTO!$F:$F,O$4)</f>
        <v>0</v>
      </c>
      <c r="P134" s="40">
        <f>-SUMIFS(LANÇAMENTO!$C:$C,LANÇAMENTO!$D:$D,$A134,LANÇAMENTO!$E:$E,$B134,LANÇAMENTO!$F:$F,P$4)</f>
        <v>0</v>
      </c>
      <c r="Q134" s="37">
        <f t="shared" si="84"/>
        <v>0</v>
      </c>
      <c r="R134" s="29">
        <f t="shared" si="85"/>
        <v>0</v>
      </c>
    </row>
    <row r="135" spans="1:18" x14ac:dyDescent="0.25">
      <c r="A135" s="70" t="str">
        <f t="shared" si="86"/>
        <v>PREVIDÊNCIA</v>
      </c>
      <c r="B135" s="31" t="s">
        <v>100</v>
      </c>
      <c r="C135" s="45">
        <v>0</v>
      </c>
      <c r="D135" s="34">
        <f t="shared" si="83"/>
        <v>0</v>
      </c>
      <c r="E135" s="40">
        <f>-SUMIFS(LANÇAMENTO!$C:$C,LANÇAMENTO!$D:$D,$A135,LANÇAMENTO!$E:$E,$B135,LANÇAMENTO!$F:$F,E$4)</f>
        <v>0</v>
      </c>
      <c r="F135" s="40">
        <f>-SUMIFS(LANÇAMENTO!$C:$C,LANÇAMENTO!$D:$D,$A135,LANÇAMENTO!$E:$E,$B135,LANÇAMENTO!$F:$F,F$4)</f>
        <v>0</v>
      </c>
      <c r="G135" s="40">
        <f>-SUMIFS(LANÇAMENTO!$C:$C,LANÇAMENTO!$D:$D,$A135,LANÇAMENTO!$E:$E,$B135,LANÇAMENTO!$F:$F,G$4)</f>
        <v>0</v>
      </c>
      <c r="H135" s="40">
        <f>-SUMIFS(LANÇAMENTO!$C:$C,LANÇAMENTO!$D:$D,$A135,LANÇAMENTO!$E:$E,$B135,LANÇAMENTO!$F:$F,H$4)</f>
        <v>0</v>
      </c>
      <c r="I135" s="40">
        <f>-SUMIFS(LANÇAMENTO!$C:$C,LANÇAMENTO!$D:$D,$A135,LANÇAMENTO!$E:$E,$B135,LANÇAMENTO!$F:$F,I$4)</f>
        <v>0</v>
      </c>
      <c r="J135" s="40">
        <f>-SUMIFS(LANÇAMENTO!$C:$C,LANÇAMENTO!$D:$D,$A135,LANÇAMENTO!$E:$E,$B135,LANÇAMENTO!$F:$F,J$4)</f>
        <v>0</v>
      </c>
      <c r="K135" s="40">
        <f>-SUMIFS(LANÇAMENTO!$C:$C,LANÇAMENTO!$D:$D,$A135,LANÇAMENTO!$E:$E,$B135,LANÇAMENTO!$F:$F,K$4)</f>
        <v>0</v>
      </c>
      <c r="L135" s="40">
        <f>-SUMIFS(LANÇAMENTO!$C:$C,LANÇAMENTO!$D:$D,$A135,LANÇAMENTO!$E:$E,$B135,LANÇAMENTO!$F:$F,L$4)</f>
        <v>0</v>
      </c>
      <c r="M135" s="40">
        <f>-SUMIFS(LANÇAMENTO!$C:$C,LANÇAMENTO!$D:$D,$A135,LANÇAMENTO!$E:$E,$B135,LANÇAMENTO!$F:$F,M$4)</f>
        <v>0</v>
      </c>
      <c r="N135" s="40">
        <f>-SUMIFS(LANÇAMENTO!$C:$C,LANÇAMENTO!$D:$D,$A135,LANÇAMENTO!$E:$E,$B135,LANÇAMENTO!$F:$F,N$4)</f>
        <v>0</v>
      </c>
      <c r="O135" s="40">
        <f>-SUMIFS(LANÇAMENTO!$C:$C,LANÇAMENTO!$D:$D,$A135,LANÇAMENTO!$E:$E,$B135,LANÇAMENTO!$F:$F,O$4)</f>
        <v>0</v>
      </c>
      <c r="P135" s="40">
        <f>-SUMIFS(LANÇAMENTO!$C:$C,LANÇAMENTO!$D:$D,$A135,LANÇAMENTO!$E:$E,$B135,LANÇAMENTO!$F:$F,P$4)</f>
        <v>0</v>
      </c>
      <c r="Q135" s="37">
        <f t="shared" si="84"/>
        <v>0</v>
      </c>
      <c r="R135" s="29">
        <f t="shared" si="85"/>
        <v>0</v>
      </c>
    </row>
    <row r="136" spans="1:18" x14ac:dyDescent="0.25">
      <c r="A136" s="70"/>
      <c r="B136" s="19" t="s">
        <v>216</v>
      </c>
      <c r="C136" s="20">
        <f>SUM(C137:C139)</f>
        <v>0</v>
      </c>
      <c r="D136" s="20">
        <f>SUM(D137:D139)</f>
        <v>0</v>
      </c>
      <c r="E136" s="20">
        <f t="shared" ref="E136:P136" si="87">SUM(E137:E139)</f>
        <v>0</v>
      </c>
      <c r="F136" s="20">
        <f t="shared" si="87"/>
        <v>0</v>
      </c>
      <c r="G136" s="20">
        <f t="shared" si="87"/>
        <v>0</v>
      </c>
      <c r="H136" s="20">
        <f t="shared" si="87"/>
        <v>0</v>
      </c>
      <c r="I136" s="20">
        <f t="shared" si="87"/>
        <v>0</v>
      </c>
      <c r="J136" s="20">
        <f t="shared" si="87"/>
        <v>0</v>
      </c>
      <c r="K136" s="20">
        <f t="shared" si="87"/>
        <v>0</v>
      </c>
      <c r="L136" s="20">
        <f t="shared" si="87"/>
        <v>0</v>
      </c>
      <c r="M136" s="20">
        <f t="shared" si="87"/>
        <v>0</v>
      </c>
      <c r="N136" s="20">
        <f t="shared" si="87"/>
        <v>0</v>
      </c>
      <c r="O136" s="20">
        <f t="shared" si="87"/>
        <v>0</v>
      </c>
      <c r="P136" s="20">
        <f t="shared" si="87"/>
        <v>0</v>
      </c>
      <c r="Q136" s="25">
        <f t="shared" ref="Q136" si="88">SUM(E136:P136)</f>
        <v>0</v>
      </c>
      <c r="R136" s="29">
        <f>IF(SUM(R137:R139)=0,0,1)</f>
        <v>0</v>
      </c>
    </row>
    <row r="137" spans="1:18" x14ac:dyDescent="0.25">
      <c r="A137" s="70" t="str">
        <f>$B$136</f>
        <v>SEGURO_VIDA</v>
      </c>
      <c r="B137" s="31" t="s">
        <v>101</v>
      </c>
      <c r="C137" s="45">
        <v>0</v>
      </c>
      <c r="D137" s="34">
        <f t="shared" ref="D137" si="89">C137*12</f>
        <v>0</v>
      </c>
      <c r="E137" s="40">
        <f>-SUMIFS(LANÇAMENTO!$C:$C,LANÇAMENTO!$D:$D,$A137,LANÇAMENTO!$E:$E,$B137,LANÇAMENTO!$F:$F,E$4)</f>
        <v>0</v>
      </c>
      <c r="F137" s="40">
        <f>-SUMIFS(LANÇAMENTO!$C:$C,LANÇAMENTO!$D:$D,$A137,LANÇAMENTO!$E:$E,$B137,LANÇAMENTO!$F:$F,F$4)</f>
        <v>0</v>
      </c>
      <c r="G137" s="40">
        <f>-SUMIFS(LANÇAMENTO!$C:$C,LANÇAMENTO!$D:$D,$A137,LANÇAMENTO!$E:$E,$B137,LANÇAMENTO!$F:$F,G$4)</f>
        <v>0</v>
      </c>
      <c r="H137" s="40">
        <f>-SUMIFS(LANÇAMENTO!$C:$C,LANÇAMENTO!$D:$D,$A137,LANÇAMENTO!$E:$E,$B137,LANÇAMENTO!$F:$F,H$4)</f>
        <v>0</v>
      </c>
      <c r="I137" s="40">
        <f>-SUMIFS(LANÇAMENTO!$C:$C,LANÇAMENTO!$D:$D,$A137,LANÇAMENTO!$E:$E,$B137,LANÇAMENTO!$F:$F,I$4)</f>
        <v>0</v>
      </c>
      <c r="J137" s="40">
        <f>-SUMIFS(LANÇAMENTO!$C:$C,LANÇAMENTO!$D:$D,$A137,LANÇAMENTO!$E:$E,$B137,LANÇAMENTO!$F:$F,J$4)</f>
        <v>0</v>
      </c>
      <c r="K137" s="40">
        <f>-SUMIFS(LANÇAMENTO!$C:$C,LANÇAMENTO!$D:$D,$A137,LANÇAMENTO!$E:$E,$B137,LANÇAMENTO!$F:$F,K$4)</f>
        <v>0</v>
      </c>
      <c r="L137" s="40">
        <f>-SUMIFS(LANÇAMENTO!$C:$C,LANÇAMENTO!$D:$D,$A137,LANÇAMENTO!$E:$E,$B137,LANÇAMENTO!$F:$F,L$4)</f>
        <v>0</v>
      </c>
      <c r="M137" s="40">
        <f>-SUMIFS(LANÇAMENTO!$C:$C,LANÇAMENTO!$D:$D,$A137,LANÇAMENTO!$E:$E,$B137,LANÇAMENTO!$F:$F,M$4)</f>
        <v>0</v>
      </c>
      <c r="N137" s="40">
        <f>-SUMIFS(LANÇAMENTO!$C:$C,LANÇAMENTO!$D:$D,$A137,LANÇAMENTO!$E:$E,$B137,LANÇAMENTO!$F:$F,N$4)</f>
        <v>0</v>
      </c>
      <c r="O137" s="40">
        <f>-SUMIFS(LANÇAMENTO!$C:$C,LANÇAMENTO!$D:$D,$A137,LANÇAMENTO!$E:$E,$B137,LANÇAMENTO!$F:$F,O$4)</f>
        <v>0</v>
      </c>
      <c r="P137" s="40">
        <f>-SUMIFS(LANÇAMENTO!$C:$C,LANÇAMENTO!$D:$D,$A137,LANÇAMENTO!$E:$E,$B137,LANÇAMENTO!$F:$F,P$4)</f>
        <v>0</v>
      </c>
      <c r="Q137" s="37">
        <f t="shared" si="84"/>
        <v>0</v>
      </c>
      <c r="R137" s="29">
        <f t="shared" si="85"/>
        <v>0</v>
      </c>
    </row>
    <row r="138" spans="1:18" x14ac:dyDescent="0.25">
      <c r="A138" s="70" t="str">
        <f t="shared" ref="A138:A139" si="90">$B$136</f>
        <v>SEGURO_VIDA</v>
      </c>
      <c r="B138" s="31" t="s">
        <v>102</v>
      </c>
      <c r="C138" s="45">
        <v>0</v>
      </c>
      <c r="D138" s="34">
        <f t="shared" ref="D138:D139" si="91">C138*12</f>
        <v>0</v>
      </c>
      <c r="E138" s="40">
        <f>-SUMIFS(LANÇAMENTO!$C:$C,LANÇAMENTO!$D:$D,$A138,LANÇAMENTO!$E:$E,$B138,LANÇAMENTO!$F:$F,E$4)</f>
        <v>0</v>
      </c>
      <c r="F138" s="40">
        <f>-SUMIFS(LANÇAMENTO!$C:$C,LANÇAMENTO!$D:$D,$A138,LANÇAMENTO!$E:$E,$B138,LANÇAMENTO!$F:$F,F$4)</f>
        <v>0</v>
      </c>
      <c r="G138" s="40">
        <f>-SUMIFS(LANÇAMENTO!$C:$C,LANÇAMENTO!$D:$D,$A138,LANÇAMENTO!$E:$E,$B138,LANÇAMENTO!$F:$F,G$4)</f>
        <v>0</v>
      </c>
      <c r="H138" s="40">
        <f>-SUMIFS(LANÇAMENTO!$C:$C,LANÇAMENTO!$D:$D,$A138,LANÇAMENTO!$E:$E,$B138,LANÇAMENTO!$F:$F,H$4)</f>
        <v>0</v>
      </c>
      <c r="I138" s="40">
        <f>-SUMIFS(LANÇAMENTO!$C:$C,LANÇAMENTO!$D:$D,$A138,LANÇAMENTO!$E:$E,$B138,LANÇAMENTO!$F:$F,I$4)</f>
        <v>0</v>
      </c>
      <c r="J138" s="40">
        <f>-SUMIFS(LANÇAMENTO!$C:$C,LANÇAMENTO!$D:$D,$A138,LANÇAMENTO!$E:$E,$B138,LANÇAMENTO!$F:$F,J$4)</f>
        <v>0</v>
      </c>
      <c r="K138" s="40">
        <f>-SUMIFS(LANÇAMENTO!$C:$C,LANÇAMENTO!$D:$D,$A138,LANÇAMENTO!$E:$E,$B138,LANÇAMENTO!$F:$F,K$4)</f>
        <v>0</v>
      </c>
      <c r="L138" s="40">
        <f>-SUMIFS(LANÇAMENTO!$C:$C,LANÇAMENTO!$D:$D,$A138,LANÇAMENTO!$E:$E,$B138,LANÇAMENTO!$F:$F,L$4)</f>
        <v>0</v>
      </c>
      <c r="M138" s="40">
        <f>-SUMIFS(LANÇAMENTO!$C:$C,LANÇAMENTO!$D:$D,$A138,LANÇAMENTO!$E:$E,$B138,LANÇAMENTO!$F:$F,M$4)</f>
        <v>0</v>
      </c>
      <c r="N138" s="40">
        <f>-SUMIFS(LANÇAMENTO!$C:$C,LANÇAMENTO!$D:$D,$A138,LANÇAMENTO!$E:$E,$B138,LANÇAMENTO!$F:$F,N$4)</f>
        <v>0</v>
      </c>
      <c r="O138" s="40">
        <f>-SUMIFS(LANÇAMENTO!$C:$C,LANÇAMENTO!$D:$D,$A138,LANÇAMENTO!$E:$E,$B138,LANÇAMENTO!$F:$F,O$4)</f>
        <v>0</v>
      </c>
      <c r="P138" s="40">
        <f>-SUMIFS(LANÇAMENTO!$C:$C,LANÇAMENTO!$D:$D,$A138,LANÇAMENTO!$E:$E,$B138,LANÇAMENTO!$F:$F,P$4)</f>
        <v>0</v>
      </c>
      <c r="Q138" s="37">
        <f t="shared" si="84"/>
        <v>0</v>
      </c>
      <c r="R138" s="29">
        <f t="shared" si="85"/>
        <v>0</v>
      </c>
    </row>
    <row r="139" spans="1:18" x14ac:dyDescent="0.25">
      <c r="A139" s="70" t="str">
        <f t="shared" si="90"/>
        <v>SEGURO_VIDA</v>
      </c>
      <c r="B139" s="31" t="s">
        <v>103</v>
      </c>
      <c r="C139" s="45">
        <v>0</v>
      </c>
      <c r="D139" s="34">
        <f t="shared" si="91"/>
        <v>0</v>
      </c>
      <c r="E139" s="40">
        <f>-SUMIFS(LANÇAMENTO!$C:$C,LANÇAMENTO!$D:$D,$A139,LANÇAMENTO!$E:$E,$B139,LANÇAMENTO!$F:$F,E$4)</f>
        <v>0</v>
      </c>
      <c r="F139" s="40">
        <f>-SUMIFS(LANÇAMENTO!$C:$C,LANÇAMENTO!$D:$D,$A139,LANÇAMENTO!$E:$E,$B139,LANÇAMENTO!$F:$F,F$4)</f>
        <v>0</v>
      </c>
      <c r="G139" s="40">
        <f>-SUMIFS(LANÇAMENTO!$C:$C,LANÇAMENTO!$D:$D,$A139,LANÇAMENTO!$E:$E,$B139,LANÇAMENTO!$F:$F,G$4)</f>
        <v>0</v>
      </c>
      <c r="H139" s="40">
        <f>-SUMIFS(LANÇAMENTO!$C:$C,LANÇAMENTO!$D:$D,$A139,LANÇAMENTO!$E:$E,$B139,LANÇAMENTO!$F:$F,H$4)</f>
        <v>0</v>
      </c>
      <c r="I139" s="40">
        <f>-SUMIFS(LANÇAMENTO!$C:$C,LANÇAMENTO!$D:$D,$A139,LANÇAMENTO!$E:$E,$B139,LANÇAMENTO!$F:$F,I$4)</f>
        <v>0</v>
      </c>
      <c r="J139" s="40">
        <f>-SUMIFS(LANÇAMENTO!$C:$C,LANÇAMENTO!$D:$D,$A139,LANÇAMENTO!$E:$E,$B139,LANÇAMENTO!$F:$F,J$4)</f>
        <v>0</v>
      </c>
      <c r="K139" s="40">
        <f>-SUMIFS(LANÇAMENTO!$C:$C,LANÇAMENTO!$D:$D,$A139,LANÇAMENTO!$E:$E,$B139,LANÇAMENTO!$F:$F,K$4)</f>
        <v>0</v>
      </c>
      <c r="L139" s="40">
        <f>-SUMIFS(LANÇAMENTO!$C:$C,LANÇAMENTO!$D:$D,$A139,LANÇAMENTO!$E:$E,$B139,LANÇAMENTO!$F:$F,L$4)</f>
        <v>0</v>
      </c>
      <c r="M139" s="40">
        <f>-SUMIFS(LANÇAMENTO!$C:$C,LANÇAMENTO!$D:$D,$A139,LANÇAMENTO!$E:$E,$B139,LANÇAMENTO!$F:$F,M$4)</f>
        <v>0</v>
      </c>
      <c r="N139" s="40">
        <f>-SUMIFS(LANÇAMENTO!$C:$C,LANÇAMENTO!$D:$D,$A139,LANÇAMENTO!$E:$E,$B139,LANÇAMENTO!$F:$F,N$4)</f>
        <v>0</v>
      </c>
      <c r="O139" s="40">
        <f>-SUMIFS(LANÇAMENTO!$C:$C,LANÇAMENTO!$D:$D,$A139,LANÇAMENTO!$E:$E,$B139,LANÇAMENTO!$F:$F,O$4)</f>
        <v>0</v>
      </c>
      <c r="P139" s="40">
        <f>-SUMIFS(LANÇAMENTO!$C:$C,LANÇAMENTO!$D:$D,$A139,LANÇAMENTO!$E:$E,$B139,LANÇAMENTO!$F:$F,P$4)</f>
        <v>0</v>
      </c>
      <c r="Q139" s="37">
        <f t="shared" si="84"/>
        <v>0</v>
      </c>
      <c r="R139" s="29">
        <f t="shared" si="85"/>
        <v>0</v>
      </c>
    </row>
    <row r="140" spans="1:18" x14ac:dyDescent="0.25">
      <c r="A140" s="70"/>
      <c r="B140" s="19" t="s">
        <v>215</v>
      </c>
      <c r="C140" s="20">
        <f>SUM(C141:C143)</f>
        <v>0</v>
      </c>
      <c r="D140" s="20">
        <f>SUM(D141:D143)</f>
        <v>0</v>
      </c>
      <c r="E140" s="20">
        <f t="shared" ref="E140:P140" si="92">SUM(E141:E143)</f>
        <v>0</v>
      </c>
      <c r="F140" s="20">
        <f t="shared" si="92"/>
        <v>0</v>
      </c>
      <c r="G140" s="20">
        <f t="shared" si="92"/>
        <v>0</v>
      </c>
      <c r="H140" s="20">
        <f t="shared" si="92"/>
        <v>0</v>
      </c>
      <c r="I140" s="20">
        <f t="shared" si="92"/>
        <v>0</v>
      </c>
      <c r="J140" s="20">
        <f t="shared" si="92"/>
        <v>0</v>
      </c>
      <c r="K140" s="20">
        <f t="shared" si="92"/>
        <v>0</v>
      </c>
      <c r="L140" s="20">
        <f t="shared" si="92"/>
        <v>0</v>
      </c>
      <c r="M140" s="20">
        <f t="shared" si="92"/>
        <v>0</v>
      </c>
      <c r="N140" s="20">
        <f t="shared" si="92"/>
        <v>0</v>
      </c>
      <c r="O140" s="20">
        <f t="shared" si="92"/>
        <v>0</v>
      </c>
      <c r="P140" s="20">
        <f t="shared" si="92"/>
        <v>0</v>
      </c>
      <c r="Q140" s="25">
        <f t="shared" ref="Q140" si="93">SUM(E140:P140)</f>
        <v>0</v>
      </c>
      <c r="R140" s="29">
        <f>IF(SUM(R141:R143)=0,0,1)</f>
        <v>0</v>
      </c>
    </row>
    <row r="141" spans="1:18" x14ac:dyDescent="0.25">
      <c r="A141" s="70" t="str">
        <f>$B$140</f>
        <v>SEGURO_OUTRO</v>
      </c>
      <c r="B141" s="31" t="s">
        <v>104</v>
      </c>
      <c r="C141" s="45">
        <v>0</v>
      </c>
      <c r="D141" s="34">
        <f t="shared" ref="D141" si="94">C141*12</f>
        <v>0</v>
      </c>
      <c r="E141" s="40">
        <f>-SUMIFS(LANÇAMENTO!$C:$C,LANÇAMENTO!$D:$D,$A141,LANÇAMENTO!$E:$E,$B141,LANÇAMENTO!$F:$F,E$4)</f>
        <v>0</v>
      </c>
      <c r="F141" s="40">
        <f>-SUMIFS(LANÇAMENTO!$C:$C,LANÇAMENTO!$D:$D,$A141,LANÇAMENTO!$E:$E,$B141,LANÇAMENTO!$F:$F,F$4)</f>
        <v>0</v>
      </c>
      <c r="G141" s="40">
        <f>-SUMIFS(LANÇAMENTO!$C:$C,LANÇAMENTO!$D:$D,$A141,LANÇAMENTO!$E:$E,$B141,LANÇAMENTO!$F:$F,G$4)</f>
        <v>0</v>
      </c>
      <c r="H141" s="40">
        <f>-SUMIFS(LANÇAMENTO!$C:$C,LANÇAMENTO!$D:$D,$A141,LANÇAMENTO!$E:$E,$B141,LANÇAMENTO!$F:$F,H$4)</f>
        <v>0</v>
      </c>
      <c r="I141" s="40">
        <f>-SUMIFS(LANÇAMENTO!$C:$C,LANÇAMENTO!$D:$D,$A141,LANÇAMENTO!$E:$E,$B141,LANÇAMENTO!$F:$F,I$4)</f>
        <v>0</v>
      </c>
      <c r="J141" s="40">
        <f>-SUMIFS(LANÇAMENTO!$C:$C,LANÇAMENTO!$D:$D,$A141,LANÇAMENTO!$E:$E,$B141,LANÇAMENTO!$F:$F,J$4)</f>
        <v>0</v>
      </c>
      <c r="K141" s="40">
        <f>-SUMIFS(LANÇAMENTO!$C:$C,LANÇAMENTO!$D:$D,$A141,LANÇAMENTO!$E:$E,$B141,LANÇAMENTO!$F:$F,K$4)</f>
        <v>0</v>
      </c>
      <c r="L141" s="40">
        <f>-SUMIFS(LANÇAMENTO!$C:$C,LANÇAMENTO!$D:$D,$A141,LANÇAMENTO!$E:$E,$B141,LANÇAMENTO!$F:$F,L$4)</f>
        <v>0</v>
      </c>
      <c r="M141" s="40">
        <f>-SUMIFS(LANÇAMENTO!$C:$C,LANÇAMENTO!$D:$D,$A141,LANÇAMENTO!$E:$E,$B141,LANÇAMENTO!$F:$F,M$4)</f>
        <v>0</v>
      </c>
      <c r="N141" s="40">
        <f>-SUMIFS(LANÇAMENTO!$C:$C,LANÇAMENTO!$D:$D,$A141,LANÇAMENTO!$E:$E,$B141,LANÇAMENTO!$F:$F,N$4)</f>
        <v>0</v>
      </c>
      <c r="O141" s="40">
        <f>-SUMIFS(LANÇAMENTO!$C:$C,LANÇAMENTO!$D:$D,$A141,LANÇAMENTO!$E:$E,$B141,LANÇAMENTO!$F:$F,O$4)</f>
        <v>0</v>
      </c>
      <c r="P141" s="40">
        <f>-SUMIFS(LANÇAMENTO!$C:$C,LANÇAMENTO!$D:$D,$A141,LANÇAMENTO!$E:$E,$B141,LANÇAMENTO!$F:$F,P$4)</f>
        <v>0</v>
      </c>
      <c r="Q141" s="37">
        <f t="shared" si="84"/>
        <v>0</v>
      </c>
      <c r="R141" s="29">
        <f t="shared" si="85"/>
        <v>0</v>
      </c>
    </row>
    <row r="142" spans="1:18" x14ac:dyDescent="0.25">
      <c r="A142" s="70" t="str">
        <f t="shared" ref="A142:A143" si="95">$B$140</f>
        <v>SEGURO_OUTRO</v>
      </c>
      <c r="B142" s="31" t="s">
        <v>105</v>
      </c>
      <c r="C142" s="45">
        <v>0</v>
      </c>
      <c r="D142" s="34">
        <f t="shared" ref="D142:D143" si="96">C142*12</f>
        <v>0</v>
      </c>
      <c r="E142" s="40">
        <f>-SUMIFS(LANÇAMENTO!$C:$C,LANÇAMENTO!$D:$D,$A142,LANÇAMENTO!$E:$E,$B142,LANÇAMENTO!$F:$F,E$4)</f>
        <v>0</v>
      </c>
      <c r="F142" s="40">
        <f>-SUMIFS(LANÇAMENTO!$C:$C,LANÇAMENTO!$D:$D,$A142,LANÇAMENTO!$E:$E,$B142,LANÇAMENTO!$F:$F,F$4)</f>
        <v>0</v>
      </c>
      <c r="G142" s="40">
        <f>-SUMIFS(LANÇAMENTO!$C:$C,LANÇAMENTO!$D:$D,$A142,LANÇAMENTO!$E:$E,$B142,LANÇAMENTO!$F:$F,G$4)</f>
        <v>0</v>
      </c>
      <c r="H142" s="40">
        <f>-SUMIFS(LANÇAMENTO!$C:$C,LANÇAMENTO!$D:$D,$A142,LANÇAMENTO!$E:$E,$B142,LANÇAMENTO!$F:$F,H$4)</f>
        <v>0</v>
      </c>
      <c r="I142" s="40">
        <f>-SUMIFS(LANÇAMENTO!$C:$C,LANÇAMENTO!$D:$D,$A142,LANÇAMENTO!$E:$E,$B142,LANÇAMENTO!$F:$F,I$4)</f>
        <v>0</v>
      </c>
      <c r="J142" s="40">
        <f>-SUMIFS(LANÇAMENTO!$C:$C,LANÇAMENTO!$D:$D,$A142,LANÇAMENTO!$E:$E,$B142,LANÇAMENTO!$F:$F,J$4)</f>
        <v>0</v>
      </c>
      <c r="K142" s="40">
        <f>-SUMIFS(LANÇAMENTO!$C:$C,LANÇAMENTO!$D:$D,$A142,LANÇAMENTO!$E:$E,$B142,LANÇAMENTO!$F:$F,K$4)</f>
        <v>0</v>
      </c>
      <c r="L142" s="40">
        <f>-SUMIFS(LANÇAMENTO!$C:$C,LANÇAMENTO!$D:$D,$A142,LANÇAMENTO!$E:$E,$B142,LANÇAMENTO!$F:$F,L$4)</f>
        <v>0</v>
      </c>
      <c r="M142" s="40">
        <f>-SUMIFS(LANÇAMENTO!$C:$C,LANÇAMENTO!$D:$D,$A142,LANÇAMENTO!$E:$E,$B142,LANÇAMENTO!$F:$F,M$4)</f>
        <v>0</v>
      </c>
      <c r="N142" s="40">
        <f>-SUMIFS(LANÇAMENTO!$C:$C,LANÇAMENTO!$D:$D,$A142,LANÇAMENTO!$E:$E,$B142,LANÇAMENTO!$F:$F,N$4)</f>
        <v>0</v>
      </c>
      <c r="O142" s="40">
        <f>-SUMIFS(LANÇAMENTO!$C:$C,LANÇAMENTO!$D:$D,$A142,LANÇAMENTO!$E:$E,$B142,LANÇAMENTO!$F:$F,O$4)</f>
        <v>0</v>
      </c>
      <c r="P142" s="40">
        <f>-SUMIFS(LANÇAMENTO!$C:$C,LANÇAMENTO!$D:$D,$A142,LANÇAMENTO!$E:$E,$B142,LANÇAMENTO!$F:$F,P$4)</f>
        <v>0</v>
      </c>
      <c r="Q142" s="37">
        <f t="shared" si="84"/>
        <v>0</v>
      </c>
      <c r="R142" s="29">
        <f t="shared" si="85"/>
        <v>0</v>
      </c>
    </row>
    <row r="143" spans="1:18" x14ac:dyDescent="0.25">
      <c r="A143" s="70" t="str">
        <f t="shared" si="95"/>
        <v>SEGURO_OUTRO</v>
      </c>
      <c r="B143" s="31" t="s">
        <v>142</v>
      </c>
      <c r="C143" s="45">
        <v>0</v>
      </c>
      <c r="D143" s="34">
        <f t="shared" si="96"/>
        <v>0</v>
      </c>
      <c r="E143" s="40">
        <f>-SUMIFS(LANÇAMENTO!$C:$C,LANÇAMENTO!$D:$D,$A143,LANÇAMENTO!$E:$E,$B143,LANÇAMENTO!$F:$F,E$4)</f>
        <v>0</v>
      </c>
      <c r="F143" s="40">
        <f>-SUMIFS(LANÇAMENTO!$C:$C,LANÇAMENTO!$D:$D,$A143,LANÇAMENTO!$E:$E,$B143,LANÇAMENTO!$F:$F,F$4)</f>
        <v>0</v>
      </c>
      <c r="G143" s="40">
        <f>-SUMIFS(LANÇAMENTO!$C:$C,LANÇAMENTO!$D:$D,$A143,LANÇAMENTO!$E:$E,$B143,LANÇAMENTO!$F:$F,G$4)</f>
        <v>0</v>
      </c>
      <c r="H143" s="40">
        <f>-SUMIFS(LANÇAMENTO!$C:$C,LANÇAMENTO!$D:$D,$A143,LANÇAMENTO!$E:$E,$B143,LANÇAMENTO!$F:$F,H$4)</f>
        <v>0</v>
      </c>
      <c r="I143" s="40">
        <f>-SUMIFS(LANÇAMENTO!$C:$C,LANÇAMENTO!$D:$D,$A143,LANÇAMENTO!$E:$E,$B143,LANÇAMENTO!$F:$F,I$4)</f>
        <v>0</v>
      </c>
      <c r="J143" s="40">
        <f>-SUMIFS(LANÇAMENTO!$C:$C,LANÇAMENTO!$D:$D,$A143,LANÇAMENTO!$E:$E,$B143,LANÇAMENTO!$F:$F,J$4)</f>
        <v>0</v>
      </c>
      <c r="K143" s="40">
        <f>-SUMIFS(LANÇAMENTO!$C:$C,LANÇAMENTO!$D:$D,$A143,LANÇAMENTO!$E:$E,$B143,LANÇAMENTO!$F:$F,K$4)</f>
        <v>0</v>
      </c>
      <c r="L143" s="40">
        <f>-SUMIFS(LANÇAMENTO!$C:$C,LANÇAMENTO!$D:$D,$A143,LANÇAMENTO!$E:$E,$B143,LANÇAMENTO!$F:$F,L$4)</f>
        <v>0</v>
      </c>
      <c r="M143" s="40">
        <f>-SUMIFS(LANÇAMENTO!$C:$C,LANÇAMENTO!$D:$D,$A143,LANÇAMENTO!$E:$E,$B143,LANÇAMENTO!$F:$F,M$4)</f>
        <v>0</v>
      </c>
      <c r="N143" s="40">
        <f>-SUMIFS(LANÇAMENTO!$C:$C,LANÇAMENTO!$D:$D,$A143,LANÇAMENTO!$E:$E,$B143,LANÇAMENTO!$F:$F,N$4)</f>
        <v>0</v>
      </c>
      <c r="O143" s="40">
        <f>-SUMIFS(LANÇAMENTO!$C:$C,LANÇAMENTO!$D:$D,$A143,LANÇAMENTO!$E:$E,$B143,LANÇAMENTO!$F:$F,O$4)</f>
        <v>0</v>
      </c>
      <c r="P143" s="40">
        <f>-SUMIFS(LANÇAMENTO!$C:$C,LANÇAMENTO!$D:$D,$A143,LANÇAMENTO!$E:$E,$B143,LANÇAMENTO!$F:$F,P$4)</f>
        <v>0</v>
      </c>
      <c r="Q143" s="37">
        <f t="shared" si="84"/>
        <v>0</v>
      </c>
      <c r="R143" s="29">
        <f t="shared" si="85"/>
        <v>0</v>
      </c>
    </row>
    <row r="144" spans="1:18" ht="9" customHeight="1" x14ac:dyDescent="0.25">
      <c r="A144" s="70"/>
      <c r="B144" s="22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29">
        <v>0</v>
      </c>
    </row>
    <row r="145" spans="1:18" ht="19.5" x14ac:dyDescent="0.25">
      <c r="A145" s="70"/>
      <c r="B145" s="90" t="s">
        <v>106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29">
        <f>IF((R146+R152)=0,0,1)</f>
        <v>0</v>
      </c>
    </row>
    <row r="146" spans="1:18" x14ac:dyDescent="0.25">
      <c r="A146" s="70"/>
      <c r="B146" s="23" t="s">
        <v>204</v>
      </c>
      <c r="C146" s="17">
        <f>SUM(C147:C151)</f>
        <v>0</v>
      </c>
      <c r="D146" s="17">
        <f t="shared" ref="D146:P146" si="97">SUM(D147:D151)</f>
        <v>0</v>
      </c>
      <c r="E146" s="17">
        <f t="shared" si="97"/>
        <v>0</v>
      </c>
      <c r="F146" s="17">
        <f t="shared" si="97"/>
        <v>0</v>
      </c>
      <c r="G146" s="17">
        <f t="shared" si="97"/>
        <v>0</v>
      </c>
      <c r="H146" s="17">
        <f t="shared" si="97"/>
        <v>0</v>
      </c>
      <c r="I146" s="17">
        <f t="shared" si="97"/>
        <v>0</v>
      </c>
      <c r="J146" s="17">
        <f t="shared" si="97"/>
        <v>0</v>
      </c>
      <c r="K146" s="17">
        <f t="shared" si="97"/>
        <v>0</v>
      </c>
      <c r="L146" s="17">
        <f t="shared" si="97"/>
        <v>0</v>
      </c>
      <c r="M146" s="17">
        <f t="shared" si="97"/>
        <v>0</v>
      </c>
      <c r="N146" s="17">
        <f t="shared" si="97"/>
        <v>0</v>
      </c>
      <c r="O146" s="17">
        <f t="shared" si="97"/>
        <v>0</v>
      </c>
      <c r="P146" s="17">
        <f t="shared" si="97"/>
        <v>0</v>
      </c>
      <c r="Q146" s="24">
        <f>SUM(E146:P146)</f>
        <v>0</v>
      </c>
      <c r="R146" s="29">
        <f>IF(SUM(R147:R151)=0,0,1)</f>
        <v>0</v>
      </c>
    </row>
    <row r="147" spans="1:18" x14ac:dyDescent="0.25">
      <c r="A147" s="70" t="str">
        <f>$B$146</f>
        <v>FINANCIAMENTO</v>
      </c>
      <c r="B147" s="30" t="s">
        <v>107</v>
      </c>
      <c r="C147" s="45">
        <v>0</v>
      </c>
      <c r="D147" s="34">
        <f t="shared" ref="D147" si="98">C147*12</f>
        <v>0</v>
      </c>
      <c r="E147" s="40">
        <f>-SUMIFS(LANÇAMENTO!$C:$C,LANÇAMENTO!$D:$D,$A147,LANÇAMENTO!$E:$E,$B147,LANÇAMENTO!$F:$F,E$4)</f>
        <v>0</v>
      </c>
      <c r="F147" s="40">
        <f>-SUMIFS(LANÇAMENTO!$C:$C,LANÇAMENTO!$D:$D,$A147,LANÇAMENTO!$E:$E,$B147,LANÇAMENTO!$F:$F,F$4)</f>
        <v>0</v>
      </c>
      <c r="G147" s="40">
        <f>-SUMIFS(LANÇAMENTO!$C:$C,LANÇAMENTO!$D:$D,$A147,LANÇAMENTO!$E:$E,$B147,LANÇAMENTO!$F:$F,G$4)</f>
        <v>0</v>
      </c>
      <c r="H147" s="40">
        <f>-SUMIFS(LANÇAMENTO!$C:$C,LANÇAMENTO!$D:$D,$A147,LANÇAMENTO!$E:$E,$B147,LANÇAMENTO!$F:$F,H$4)</f>
        <v>0</v>
      </c>
      <c r="I147" s="40">
        <f>-SUMIFS(LANÇAMENTO!$C:$C,LANÇAMENTO!$D:$D,$A147,LANÇAMENTO!$E:$E,$B147,LANÇAMENTO!$F:$F,I$4)</f>
        <v>0</v>
      </c>
      <c r="J147" s="40">
        <f>-SUMIFS(LANÇAMENTO!$C:$C,LANÇAMENTO!$D:$D,$A147,LANÇAMENTO!$E:$E,$B147,LANÇAMENTO!$F:$F,J$4)</f>
        <v>0</v>
      </c>
      <c r="K147" s="40">
        <f>-SUMIFS(LANÇAMENTO!$C:$C,LANÇAMENTO!$D:$D,$A147,LANÇAMENTO!$E:$E,$B147,LANÇAMENTO!$F:$F,K$4)</f>
        <v>0</v>
      </c>
      <c r="L147" s="40">
        <f>-SUMIFS(LANÇAMENTO!$C:$C,LANÇAMENTO!$D:$D,$A147,LANÇAMENTO!$E:$E,$B147,LANÇAMENTO!$F:$F,L$4)</f>
        <v>0</v>
      </c>
      <c r="M147" s="40">
        <f>-SUMIFS(LANÇAMENTO!$C:$C,LANÇAMENTO!$D:$D,$A147,LANÇAMENTO!$E:$E,$B147,LANÇAMENTO!$F:$F,M$4)</f>
        <v>0</v>
      </c>
      <c r="N147" s="40">
        <f>-SUMIFS(LANÇAMENTO!$C:$C,LANÇAMENTO!$D:$D,$A147,LANÇAMENTO!$E:$E,$B147,LANÇAMENTO!$F:$F,N$4)</f>
        <v>0</v>
      </c>
      <c r="O147" s="40">
        <f>-SUMIFS(LANÇAMENTO!$C:$C,LANÇAMENTO!$D:$D,$A147,LANÇAMENTO!$E:$E,$B147,LANÇAMENTO!$F:$F,O$4)</f>
        <v>0</v>
      </c>
      <c r="P147" s="40">
        <f>-SUMIFS(LANÇAMENTO!$C:$C,LANÇAMENTO!$D:$D,$A147,LANÇAMENTO!$E:$E,$B147,LANÇAMENTO!$F:$F,P$4)</f>
        <v>0</v>
      </c>
      <c r="Q147" s="37">
        <f t="shared" ref="Q147:Q161" si="99">SUM(E147:P147)</f>
        <v>0</v>
      </c>
      <c r="R147" s="29">
        <f t="shared" ref="R147:R161" si="100">IF(SUM(C147:Q147)=0,0,1)</f>
        <v>0</v>
      </c>
    </row>
    <row r="148" spans="1:18" x14ac:dyDescent="0.25">
      <c r="A148" s="70" t="str">
        <f t="shared" ref="A148:A151" si="101">$B$146</f>
        <v>FINANCIAMENTO</v>
      </c>
      <c r="B148" s="31" t="s">
        <v>108</v>
      </c>
      <c r="C148" s="45">
        <v>0</v>
      </c>
      <c r="D148" s="34">
        <f t="shared" ref="D148:D151" si="102">C148*12</f>
        <v>0</v>
      </c>
      <c r="E148" s="40">
        <f>-SUMIFS(LANÇAMENTO!$C:$C,LANÇAMENTO!$D:$D,$A148,LANÇAMENTO!$E:$E,$B148,LANÇAMENTO!$F:$F,E$4)</f>
        <v>0</v>
      </c>
      <c r="F148" s="40">
        <f>-SUMIFS(LANÇAMENTO!$C:$C,LANÇAMENTO!$D:$D,$A148,LANÇAMENTO!$E:$E,$B148,LANÇAMENTO!$F:$F,F$4)</f>
        <v>0</v>
      </c>
      <c r="G148" s="40">
        <f>-SUMIFS(LANÇAMENTO!$C:$C,LANÇAMENTO!$D:$D,$A148,LANÇAMENTO!$E:$E,$B148,LANÇAMENTO!$F:$F,G$4)</f>
        <v>0</v>
      </c>
      <c r="H148" s="40">
        <f>-SUMIFS(LANÇAMENTO!$C:$C,LANÇAMENTO!$D:$D,$A148,LANÇAMENTO!$E:$E,$B148,LANÇAMENTO!$F:$F,H$4)</f>
        <v>0</v>
      </c>
      <c r="I148" s="40">
        <f>-SUMIFS(LANÇAMENTO!$C:$C,LANÇAMENTO!$D:$D,$A148,LANÇAMENTO!$E:$E,$B148,LANÇAMENTO!$F:$F,I$4)</f>
        <v>0</v>
      </c>
      <c r="J148" s="40">
        <f>-SUMIFS(LANÇAMENTO!$C:$C,LANÇAMENTO!$D:$D,$A148,LANÇAMENTO!$E:$E,$B148,LANÇAMENTO!$F:$F,J$4)</f>
        <v>0</v>
      </c>
      <c r="K148" s="40">
        <f>-SUMIFS(LANÇAMENTO!$C:$C,LANÇAMENTO!$D:$D,$A148,LANÇAMENTO!$E:$E,$B148,LANÇAMENTO!$F:$F,K$4)</f>
        <v>0</v>
      </c>
      <c r="L148" s="40">
        <f>-SUMIFS(LANÇAMENTO!$C:$C,LANÇAMENTO!$D:$D,$A148,LANÇAMENTO!$E:$E,$B148,LANÇAMENTO!$F:$F,L$4)</f>
        <v>0</v>
      </c>
      <c r="M148" s="40">
        <f>-SUMIFS(LANÇAMENTO!$C:$C,LANÇAMENTO!$D:$D,$A148,LANÇAMENTO!$E:$E,$B148,LANÇAMENTO!$F:$F,M$4)</f>
        <v>0</v>
      </c>
      <c r="N148" s="40">
        <f>-SUMIFS(LANÇAMENTO!$C:$C,LANÇAMENTO!$D:$D,$A148,LANÇAMENTO!$E:$E,$B148,LANÇAMENTO!$F:$F,N$4)</f>
        <v>0</v>
      </c>
      <c r="O148" s="40">
        <f>-SUMIFS(LANÇAMENTO!$C:$C,LANÇAMENTO!$D:$D,$A148,LANÇAMENTO!$E:$E,$B148,LANÇAMENTO!$F:$F,O$4)</f>
        <v>0</v>
      </c>
      <c r="P148" s="40">
        <f>-SUMIFS(LANÇAMENTO!$C:$C,LANÇAMENTO!$D:$D,$A148,LANÇAMENTO!$E:$E,$B148,LANÇAMENTO!$F:$F,P$4)</f>
        <v>0</v>
      </c>
      <c r="Q148" s="37">
        <f t="shared" si="99"/>
        <v>0</v>
      </c>
      <c r="R148" s="29">
        <f t="shared" si="100"/>
        <v>0</v>
      </c>
    </row>
    <row r="149" spans="1:18" x14ac:dyDescent="0.25">
      <c r="A149" s="70" t="str">
        <f t="shared" si="101"/>
        <v>FINANCIAMENTO</v>
      </c>
      <c r="B149" s="31" t="s">
        <v>109</v>
      </c>
      <c r="C149" s="45">
        <v>0</v>
      </c>
      <c r="D149" s="34">
        <f t="shared" si="102"/>
        <v>0</v>
      </c>
      <c r="E149" s="40">
        <f>-SUMIFS(LANÇAMENTO!$C:$C,LANÇAMENTO!$D:$D,$A149,LANÇAMENTO!$E:$E,$B149,LANÇAMENTO!$F:$F,E$4)</f>
        <v>0</v>
      </c>
      <c r="F149" s="40">
        <f>-SUMIFS(LANÇAMENTO!$C:$C,LANÇAMENTO!$D:$D,$A149,LANÇAMENTO!$E:$E,$B149,LANÇAMENTO!$F:$F,F$4)</f>
        <v>0</v>
      </c>
      <c r="G149" s="40">
        <f>-SUMIFS(LANÇAMENTO!$C:$C,LANÇAMENTO!$D:$D,$A149,LANÇAMENTO!$E:$E,$B149,LANÇAMENTO!$F:$F,G$4)</f>
        <v>0</v>
      </c>
      <c r="H149" s="40">
        <f>-SUMIFS(LANÇAMENTO!$C:$C,LANÇAMENTO!$D:$D,$A149,LANÇAMENTO!$E:$E,$B149,LANÇAMENTO!$F:$F,H$4)</f>
        <v>0</v>
      </c>
      <c r="I149" s="40">
        <f>-SUMIFS(LANÇAMENTO!$C:$C,LANÇAMENTO!$D:$D,$A149,LANÇAMENTO!$E:$E,$B149,LANÇAMENTO!$F:$F,I$4)</f>
        <v>0</v>
      </c>
      <c r="J149" s="40">
        <f>-SUMIFS(LANÇAMENTO!$C:$C,LANÇAMENTO!$D:$D,$A149,LANÇAMENTO!$E:$E,$B149,LANÇAMENTO!$F:$F,J$4)</f>
        <v>0</v>
      </c>
      <c r="K149" s="40">
        <f>-SUMIFS(LANÇAMENTO!$C:$C,LANÇAMENTO!$D:$D,$A149,LANÇAMENTO!$E:$E,$B149,LANÇAMENTO!$F:$F,K$4)</f>
        <v>0</v>
      </c>
      <c r="L149" s="40">
        <f>-SUMIFS(LANÇAMENTO!$C:$C,LANÇAMENTO!$D:$D,$A149,LANÇAMENTO!$E:$E,$B149,LANÇAMENTO!$F:$F,L$4)</f>
        <v>0</v>
      </c>
      <c r="M149" s="40">
        <f>-SUMIFS(LANÇAMENTO!$C:$C,LANÇAMENTO!$D:$D,$A149,LANÇAMENTO!$E:$E,$B149,LANÇAMENTO!$F:$F,M$4)</f>
        <v>0</v>
      </c>
      <c r="N149" s="40">
        <f>-SUMIFS(LANÇAMENTO!$C:$C,LANÇAMENTO!$D:$D,$A149,LANÇAMENTO!$E:$E,$B149,LANÇAMENTO!$F:$F,N$4)</f>
        <v>0</v>
      </c>
      <c r="O149" s="40">
        <f>-SUMIFS(LANÇAMENTO!$C:$C,LANÇAMENTO!$D:$D,$A149,LANÇAMENTO!$E:$E,$B149,LANÇAMENTO!$F:$F,O$4)</f>
        <v>0</v>
      </c>
      <c r="P149" s="40">
        <f>-SUMIFS(LANÇAMENTO!$C:$C,LANÇAMENTO!$D:$D,$A149,LANÇAMENTO!$E:$E,$B149,LANÇAMENTO!$F:$F,P$4)</f>
        <v>0</v>
      </c>
      <c r="Q149" s="37">
        <f t="shared" si="99"/>
        <v>0</v>
      </c>
      <c r="R149" s="29">
        <f t="shared" si="100"/>
        <v>0</v>
      </c>
    </row>
    <row r="150" spans="1:18" x14ac:dyDescent="0.25">
      <c r="A150" s="70" t="str">
        <f t="shared" si="101"/>
        <v>FINANCIAMENTO</v>
      </c>
      <c r="B150" s="31" t="s">
        <v>110</v>
      </c>
      <c r="C150" s="45">
        <v>0</v>
      </c>
      <c r="D150" s="34">
        <f t="shared" si="102"/>
        <v>0</v>
      </c>
      <c r="E150" s="40">
        <f>-SUMIFS(LANÇAMENTO!$C:$C,LANÇAMENTO!$D:$D,$A150,LANÇAMENTO!$E:$E,$B150,LANÇAMENTO!$F:$F,E$4)</f>
        <v>0</v>
      </c>
      <c r="F150" s="40">
        <f>-SUMIFS(LANÇAMENTO!$C:$C,LANÇAMENTO!$D:$D,$A150,LANÇAMENTO!$E:$E,$B150,LANÇAMENTO!$F:$F,F$4)</f>
        <v>0</v>
      </c>
      <c r="G150" s="40">
        <f>-SUMIFS(LANÇAMENTO!$C:$C,LANÇAMENTO!$D:$D,$A150,LANÇAMENTO!$E:$E,$B150,LANÇAMENTO!$F:$F,G$4)</f>
        <v>0</v>
      </c>
      <c r="H150" s="40">
        <f>-SUMIFS(LANÇAMENTO!$C:$C,LANÇAMENTO!$D:$D,$A150,LANÇAMENTO!$E:$E,$B150,LANÇAMENTO!$F:$F,H$4)</f>
        <v>0</v>
      </c>
      <c r="I150" s="40">
        <f>-SUMIFS(LANÇAMENTO!$C:$C,LANÇAMENTO!$D:$D,$A150,LANÇAMENTO!$E:$E,$B150,LANÇAMENTO!$F:$F,I$4)</f>
        <v>0</v>
      </c>
      <c r="J150" s="40">
        <f>-SUMIFS(LANÇAMENTO!$C:$C,LANÇAMENTO!$D:$D,$A150,LANÇAMENTO!$E:$E,$B150,LANÇAMENTO!$F:$F,J$4)</f>
        <v>0</v>
      </c>
      <c r="K150" s="40">
        <f>-SUMIFS(LANÇAMENTO!$C:$C,LANÇAMENTO!$D:$D,$A150,LANÇAMENTO!$E:$E,$B150,LANÇAMENTO!$F:$F,K$4)</f>
        <v>0</v>
      </c>
      <c r="L150" s="40">
        <f>-SUMIFS(LANÇAMENTO!$C:$C,LANÇAMENTO!$D:$D,$A150,LANÇAMENTO!$E:$E,$B150,LANÇAMENTO!$F:$F,L$4)</f>
        <v>0</v>
      </c>
      <c r="M150" s="40">
        <f>-SUMIFS(LANÇAMENTO!$C:$C,LANÇAMENTO!$D:$D,$A150,LANÇAMENTO!$E:$E,$B150,LANÇAMENTO!$F:$F,M$4)</f>
        <v>0</v>
      </c>
      <c r="N150" s="40">
        <f>-SUMIFS(LANÇAMENTO!$C:$C,LANÇAMENTO!$D:$D,$A150,LANÇAMENTO!$E:$E,$B150,LANÇAMENTO!$F:$F,N$4)</f>
        <v>0</v>
      </c>
      <c r="O150" s="40">
        <f>-SUMIFS(LANÇAMENTO!$C:$C,LANÇAMENTO!$D:$D,$A150,LANÇAMENTO!$E:$E,$B150,LANÇAMENTO!$F:$F,O$4)</f>
        <v>0</v>
      </c>
      <c r="P150" s="40">
        <f>-SUMIFS(LANÇAMENTO!$C:$C,LANÇAMENTO!$D:$D,$A150,LANÇAMENTO!$E:$E,$B150,LANÇAMENTO!$F:$F,P$4)</f>
        <v>0</v>
      </c>
      <c r="Q150" s="37">
        <f t="shared" si="99"/>
        <v>0</v>
      </c>
      <c r="R150" s="29">
        <f t="shared" si="100"/>
        <v>0</v>
      </c>
    </row>
    <row r="151" spans="1:18" x14ac:dyDescent="0.25">
      <c r="A151" s="70" t="str">
        <f t="shared" si="101"/>
        <v>FINANCIAMENTO</v>
      </c>
      <c r="B151" s="31" t="s">
        <v>142</v>
      </c>
      <c r="C151" s="45">
        <v>0</v>
      </c>
      <c r="D151" s="34">
        <f t="shared" si="102"/>
        <v>0</v>
      </c>
      <c r="E151" s="40">
        <f>-SUMIFS(LANÇAMENTO!$C:$C,LANÇAMENTO!$D:$D,$A151,LANÇAMENTO!$E:$E,$B151,LANÇAMENTO!$F:$F,E$4)</f>
        <v>0</v>
      </c>
      <c r="F151" s="40">
        <f>-SUMIFS(LANÇAMENTO!$C:$C,LANÇAMENTO!$D:$D,$A151,LANÇAMENTO!$E:$E,$B151,LANÇAMENTO!$F:$F,F$4)</f>
        <v>0</v>
      </c>
      <c r="G151" s="40">
        <f>-SUMIFS(LANÇAMENTO!$C:$C,LANÇAMENTO!$D:$D,$A151,LANÇAMENTO!$E:$E,$B151,LANÇAMENTO!$F:$F,G$4)</f>
        <v>0</v>
      </c>
      <c r="H151" s="40">
        <f>-SUMIFS(LANÇAMENTO!$C:$C,LANÇAMENTO!$D:$D,$A151,LANÇAMENTO!$E:$E,$B151,LANÇAMENTO!$F:$F,H$4)</f>
        <v>0</v>
      </c>
      <c r="I151" s="40">
        <f>-SUMIFS(LANÇAMENTO!$C:$C,LANÇAMENTO!$D:$D,$A151,LANÇAMENTO!$E:$E,$B151,LANÇAMENTO!$F:$F,I$4)</f>
        <v>0</v>
      </c>
      <c r="J151" s="40">
        <f>-SUMIFS(LANÇAMENTO!$C:$C,LANÇAMENTO!$D:$D,$A151,LANÇAMENTO!$E:$E,$B151,LANÇAMENTO!$F:$F,J$4)</f>
        <v>0</v>
      </c>
      <c r="K151" s="40">
        <f>-SUMIFS(LANÇAMENTO!$C:$C,LANÇAMENTO!$D:$D,$A151,LANÇAMENTO!$E:$E,$B151,LANÇAMENTO!$F:$F,K$4)</f>
        <v>0</v>
      </c>
      <c r="L151" s="40">
        <f>-SUMIFS(LANÇAMENTO!$C:$C,LANÇAMENTO!$D:$D,$A151,LANÇAMENTO!$E:$E,$B151,LANÇAMENTO!$F:$F,L$4)</f>
        <v>0</v>
      </c>
      <c r="M151" s="40">
        <f>-SUMIFS(LANÇAMENTO!$C:$C,LANÇAMENTO!$D:$D,$A151,LANÇAMENTO!$E:$E,$B151,LANÇAMENTO!$F:$F,M$4)</f>
        <v>0</v>
      </c>
      <c r="N151" s="40">
        <f>-SUMIFS(LANÇAMENTO!$C:$C,LANÇAMENTO!$D:$D,$A151,LANÇAMENTO!$E:$E,$B151,LANÇAMENTO!$F:$F,N$4)</f>
        <v>0</v>
      </c>
      <c r="O151" s="40">
        <f>-SUMIFS(LANÇAMENTO!$C:$C,LANÇAMENTO!$D:$D,$A151,LANÇAMENTO!$E:$E,$B151,LANÇAMENTO!$F:$F,O$4)</f>
        <v>0</v>
      </c>
      <c r="P151" s="40">
        <f>-SUMIFS(LANÇAMENTO!$C:$C,LANÇAMENTO!$D:$D,$A151,LANÇAMENTO!$E:$E,$B151,LANÇAMENTO!$F:$F,P$4)</f>
        <v>0</v>
      </c>
      <c r="Q151" s="37">
        <f t="shared" si="99"/>
        <v>0</v>
      </c>
      <c r="R151" s="29">
        <f t="shared" si="100"/>
        <v>0</v>
      </c>
    </row>
    <row r="152" spans="1:18" x14ac:dyDescent="0.25">
      <c r="A152" s="70"/>
      <c r="B152" s="19" t="s">
        <v>203</v>
      </c>
      <c r="C152" s="20">
        <f>SUM(C153:C161)</f>
        <v>0</v>
      </c>
      <c r="D152" s="20">
        <f t="shared" ref="D152:P152" si="103">SUM(D153:D161)</f>
        <v>0</v>
      </c>
      <c r="E152" s="20">
        <f t="shared" si="103"/>
        <v>0</v>
      </c>
      <c r="F152" s="20">
        <f t="shared" si="103"/>
        <v>0</v>
      </c>
      <c r="G152" s="20">
        <f t="shared" si="103"/>
        <v>0</v>
      </c>
      <c r="H152" s="20">
        <f t="shared" si="103"/>
        <v>0</v>
      </c>
      <c r="I152" s="20">
        <f t="shared" si="103"/>
        <v>0</v>
      </c>
      <c r="J152" s="20">
        <f t="shared" si="103"/>
        <v>0</v>
      </c>
      <c r="K152" s="20">
        <f t="shared" si="103"/>
        <v>0</v>
      </c>
      <c r="L152" s="20">
        <f t="shared" si="103"/>
        <v>0</v>
      </c>
      <c r="M152" s="20">
        <f t="shared" si="103"/>
        <v>0</v>
      </c>
      <c r="N152" s="20">
        <f t="shared" si="103"/>
        <v>0</v>
      </c>
      <c r="O152" s="20">
        <f t="shared" si="103"/>
        <v>0</v>
      </c>
      <c r="P152" s="20">
        <f t="shared" si="103"/>
        <v>0</v>
      </c>
      <c r="Q152" s="21">
        <f t="shared" si="99"/>
        <v>0</v>
      </c>
      <c r="R152" s="29">
        <f>IF(SUM(R153:R161)=0,0,1)</f>
        <v>0</v>
      </c>
    </row>
    <row r="153" spans="1:18" x14ac:dyDescent="0.25">
      <c r="A153" s="70" t="str">
        <f>$B$152</f>
        <v>EMPRÉSTIMO</v>
      </c>
      <c r="B153" s="31" t="s">
        <v>111</v>
      </c>
      <c r="C153" s="45">
        <v>0</v>
      </c>
      <c r="D153" s="34">
        <f t="shared" ref="D153" si="104">C153*12</f>
        <v>0</v>
      </c>
      <c r="E153" s="40">
        <f>-SUMIFS(LANÇAMENTO!$C:$C,LANÇAMENTO!$D:$D,$A153,LANÇAMENTO!$E:$E,$B153,LANÇAMENTO!$F:$F,E$4)</f>
        <v>0</v>
      </c>
      <c r="F153" s="40">
        <f>-SUMIFS(LANÇAMENTO!$C:$C,LANÇAMENTO!$D:$D,$A153,LANÇAMENTO!$E:$E,$B153,LANÇAMENTO!$F:$F,F$4)</f>
        <v>0</v>
      </c>
      <c r="G153" s="40">
        <f>-SUMIFS(LANÇAMENTO!$C:$C,LANÇAMENTO!$D:$D,$A153,LANÇAMENTO!$E:$E,$B153,LANÇAMENTO!$F:$F,G$4)</f>
        <v>0</v>
      </c>
      <c r="H153" s="40">
        <f>-SUMIFS(LANÇAMENTO!$C:$C,LANÇAMENTO!$D:$D,$A153,LANÇAMENTO!$E:$E,$B153,LANÇAMENTO!$F:$F,H$4)</f>
        <v>0</v>
      </c>
      <c r="I153" s="40">
        <f>-SUMIFS(LANÇAMENTO!$C:$C,LANÇAMENTO!$D:$D,$A153,LANÇAMENTO!$E:$E,$B153,LANÇAMENTO!$F:$F,I$4)</f>
        <v>0</v>
      </c>
      <c r="J153" s="40">
        <f>-SUMIFS(LANÇAMENTO!$C:$C,LANÇAMENTO!$D:$D,$A153,LANÇAMENTO!$E:$E,$B153,LANÇAMENTO!$F:$F,J$4)</f>
        <v>0</v>
      </c>
      <c r="K153" s="40">
        <f>-SUMIFS(LANÇAMENTO!$C:$C,LANÇAMENTO!$D:$D,$A153,LANÇAMENTO!$E:$E,$B153,LANÇAMENTO!$F:$F,K$4)</f>
        <v>0</v>
      </c>
      <c r="L153" s="40">
        <f>-SUMIFS(LANÇAMENTO!$C:$C,LANÇAMENTO!$D:$D,$A153,LANÇAMENTO!$E:$E,$B153,LANÇAMENTO!$F:$F,L$4)</f>
        <v>0</v>
      </c>
      <c r="M153" s="40">
        <f>-SUMIFS(LANÇAMENTO!$C:$C,LANÇAMENTO!$D:$D,$A153,LANÇAMENTO!$E:$E,$B153,LANÇAMENTO!$F:$F,M$4)</f>
        <v>0</v>
      </c>
      <c r="N153" s="40">
        <f>-SUMIFS(LANÇAMENTO!$C:$C,LANÇAMENTO!$D:$D,$A153,LANÇAMENTO!$E:$E,$B153,LANÇAMENTO!$F:$F,N$4)</f>
        <v>0</v>
      </c>
      <c r="O153" s="40">
        <f>-SUMIFS(LANÇAMENTO!$C:$C,LANÇAMENTO!$D:$D,$A153,LANÇAMENTO!$E:$E,$B153,LANÇAMENTO!$F:$F,O$4)</f>
        <v>0</v>
      </c>
      <c r="P153" s="40">
        <f>-SUMIFS(LANÇAMENTO!$C:$C,LANÇAMENTO!$D:$D,$A153,LANÇAMENTO!$E:$E,$B153,LANÇAMENTO!$F:$F,P$4)</f>
        <v>0</v>
      </c>
      <c r="Q153" s="37">
        <f t="shared" si="99"/>
        <v>0</v>
      </c>
      <c r="R153" s="29">
        <f t="shared" si="100"/>
        <v>0</v>
      </c>
    </row>
    <row r="154" spans="1:18" x14ac:dyDescent="0.25">
      <c r="A154" s="70" t="str">
        <f t="shared" ref="A154:A161" si="105">$B$152</f>
        <v>EMPRÉSTIMO</v>
      </c>
      <c r="B154" s="31" t="s">
        <v>112</v>
      </c>
      <c r="C154" s="45">
        <v>0</v>
      </c>
      <c r="D154" s="34">
        <f t="shared" ref="D154:D161" si="106">C154*12</f>
        <v>0</v>
      </c>
      <c r="E154" s="40">
        <f>-SUMIFS(LANÇAMENTO!$C:$C,LANÇAMENTO!$D:$D,$A154,LANÇAMENTO!$E:$E,$B154,LANÇAMENTO!$F:$F,E$4)</f>
        <v>0</v>
      </c>
      <c r="F154" s="40">
        <f>-SUMIFS(LANÇAMENTO!$C:$C,LANÇAMENTO!$D:$D,$A154,LANÇAMENTO!$E:$E,$B154,LANÇAMENTO!$F:$F,F$4)</f>
        <v>0</v>
      </c>
      <c r="G154" s="40">
        <f>-SUMIFS(LANÇAMENTO!$C:$C,LANÇAMENTO!$D:$D,$A154,LANÇAMENTO!$E:$E,$B154,LANÇAMENTO!$F:$F,G$4)</f>
        <v>0</v>
      </c>
      <c r="H154" s="40">
        <f>-SUMIFS(LANÇAMENTO!$C:$C,LANÇAMENTO!$D:$D,$A154,LANÇAMENTO!$E:$E,$B154,LANÇAMENTO!$F:$F,H$4)</f>
        <v>0</v>
      </c>
      <c r="I154" s="40">
        <f>-SUMIFS(LANÇAMENTO!$C:$C,LANÇAMENTO!$D:$D,$A154,LANÇAMENTO!$E:$E,$B154,LANÇAMENTO!$F:$F,I$4)</f>
        <v>0</v>
      </c>
      <c r="J154" s="40">
        <f>-SUMIFS(LANÇAMENTO!$C:$C,LANÇAMENTO!$D:$D,$A154,LANÇAMENTO!$E:$E,$B154,LANÇAMENTO!$F:$F,J$4)</f>
        <v>0</v>
      </c>
      <c r="K154" s="40">
        <f>-SUMIFS(LANÇAMENTO!$C:$C,LANÇAMENTO!$D:$D,$A154,LANÇAMENTO!$E:$E,$B154,LANÇAMENTO!$F:$F,K$4)</f>
        <v>0</v>
      </c>
      <c r="L154" s="40">
        <f>-SUMIFS(LANÇAMENTO!$C:$C,LANÇAMENTO!$D:$D,$A154,LANÇAMENTO!$E:$E,$B154,LANÇAMENTO!$F:$F,L$4)</f>
        <v>0</v>
      </c>
      <c r="M154" s="40">
        <f>-SUMIFS(LANÇAMENTO!$C:$C,LANÇAMENTO!$D:$D,$A154,LANÇAMENTO!$E:$E,$B154,LANÇAMENTO!$F:$F,M$4)</f>
        <v>0</v>
      </c>
      <c r="N154" s="40">
        <f>-SUMIFS(LANÇAMENTO!$C:$C,LANÇAMENTO!$D:$D,$A154,LANÇAMENTO!$E:$E,$B154,LANÇAMENTO!$F:$F,N$4)</f>
        <v>0</v>
      </c>
      <c r="O154" s="40">
        <f>-SUMIFS(LANÇAMENTO!$C:$C,LANÇAMENTO!$D:$D,$A154,LANÇAMENTO!$E:$E,$B154,LANÇAMENTO!$F:$F,O$4)</f>
        <v>0</v>
      </c>
      <c r="P154" s="40">
        <f>-SUMIFS(LANÇAMENTO!$C:$C,LANÇAMENTO!$D:$D,$A154,LANÇAMENTO!$E:$E,$B154,LANÇAMENTO!$F:$F,P$4)</f>
        <v>0</v>
      </c>
      <c r="Q154" s="37">
        <f t="shared" si="99"/>
        <v>0</v>
      </c>
      <c r="R154" s="29">
        <f t="shared" si="100"/>
        <v>0</v>
      </c>
    </row>
    <row r="155" spans="1:18" x14ac:dyDescent="0.25">
      <c r="A155" s="70" t="str">
        <f t="shared" si="105"/>
        <v>EMPRÉSTIMO</v>
      </c>
      <c r="B155" s="31" t="s">
        <v>113</v>
      </c>
      <c r="C155" s="45">
        <v>0</v>
      </c>
      <c r="D155" s="34">
        <f t="shared" si="106"/>
        <v>0</v>
      </c>
      <c r="E155" s="40">
        <f>-SUMIFS(LANÇAMENTO!$C:$C,LANÇAMENTO!$D:$D,$A155,LANÇAMENTO!$E:$E,$B155,LANÇAMENTO!$F:$F,E$4)</f>
        <v>0</v>
      </c>
      <c r="F155" s="40">
        <f>-SUMIFS(LANÇAMENTO!$C:$C,LANÇAMENTO!$D:$D,$A155,LANÇAMENTO!$E:$E,$B155,LANÇAMENTO!$F:$F,F$4)</f>
        <v>0</v>
      </c>
      <c r="G155" s="40">
        <f>-SUMIFS(LANÇAMENTO!$C:$C,LANÇAMENTO!$D:$D,$A155,LANÇAMENTO!$E:$E,$B155,LANÇAMENTO!$F:$F,G$4)</f>
        <v>0</v>
      </c>
      <c r="H155" s="40">
        <f>-SUMIFS(LANÇAMENTO!$C:$C,LANÇAMENTO!$D:$D,$A155,LANÇAMENTO!$E:$E,$B155,LANÇAMENTO!$F:$F,H$4)</f>
        <v>0</v>
      </c>
      <c r="I155" s="40">
        <f>-SUMIFS(LANÇAMENTO!$C:$C,LANÇAMENTO!$D:$D,$A155,LANÇAMENTO!$E:$E,$B155,LANÇAMENTO!$F:$F,I$4)</f>
        <v>0</v>
      </c>
      <c r="J155" s="40">
        <f>-SUMIFS(LANÇAMENTO!$C:$C,LANÇAMENTO!$D:$D,$A155,LANÇAMENTO!$E:$E,$B155,LANÇAMENTO!$F:$F,J$4)</f>
        <v>0</v>
      </c>
      <c r="K155" s="40">
        <f>-SUMIFS(LANÇAMENTO!$C:$C,LANÇAMENTO!$D:$D,$A155,LANÇAMENTO!$E:$E,$B155,LANÇAMENTO!$F:$F,K$4)</f>
        <v>0</v>
      </c>
      <c r="L155" s="40">
        <f>-SUMIFS(LANÇAMENTO!$C:$C,LANÇAMENTO!$D:$D,$A155,LANÇAMENTO!$E:$E,$B155,LANÇAMENTO!$F:$F,L$4)</f>
        <v>0</v>
      </c>
      <c r="M155" s="40">
        <f>-SUMIFS(LANÇAMENTO!$C:$C,LANÇAMENTO!$D:$D,$A155,LANÇAMENTO!$E:$E,$B155,LANÇAMENTO!$F:$F,M$4)</f>
        <v>0</v>
      </c>
      <c r="N155" s="40">
        <f>-SUMIFS(LANÇAMENTO!$C:$C,LANÇAMENTO!$D:$D,$A155,LANÇAMENTO!$E:$E,$B155,LANÇAMENTO!$F:$F,N$4)</f>
        <v>0</v>
      </c>
      <c r="O155" s="40">
        <f>-SUMIFS(LANÇAMENTO!$C:$C,LANÇAMENTO!$D:$D,$A155,LANÇAMENTO!$E:$E,$B155,LANÇAMENTO!$F:$F,O$4)</f>
        <v>0</v>
      </c>
      <c r="P155" s="40">
        <f>-SUMIFS(LANÇAMENTO!$C:$C,LANÇAMENTO!$D:$D,$A155,LANÇAMENTO!$E:$E,$B155,LANÇAMENTO!$F:$F,P$4)</f>
        <v>0</v>
      </c>
      <c r="Q155" s="37">
        <f t="shared" si="99"/>
        <v>0</v>
      </c>
      <c r="R155" s="29">
        <f t="shared" si="100"/>
        <v>0</v>
      </c>
    </row>
    <row r="156" spans="1:18" x14ac:dyDescent="0.25">
      <c r="A156" s="70" t="str">
        <f t="shared" si="105"/>
        <v>EMPRÉSTIMO</v>
      </c>
      <c r="B156" s="31" t="s">
        <v>114</v>
      </c>
      <c r="C156" s="45">
        <v>0</v>
      </c>
      <c r="D156" s="34">
        <f t="shared" si="106"/>
        <v>0</v>
      </c>
      <c r="E156" s="40">
        <f>-SUMIFS(LANÇAMENTO!$C:$C,LANÇAMENTO!$D:$D,$A156,LANÇAMENTO!$E:$E,$B156,LANÇAMENTO!$F:$F,E$4)</f>
        <v>0</v>
      </c>
      <c r="F156" s="40">
        <f>-SUMIFS(LANÇAMENTO!$C:$C,LANÇAMENTO!$D:$D,$A156,LANÇAMENTO!$E:$E,$B156,LANÇAMENTO!$F:$F,F$4)</f>
        <v>0</v>
      </c>
      <c r="G156" s="40">
        <f>-SUMIFS(LANÇAMENTO!$C:$C,LANÇAMENTO!$D:$D,$A156,LANÇAMENTO!$E:$E,$B156,LANÇAMENTO!$F:$F,G$4)</f>
        <v>0</v>
      </c>
      <c r="H156" s="40">
        <f>-SUMIFS(LANÇAMENTO!$C:$C,LANÇAMENTO!$D:$D,$A156,LANÇAMENTO!$E:$E,$B156,LANÇAMENTO!$F:$F,H$4)</f>
        <v>0</v>
      </c>
      <c r="I156" s="40">
        <f>-SUMIFS(LANÇAMENTO!$C:$C,LANÇAMENTO!$D:$D,$A156,LANÇAMENTO!$E:$E,$B156,LANÇAMENTO!$F:$F,I$4)</f>
        <v>0</v>
      </c>
      <c r="J156" s="40">
        <f>-SUMIFS(LANÇAMENTO!$C:$C,LANÇAMENTO!$D:$D,$A156,LANÇAMENTO!$E:$E,$B156,LANÇAMENTO!$F:$F,J$4)</f>
        <v>0</v>
      </c>
      <c r="K156" s="40">
        <f>-SUMIFS(LANÇAMENTO!$C:$C,LANÇAMENTO!$D:$D,$A156,LANÇAMENTO!$E:$E,$B156,LANÇAMENTO!$F:$F,K$4)</f>
        <v>0</v>
      </c>
      <c r="L156" s="40">
        <f>-SUMIFS(LANÇAMENTO!$C:$C,LANÇAMENTO!$D:$D,$A156,LANÇAMENTO!$E:$E,$B156,LANÇAMENTO!$F:$F,L$4)</f>
        <v>0</v>
      </c>
      <c r="M156" s="40">
        <f>-SUMIFS(LANÇAMENTO!$C:$C,LANÇAMENTO!$D:$D,$A156,LANÇAMENTO!$E:$E,$B156,LANÇAMENTO!$F:$F,M$4)</f>
        <v>0</v>
      </c>
      <c r="N156" s="40">
        <f>-SUMIFS(LANÇAMENTO!$C:$C,LANÇAMENTO!$D:$D,$A156,LANÇAMENTO!$E:$E,$B156,LANÇAMENTO!$F:$F,N$4)</f>
        <v>0</v>
      </c>
      <c r="O156" s="40">
        <f>-SUMIFS(LANÇAMENTO!$C:$C,LANÇAMENTO!$D:$D,$A156,LANÇAMENTO!$E:$E,$B156,LANÇAMENTO!$F:$F,O$4)</f>
        <v>0</v>
      </c>
      <c r="P156" s="40">
        <f>-SUMIFS(LANÇAMENTO!$C:$C,LANÇAMENTO!$D:$D,$A156,LANÇAMENTO!$E:$E,$B156,LANÇAMENTO!$F:$F,P$4)</f>
        <v>0</v>
      </c>
      <c r="Q156" s="37">
        <f t="shared" si="99"/>
        <v>0</v>
      </c>
      <c r="R156" s="29">
        <f t="shared" si="100"/>
        <v>0</v>
      </c>
    </row>
    <row r="157" spans="1:18" x14ac:dyDescent="0.25">
      <c r="A157" s="70" t="str">
        <f t="shared" si="105"/>
        <v>EMPRÉSTIMO</v>
      </c>
      <c r="B157" s="31" t="s">
        <v>115</v>
      </c>
      <c r="C157" s="45">
        <v>0</v>
      </c>
      <c r="D157" s="34">
        <f t="shared" si="106"/>
        <v>0</v>
      </c>
      <c r="E157" s="40">
        <f>-SUMIFS(LANÇAMENTO!$C:$C,LANÇAMENTO!$D:$D,$A157,LANÇAMENTO!$E:$E,$B157,LANÇAMENTO!$F:$F,E$4)</f>
        <v>0</v>
      </c>
      <c r="F157" s="40">
        <f>-SUMIFS(LANÇAMENTO!$C:$C,LANÇAMENTO!$D:$D,$A157,LANÇAMENTO!$E:$E,$B157,LANÇAMENTO!$F:$F,F$4)</f>
        <v>0</v>
      </c>
      <c r="G157" s="40">
        <f>-SUMIFS(LANÇAMENTO!$C:$C,LANÇAMENTO!$D:$D,$A157,LANÇAMENTO!$E:$E,$B157,LANÇAMENTO!$F:$F,G$4)</f>
        <v>0</v>
      </c>
      <c r="H157" s="40">
        <f>-SUMIFS(LANÇAMENTO!$C:$C,LANÇAMENTO!$D:$D,$A157,LANÇAMENTO!$E:$E,$B157,LANÇAMENTO!$F:$F,H$4)</f>
        <v>0</v>
      </c>
      <c r="I157" s="40">
        <f>-SUMIFS(LANÇAMENTO!$C:$C,LANÇAMENTO!$D:$D,$A157,LANÇAMENTO!$E:$E,$B157,LANÇAMENTO!$F:$F,I$4)</f>
        <v>0</v>
      </c>
      <c r="J157" s="40">
        <f>-SUMIFS(LANÇAMENTO!$C:$C,LANÇAMENTO!$D:$D,$A157,LANÇAMENTO!$E:$E,$B157,LANÇAMENTO!$F:$F,J$4)</f>
        <v>0</v>
      </c>
      <c r="K157" s="40">
        <f>-SUMIFS(LANÇAMENTO!$C:$C,LANÇAMENTO!$D:$D,$A157,LANÇAMENTO!$E:$E,$B157,LANÇAMENTO!$F:$F,K$4)</f>
        <v>0</v>
      </c>
      <c r="L157" s="40">
        <f>-SUMIFS(LANÇAMENTO!$C:$C,LANÇAMENTO!$D:$D,$A157,LANÇAMENTO!$E:$E,$B157,LANÇAMENTO!$F:$F,L$4)</f>
        <v>0</v>
      </c>
      <c r="M157" s="40">
        <f>-SUMIFS(LANÇAMENTO!$C:$C,LANÇAMENTO!$D:$D,$A157,LANÇAMENTO!$E:$E,$B157,LANÇAMENTO!$F:$F,M$4)</f>
        <v>0</v>
      </c>
      <c r="N157" s="40">
        <f>-SUMIFS(LANÇAMENTO!$C:$C,LANÇAMENTO!$D:$D,$A157,LANÇAMENTO!$E:$E,$B157,LANÇAMENTO!$F:$F,N$4)</f>
        <v>0</v>
      </c>
      <c r="O157" s="40">
        <f>-SUMIFS(LANÇAMENTO!$C:$C,LANÇAMENTO!$D:$D,$A157,LANÇAMENTO!$E:$E,$B157,LANÇAMENTO!$F:$F,O$4)</f>
        <v>0</v>
      </c>
      <c r="P157" s="40">
        <f>-SUMIFS(LANÇAMENTO!$C:$C,LANÇAMENTO!$D:$D,$A157,LANÇAMENTO!$E:$E,$B157,LANÇAMENTO!$F:$F,P$4)</f>
        <v>0</v>
      </c>
      <c r="Q157" s="37">
        <f t="shared" si="99"/>
        <v>0</v>
      </c>
      <c r="R157" s="29">
        <f t="shared" si="100"/>
        <v>0</v>
      </c>
    </row>
    <row r="158" spans="1:18" x14ac:dyDescent="0.25">
      <c r="A158" s="70" t="str">
        <f t="shared" si="105"/>
        <v>EMPRÉSTIMO</v>
      </c>
      <c r="B158" s="31" t="s">
        <v>116</v>
      </c>
      <c r="C158" s="45">
        <v>0</v>
      </c>
      <c r="D158" s="34">
        <f t="shared" si="106"/>
        <v>0</v>
      </c>
      <c r="E158" s="40">
        <f>-SUMIFS(LANÇAMENTO!$C:$C,LANÇAMENTO!$D:$D,$A158,LANÇAMENTO!$E:$E,$B158,LANÇAMENTO!$F:$F,E$4)</f>
        <v>0</v>
      </c>
      <c r="F158" s="40">
        <f>-SUMIFS(LANÇAMENTO!$C:$C,LANÇAMENTO!$D:$D,$A158,LANÇAMENTO!$E:$E,$B158,LANÇAMENTO!$F:$F,F$4)</f>
        <v>0</v>
      </c>
      <c r="G158" s="40">
        <f>-SUMIFS(LANÇAMENTO!$C:$C,LANÇAMENTO!$D:$D,$A158,LANÇAMENTO!$E:$E,$B158,LANÇAMENTO!$F:$F,G$4)</f>
        <v>0</v>
      </c>
      <c r="H158" s="40">
        <f>-SUMIFS(LANÇAMENTO!$C:$C,LANÇAMENTO!$D:$D,$A158,LANÇAMENTO!$E:$E,$B158,LANÇAMENTO!$F:$F,H$4)</f>
        <v>0</v>
      </c>
      <c r="I158" s="40">
        <f>-SUMIFS(LANÇAMENTO!$C:$C,LANÇAMENTO!$D:$D,$A158,LANÇAMENTO!$E:$E,$B158,LANÇAMENTO!$F:$F,I$4)</f>
        <v>0</v>
      </c>
      <c r="J158" s="40">
        <f>-SUMIFS(LANÇAMENTO!$C:$C,LANÇAMENTO!$D:$D,$A158,LANÇAMENTO!$E:$E,$B158,LANÇAMENTO!$F:$F,J$4)</f>
        <v>0</v>
      </c>
      <c r="K158" s="40">
        <f>-SUMIFS(LANÇAMENTO!$C:$C,LANÇAMENTO!$D:$D,$A158,LANÇAMENTO!$E:$E,$B158,LANÇAMENTO!$F:$F,K$4)</f>
        <v>0</v>
      </c>
      <c r="L158" s="40">
        <f>-SUMIFS(LANÇAMENTO!$C:$C,LANÇAMENTO!$D:$D,$A158,LANÇAMENTO!$E:$E,$B158,LANÇAMENTO!$F:$F,L$4)</f>
        <v>0</v>
      </c>
      <c r="M158" s="40">
        <f>-SUMIFS(LANÇAMENTO!$C:$C,LANÇAMENTO!$D:$D,$A158,LANÇAMENTO!$E:$E,$B158,LANÇAMENTO!$F:$F,M$4)</f>
        <v>0</v>
      </c>
      <c r="N158" s="40">
        <f>-SUMIFS(LANÇAMENTO!$C:$C,LANÇAMENTO!$D:$D,$A158,LANÇAMENTO!$E:$E,$B158,LANÇAMENTO!$F:$F,N$4)</f>
        <v>0</v>
      </c>
      <c r="O158" s="40">
        <f>-SUMIFS(LANÇAMENTO!$C:$C,LANÇAMENTO!$D:$D,$A158,LANÇAMENTO!$E:$E,$B158,LANÇAMENTO!$F:$F,O$4)</f>
        <v>0</v>
      </c>
      <c r="P158" s="40">
        <f>-SUMIFS(LANÇAMENTO!$C:$C,LANÇAMENTO!$D:$D,$A158,LANÇAMENTO!$E:$E,$B158,LANÇAMENTO!$F:$F,P$4)</f>
        <v>0</v>
      </c>
      <c r="Q158" s="37">
        <f t="shared" si="99"/>
        <v>0</v>
      </c>
      <c r="R158" s="29">
        <f t="shared" si="100"/>
        <v>0</v>
      </c>
    </row>
    <row r="159" spans="1:18" x14ac:dyDescent="0.25">
      <c r="A159" s="70" t="str">
        <f t="shared" si="105"/>
        <v>EMPRÉSTIMO</v>
      </c>
      <c r="B159" s="31" t="s">
        <v>117</v>
      </c>
      <c r="C159" s="45">
        <v>0</v>
      </c>
      <c r="D159" s="34">
        <f t="shared" si="106"/>
        <v>0</v>
      </c>
      <c r="E159" s="40">
        <f>-SUMIFS(LANÇAMENTO!$C:$C,LANÇAMENTO!$D:$D,$A159,LANÇAMENTO!$E:$E,$B159,LANÇAMENTO!$F:$F,E$4)</f>
        <v>0</v>
      </c>
      <c r="F159" s="40">
        <f>-SUMIFS(LANÇAMENTO!$C:$C,LANÇAMENTO!$D:$D,$A159,LANÇAMENTO!$E:$E,$B159,LANÇAMENTO!$F:$F,F$4)</f>
        <v>0</v>
      </c>
      <c r="G159" s="40">
        <f>-SUMIFS(LANÇAMENTO!$C:$C,LANÇAMENTO!$D:$D,$A159,LANÇAMENTO!$E:$E,$B159,LANÇAMENTO!$F:$F,G$4)</f>
        <v>0</v>
      </c>
      <c r="H159" s="40">
        <f>-SUMIFS(LANÇAMENTO!$C:$C,LANÇAMENTO!$D:$D,$A159,LANÇAMENTO!$E:$E,$B159,LANÇAMENTO!$F:$F,H$4)</f>
        <v>0</v>
      </c>
      <c r="I159" s="40">
        <f>-SUMIFS(LANÇAMENTO!$C:$C,LANÇAMENTO!$D:$D,$A159,LANÇAMENTO!$E:$E,$B159,LANÇAMENTO!$F:$F,I$4)</f>
        <v>0</v>
      </c>
      <c r="J159" s="40">
        <f>-SUMIFS(LANÇAMENTO!$C:$C,LANÇAMENTO!$D:$D,$A159,LANÇAMENTO!$E:$E,$B159,LANÇAMENTO!$F:$F,J$4)</f>
        <v>0</v>
      </c>
      <c r="K159" s="40">
        <f>-SUMIFS(LANÇAMENTO!$C:$C,LANÇAMENTO!$D:$D,$A159,LANÇAMENTO!$E:$E,$B159,LANÇAMENTO!$F:$F,K$4)</f>
        <v>0</v>
      </c>
      <c r="L159" s="40">
        <f>-SUMIFS(LANÇAMENTO!$C:$C,LANÇAMENTO!$D:$D,$A159,LANÇAMENTO!$E:$E,$B159,LANÇAMENTO!$F:$F,L$4)</f>
        <v>0</v>
      </c>
      <c r="M159" s="40">
        <f>-SUMIFS(LANÇAMENTO!$C:$C,LANÇAMENTO!$D:$D,$A159,LANÇAMENTO!$E:$E,$B159,LANÇAMENTO!$F:$F,M$4)</f>
        <v>0</v>
      </c>
      <c r="N159" s="40">
        <f>-SUMIFS(LANÇAMENTO!$C:$C,LANÇAMENTO!$D:$D,$A159,LANÇAMENTO!$E:$E,$B159,LANÇAMENTO!$F:$F,N$4)</f>
        <v>0</v>
      </c>
      <c r="O159" s="40">
        <f>-SUMIFS(LANÇAMENTO!$C:$C,LANÇAMENTO!$D:$D,$A159,LANÇAMENTO!$E:$E,$B159,LANÇAMENTO!$F:$F,O$4)</f>
        <v>0</v>
      </c>
      <c r="P159" s="40">
        <f>-SUMIFS(LANÇAMENTO!$C:$C,LANÇAMENTO!$D:$D,$A159,LANÇAMENTO!$E:$E,$B159,LANÇAMENTO!$F:$F,P$4)</f>
        <v>0</v>
      </c>
      <c r="Q159" s="37">
        <f t="shared" si="99"/>
        <v>0</v>
      </c>
      <c r="R159" s="29">
        <f t="shared" si="100"/>
        <v>0</v>
      </c>
    </row>
    <row r="160" spans="1:18" x14ac:dyDescent="0.25">
      <c r="A160" s="70" t="str">
        <f t="shared" si="105"/>
        <v>EMPRÉSTIMO</v>
      </c>
      <c r="B160" s="31" t="s">
        <v>118</v>
      </c>
      <c r="C160" s="45">
        <v>0</v>
      </c>
      <c r="D160" s="34">
        <f t="shared" si="106"/>
        <v>0</v>
      </c>
      <c r="E160" s="40">
        <f>-SUMIFS(LANÇAMENTO!$C:$C,LANÇAMENTO!$D:$D,$A160,LANÇAMENTO!$E:$E,$B160,LANÇAMENTO!$F:$F,E$4)</f>
        <v>0</v>
      </c>
      <c r="F160" s="40">
        <f>-SUMIFS(LANÇAMENTO!$C:$C,LANÇAMENTO!$D:$D,$A160,LANÇAMENTO!$E:$E,$B160,LANÇAMENTO!$F:$F,F$4)</f>
        <v>0</v>
      </c>
      <c r="G160" s="40">
        <f>-SUMIFS(LANÇAMENTO!$C:$C,LANÇAMENTO!$D:$D,$A160,LANÇAMENTO!$E:$E,$B160,LANÇAMENTO!$F:$F,G$4)</f>
        <v>0</v>
      </c>
      <c r="H160" s="40">
        <f>-SUMIFS(LANÇAMENTO!$C:$C,LANÇAMENTO!$D:$D,$A160,LANÇAMENTO!$E:$E,$B160,LANÇAMENTO!$F:$F,H$4)</f>
        <v>0</v>
      </c>
      <c r="I160" s="40">
        <f>-SUMIFS(LANÇAMENTO!$C:$C,LANÇAMENTO!$D:$D,$A160,LANÇAMENTO!$E:$E,$B160,LANÇAMENTO!$F:$F,I$4)</f>
        <v>0</v>
      </c>
      <c r="J160" s="40">
        <f>-SUMIFS(LANÇAMENTO!$C:$C,LANÇAMENTO!$D:$D,$A160,LANÇAMENTO!$E:$E,$B160,LANÇAMENTO!$F:$F,J$4)</f>
        <v>0</v>
      </c>
      <c r="K160" s="40">
        <f>-SUMIFS(LANÇAMENTO!$C:$C,LANÇAMENTO!$D:$D,$A160,LANÇAMENTO!$E:$E,$B160,LANÇAMENTO!$F:$F,K$4)</f>
        <v>0</v>
      </c>
      <c r="L160" s="40">
        <f>-SUMIFS(LANÇAMENTO!$C:$C,LANÇAMENTO!$D:$D,$A160,LANÇAMENTO!$E:$E,$B160,LANÇAMENTO!$F:$F,L$4)</f>
        <v>0</v>
      </c>
      <c r="M160" s="40">
        <f>-SUMIFS(LANÇAMENTO!$C:$C,LANÇAMENTO!$D:$D,$A160,LANÇAMENTO!$E:$E,$B160,LANÇAMENTO!$F:$F,M$4)</f>
        <v>0</v>
      </c>
      <c r="N160" s="40">
        <f>-SUMIFS(LANÇAMENTO!$C:$C,LANÇAMENTO!$D:$D,$A160,LANÇAMENTO!$E:$E,$B160,LANÇAMENTO!$F:$F,N$4)</f>
        <v>0</v>
      </c>
      <c r="O160" s="40">
        <f>-SUMIFS(LANÇAMENTO!$C:$C,LANÇAMENTO!$D:$D,$A160,LANÇAMENTO!$E:$E,$B160,LANÇAMENTO!$F:$F,O$4)</f>
        <v>0</v>
      </c>
      <c r="P160" s="40">
        <f>-SUMIFS(LANÇAMENTO!$C:$C,LANÇAMENTO!$D:$D,$A160,LANÇAMENTO!$E:$E,$B160,LANÇAMENTO!$F:$F,P$4)</f>
        <v>0</v>
      </c>
      <c r="Q160" s="37">
        <f t="shared" si="99"/>
        <v>0</v>
      </c>
      <c r="R160" s="29">
        <f t="shared" si="100"/>
        <v>0</v>
      </c>
    </row>
    <row r="161" spans="1:18" x14ac:dyDescent="0.25">
      <c r="A161" s="70" t="str">
        <f t="shared" si="105"/>
        <v>EMPRÉSTIMO</v>
      </c>
      <c r="B161" s="31" t="s">
        <v>142</v>
      </c>
      <c r="C161" s="45">
        <v>0</v>
      </c>
      <c r="D161" s="34">
        <f t="shared" si="106"/>
        <v>0</v>
      </c>
      <c r="E161" s="40">
        <f>-SUMIFS(LANÇAMENTO!$C:$C,LANÇAMENTO!$D:$D,$A161,LANÇAMENTO!$E:$E,$B161,LANÇAMENTO!$F:$F,E$4)</f>
        <v>0</v>
      </c>
      <c r="F161" s="40">
        <f>-SUMIFS(LANÇAMENTO!$C:$C,LANÇAMENTO!$D:$D,$A161,LANÇAMENTO!$E:$E,$B161,LANÇAMENTO!$F:$F,F$4)</f>
        <v>0</v>
      </c>
      <c r="G161" s="40">
        <f>-SUMIFS(LANÇAMENTO!$C:$C,LANÇAMENTO!$D:$D,$A161,LANÇAMENTO!$E:$E,$B161,LANÇAMENTO!$F:$F,G$4)</f>
        <v>0</v>
      </c>
      <c r="H161" s="40">
        <f>-SUMIFS(LANÇAMENTO!$C:$C,LANÇAMENTO!$D:$D,$A161,LANÇAMENTO!$E:$E,$B161,LANÇAMENTO!$F:$F,H$4)</f>
        <v>0</v>
      </c>
      <c r="I161" s="40">
        <f>-SUMIFS(LANÇAMENTO!$C:$C,LANÇAMENTO!$D:$D,$A161,LANÇAMENTO!$E:$E,$B161,LANÇAMENTO!$F:$F,I$4)</f>
        <v>0</v>
      </c>
      <c r="J161" s="40">
        <f>-SUMIFS(LANÇAMENTO!$C:$C,LANÇAMENTO!$D:$D,$A161,LANÇAMENTO!$E:$E,$B161,LANÇAMENTO!$F:$F,J$4)</f>
        <v>0</v>
      </c>
      <c r="K161" s="40">
        <f>-SUMIFS(LANÇAMENTO!$C:$C,LANÇAMENTO!$D:$D,$A161,LANÇAMENTO!$E:$E,$B161,LANÇAMENTO!$F:$F,K$4)</f>
        <v>0</v>
      </c>
      <c r="L161" s="40">
        <f>-SUMIFS(LANÇAMENTO!$C:$C,LANÇAMENTO!$D:$D,$A161,LANÇAMENTO!$E:$E,$B161,LANÇAMENTO!$F:$F,L$4)</f>
        <v>0</v>
      </c>
      <c r="M161" s="40">
        <f>-SUMIFS(LANÇAMENTO!$C:$C,LANÇAMENTO!$D:$D,$A161,LANÇAMENTO!$E:$E,$B161,LANÇAMENTO!$F:$F,M$4)</f>
        <v>0</v>
      </c>
      <c r="N161" s="40">
        <f>-SUMIFS(LANÇAMENTO!$C:$C,LANÇAMENTO!$D:$D,$A161,LANÇAMENTO!$E:$E,$B161,LANÇAMENTO!$F:$F,N$4)</f>
        <v>0</v>
      </c>
      <c r="O161" s="40">
        <f>-SUMIFS(LANÇAMENTO!$C:$C,LANÇAMENTO!$D:$D,$A161,LANÇAMENTO!$E:$E,$B161,LANÇAMENTO!$F:$F,O$4)</f>
        <v>0</v>
      </c>
      <c r="P161" s="40">
        <f>-SUMIFS(LANÇAMENTO!$C:$C,LANÇAMENTO!$D:$D,$A161,LANÇAMENTO!$E:$E,$B161,LANÇAMENTO!$F:$F,P$4)</f>
        <v>0</v>
      </c>
      <c r="Q161" s="37">
        <f t="shared" si="99"/>
        <v>0</v>
      </c>
      <c r="R161" s="29">
        <f t="shared" si="100"/>
        <v>0</v>
      </c>
    </row>
    <row r="162" spans="1:18" ht="9" customHeight="1" x14ac:dyDescent="0.25">
      <c r="A162" s="70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29">
        <v>0</v>
      </c>
    </row>
    <row r="163" spans="1:18" ht="19.5" x14ac:dyDescent="0.25">
      <c r="A163" s="70"/>
      <c r="B163" s="91" t="s">
        <v>143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29">
        <f>IF(R164=0,0,1)</f>
        <v>0</v>
      </c>
    </row>
    <row r="164" spans="1:18" x14ac:dyDescent="0.25">
      <c r="A164" s="70"/>
      <c r="B164" s="16" t="s">
        <v>205</v>
      </c>
      <c r="C164" s="17">
        <f>SUM(C165:C166)</f>
        <v>0</v>
      </c>
      <c r="D164" s="17">
        <f t="shared" ref="D164:P164" si="107">SUM(D165:D166)</f>
        <v>0</v>
      </c>
      <c r="E164" s="17">
        <f t="shared" si="107"/>
        <v>0</v>
      </c>
      <c r="F164" s="17">
        <f t="shared" si="107"/>
        <v>0</v>
      </c>
      <c r="G164" s="17">
        <f t="shared" si="107"/>
        <v>0</v>
      </c>
      <c r="H164" s="17">
        <f t="shared" si="107"/>
        <v>0</v>
      </c>
      <c r="I164" s="17">
        <f t="shared" si="107"/>
        <v>0</v>
      </c>
      <c r="J164" s="17">
        <f t="shared" si="107"/>
        <v>0</v>
      </c>
      <c r="K164" s="17">
        <f t="shared" si="107"/>
        <v>0</v>
      </c>
      <c r="L164" s="17">
        <f t="shared" si="107"/>
        <v>0</v>
      </c>
      <c r="M164" s="17">
        <f t="shared" si="107"/>
        <v>0</v>
      </c>
      <c r="N164" s="17">
        <f t="shared" si="107"/>
        <v>0</v>
      </c>
      <c r="O164" s="17">
        <f t="shared" si="107"/>
        <v>0</v>
      </c>
      <c r="P164" s="17">
        <f t="shared" si="107"/>
        <v>0</v>
      </c>
      <c r="Q164" s="18">
        <f>SUM(E164:P164)</f>
        <v>0</v>
      </c>
      <c r="R164" s="29">
        <f>IF(SUM(R165:R166)=0,0,1)</f>
        <v>0</v>
      </c>
    </row>
    <row r="165" spans="1:18" x14ac:dyDescent="0.25">
      <c r="A165" s="70" t="str">
        <f>$B$164</f>
        <v>INVESTIMENTO</v>
      </c>
      <c r="B165" s="31" t="s">
        <v>139</v>
      </c>
      <c r="C165" s="45">
        <v>0</v>
      </c>
      <c r="D165" s="34">
        <f t="shared" ref="D165" si="108">C165*12</f>
        <v>0</v>
      </c>
      <c r="E165" s="40">
        <f>-SUMIFS(LANÇAMENTO!$C:$C,LANÇAMENTO!$D:$D,$A165,LANÇAMENTO!$E:$E,$B165,LANÇAMENTO!$F:$F,E$4)</f>
        <v>0</v>
      </c>
      <c r="F165" s="40">
        <f>-SUMIFS(LANÇAMENTO!$C:$C,LANÇAMENTO!$D:$D,$A165,LANÇAMENTO!$E:$E,$B165,LANÇAMENTO!$F:$F,F$4)</f>
        <v>0</v>
      </c>
      <c r="G165" s="40">
        <f>-SUMIFS(LANÇAMENTO!$C:$C,LANÇAMENTO!$D:$D,$A165,LANÇAMENTO!$E:$E,$B165,LANÇAMENTO!$F:$F,G$4)</f>
        <v>0</v>
      </c>
      <c r="H165" s="40">
        <f>-SUMIFS(LANÇAMENTO!$C:$C,LANÇAMENTO!$D:$D,$A165,LANÇAMENTO!$E:$E,$B165,LANÇAMENTO!$F:$F,H$4)</f>
        <v>0</v>
      </c>
      <c r="I165" s="40">
        <f>-SUMIFS(LANÇAMENTO!$C:$C,LANÇAMENTO!$D:$D,$A165,LANÇAMENTO!$E:$E,$B165,LANÇAMENTO!$F:$F,I$4)</f>
        <v>0</v>
      </c>
      <c r="J165" s="40">
        <f>-SUMIFS(LANÇAMENTO!$C:$C,LANÇAMENTO!$D:$D,$A165,LANÇAMENTO!$E:$E,$B165,LANÇAMENTO!$F:$F,J$4)</f>
        <v>0</v>
      </c>
      <c r="K165" s="40">
        <f>-SUMIFS(LANÇAMENTO!$C:$C,LANÇAMENTO!$D:$D,$A165,LANÇAMENTO!$E:$E,$B165,LANÇAMENTO!$F:$F,K$4)</f>
        <v>0</v>
      </c>
      <c r="L165" s="40">
        <f>-SUMIFS(LANÇAMENTO!$C:$C,LANÇAMENTO!$D:$D,$A165,LANÇAMENTO!$E:$E,$B165,LANÇAMENTO!$F:$F,L$4)</f>
        <v>0</v>
      </c>
      <c r="M165" s="40">
        <f>-SUMIFS(LANÇAMENTO!$C:$C,LANÇAMENTO!$D:$D,$A165,LANÇAMENTO!$E:$E,$B165,LANÇAMENTO!$F:$F,M$4)</f>
        <v>0</v>
      </c>
      <c r="N165" s="40">
        <f>-SUMIFS(LANÇAMENTO!$C:$C,LANÇAMENTO!$D:$D,$A165,LANÇAMENTO!$E:$E,$B165,LANÇAMENTO!$F:$F,N$4)</f>
        <v>0</v>
      </c>
      <c r="O165" s="40">
        <f>-SUMIFS(LANÇAMENTO!$C:$C,LANÇAMENTO!$D:$D,$A165,LANÇAMENTO!$E:$E,$B165,LANÇAMENTO!$F:$F,O$4)</f>
        <v>0</v>
      </c>
      <c r="P165" s="40">
        <f>-SUMIFS(LANÇAMENTO!$C:$C,LANÇAMENTO!$D:$D,$A165,LANÇAMENTO!$E:$E,$B165,LANÇAMENTO!$F:$F,P$4)</f>
        <v>0</v>
      </c>
      <c r="Q165" s="37">
        <f>SUM(E165:P165)</f>
        <v>0</v>
      </c>
      <c r="R165" s="29">
        <f t="shared" ref="R165:R166" si="109">IF(SUM(C165:Q165)=0,0,1)</f>
        <v>0</v>
      </c>
    </row>
    <row r="166" spans="1:18" x14ac:dyDescent="0.25">
      <c r="A166" s="70" t="str">
        <f t="shared" ref="A166" si="110">$B$164</f>
        <v>INVESTIMENTO</v>
      </c>
      <c r="B166" s="31" t="s">
        <v>140</v>
      </c>
      <c r="C166" s="45">
        <v>0</v>
      </c>
      <c r="D166" s="34">
        <f t="shared" ref="D166" si="111">C166*12</f>
        <v>0</v>
      </c>
      <c r="E166" s="40">
        <f>-SUMIFS(LANÇAMENTO!$C:$C,LANÇAMENTO!$D:$D,$A166,LANÇAMENTO!$E:$E,$B166,LANÇAMENTO!$F:$F,E$4)</f>
        <v>0</v>
      </c>
      <c r="F166" s="40">
        <f>-SUMIFS(LANÇAMENTO!$C:$C,LANÇAMENTO!$D:$D,$A166,LANÇAMENTO!$E:$E,$B166,LANÇAMENTO!$F:$F,F$4)</f>
        <v>0</v>
      </c>
      <c r="G166" s="40">
        <f>-SUMIFS(LANÇAMENTO!$C:$C,LANÇAMENTO!$D:$D,$A166,LANÇAMENTO!$E:$E,$B166,LANÇAMENTO!$F:$F,G$4)</f>
        <v>0</v>
      </c>
      <c r="H166" s="40">
        <f>-SUMIFS(LANÇAMENTO!$C:$C,LANÇAMENTO!$D:$D,$A166,LANÇAMENTO!$E:$E,$B166,LANÇAMENTO!$F:$F,H$4)</f>
        <v>0</v>
      </c>
      <c r="I166" s="40">
        <f>-SUMIFS(LANÇAMENTO!$C:$C,LANÇAMENTO!$D:$D,$A166,LANÇAMENTO!$E:$E,$B166,LANÇAMENTO!$F:$F,I$4)</f>
        <v>0</v>
      </c>
      <c r="J166" s="40">
        <f>-SUMIFS(LANÇAMENTO!$C:$C,LANÇAMENTO!$D:$D,$A166,LANÇAMENTO!$E:$E,$B166,LANÇAMENTO!$F:$F,J$4)</f>
        <v>0</v>
      </c>
      <c r="K166" s="40">
        <f>-SUMIFS(LANÇAMENTO!$C:$C,LANÇAMENTO!$D:$D,$A166,LANÇAMENTO!$E:$E,$B166,LANÇAMENTO!$F:$F,K$4)</f>
        <v>0</v>
      </c>
      <c r="L166" s="40">
        <f>-SUMIFS(LANÇAMENTO!$C:$C,LANÇAMENTO!$D:$D,$A166,LANÇAMENTO!$E:$E,$B166,LANÇAMENTO!$F:$F,L$4)</f>
        <v>0</v>
      </c>
      <c r="M166" s="40">
        <f>-SUMIFS(LANÇAMENTO!$C:$C,LANÇAMENTO!$D:$D,$A166,LANÇAMENTO!$E:$E,$B166,LANÇAMENTO!$F:$F,M$4)</f>
        <v>0</v>
      </c>
      <c r="N166" s="40">
        <f>-SUMIFS(LANÇAMENTO!$C:$C,LANÇAMENTO!$D:$D,$A166,LANÇAMENTO!$E:$E,$B166,LANÇAMENTO!$F:$F,N$4)</f>
        <v>0</v>
      </c>
      <c r="O166" s="40">
        <f>-SUMIFS(LANÇAMENTO!$C:$C,LANÇAMENTO!$D:$D,$A166,LANÇAMENTO!$E:$E,$B166,LANÇAMENTO!$F:$F,O$4)</f>
        <v>0</v>
      </c>
      <c r="P166" s="40">
        <f>-SUMIFS(LANÇAMENTO!$C:$C,LANÇAMENTO!$D:$D,$A166,LANÇAMENTO!$E:$E,$B166,LANÇAMENTO!$F:$F,P$4)</f>
        <v>0</v>
      </c>
      <c r="Q166" s="37">
        <f>SUM(E166:P166)</f>
        <v>0</v>
      </c>
      <c r="R166" s="29">
        <f t="shared" si="109"/>
        <v>0</v>
      </c>
    </row>
    <row r="167" spans="1:18" ht="9" customHeight="1" x14ac:dyDescent="0.25">
      <c r="A167" s="70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29">
        <v>1</v>
      </c>
    </row>
    <row r="168" spans="1:18" ht="20.25" thickBot="1" x14ac:dyDescent="0.3">
      <c r="A168" s="70"/>
      <c r="B168" s="92" t="s">
        <v>150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29">
        <v>1</v>
      </c>
    </row>
    <row r="169" spans="1:18" x14ac:dyDescent="0.25">
      <c r="A169" s="70"/>
      <c r="B169" s="78" t="s">
        <v>206</v>
      </c>
      <c r="C169" s="79">
        <f t="shared" ref="C169:P169" si="112">SUM(C6:C26)/2</f>
        <v>21100</v>
      </c>
      <c r="D169" s="80">
        <f t="shared" si="112"/>
        <v>253200</v>
      </c>
      <c r="E169" s="81">
        <f t="shared" si="112"/>
        <v>12000</v>
      </c>
      <c r="F169" s="81">
        <f t="shared" si="112"/>
        <v>9000</v>
      </c>
      <c r="G169" s="81">
        <f t="shared" si="112"/>
        <v>12500</v>
      </c>
      <c r="H169" s="81">
        <f t="shared" si="112"/>
        <v>12000</v>
      </c>
      <c r="I169" s="81">
        <f t="shared" si="112"/>
        <v>9000</v>
      </c>
      <c r="J169" s="81">
        <f t="shared" si="112"/>
        <v>9500</v>
      </c>
      <c r="K169" s="81">
        <f t="shared" si="112"/>
        <v>12000</v>
      </c>
      <c r="L169" s="81">
        <f t="shared" si="112"/>
        <v>11500</v>
      </c>
      <c r="M169" s="81">
        <f t="shared" si="112"/>
        <v>8500</v>
      </c>
      <c r="N169" s="81">
        <f t="shared" si="112"/>
        <v>12500</v>
      </c>
      <c r="O169" s="81">
        <f t="shared" si="112"/>
        <v>11500</v>
      </c>
      <c r="P169" s="81">
        <f t="shared" si="112"/>
        <v>12500</v>
      </c>
      <c r="Q169" s="42">
        <f>SUM(E169:P169)</f>
        <v>132500</v>
      </c>
      <c r="R169" s="29">
        <f t="shared" ref="R169:R176" si="113">IF(SUM(C169:Q169)=0,0,1)</f>
        <v>1</v>
      </c>
    </row>
    <row r="170" spans="1:18" x14ac:dyDescent="0.25">
      <c r="A170" s="70"/>
      <c r="B170" s="82" t="s">
        <v>207</v>
      </c>
      <c r="C170" s="83">
        <f t="shared" ref="C170:P170" si="114">SUM(C29:C128)/2</f>
        <v>15370</v>
      </c>
      <c r="D170" s="84">
        <f t="shared" si="114"/>
        <v>184440</v>
      </c>
      <c r="E170" s="85">
        <f t="shared" si="114"/>
        <v>11439</v>
      </c>
      <c r="F170" s="85">
        <f t="shared" si="114"/>
        <v>9446</v>
      </c>
      <c r="G170" s="85">
        <f t="shared" si="114"/>
        <v>10707</v>
      </c>
      <c r="H170" s="85">
        <f t="shared" si="114"/>
        <v>10704</v>
      </c>
      <c r="I170" s="85">
        <f t="shared" si="114"/>
        <v>10630</v>
      </c>
      <c r="J170" s="85">
        <f t="shared" si="114"/>
        <v>9884</v>
      </c>
      <c r="K170" s="85">
        <f t="shared" si="114"/>
        <v>10521</v>
      </c>
      <c r="L170" s="85">
        <f t="shared" si="114"/>
        <v>11347</v>
      </c>
      <c r="M170" s="85">
        <f t="shared" si="114"/>
        <v>9640</v>
      </c>
      <c r="N170" s="85">
        <f t="shared" si="114"/>
        <v>10349</v>
      </c>
      <c r="O170" s="85">
        <f t="shared" si="114"/>
        <v>10598</v>
      </c>
      <c r="P170" s="85">
        <f t="shared" si="114"/>
        <v>11613</v>
      </c>
      <c r="Q170" s="43">
        <f>SUM(E170:P170)</f>
        <v>126878</v>
      </c>
      <c r="R170" s="29">
        <f t="shared" si="113"/>
        <v>1</v>
      </c>
    </row>
    <row r="171" spans="1:18" x14ac:dyDescent="0.25">
      <c r="A171" s="70"/>
      <c r="B171" s="82" t="s">
        <v>138</v>
      </c>
      <c r="C171" s="83">
        <f t="shared" ref="C171:P171" si="115">C131</f>
        <v>0</v>
      </c>
      <c r="D171" s="84">
        <f t="shared" si="115"/>
        <v>0</v>
      </c>
      <c r="E171" s="85">
        <f t="shared" si="115"/>
        <v>0</v>
      </c>
      <c r="F171" s="85">
        <f t="shared" si="115"/>
        <v>0</v>
      </c>
      <c r="G171" s="85">
        <f t="shared" si="115"/>
        <v>0</v>
      </c>
      <c r="H171" s="85">
        <f t="shared" si="115"/>
        <v>0</v>
      </c>
      <c r="I171" s="85">
        <f t="shared" si="115"/>
        <v>0</v>
      </c>
      <c r="J171" s="85">
        <f t="shared" si="115"/>
        <v>0</v>
      </c>
      <c r="K171" s="85">
        <f t="shared" si="115"/>
        <v>0</v>
      </c>
      <c r="L171" s="85">
        <f t="shared" si="115"/>
        <v>0</v>
      </c>
      <c r="M171" s="85">
        <f t="shared" si="115"/>
        <v>0</v>
      </c>
      <c r="N171" s="85">
        <f t="shared" si="115"/>
        <v>0</v>
      </c>
      <c r="O171" s="85">
        <f t="shared" si="115"/>
        <v>0</v>
      </c>
      <c r="P171" s="85">
        <f t="shared" si="115"/>
        <v>0</v>
      </c>
      <c r="Q171" s="43">
        <f t="shared" ref="Q171:Q176" si="116">SUM(E171:P171)</f>
        <v>0</v>
      </c>
      <c r="R171" s="29">
        <f t="shared" si="113"/>
        <v>0</v>
      </c>
    </row>
    <row r="172" spans="1:18" x14ac:dyDescent="0.25">
      <c r="A172" s="70"/>
      <c r="B172" s="82" t="s">
        <v>208</v>
      </c>
      <c r="C172" s="83">
        <f t="shared" ref="C172:P172" si="117">C136+C140</f>
        <v>0</v>
      </c>
      <c r="D172" s="84">
        <f t="shared" si="117"/>
        <v>0</v>
      </c>
      <c r="E172" s="85">
        <f t="shared" si="117"/>
        <v>0</v>
      </c>
      <c r="F172" s="85">
        <f t="shared" si="117"/>
        <v>0</v>
      </c>
      <c r="G172" s="85">
        <f t="shared" si="117"/>
        <v>0</v>
      </c>
      <c r="H172" s="85">
        <f t="shared" si="117"/>
        <v>0</v>
      </c>
      <c r="I172" s="85">
        <f t="shared" si="117"/>
        <v>0</v>
      </c>
      <c r="J172" s="85">
        <f t="shared" si="117"/>
        <v>0</v>
      </c>
      <c r="K172" s="85">
        <f t="shared" si="117"/>
        <v>0</v>
      </c>
      <c r="L172" s="85">
        <f t="shared" si="117"/>
        <v>0</v>
      </c>
      <c r="M172" s="85">
        <f t="shared" si="117"/>
        <v>0</v>
      </c>
      <c r="N172" s="85">
        <f t="shared" si="117"/>
        <v>0</v>
      </c>
      <c r="O172" s="85">
        <f t="shared" si="117"/>
        <v>0</v>
      </c>
      <c r="P172" s="85">
        <f t="shared" si="117"/>
        <v>0</v>
      </c>
      <c r="Q172" s="43">
        <f t="shared" si="116"/>
        <v>0</v>
      </c>
      <c r="R172" s="29">
        <f t="shared" si="113"/>
        <v>0</v>
      </c>
    </row>
    <row r="173" spans="1:18" x14ac:dyDescent="0.25">
      <c r="A173" s="70"/>
      <c r="B173" s="82" t="s">
        <v>209</v>
      </c>
      <c r="C173" s="83">
        <f t="shared" ref="C173:P173" si="118">C146</f>
        <v>0</v>
      </c>
      <c r="D173" s="84">
        <f t="shared" si="118"/>
        <v>0</v>
      </c>
      <c r="E173" s="85">
        <f t="shared" si="118"/>
        <v>0</v>
      </c>
      <c r="F173" s="85">
        <f t="shared" si="118"/>
        <v>0</v>
      </c>
      <c r="G173" s="85">
        <f t="shared" si="118"/>
        <v>0</v>
      </c>
      <c r="H173" s="85">
        <f t="shared" si="118"/>
        <v>0</v>
      </c>
      <c r="I173" s="85">
        <f t="shared" si="118"/>
        <v>0</v>
      </c>
      <c r="J173" s="85">
        <f t="shared" si="118"/>
        <v>0</v>
      </c>
      <c r="K173" s="85">
        <f t="shared" si="118"/>
        <v>0</v>
      </c>
      <c r="L173" s="85">
        <f t="shared" si="118"/>
        <v>0</v>
      </c>
      <c r="M173" s="85">
        <f t="shared" si="118"/>
        <v>0</v>
      </c>
      <c r="N173" s="85">
        <f t="shared" si="118"/>
        <v>0</v>
      </c>
      <c r="O173" s="85">
        <f t="shared" si="118"/>
        <v>0</v>
      </c>
      <c r="P173" s="85">
        <f t="shared" si="118"/>
        <v>0</v>
      </c>
      <c r="Q173" s="43">
        <f t="shared" si="116"/>
        <v>0</v>
      </c>
      <c r="R173" s="29">
        <f t="shared" si="113"/>
        <v>0</v>
      </c>
    </row>
    <row r="174" spans="1:18" x14ac:dyDescent="0.25">
      <c r="A174" s="70"/>
      <c r="B174" s="82" t="s">
        <v>210</v>
      </c>
      <c r="C174" s="83">
        <f t="shared" ref="C174:P174" si="119">C152</f>
        <v>0</v>
      </c>
      <c r="D174" s="84">
        <f t="shared" si="119"/>
        <v>0</v>
      </c>
      <c r="E174" s="85">
        <f t="shared" si="119"/>
        <v>0</v>
      </c>
      <c r="F174" s="85">
        <f t="shared" si="119"/>
        <v>0</v>
      </c>
      <c r="G174" s="85">
        <f t="shared" si="119"/>
        <v>0</v>
      </c>
      <c r="H174" s="85">
        <f t="shared" si="119"/>
        <v>0</v>
      </c>
      <c r="I174" s="85">
        <f t="shared" si="119"/>
        <v>0</v>
      </c>
      <c r="J174" s="85">
        <f t="shared" si="119"/>
        <v>0</v>
      </c>
      <c r="K174" s="85">
        <f t="shared" si="119"/>
        <v>0</v>
      </c>
      <c r="L174" s="85">
        <f t="shared" si="119"/>
        <v>0</v>
      </c>
      <c r="M174" s="85">
        <f t="shared" si="119"/>
        <v>0</v>
      </c>
      <c r="N174" s="85">
        <f t="shared" si="119"/>
        <v>0</v>
      </c>
      <c r="O174" s="85">
        <f t="shared" si="119"/>
        <v>0</v>
      </c>
      <c r="P174" s="85">
        <f t="shared" si="119"/>
        <v>0</v>
      </c>
      <c r="Q174" s="43">
        <f t="shared" si="116"/>
        <v>0</v>
      </c>
      <c r="R174" s="29">
        <f t="shared" si="113"/>
        <v>0</v>
      </c>
    </row>
    <row r="175" spans="1:18" x14ac:dyDescent="0.25">
      <c r="A175" s="70"/>
      <c r="B175" s="82" t="s">
        <v>211</v>
      </c>
      <c r="C175" s="83">
        <f t="shared" ref="C175:P175" si="120">C164</f>
        <v>0</v>
      </c>
      <c r="D175" s="84">
        <f t="shared" si="120"/>
        <v>0</v>
      </c>
      <c r="E175" s="85">
        <f t="shared" si="120"/>
        <v>0</v>
      </c>
      <c r="F175" s="85">
        <f t="shared" si="120"/>
        <v>0</v>
      </c>
      <c r="G175" s="85">
        <f t="shared" si="120"/>
        <v>0</v>
      </c>
      <c r="H175" s="85">
        <f t="shared" si="120"/>
        <v>0</v>
      </c>
      <c r="I175" s="85">
        <f t="shared" si="120"/>
        <v>0</v>
      </c>
      <c r="J175" s="85">
        <f t="shared" si="120"/>
        <v>0</v>
      </c>
      <c r="K175" s="85">
        <f t="shared" si="120"/>
        <v>0</v>
      </c>
      <c r="L175" s="85">
        <f t="shared" si="120"/>
        <v>0</v>
      </c>
      <c r="M175" s="85">
        <f t="shared" si="120"/>
        <v>0</v>
      </c>
      <c r="N175" s="85">
        <f t="shared" si="120"/>
        <v>0</v>
      </c>
      <c r="O175" s="85">
        <f t="shared" si="120"/>
        <v>0</v>
      </c>
      <c r="P175" s="85">
        <f t="shared" si="120"/>
        <v>0</v>
      </c>
      <c r="Q175" s="43">
        <f t="shared" si="116"/>
        <v>0</v>
      </c>
      <c r="R175" s="29">
        <f t="shared" si="113"/>
        <v>0</v>
      </c>
    </row>
    <row r="176" spans="1:18" ht="15.75" thickBot="1" x14ac:dyDescent="0.3">
      <c r="A176" s="70"/>
      <c r="B176" s="48" t="s">
        <v>151</v>
      </c>
      <c r="C176" s="49">
        <f>C169-SUM(C170:C175)</f>
        <v>5730</v>
      </c>
      <c r="D176" s="50">
        <f>D169-SUM(D170:D175)</f>
        <v>68760</v>
      </c>
      <c r="E176" s="9">
        <f>E169-SUM(E170:E175)</f>
        <v>561</v>
      </c>
      <c r="F176" s="9">
        <f t="shared" ref="F176:P176" si="121">F169-SUM(F170:F175)</f>
        <v>-446</v>
      </c>
      <c r="G176" s="9">
        <f t="shared" si="121"/>
        <v>1793</v>
      </c>
      <c r="H176" s="9">
        <f t="shared" si="121"/>
        <v>1296</v>
      </c>
      <c r="I176" s="9">
        <f t="shared" si="121"/>
        <v>-1630</v>
      </c>
      <c r="J176" s="9">
        <f t="shared" si="121"/>
        <v>-384</v>
      </c>
      <c r="K176" s="9">
        <f t="shared" si="121"/>
        <v>1479</v>
      </c>
      <c r="L176" s="9">
        <f t="shared" si="121"/>
        <v>153</v>
      </c>
      <c r="M176" s="9">
        <f t="shared" si="121"/>
        <v>-1140</v>
      </c>
      <c r="N176" s="9">
        <f t="shared" si="121"/>
        <v>2151</v>
      </c>
      <c r="O176" s="9">
        <f t="shared" si="121"/>
        <v>902</v>
      </c>
      <c r="P176" s="9">
        <f t="shared" si="121"/>
        <v>887</v>
      </c>
      <c r="Q176" s="47">
        <f t="shared" si="116"/>
        <v>5622</v>
      </c>
      <c r="R176" s="29">
        <f t="shared" si="113"/>
        <v>1</v>
      </c>
    </row>
    <row r="177" spans="1:18" ht="9" customHeight="1" x14ac:dyDescent="0.25">
      <c r="A177" s="70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29">
        <v>1</v>
      </c>
    </row>
  </sheetData>
  <protectedRanges>
    <protectedRange sqref="C7:C12 C153:C161 C14:C19 C147:C151 C21:C26 C30:C43 C45:C51 C53:C58 C60:C71 C80:C87 C89:C94 C96:C101 C103:C106 C108:C111 C113:C122 C124:C128 C132:C135 C137:C139 C73:C78 C165:C166 E30:Q43 E45:Q51 E53:Q58 E60:Q71 E73:Q78 E80:Q87 E89:Q94 E96:Q101 E103:Q106 E108:Q111 E113:Q122 E124:Q128 E132:Q135 E147:Q151 E153:Q161 E7:Q12 E14:Q19 E21:Q26 C141:C143 E137:Q139 E141:Q143 E165:Q166" name="Intervalo1_3_1"/>
    <protectedRange sqref="C7:C12 C153:C161 C14:C19 C147:C151 C21:C26 C30:C43 C45:C51 C53:C58 C60:C71 C80:C87 C89:C94 C96:C101 C103:C106 C108:C111 C113:C122 C124:C128 C132:C135 C137:C139 C73:C78 C165:C166 E30:Q43 E45:Q51 E53:Q58 E60:Q71 E73:Q78 E80:Q87 E89:Q94 E96:Q101 E103:Q106 E108:Q111 E113:Q122 E124:Q128 E132:Q135 E147:Q151 E153:Q161 E7:Q12 E14:Q19 E21:Q26 C141:C143 E137:Q139 E141:Q143 E165:Q166" name="Metas 2014 Detalhado_3_1"/>
  </protectedRanges>
  <conditionalFormatting sqref="C7:C12">
    <cfRule type="expression" dxfId="55" priority="1481">
      <formula>IF(#REF!=#REF!,1,0)</formula>
    </cfRule>
  </conditionalFormatting>
  <conditionalFormatting sqref="C14:C19">
    <cfRule type="expression" dxfId="54" priority="1479">
      <formula>IF(#REF!=#REF!,1,0)</formula>
    </cfRule>
  </conditionalFormatting>
  <conditionalFormatting sqref="C21:C26">
    <cfRule type="expression" dxfId="53" priority="1477">
      <formula>IF(#REF!=#REF!,1,0)</formula>
    </cfRule>
  </conditionalFormatting>
  <conditionalFormatting sqref="C30:C43 C73:C78">
    <cfRule type="expression" dxfId="52" priority="1471">
      <formula>IF(#REF!=#REF!,1,0)</formula>
    </cfRule>
  </conditionalFormatting>
  <conditionalFormatting sqref="C45:C51">
    <cfRule type="expression" dxfId="51" priority="1466">
      <formula>IF(#REF!=#REF!,1,0)</formula>
    </cfRule>
  </conditionalFormatting>
  <conditionalFormatting sqref="C53:C58">
    <cfRule type="expression" dxfId="50" priority="1464">
      <formula>IF(#REF!=#REF!,1,0)</formula>
    </cfRule>
  </conditionalFormatting>
  <conditionalFormatting sqref="C60:C71">
    <cfRule type="expression" dxfId="49" priority="1462">
      <formula>IF(#REF!=#REF!,1,0)</formula>
    </cfRule>
  </conditionalFormatting>
  <conditionalFormatting sqref="C80:C87">
    <cfRule type="expression" dxfId="48" priority="1458">
      <formula>IF(#REF!=#REF!,1,0)</formula>
    </cfRule>
  </conditionalFormatting>
  <conditionalFormatting sqref="C89:C94">
    <cfRule type="expression" dxfId="47" priority="1456">
      <formula>IF(#REF!=#REF!,1,0)</formula>
    </cfRule>
  </conditionalFormatting>
  <conditionalFormatting sqref="C96:C101">
    <cfRule type="expression" dxfId="46" priority="1454">
      <formula>IF(#REF!=#REF!,1,0)</formula>
    </cfRule>
  </conditionalFormatting>
  <conditionalFormatting sqref="C103:C106">
    <cfRule type="expression" dxfId="45" priority="1452">
      <formula>IF(#REF!=#REF!,1,0)</formula>
    </cfRule>
  </conditionalFormatting>
  <conditionalFormatting sqref="C108:C111">
    <cfRule type="expression" dxfId="44" priority="1450">
      <formula>IF(#REF!=#REF!,1,0)</formula>
    </cfRule>
  </conditionalFormatting>
  <conditionalFormatting sqref="C113:C122">
    <cfRule type="expression" dxfId="43" priority="1448">
      <formula>IF(#REF!=#REF!,1,0)</formula>
    </cfRule>
  </conditionalFormatting>
  <conditionalFormatting sqref="C124:C128">
    <cfRule type="expression" dxfId="42" priority="1446">
      <formula>IF(#REF!=#REF!,1,0)</formula>
    </cfRule>
  </conditionalFormatting>
  <conditionalFormatting sqref="C132:C135">
    <cfRule type="expression" dxfId="41" priority="1097">
      <formula>IF(#REF!=#REF!,1,0)</formula>
    </cfRule>
  </conditionalFormatting>
  <conditionalFormatting sqref="C137:C139">
    <cfRule type="expression" dxfId="40" priority="1096">
      <formula>IF(#REF!=#REF!,1,0)</formula>
    </cfRule>
  </conditionalFormatting>
  <conditionalFormatting sqref="C141:C143">
    <cfRule type="expression" dxfId="39" priority="1095">
      <formula>IF(#REF!=#REF!,1,0)</formula>
    </cfRule>
  </conditionalFormatting>
  <conditionalFormatting sqref="C147:C151">
    <cfRule type="expression" dxfId="38" priority="966">
      <formula>IF(#REF!=#REF!,1,0)</formula>
    </cfRule>
  </conditionalFormatting>
  <conditionalFormatting sqref="C153:C161">
    <cfRule type="expression" dxfId="37" priority="866">
      <formula>IF(#REF!=#REF!,1,0)</formula>
    </cfRule>
  </conditionalFormatting>
  <conditionalFormatting sqref="C165:C166">
    <cfRule type="expression" dxfId="36" priority="523">
      <formula>IF(#REF!=#REF!,1,0)</formula>
    </cfRule>
  </conditionalFormatting>
  <conditionalFormatting sqref="C169:C176">
    <cfRule type="expression" dxfId="35" priority="200">
      <formula>IF(#REF!=#REF!,1,0)</formula>
    </cfRule>
  </conditionalFormatting>
  <conditionalFormatting sqref="C162:D163">
    <cfRule type="expression" dxfId="34" priority="1436">
      <formula>IF(#REF!=#REF!,1,0)</formula>
    </cfRule>
  </conditionalFormatting>
  <conditionalFormatting sqref="C176:Q176">
    <cfRule type="cellIs" dxfId="33" priority="2" operator="greaterThan">
      <formula>0</formula>
    </cfRule>
    <cfRule type="cellIs" dxfId="32" priority="1" operator="lessThan">
      <formula>0</formula>
    </cfRule>
  </conditionalFormatting>
  <conditionalFormatting sqref="E30:P43">
    <cfRule type="expression" dxfId="31" priority="1428">
      <formula>IF(#REF!=#REF!,1,0)</formula>
    </cfRule>
  </conditionalFormatting>
  <conditionalFormatting sqref="E7:Q12">
    <cfRule type="expression" dxfId="30" priority="1475">
      <formula>IF(#REF!=#REF!,1,0)</formula>
    </cfRule>
  </conditionalFormatting>
  <conditionalFormatting sqref="E14:Q19">
    <cfRule type="expression" dxfId="29" priority="1099">
      <formula>IF(#REF!=#REF!,1,0)</formula>
    </cfRule>
  </conditionalFormatting>
  <conditionalFormatting sqref="E21:Q26">
    <cfRule type="expression" dxfId="28" priority="1098">
      <formula>IF(#REF!=#REF!,1,0)</formula>
    </cfRule>
  </conditionalFormatting>
  <conditionalFormatting sqref="E45:Q51">
    <cfRule type="expression" dxfId="27" priority="1341">
      <formula>IF(#REF!=#REF!,1,0)</formula>
    </cfRule>
  </conditionalFormatting>
  <conditionalFormatting sqref="E53:Q58">
    <cfRule type="expression" dxfId="26" priority="1335">
      <formula>IF(#REF!=#REF!,1,0)</formula>
    </cfRule>
  </conditionalFormatting>
  <conditionalFormatting sqref="E60:Q71">
    <cfRule type="expression" dxfId="25" priority="1329">
      <formula>IF(#REF!=#REF!,1,0)</formula>
    </cfRule>
  </conditionalFormatting>
  <conditionalFormatting sqref="E73:Q78">
    <cfRule type="expression" dxfId="24" priority="1323">
      <formula>IF(#REF!=#REF!,1,0)</formula>
    </cfRule>
  </conditionalFormatting>
  <conditionalFormatting sqref="E80:Q87">
    <cfRule type="expression" dxfId="23" priority="1317">
      <formula>IF(#REF!=#REF!,1,0)</formula>
    </cfRule>
  </conditionalFormatting>
  <conditionalFormatting sqref="E89:Q94">
    <cfRule type="expression" dxfId="22" priority="1311">
      <formula>IF(#REF!=#REF!,1,0)</formula>
    </cfRule>
  </conditionalFormatting>
  <conditionalFormatting sqref="E96:Q101">
    <cfRule type="expression" dxfId="21" priority="1305">
      <formula>IF(#REF!=#REF!,1,0)</formula>
    </cfRule>
  </conditionalFormatting>
  <conditionalFormatting sqref="E103:Q106">
    <cfRule type="expression" dxfId="20" priority="1299">
      <formula>IF(#REF!=#REF!,1,0)</formula>
    </cfRule>
  </conditionalFormatting>
  <conditionalFormatting sqref="E108:Q111">
    <cfRule type="expression" dxfId="19" priority="1284">
      <formula>IF(#REF!=#REF!,1,0)</formula>
    </cfRule>
  </conditionalFormatting>
  <conditionalFormatting sqref="E113:Q122">
    <cfRule type="expression" dxfId="18" priority="1269">
      <formula>IF(#REF!=#REF!,1,0)</formula>
    </cfRule>
  </conditionalFormatting>
  <conditionalFormatting sqref="E124:Q128">
    <cfRule type="expression" dxfId="17" priority="1254">
      <formula>IF(#REF!=#REF!,1,0)</formula>
    </cfRule>
  </conditionalFormatting>
  <conditionalFormatting sqref="E132:Q135">
    <cfRule type="expression" dxfId="16" priority="725">
      <formula>IF(#REF!=#REF!,1,0)</formula>
    </cfRule>
  </conditionalFormatting>
  <conditionalFormatting sqref="E137:Q139">
    <cfRule type="expression" dxfId="15" priority="710">
      <formula>IF(#REF!=#REF!,1,0)</formula>
    </cfRule>
  </conditionalFormatting>
  <conditionalFormatting sqref="E141:Q143">
    <cfRule type="expression" dxfId="14" priority="667">
      <formula>IF(#REF!=#REF!,1,0)</formula>
    </cfRule>
  </conditionalFormatting>
  <conditionalFormatting sqref="E147:Q151">
    <cfRule type="expression" dxfId="13" priority="596">
      <formula>IF(#REF!=#REF!,1,0)</formula>
    </cfRule>
  </conditionalFormatting>
  <conditionalFormatting sqref="E153:Q162">
    <cfRule type="expression" dxfId="12" priority="525">
      <formula>IF(#REF!=#REF!,1,0)</formula>
    </cfRule>
  </conditionalFormatting>
  <conditionalFormatting sqref="E165:Q166">
    <cfRule type="expression" dxfId="11" priority="326">
      <formula>IF(#REF!=#REF!,1,0)</formula>
    </cfRule>
  </conditionalFormatting>
  <conditionalFormatting sqref="E169:Q175">
    <cfRule type="expression" dxfId="10" priority="3">
      <formula>IF(#REF!=#REF!,1,0)</formula>
    </cfRule>
  </conditionalFormatting>
  <conditionalFormatting sqref="E163:R163">
    <cfRule type="expression" dxfId="9" priority="1432">
      <formula>IF(#REF!=#REF!,1,0)</formula>
    </cfRule>
  </conditionalFormatting>
  <conditionalFormatting sqref="F45:P45 E46:P51">
    <cfRule type="expression" dxfId="8" priority="1425">
      <formula>IF(#REF!=#REF!,1,0)</formula>
    </cfRule>
  </conditionalFormatting>
  <conditionalFormatting sqref="F132:P132">
    <cfRule type="expression" dxfId="7" priority="1239">
      <formula>IF(#REF!=#REF!,1,0)</formula>
    </cfRule>
  </conditionalFormatting>
  <conditionalFormatting sqref="F137:P137">
    <cfRule type="expression" dxfId="6" priority="1212">
      <formula>IF(#REF!=#REF!,1,0)</formula>
    </cfRule>
  </conditionalFormatting>
  <conditionalFormatting sqref="F141:P141">
    <cfRule type="expression" dxfId="5" priority="1184">
      <formula>IF(#REF!=#REF!,1,0)</formula>
    </cfRule>
  </conditionalFormatting>
  <conditionalFormatting sqref="F147:P147">
    <cfRule type="expression" dxfId="4" priority="1156">
      <formula>IF(#REF!=#REF!,1,0)</formula>
    </cfRule>
  </conditionalFormatting>
  <conditionalFormatting sqref="F30:Q30 E31:Q43">
    <cfRule type="expression" dxfId="3" priority="1467">
      <formula>IF(#REF!=#REF!,1,0)</formula>
    </cfRule>
  </conditionalFormatting>
  <conditionalFormatting sqref="F103:Q103 E104:P106">
    <cfRule type="expression" dxfId="2" priority="1388">
      <formula>IF(#REF!=#REF!,1,0)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4097" r:id="rId4" name="ComboBox1">
          <controlPr defaultSize="0" autoLine="0" linkedCell="ORÇAMENTO!E4" listFillRange="'BASE PAINEL'!P2:P13" r:id="rId5">
            <anchor moveWithCells="1">
              <from>
                <xdr:col>5</xdr:col>
                <xdr:colOff>361950</xdr:colOff>
                <xdr:row>1</xdr:row>
                <xdr:rowOff>295275</xdr:rowOff>
              </from>
              <to>
                <xdr:col>6</xdr:col>
                <xdr:colOff>485775</xdr:colOff>
                <xdr:row>1</xdr:row>
                <xdr:rowOff>561975</xdr:rowOff>
              </to>
            </anchor>
          </controlPr>
        </control>
      </mc:Choice>
      <mc:Fallback>
        <control shapeId="4097" r:id="rId4" name="ComboBo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1B91-E444-431C-B1EC-DBC6916F7519}">
  <sheetPr codeName="Planilha4"/>
  <dimension ref="A1:O314"/>
  <sheetViews>
    <sheetView showGridLines="0" zoomScaleNormal="100" workbookViewId="0">
      <pane ySplit="4" topLeftCell="A13" activePane="bottomLeft" state="frozen"/>
      <selection pane="bottomLeft" activeCell="H15" sqref="H15"/>
    </sheetView>
  </sheetViews>
  <sheetFormatPr defaultColWidth="9.140625" defaultRowHeight="15" x14ac:dyDescent="0.25"/>
  <cols>
    <col min="1" max="1" width="10.7109375" bestFit="1" customWidth="1"/>
    <col min="2" max="2" width="29.42578125" customWidth="1"/>
    <col min="3" max="3" width="18.7109375" customWidth="1"/>
    <col min="4" max="4" width="13.42578125" customWidth="1"/>
    <col min="5" max="5" width="36.28515625" customWidth="1"/>
    <col min="6" max="6" width="9.140625" hidden="1" customWidth="1"/>
    <col min="7" max="9" width="9.140625" customWidth="1"/>
    <col min="10" max="10" width="10.7109375" customWidth="1"/>
  </cols>
  <sheetData>
    <row r="1" spans="1:15" ht="9" customHeight="1" x14ac:dyDescent="0.25">
      <c r="A1" s="63"/>
      <c r="B1" s="63"/>
      <c r="C1" s="63"/>
      <c r="D1" s="63"/>
      <c r="E1" s="63"/>
      <c r="G1" s="63"/>
      <c r="H1" s="63"/>
      <c r="I1" s="63"/>
      <c r="J1" s="63"/>
      <c r="K1" s="63"/>
      <c r="L1" s="63"/>
      <c r="M1" s="63"/>
      <c r="N1" s="63"/>
      <c r="O1" s="63"/>
    </row>
    <row r="2" spans="1:15" ht="50.1" customHeight="1" x14ac:dyDescent="0.25">
      <c r="A2" s="63"/>
      <c r="B2" s="63"/>
      <c r="C2" s="63"/>
      <c r="D2" s="63"/>
      <c r="E2" s="63"/>
      <c r="G2" s="63"/>
      <c r="H2" s="63"/>
      <c r="I2" s="63"/>
      <c r="J2" s="63"/>
      <c r="K2" s="63"/>
      <c r="L2" s="63"/>
      <c r="M2" s="63"/>
      <c r="N2" s="63"/>
      <c r="O2" s="63"/>
    </row>
    <row r="3" spans="1:15" ht="15" customHeight="1" x14ac:dyDescent="0.25">
      <c r="A3" s="63"/>
      <c r="B3" s="63"/>
      <c r="C3" s="63"/>
      <c r="D3" s="63"/>
      <c r="E3" s="63"/>
      <c r="G3" s="63"/>
      <c r="H3" s="63"/>
      <c r="I3" s="63"/>
      <c r="J3" s="63"/>
      <c r="K3" s="63"/>
      <c r="L3" s="63"/>
      <c r="M3" s="63"/>
      <c r="N3" s="63"/>
      <c r="O3" s="63"/>
    </row>
    <row r="4" spans="1:15" x14ac:dyDescent="0.25">
      <c r="A4" s="63" t="s">
        <v>249</v>
      </c>
      <c r="B4" s="63" t="s">
        <v>250</v>
      </c>
      <c r="C4" s="63" t="s">
        <v>251</v>
      </c>
      <c r="D4" s="63" t="s">
        <v>252</v>
      </c>
      <c r="E4" s="63" t="s">
        <v>253</v>
      </c>
      <c r="F4" t="s">
        <v>136</v>
      </c>
      <c r="G4" s="63"/>
      <c r="H4" s="63"/>
      <c r="I4" s="63"/>
      <c r="J4" s="63"/>
      <c r="K4" s="63"/>
      <c r="L4" s="63"/>
      <c r="M4" s="63"/>
      <c r="N4" s="63"/>
      <c r="O4" s="63"/>
    </row>
    <row r="5" spans="1:15" x14ac:dyDescent="0.25">
      <c r="A5" s="1">
        <v>44562</v>
      </c>
      <c r="B5" t="s">
        <v>217</v>
      </c>
      <c r="C5" s="6">
        <v>12000</v>
      </c>
      <c r="D5" t="s">
        <v>218</v>
      </c>
      <c r="E5" t="s">
        <v>200</v>
      </c>
      <c r="F5" t="str">
        <f>UPPER(TEXT(Tabela24[[#This Row],[Coluna1]],"MMM"))</f>
        <v>JAN</v>
      </c>
      <c r="J5" s="1"/>
    </row>
    <row r="6" spans="1:15" x14ac:dyDescent="0.25">
      <c r="A6" s="1">
        <v>44562</v>
      </c>
      <c r="B6" t="s">
        <v>219</v>
      </c>
      <c r="C6" s="6">
        <v>-1916</v>
      </c>
      <c r="D6" t="s">
        <v>220</v>
      </c>
      <c r="E6" t="s">
        <v>9</v>
      </c>
      <c r="F6" t="str">
        <f>UPPER(TEXT(Tabela24[[#This Row],[Coluna1]],"MMM"))</f>
        <v>JAN</v>
      </c>
    </row>
    <row r="7" spans="1:15" x14ac:dyDescent="0.25">
      <c r="A7" s="1">
        <v>44562</v>
      </c>
      <c r="B7" t="s">
        <v>221</v>
      </c>
      <c r="C7" s="6">
        <v>-169</v>
      </c>
      <c r="D7" t="s">
        <v>222</v>
      </c>
      <c r="E7" t="s">
        <v>28</v>
      </c>
      <c r="F7" t="str">
        <f>UPPER(TEXT(Tabela24[[#This Row],[Coluna1]],"MMM"))</f>
        <v>JAN</v>
      </c>
    </row>
    <row r="8" spans="1:15" x14ac:dyDescent="0.25">
      <c r="A8" s="1">
        <v>44562</v>
      </c>
      <c r="B8" t="s">
        <v>223</v>
      </c>
      <c r="C8" s="6">
        <v>-3069</v>
      </c>
      <c r="D8" t="s">
        <v>137</v>
      </c>
      <c r="E8" t="s">
        <v>35</v>
      </c>
      <c r="F8" t="str">
        <f>UPPER(TEXT(Tabela24[[#This Row],[Coluna1]],"MMM"))</f>
        <v>JAN</v>
      </c>
    </row>
    <row r="9" spans="1:15" x14ac:dyDescent="0.25">
      <c r="A9" s="1">
        <v>44562</v>
      </c>
      <c r="B9" t="s">
        <v>224</v>
      </c>
      <c r="C9" s="6">
        <v>-809</v>
      </c>
      <c r="D9" t="s">
        <v>225</v>
      </c>
      <c r="E9" t="s">
        <v>41</v>
      </c>
      <c r="F9" t="str">
        <f>UPPER(TEXT(Tabela24[[#This Row],[Coluna1]],"MMM"))</f>
        <v>JAN</v>
      </c>
    </row>
    <row r="10" spans="1:15" x14ac:dyDescent="0.25">
      <c r="A10" s="1">
        <v>44562</v>
      </c>
      <c r="B10" t="s">
        <v>226</v>
      </c>
      <c r="C10" s="6">
        <v>-1940</v>
      </c>
      <c r="D10" t="s">
        <v>227</v>
      </c>
      <c r="E10" t="s">
        <v>53</v>
      </c>
      <c r="F10" t="str">
        <f>UPPER(TEXT(Tabela24[[#This Row],[Coluna1]],"MMM"))</f>
        <v>JAN</v>
      </c>
    </row>
    <row r="11" spans="1:15" x14ac:dyDescent="0.25">
      <c r="A11" s="1">
        <v>44562</v>
      </c>
      <c r="B11" t="s">
        <v>228</v>
      </c>
      <c r="C11" s="6">
        <v>-967</v>
      </c>
      <c r="D11" t="s">
        <v>229</v>
      </c>
      <c r="E11" t="s">
        <v>59</v>
      </c>
      <c r="F11" t="str">
        <f>UPPER(TEXT(Tabela24[[#This Row],[Coluna1]],"MMM"))</f>
        <v>JAN</v>
      </c>
    </row>
    <row r="12" spans="1:15" x14ac:dyDescent="0.25">
      <c r="A12" s="1">
        <v>44562</v>
      </c>
      <c r="B12" t="s">
        <v>230</v>
      </c>
      <c r="C12" s="6">
        <v>-828</v>
      </c>
      <c r="D12" t="s">
        <v>231</v>
      </c>
      <c r="E12" t="s">
        <v>67</v>
      </c>
      <c r="F12" t="str">
        <f>UPPER(TEXT(Tabela24[[#This Row],[Coluna1]],"MMM"))</f>
        <v>JAN</v>
      </c>
    </row>
    <row r="13" spans="1:15" x14ac:dyDescent="0.25">
      <c r="A13" s="1">
        <v>44562</v>
      </c>
      <c r="B13" t="s">
        <v>232</v>
      </c>
      <c r="C13" s="6">
        <v>-529</v>
      </c>
      <c r="D13" t="s">
        <v>233</v>
      </c>
      <c r="E13" t="s">
        <v>72</v>
      </c>
      <c r="F13" t="str">
        <f>UPPER(TEXT(Tabela24[[#This Row],[Coluna1]],"MMM"))</f>
        <v>JAN</v>
      </c>
    </row>
    <row r="14" spans="1:15" x14ac:dyDescent="0.25">
      <c r="A14" s="1">
        <v>44562</v>
      </c>
      <c r="B14" t="s">
        <v>234</v>
      </c>
      <c r="C14" s="6">
        <v>-153</v>
      </c>
      <c r="D14" t="s">
        <v>235</v>
      </c>
      <c r="E14" t="s">
        <v>77</v>
      </c>
      <c r="F14" t="str">
        <f>UPPER(TEXT(Tabela24[[#This Row],[Coluna1]],"MMM"))</f>
        <v>JAN</v>
      </c>
    </row>
    <row r="15" spans="1:15" x14ac:dyDescent="0.25">
      <c r="A15" s="1">
        <v>44562</v>
      </c>
      <c r="B15" t="s">
        <v>236</v>
      </c>
      <c r="C15" s="6">
        <v>-449</v>
      </c>
      <c r="D15" t="s">
        <v>237</v>
      </c>
      <c r="E15" t="s">
        <v>80</v>
      </c>
      <c r="F15" t="str">
        <f>UPPER(TEXT(Tabela24[[#This Row],[Coluna1]],"MMM"))</f>
        <v>JAN</v>
      </c>
    </row>
    <row r="16" spans="1:15" x14ac:dyDescent="0.25">
      <c r="A16" s="1">
        <v>44562</v>
      </c>
      <c r="B16" t="s">
        <v>238</v>
      </c>
      <c r="C16" s="6">
        <v>-536</v>
      </c>
      <c r="D16" t="s">
        <v>239</v>
      </c>
      <c r="E16" t="s">
        <v>84</v>
      </c>
      <c r="F16" t="str">
        <f>UPPER(TEXT(Tabela24[[#This Row],[Coluna1]],"MMM"))</f>
        <v>JAN</v>
      </c>
    </row>
    <row r="17" spans="1:6" x14ac:dyDescent="0.25">
      <c r="A17" s="1">
        <v>44562</v>
      </c>
      <c r="B17" t="s">
        <v>240</v>
      </c>
      <c r="C17" s="6">
        <v>-74</v>
      </c>
      <c r="D17" t="s">
        <v>241</v>
      </c>
      <c r="E17" t="s">
        <v>92</v>
      </c>
      <c r="F17" t="str">
        <f>UPPER(TEXT(Tabela24[[#This Row],[Coluna1]],"MMM"))</f>
        <v>JAN</v>
      </c>
    </row>
    <row r="18" spans="1:6" x14ac:dyDescent="0.25">
      <c r="A18" s="1">
        <v>44593</v>
      </c>
      <c r="B18" t="s">
        <v>217</v>
      </c>
      <c r="C18" s="6">
        <v>9000</v>
      </c>
      <c r="D18" t="s">
        <v>218</v>
      </c>
      <c r="E18" t="s">
        <v>200</v>
      </c>
      <c r="F18" t="str">
        <f>UPPER(TEXT(Tabela24[[#This Row],[Coluna1]],"MMM"))</f>
        <v>FEV</v>
      </c>
    </row>
    <row r="19" spans="1:6" x14ac:dyDescent="0.25">
      <c r="A19" s="1">
        <v>44593</v>
      </c>
      <c r="B19" t="s">
        <v>219</v>
      </c>
      <c r="C19" s="6">
        <v>-1537</v>
      </c>
      <c r="D19" t="s">
        <v>220</v>
      </c>
      <c r="E19" t="s">
        <v>9</v>
      </c>
      <c r="F19" t="str">
        <f>UPPER(TEXT(Tabela24[[#This Row],[Coluna1]],"MMM"))</f>
        <v>FEV</v>
      </c>
    </row>
    <row r="20" spans="1:6" x14ac:dyDescent="0.25">
      <c r="A20" s="1">
        <v>44593</v>
      </c>
      <c r="B20" t="s">
        <v>221</v>
      </c>
      <c r="C20" s="6">
        <v>-255</v>
      </c>
      <c r="D20" t="s">
        <v>222</v>
      </c>
      <c r="E20" t="s">
        <v>28</v>
      </c>
      <c r="F20" t="str">
        <f>UPPER(TEXT(Tabela24[[#This Row],[Coluna1]],"MMM"))</f>
        <v>FEV</v>
      </c>
    </row>
    <row r="21" spans="1:6" x14ac:dyDescent="0.25">
      <c r="A21" s="1">
        <v>44593</v>
      </c>
      <c r="B21" t="s">
        <v>223</v>
      </c>
      <c r="C21" s="6">
        <v>-1941</v>
      </c>
      <c r="D21" t="s">
        <v>137</v>
      </c>
      <c r="E21" t="s">
        <v>35</v>
      </c>
      <c r="F21" t="str">
        <f>UPPER(TEXT(Tabela24[[#This Row],[Coluna1]],"MMM"))</f>
        <v>FEV</v>
      </c>
    </row>
    <row r="22" spans="1:6" x14ac:dyDescent="0.25">
      <c r="A22" s="1">
        <v>44593</v>
      </c>
      <c r="B22" t="s">
        <v>224</v>
      </c>
      <c r="C22" s="6">
        <v>-751</v>
      </c>
      <c r="D22" t="s">
        <v>225</v>
      </c>
      <c r="E22" t="s">
        <v>41</v>
      </c>
      <c r="F22" t="str">
        <f>UPPER(TEXT(Tabela24[[#This Row],[Coluna1]],"MMM"))</f>
        <v>FEV</v>
      </c>
    </row>
    <row r="23" spans="1:6" x14ac:dyDescent="0.25">
      <c r="A23" s="1">
        <v>44593</v>
      </c>
      <c r="B23" t="s">
        <v>226</v>
      </c>
      <c r="C23" s="6">
        <v>-1598</v>
      </c>
      <c r="D23" t="s">
        <v>227</v>
      </c>
      <c r="E23" t="s">
        <v>53</v>
      </c>
      <c r="F23" t="str">
        <f>UPPER(TEXT(Tabela24[[#This Row],[Coluna1]],"MMM"))</f>
        <v>FEV</v>
      </c>
    </row>
    <row r="24" spans="1:6" x14ac:dyDescent="0.25">
      <c r="A24" s="1">
        <v>44593</v>
      </c>
      <c r="B24" t="s">
        <v>228</v>
      </c>
      <c r="C24" s="6">
        <v>-902</v>
      </c>
      <c r="D24" t="s">
        <v>229</v>
      </c>
      <c r="E24" t="s">
        <v>59</v>
      </c>
      <c r="F24" t="str">
        <f>UPPER(TEXT(Tabela24[[#This Row],[Coluna1]],"MMM"))</f>
        <v>FEV</v>
      </c>
    </row>
    <row r="25" spans="1:6" x14ac:dyDescent="0.25">
      <c r="A25" s="1">
        <v>44593</v>
      </c>
      <c r="B25" t="s">
        <v>230</v>
      </c>
      <c r="C25" s="6">
        <v>-790</v>
      </c>
      <c r="D25" t="s">
        <v>231</v>
      </c>
      <c r="E25" t="s">
        <v>67</v>
      </c>
      <c r="F25" t="str">
        <f>UPPER(TEXT(Tabela24[[#This Row],[Coluna1]],"MMM"))</f>
        <v>FEV</v>
      </c>
    </row>
    <row r="26" spans="1:6" x14ac:dyDescent="0.25">
      <c r="A26" s="1">
        <v>44593</v>
      </c>
      <c r="B26" t="s">
        <v>232</v>
      </c>
      <c r="C26" s="6">
        <v>-558</v>
      </c>
      <c r="D26" t="s">
        <v>233</v>
      </c>
      <c r="E26" t="s">
        <v>72</v>
      </c>
      <c r="F26" t="str">
        <f>UPPER(TEXT(Tabela24[[#This Row],[Coluna1]],"MMM"))</f>
        <v>FEV</v>
      </c>
    </row>
    <row r="27" spans="1:6" x14ac:dyDescent="0.25">
      <c r="A27" s="1">
        <v>44593</v>
      </c>
      <c r="B27" t="s">
        <v>234</v>
      </c>
      <c r="C27" s="6">
        <v>-136</v>
      </c>
      <c r="D27" t="s">
        <v>235</v>
      </c>
      <c r="E27" t="s">
        <v>77</v>
      </c>
      <c r="F27" t="str">
        <f>UPPER(TEXT(Tabela24[[#This Row],[Coluna1]],"MMM"))</f>
        <v>FEV</v>
      </c>
    </row>
    <row r="28" spans="1:6" x14ac:dyDescent="0.25">
      <c r="A28" s="1">
        <v>44593</v>
      </c>
      <c r="B28" t="s">
        <v>236</v>
      </c>
      <c r="C28" s="6">
        <v>-384</v>
      </c>
      <c r="D28" t="s">
        <v>237</v>
      </c>
      <c r="E28" t="s">
        <v>80</v>
      </c>
      <c r="F28" t="str">
        <f>UPPER(TEXT(Tabela24[[#This Row],[Coluna1]],"MMM"))</f>
        <v>FEV</v>
      </c>
    </row>
    <row r="29" spans="1:6" x14ac:dyDescent="0.25">
      <c r="A29" s="1">
        <v>44593</v>
      </c>
      <c r="B29" t="s">
        <v>238</v>
      </c>
      <c r="C29" s="6">
        <v>-469</v>
      </c>
      <c r="D29" t="s">
        <v>239</v>
      </c>
      <c r="E29" t="s">
        <v>84</v>
      </c>
      <c r="F29" t="str">
        <f>UPPER(TEXT(Tabela24[[#This Row],[Coluna1]],"MMM"))</f>
        <v>FEV</v>
      </c>
    </row>
    <row r="30" spans="1:6" x14ac:dyDescent="0.25">
      <c r="A30" s="1">
        <v>44593</v>
      </c>
      <c r="B30" t="s">
        <v>240</v>
      </c>
      <c r="C30" s="6">
        <v>-125</v>
      </c>
      <c r="D30" t="s">
        <v>241</v>
      </c>
      <c r="E30" t="s">
        <v>92</v>
      </c>
      <c r="F30" t="str">
        <f>UPPER(TEXT(Tabela24[[#This Row],[Coluna1]],"MMM"))</f>
        <v>FEV</v>
      </c>
    </row>
    <row r="31" spans="1:6" x14ac:dyDescent="0.25">
      <c r="A31" s="1">
        <v>44621</v>
      </c>
      <c r="B31" t="s">
        <v>217</v>
      </c>
      <c r="C31" s="6">
        <v>12500</v>
      </c>
      <c r="D31" t="s">
        <v>218</v>
      </c>
      <c r="E31" t="s">
        <v>200</v>
      </c>
      <c r="F31" t="str">
        <f>UPPER(TEXT(Tabela24[[#This Row],[Coluna1]],"MMM"))</f>
        <v>MAR</v>
      </c>
    </row>
    <row r="32" spans="1:6" x14ac:dyDescent="0.25">
      <c r="A32" s="1">
        <v>44621</v>
      </c>
      <c r="B32" t="s">
        <v>219</v>
      </c>
      <c r="C32" s="6">
        <v>-1879</v>
      </c>
      <c r="D32" t="s">
        <v>220</v>
      </c>
      <c r="E32" t="s">
        <v>9</v>
      </c>
      <c r="F32" t="str">
        <f>UPPER(TEXT(Tabela24[[#This Row],[Coluna1]],"MMM"))</f>
        <v>MAR</v>
      </c>
    </row>
    <row r="33" spans="1:6" x14ac:dyDescent="0.25">
      <c r="A33" s="1">
        <v>44621</v>
      </c>
      <c r="B33" t="s">
        <v>221</v>
      </c>
      <c r="C33" s="6">
        <v>-146</v>
      </c>
      <c r="D33" t="s">
        <v>222</v>
      </c>
      <c r="E33" t="s">
        <v>28</v>
      </c>
      <c r="F33" t="str">
        <f>UPPER(TEXT(Tabela24[[#This Row],[Coluna1]],"MMM"))</f>
        <v>MAR</v>
      </c>
    </row>
    <row r="34" spans="1:6" x14ac:dyDescent="0.25">
      <c r="A34" s="1">
        <v>44621</v>
      </c>
      <c r="B34" t="s">
        <v>223</v>
      </c>
      <c r="C34" s="6">
        <v>-3057</v>
      </c>
      <c r="D34" t="s">
        <v>137</v>
      </c>
      <c r="E34" t="s">
        <v>35</v>
      </c>
      <c r="F34" t="str">
        <f>UPPER(TEXT(Tabela24[[#This Row],[Coluna1]],"MMM"))</f>
        <v>MAR</v>
      </c>
    </row>
    <row r="35" spans="1:6" x14ac:dyDescent="0.25">
      <c r="A35" s="1">
        <v>44621</v>
      </c>
      <c r="B35" t="s">
        <v>224</v>
      </c>
      <c r="C35" s="6">
        <v>-660</v>
      </c>
      <c r="D35" t="s">
        <v>225</v>
      </c>
      <c r="E35" t="s">
        <v>41</v>
      </c>
      <c r="F35" t="str">
        <f>UPPER(TEXT(Tabela24[[#This Row],[Coluna1]],"MMM"))</f>
        <v>MAR</v>
      </c>
    </row>
    <row r="36" spans="1:6" x14ac:dyDescent="0.25">
      <c r="A36" s="1">
        <v>44621</v>
      </c>
      <c r="B36" t="s">
        <v>226</v>
      </c>
      <c r="C36" s="6">
        <v>-1177</v>
      </c>
      <c r="D36" t="s">
        <v>227</v>
      </c>
      <c r="E36" t="s">
        <v>53</v>
      </c>
      <c r="F36" t="str">
        <f>UPPER(TEXT(Tabela24[[#This Row],[Coluna1]],"MMM"))</f>
        <v>MAR</v>
      </c>
    </row>
    <row r="37" spans="1:6" x14ac:dyDescent="0.25">
      <c r="A37" s="1">
        <v>44621</v>
      </c>
      <c r="B37" t="s">
        <v>228</v>
      </c>
      <c r="C37" s="6">
        <v>-1134</v>
      </c>
      <c r="D37" t="s">
        <v>229</v>
      </c>
      <c r="E37" t="s">
        <v>59</v>
      </c>
      <c r="F37" t="str">
        <f>UPPER(TEXT(Tabela24[[#This Row],[Coluna1]],"MMM"))</f>
        <v>MAR</v>
      </c>
    </row>
    <row r="38" spans="1:6" x14ac:dyDescent="0.25">
      <c r="A38" s="1">
        <v>44621</v>
      </c>
      <c r="B38" t="s">
        <v>230</v>
      </c>
      <c r="C38" s="6">
        <v>-957</v>
      </c>
      <c r="D38" t="s">
        <v>231</v>
      </c>
      <c r="E38" t="s">
        <v>67</v>
      </c>
      <c r="F38" t="str">
        <f>UPPER(TEXT(Tabela24[[#This Row],[Coluna1]],"MMM"))</f>
        <v>MAR</v>
      </c>
    </row>
    <row r="39" spans="1:6" x14ac:dyDescent="0.25">
      <c r="A39" s="1">
        <v>44621</v>
      </c>
      <c r="B39" t="s">
        <v>232</v>
      </c>
      <c r="C39" s="6">
        <v>-405</v>
      </c>
      <c r="D39" t="s">
        <v>233</v>
      </c>
      <c r="E39" t="s">
        <v>72</v>
      </c>
      <c r="F39" t="str">
        <f>UPPER(TEXT(Tabela24[[#This Row],[Coluna1]],"MMM"))</f>
        <v>MAR</v>
      </c>
    </row>
    <row r="40" spans="1:6" x14ac:dyDescent="0.25">
      <c r="A40" s="1">
        <v>44621</v>
      </c>
      <c r="B40" t="s">
        <v>234</v>
      </c>
      <c r="C40" s="6">
        <v>-142</v>
      </c>
      <c r="D40" t="s">
        <v>235</v>
      </c>
      <c r="E40" t="s">
        <v>77</v>
      </c>
      <c r="F40" t="str">
        <f>UPPER(TEXT(Tabela24[[#This Row],[Coluna1]],"MMM"))</f>
        <v>MAR</v>
      </c>
    </row>
    <row r="41" spans="1:6" x14ac:dyDescent="0.25">
      <c r="A41" s="1">
        <v>44621</v>
      </c>
      <c r="B41" t="s">
        <v>236</v>
      </c>
      <c r="C41" s="6">
        <v>-369</v>
      </c>
      <c r="D41" t="s">
        <v>237</v>
      </c>
      <c r="E41" t="s">
        <v>80</v>
      </c>
      <c r="F41" t="str">
        <f>UPPER(TEXT(Tabela24[[#This Row],[Coluna1]],"MMM"))</f>
        <v>MAR</v>
      </c>
    </row>
    <row r="42" spans="1:6" x14ac:dyDescent="0.25">
      <c r="A42" s="1">
        <v>44621</v>
      </c>
      <c r="B42" t="s">
        <v>238</v>
      </c>
      <c r="C42" s="6">
        <v>-655</v>
      </c>
      <c r="D42" t="s">
        <v>239</v>
      </c>
      <c r="E42" t="s">
        <v>84</v>
      </c>
      <c r="F42" t="str">
        <f>UPPER(TEXT(Tabela24[[#This Row],[Coluna1]],"MMM"))</f>
        <v>MAR</v>
      </c>
    </row>
    <row r="43" spans="1:6" x14ac:dyDescent="0.25">
      <c r="A43" s="1">
        <v>44621</v>
      </c>
      <c r="B43" t="s">
        <v>240</v>
      </c>
      <c r="C43" s="6">
        <v>-126</v>
      </c>
      <c r="D43" t="s">
        <v>241</v>
      </c>
      <c r="E43" t="s">
        <v>92</v>
      </c>
      <c r="F43" t="str">
        <f>UPPER(TEXT(Tabela24[[#This Row],[Coluna1]],"MMM"))</f>
        <v>MAR</v>
      </c>
    </row>
    <row r="44" spans="1:6" x14ac:dyDescent="0.25">
      <c r="A44" s="1">
        <v>44652</v>
      </c>
      <c r="B44" t="s">
        <v>217</v>
      </c>
      <c r="C44" s="6">
        <v>12000</v>
      </c>
      <c r="D44" t="s">
        <v>218</v>
      </c>
      <c r="E44" t="s">
        <v>200</v>
      </c>
      <c r="F44" t="str">
        <f>UPPER(TEXT(Tabela24[[#This Row],[Coluna1]],"MMM"))</f>
        <v>ABR</v>
      </c>
    </row>
    <row r="45" spans="1:6" x14ac:dyDescent="0.25">
      <c r="A45" s="1">
        <v>44652</v>
      </c>
      <c r="B45" t="s">
        <v>219</v>
      </c>
      <c r="C45" s="6">
        <v>-1775</v>
      </c>
      <c r="D45" t="s">
        <v>220</v>
      </c>
      <c r="E45" t="s">
        <v>9</v>
      </c>
      <c r="F45" t="str">
        <f>UPPER(TEXT(Tabela24[[#This Row],[Coluna1]],"MMM"))</f>
        <v>ABR</v>
      </c>
    </row>
    <row r="46" spans="1:6" x14ac:dyDescent="0.25">
      <c r="A46" s="1">
        <v>44652</v>
      </c>
      <c r="B46" t="s">
        <v>221</v>
      </c>
      <c r="C46" s="6">
        <v>-170</v>
      </c>
      <c r="D46" t="s">
        <v>222</v>
      </c>
      <c r="E46" t="s">
        <v>28</v>
      </c>
      <c r="F46" t="str">
        <f>UPPER(TEXT(Tabela24[[#This Row],[Coluna1]],"MMM"))</f>
        <v>ABR</v>
      </c>
    </row>
    <row r="47" spans="1:6" x14ac:dyDescent="0.25">
      <c r="A47" s="1">
        <v>44652</v>
      </c>
      <c r="B47" t="s">
        <v>223</v>
      </c>
      <c r="C47" s="6">
        <v>-3244</v>
      </c>
      <c r="D47" t="s">
        <v>137</v>
      </c>
      <c r="E47" t="s">
        <v>35</v>
      </c>
      <c r="F47" t="str">
        <f>UPPER(TEXT(Tabela24[[#This Row],[Coluna1]],"MMM"))</f>
        <v>ABR</v>
      </c>
    </row>
    <row r="48" spans="1:6" x14ac:dyDescent="0.25">
      <c r="A48" s="1">
        <v>44652</v>
      </c>
      <c r="B48" t="s">
        <v>224</v>
      </c>
      <c r="C48" s="6">
        <v>-771</v>
      </c>
      <c r="D48" t="s">
        <v>225</v>
      </c>
      <c r="E48" t="s">
        <v>41</v>
      </c>
      <c r="F48" t="str">
        <f>UPPER(TEXT(Tabela24[[#This Row],[Coluna1]],"MMM"))</f>
        <v>ABR</v>
      </c>
    </row>
    <row r="49" spans="1:6" x14ac:dyDescent="0.25">
      <c r="A49" s="1">
        <v>44652</v>
      </c>
      <c r="B49" t="s">
        <v>226</v>
      </c>
      <c r="C49" s="6">
        <v>-1112</v>
      </c>
      <c r="D49" t="s">
        <v>227</v>
      </c>
      <c r="E49" t="s">
        <v>53</v>
      </c>
      <c r="F49" t="str">
        <f>UPPER(TEXT(Tabela24[[#This Row],[Coluna1]],"MMM"))</f>
        <v>ABR</v>
      </c>
    </row>
    <row r="50" spans="1:6" x14ac:dyDescent="0.25">
      <c r="A50" s="1">
        <v>44652</v>
      </c>
      <c r="B50" t="s">
        <v>228</v>
      </c>
      <c r="C50" s="6">
        <v>-1081</v>
      </c>
      <c r="D50" t="s">
        <v>229</v>
      </c>
      <c r="E50" t="s">
        <v>59</v>
      </c>
      <c r="F50" t="str">
        <f>UPPER(TEXT(Tabela24[[#This Row],[Coluna1]],"MMM"))</f>
        <v>ABR</v>
      </c>
    </row>
    <row r="51" spans="1:6" x14ac:dyDescent="0.25">
      <c r="A51" s="1">
        <v>44652</v>
      </c>
      <c r="B51" t="s">
        <v>230</v>
      </c>
      <c r="C51" s="6">
        <v>-793</v>
      </c>
      <c r="D51" t="s">
        <v>231</v>
      </c>
      <c r="E51" t="s">
        <v>67</v>
      </c>
      <c r="F51" t="str">
        <f>UPPER(TEXT(Tabela24[[#This Row],[Coluna1]],"MMM"))</f>
        <v>ABR</v>
      </c>
    </row>
    <row r="52" spans="1:6" x14ac:dyDescent="0.25">
      <c r="A52" s="1">
        <v>44652</v>
      </c>
      <c r="B52" t="s">
        <v>232</v>
      </c>
      <c r="C52" s="6">
        <v>-515</v>
      </c>
      <c r="D52" t="s">
        <v>233</v>
      </c>
      <c r="E52" t="s">
        <v>72</v>
      </c>
      <c r="F52" t="str">
        <f>UPPER(TEXT(Tabela24[[#This Row],[Coluna1]],"MMM"))</f>
        <v>ABR</v>
      </c>
    </row>
    <row r="53" spans="1:6" x14ac:dyDescent="0.25">
      <c r="A53" s="1">
        <v>44652</v>
      </c>
      <c r="B53" t="s">
        <v>234</v>
      </c>
      <c r="C53" s="6">
        <v>-157</v>
      </c>
      <c r="D53" t="s">
        <v>235</v>
      </c>
      <c r="E53" t="s">
        <v>77</v>
      </c>
      <c r="F53" t="str">
        <f>UPPER(TEXT(Tabela24[[#This Row],[Coluna1]],"MMM"))</f>
        <v>ABR</v>
      </c>
    </row>
    <row r="54" spans="1:6" x14ac:dyDescent="0.25">
      <c r="A54" s="1">
        <v>44652</v>
      </c>
      <c r="B54" t="s">
        <v>236</v>
      </c>
      <c r="C54" s="6">
        <v>-425</v>
      </c>
      <c r="D54" t="s">
        <v>237</v>
      </c>
      <c r="E54" t="s">
        <v>80</v>
      </c>
      <c r="F54" t="str">
        <f>UPPER(TEXT(Tabela24[[#This Row],[Coluna1]],"MMM"))</f>
        <v>ABR</v>
      </c>
    </row>
    <row r="55" spans="1:6" x14ac:dyDescent="0.25">
      <c r="A55" s="1">
        <v>44652</v>
      </c>
      <c r="B55" t="s">
        <v>238</v>
      </c>
      <c r="C55" s="6">
        <v>-537</v>
      </c>
      <c r="D55" t="s">
        <v>239</v>
      </c>
      <c r="E55" t="s">
        <v>84</v>
      </c>
      <c r="F55" t="str">
        <f>UPPER(TEXT(Tabela24[[#This Row],[Coluna1]],"MMM"))</f>
        <v>ABR</v>
      </c>
    </row>
    <row r="56" spans="1:6" x14ac:dyDescent="0.25">
      <c r="A56" s="1">
        <v>44652</v>
      </c>
      <c r="B56" t="s">
        <v>240</v>
      </c>
      <c r="C56" s="6">
        <v>-124</v>
      </c>
      <c r="D56" t="s">
        <v>241</v>
      </c>
      <c r="E56" t="s">
        <v>92</v>
      </c>
      <c r="F56" t="str">
        <f>UPPER(TEXT(Tabela24[[#This Row],[Coluna1]],"MMM"))</f>
        <v>ABR</v>
      </c>
    </row>
    <row r="57" spans="1:6" x14ac:dyDescent="0.25">
      <c r="A57" s="1">
        <v>44682</v>
      </c>
      <c r="B57" t="s">
        <v>217</v>
      </c>
      <c r="C57" s="6">
        <v>9000</v>
      </c>
      <c r="D57" t="s">
        <v>218</v>
      </c>
      <c r="E57" t="s">
        <v>200</v>
      </c>
      <c r="F57" t="str">
        <f>UPPER(TEXT(Tabela24[[#This Row],[Coluna1]],"MMM"))</f>
        <v>MAI</v>
      </c>
    </row>
    <row r="58" spans="1:6" x14ac:dyDescent="0.25">
      <c r="A58" s="1">
        <v>44682</v>
      </c>
      <c r="B58" t="s">
        <v>219</v>
      </c>
      <c r="C58" s="6">
        <v>-2027</v>
      </c>
      <c r="D58" t="s">
        <v>220</v>
      </c>
      <c r="E58" t="s">
        <v>9</v>
      </c>
      <c r="F58" t="str">
        <f>UPPER(TEXT(Tabela24[[#This Row],[Coluna1]],"MMM"))</f>
        <v>MAI</v>
      </c>
    </row>
    <row r="59" spans="1:6" x14ac:dyDescent="0.25">
      <c r="A59" s="1">
        <v>44682</v>
      </c>
      <c r="B59" t="s">
        <v>221</v>
      </c>
      <c r="C59" s="6">
        <v>-162</v>
      </c>
      <c r="D59" t="s">
        <v>222</v>
      </c>
      <c r="E59" t="s">
        <v>28</v>
      </c>
      <c r="F59" t="str">
        <f>UPPER(TEXT(Tabela24[[#This Row],[Coluna1]],"MMM"))</f>
        <v>MAI</v>
      </c>
    </row>
    <row r="60" spans="1:6" x14ac:dyDescent="0.25">
      <c r="A60" s="1">
        <v>44682</v>
      </c>
      <c r="B60" t="s">
        <v>223</v>
      </c>
      <c r="C60" s="6">
        <v>-2724</v>
      </c>
      <c r="D60" t="s">
        <v>137</v>
      </c>
      <c r="E60" t="s">
        <v>35</v>
      </c>
      <c r="F60" t="str">
        <f>UPPER(TEXT(Tabela24[[#This Row],[Coluna1]],"MMM"))</f>
        <v>MAI</v>
      </c>
    </row>
    <row r="61" spans="1:6" x14ac:dyDescent="0.25">
      <c r="A61" s="1">
        <v>44682</v>
      </c>
      <c r="B61" t="s">
        <v>224</v>
      </c>
      <c r="C61" s="6">
        <v>-853</v>
      </c>
      <c r="D61" t="s">
        <v>225</v>
      </c>
      <c r="E61" t="s">
        <v>41</v>
      </c>
      <c r="F61" t="str">
        <f>UPPER(TEXT(Tabela24[[#This Row],[Coluna1]],"MMM"))</f>
        <v>MAI</v>
      </c>
    </row>
    <row r="62" spans="1:6" x14ac:dyDescent="0.25">
      <c r="A62" s="1">
        <v>44682</v>
      </c>
      <c r="B62" t="s">
        <v>226</v>
      </c>
      <c r="C62" s="6">
        <v>-1174</v>
      </c>
      <c r="D62" t="s">
        <v>227</v>
      </c>
      <c r="E62" t="s">
        <v>53</v>
      </c>
      <c r="F62" t="str">
        <f>UPPER(TEXT(Tabela24[[#This Row],[Coluna1]],"MMM"))</f>
        <v>MAI</v>
      </c>
    </row>
    <row r="63" spans="1:6" x14ac:dyDescent="0.25">
      <c r="A63" s="1">
        <v>44682</v>
      </c>
      <c r="B63" t="s">
        <v>228</v>
      </c>
      <c r="C63" s="6">
        <v>-1043</v>
      </c>
      <c r="D63" t="s">
        <v>229</v>
      </c>
      <c r="E63" t="s">
        <v>59</v>
      </c>
      <c r="F63" t="str">
        <f>UPPER(TEXT(Tabela24[[#This Row],[Coluna1]],"MMM"))</f>
        <v>MAI</v>
      </c>
    </row>
    <row r="64" spans="1:6" x14ac:dyDescent="0.25">
      <c r="A64" s="1">
        <v>44682</v>
      </c>
      <c r="B64" t="s">
        <v>230</v>
      </c>
      <c r="C64" s="6">
        <v>-986</v>
      </c>
      <c r="D64" t="s">
        <v>231</v>
      </c>
      <c r="E64" t="s">
        <v>67</v>
      </c>
      <c r="F64" t="str">
        <f>UPPER(TEXT(Tabela24[[#This Row],[Coluna1]],"MMM"))</f>
        <v>MAI</v>
      </c>
    </row>
    <row r="65" spans="1:6" x14ac:dyDescent="0.25">
      <c r="A65" s="1">
        <v>44682</v>
      </c>
      <c r="B65" t="s">
        <v>232</v>
      </c>
      <c r="C65" s="6">
        <v>-570</v>
      </c>
      <c r="D65" t="s">
        <v>233</v>
      </c>
      <c r="E65" t="s">
        <v>72</v>
      </c>
      <c r="F65" t="str">
        <f>UPPER(TEXT(Tabela24[[#This Row],[Coluna1]],"MMM"))</f>
        <v>MAI</v>
      </c>
    </row>
    <row r="66" spans="1:6" x14ac:dyDescent="0.25">
      <c r="A66" s="1">
        <v>44682</v>
      </c>
      <c r="B66" t="s">
        <v>234</v>
      </c>
      <c r="C66" s="6">
        <v>-139</v>
      </c>
      <c r="D66" t="s">
        <v>235</v>
      </c>
      <c r="E66" t="s">
        <v>77</v>
      </c>
      <c r="F66" t="str">
        <f>UPPER(TEXT(Tabela24[[#This Row],[Coluna1]],"MMM"))</f>
        <v>MAI</v>
      </c>
    </row>
    <row r="67" spans="1:6" x14ac:dyDescent="0.25">
      <c r="A67" s="1">
        <v>44682</v>
      </c>
      <c r="B67" t="s">
        <v>236</v>
      </c>
      <c r="C67" s="6">
        <v>-402</v>
      </c>
      <c r="D67" t="s">
        <v>237</v>
      </c>
      <c r="E67" t="s">
        <v>80</v>
      </c>
      <c r="F67" t="str">
        <f>UPPER(TEXT(Tabela24[[#This Row],[Coluna1]],"MMM"))</f>
        <v>MAI</v>
      </c>
    </row>
    <row r="68" spans="1:6" x14ac:dyDescent="0.25">
      <c r="A68" s="1">
        <v>44682</v>
      </c>
      <c r="B68" t="s">
        <v>238</v>
      </c>
      <c r="C68" s="6">
        <v>-469</v>
      </c>
      <c r="D68" t="s">
        <v>239</v>
      </c>
      <c r="E68" t="s">
        <v>84</v>
      </c>
      <c r="F68" t="str">
        <f>UPPER(TEXT(Tabela24[[#This Row],[Coluna1]],"MMM"))</f>
        <v>MAI</v>
      </c>
    </row>
    <row r="69" spans="1:6" x14ac:dyDescent="0.25">
      <c r="A69" s="1">
        <v>44682</v>
      </c>
      <c r="B69" t="s">
        <v>240</v>
      </c>
      <c r="C69" s="6">
        <v>-81</v>
      </c>
      <c r="D69" t="s">
        <v>241</v>
      </c>
      <c r="E69" t="s">
        <v>92</v>
      </c>
      <c r="F69" t="str">
        <f>UPPER(TEXT(Tabela24[[#This Row],[Coluna1]],"MMM"))</f>
        <v>MAI</v>
      </c>
    </row>
    <row r="70" spans="1:6" x14ac:dyDescent="0.25">
      <c r="A70" s="1">
        <v>44713</v>
      </c>
      <c r="B70" t="s">
        <v>217</v>
      </c>
      <c r="C70" s="6">
        <v>9500</v>
      </c>
      <c r="D70" t="s">
        <v>218</v>
      </c>
      <c r="E70" t="s">
        <v>200</v>
      </c>
      <c r="F70" t="str">
        <f>UPPER(TEXT(Tabela24[[#This Row],[Coluna1]],"MMM"))</f>
        <v>JUN</v>
      </c>
    </row>
    <row r="71" spans="1:6" x14ac:dyDescent="0.25">
      <c r="A71" s="1">
        <v>44713</v>
      </c>
      <c r="B71" t="s">
        <v>219</v>
      </c>
      <c r="C71" s="6">
        <v>-1513</v>
      </c>
      <c r="D71" t="s">
        <v>220</v>
      </c>
      <c r="E71" t="s">
        <v>9</v>
      </c>
      <c r="F71" t="str">
        <f>UPPER(TEXT(Tabela24[[#This Row],[Coluna1]],"MMM"))</f>
        <v>JUN</v>
      </c>
    </row>
    <row r="72" spans="1:6" x14ac:dyDescent="0.25">
      <c r="A72" s="1">
        <v>44713</v>
      </c>
      <c r="B72" t="s">
        <v>221</v>
      </c>
      <c r="C72" s="6">
        <v>-203</v>
      </c>
      <c r="D72" t="s">
        <v>222</v>
      </c>
      <c r="E72" t="s">
        <v>28</v>
      </c>
      <c r="F72" t="str">
        <f>UPPER(TEXT(Tabela24[[#This Row],[Coluna1]],"MMM"))</f>
        <v>JUN</v>
      </c>
    </row>
    <row r="73" spans="1:6" x14ac:dyDescent="0.25">
      <c r="A73" s="1">
        <v>44713</v>
      </c>
      <c r="B73" t="s">
        <v>223</v>
      </c>
      <c r="C73" s="6">
        <v>-2028</v>
      </c>
      <c r="D73" t="s">
        <v>137</v>
      </c>
      <c r="E73" t="s">
        <v>35</v>
      </c>
      <c r="F73" t="str">
        <f>UPPER(TEXT(Tabela24[[#This Row],[Coluna1]],"MMM"))</f>
        <v>JUN</v>
      </c>
    </row>
    <row r="74" spans="1:6" x14ac:dyDescent="0.25">
      <c r="A74" s="1">
        <v>44713</v>
      </c>
      <c r="B74" t="s">
        <v>224</v>
      </c>
      <c r="C74" s="6">
        <v>-797</v>
      </c>
      <c r="D74" t="s">
        <v>225</v>
      </c>
      <c r="E74" t="s">
        <v>41</v>
      </c>
      <c r="F74" t="str">
        <f>UPPER(TEXT(Tabela24[[#This Row],[Coluna1]],"MMM"))</f>
        <v>JUN</v>
      </c>
    </row>
    <row r="75" spans="1:6" x14ac:dyDescent="0.25">
      <c r="A75" s="1">
        <v>44713</v>
      </c>
      <c r="B75" t="s">
        <v>226</v>
      </c>
      <c r="C75" s="6">
        <v>-1177</v>
      </c>
      <c r="D75" t="s">
        <v>227</v>
      </c>
      <c r="E75" t="s">
        <v>53</v>
      </c>
      <c r="F75" t="str">
        <f>UPPER(TEXT(Tabela24[[#This Row],[Coluna1]],"MMM"))</f>
        <v>JUN</v>
      </c>
    </row>
    <row r="76" spans="1:6" x14ac:dyDescent="0.25">
      <c r="A76" s="1">
        <v>44713</v>
      </c>
      <c r="B76" t="s">
        <v>228</v>
      </c>
      <c r="C76" s="6">
        <v>-1254</v>
      </c>
      <c r="D76" t="s">
        <v>229</v>
      </c>
      <c r="E76" t="s">
        <v>59</v>
      </c>
      <c r="F76" t="str">
        <f>UPPER(TEXT(Tabela24[[#This Row],[Coluna1]],"MMM"))</f>
        <v>JUN</v>
      </c>
    </row>
    <row r="77" spans="1:6" x14ac:dyDescent="0.25">
      <c r="A77" s="1">
        <v>44713</v>
      </c>
      <c r="B77" t="s">
        <v>230</v>
      </c>
      <c r="C77" s="6">
        <v>-1197</v>
      </c>
      <c r="D77" t="s">
        <v>231</v>
      </c>
      <c r="E77" t="s">
        <v>67</v>
      </c>
      <c r="F77" t="str">
        <f>UPPER(TEXT(Tabela24[[#This Row],[Coluna1]],"MMM"))</f>
        <v>JUN</v>
      </c>
    </row>
    <row r="78" spans="1:6" x14ac:dyDescent="0.25">
      <c r="A78" s="1">
        <v>44713</v>
      </c>
      <c r="B78" t="s">
        <v>232</v>
      </c>
      <c r="C78" s="6">
        <v>-553</v>
      </c>
      <c r="D78" t="s">
        <v>233</v>
      </c>
      <c r="E78" t="s">
        <v>72</v>
      </c>
      <c r="F78" t="str">
        <f>UPPER(TEXT(Tabela24[[#This Row],[Coluna1]],"MMM"))</f>
        <v>JUN</v>
      </c>
    </row>
    <row r="79" spans="1:6" x14ac:dyDescent="0.25">
      <c r="A79" s="1">
        <v>44713</v>
      </c>
      <c r="B79" t="s">
        <v>234</v>
      </c>
      <c r="C79" s="6">
        <v>-116</v>
      </c>
      <c r="D79" t="s">
        <v>235</v>
      </c>
      <c r="E79" t="s">
        <v>77</v>
      </c>
      <c r="F79" t="str">
        <f>UPPER(TEXT(Tabela24[[#This Row],[Coluna1]],"MMM"))</f>
        <v>JUN</v>
      </c>
    </row>
    <row r="80" spans="1:6" x14ac:dyDescent="0.25">
      <c r="A80" s="1">
        <v>44713</v>
      </c>
      <c r="B80" t="s">
        <v>236</v>
      </c>
      <c r="C80" s="6">
        <v>-246</v>
      </c>
      <c r="D80" t="s">
        <v>237</v>
      </c>
      <c r="E80" t="s">
        <v>80</v>
      </c>
      <c r="F80" t="str">
        <f>UPPER(TEXT(Tabela24[[#This Row],[Coluna1]],"MMM"))</f>
        <v>JUN</v>
      </c>
    </row>
    <row r="81" spans="1:6" x14ac:dyDescent="0.25">
      <c r="A81" s="1">
        <v>44713</v>
      </c>
      <c r="B81" t="s">
        <v>238</v>
      </c>
      <c r="C81" s="6">
        <v>-710</v>
      </c>
      <c r="D81" t="s">
        <v>239</v>
      </c>
      <c r="E81" t="s">
        <v>84</v>
      </c>
      <c r="F81" t="str">
        <f>UPPER(TEXT(Tabela24[[#This Row],[Coluna1]],"MMM"))</f>
        <v>JUN</v>
      </c>
    </row>
    <row r="82" spans="1:6" x14ac:dyDescent="0.25">
      <c r="A82" s="1">
        <v>44713</v>
      </c>
      <c r="B82" t="s">
        <v>240</v>
      </c>
      <c r="C82" s="6">
        <v>-90</v>
      </c>
      <c r="D82" t="s">
        <v>241</v>
      </c>
      <c r="E82" t="s">
        <v>92</v>
      </c>
      <c r="F82" t="str">
        <f>UPPER(TEXT(Tabela24[[#This Row],[Coluna1]],"MMM"))</f>
        <v>JUN</v>
      </c>
    </row>
    <row r="83" spans="1:6" x14ac:dyDescent="0.25">
      <c r="A83" s="1">
        <v>44743</v>
      </c>
      <c r="B83" t="s">
        <v>217</v>
      </c>
      <c r="C83" s="6">
        <v>12000</v>
      </c>
      <c r="D83" t="s">
        <v>218</v>
      </c>
      <c r="E83" t="s">
        <v>200</v>
      </c>
      <c r="F83" t="str">
        <f>UPPER(TEXT(Tabela24[[#This Row],[Coluna1]],"MMM"))</f>
        <v>JUL</v>
      </c>
    </row>
    <row r="84" spans="1:6" x14ac:dyDescent="0.25">
      <c r="A84" s="1">
        <v>44743</v>
      </c>
      <c r="B84" t="s">
        <v>219</v>
      </c>
      <c r="C84" s="6">
        <v>-1605</v>
      </c>
      <c r="D84" t="s">
        <v>220</v>
      </c>
      <c r="E84" t="s">
        <v>9</v>
      </c>
      <c r="F84" t="str">
        <f>UPPER(TEXT(Tabela24[[#This Row],[Coluna1]],"MMM"))</f>
        <v>JUL</v>
      </c>
    </row>
    <row r="85" spans="1:6" x14ac:dyDescent="0.25">
      <c r="A85" s="1">
        <v>44743</v>
      </c>
      <c r="B85" t="s">
        <v>221</v>
      </c>
      <c r="C85" s="6">
        <v>-171</v>
      </c>
      <c r="D85" t="s">
        <v>222</v>
      </c>
      <c r="E85" t="s">
        <v>28</v>
      </c>
      <c r="F85" t="str">
        <f>UPPER(TEXT(Tabela24[[#This Row],[Coluna1]],"MMM"))</f>
        <v>JUL</v>
      </c>
    </row>
    <row r="86" spans="1:6" x14ac:dyDescent="0.25">
      <c r="A86" s="1">
        <v>44743</v>
      </c>
      <c r="B86" t="s">
        <v>223</v>
      </c>
      <c r="C86" s="6">
        <v>-3369</v>
      </c>
      <c r="D86" t="s">
        <v>137</v>
      </c>
      <c r="E86" t="s">
        <v>35</v>
      </c>
      <c r="F86" t="str">
        <f>UPPER(TEXT(Tabela24[[#This Row],[Coluna1]],"MMM"))</f>
        <v>JUL</v>
      </c>
    </row>
    <row r="87" spans="1:6" x14ac:dyDescent="0.25">
      <c r="A87" s="1">
        <v>44743</v>
      </c>
      <c r="B87" t="s">
        <v>224</v>
      </c>
      <c r="C87" s="6">
        <v>-638</v>
      </c>
      <c r="D87" t="s">
        <v>225</v>
      </c>
      <c r="E87" t="s">
        <v>41</v>
      </c>
      <c r="F87" t="str">
        <f>UPPER(TEXT(Tabela24[[#This Row],[Coluna1]],"MMM"))</f>
        <v>JUL</v>
      </c>
    </row>
    <row r="88" spans="1:6" x14ac:dyDescent="0.25">
      <c r="A88" s="1">
        <v>44743</v>
      </c>
      <c r="B88" t="s">
        <v>226</v>
      </c>
      <c r="C88" s="6">
        <v>-1360</v>
      </c>
      <c r="D88" t="s">
        <v>227</v>
      </c>
      <c r="E88" t="s">
        <v>53</v>
      </c>
      <c r="F88" t="str">
        <f>UPPER(TEXT(Tabela24[[#This Row],[Coluna1]],"MMM"))</f>
        <v>JUL</v>
      </c>
    </row>
    <row r="89" spans="1:6" x14ac:dyDescent="0.25">
      <c r="A89" s="1">
        <v>44743</v>
      </c>
      <c r="B89" t="s">
        <v>228</v>
      </c>
      <c r="C89" s="6">
        <v>-868</v>
      </c>
      <c r="D89" t="s">
        <v>229</v>
      </c>
      <c r="E89" t="s">
        <v>59</v>
      </c>
      <c r="F89" t="str">
        <f>UPPER(TEXT(Tabela24[[#This Row],[Coluna1]],"MMM"))</f>
        <v>JUL</v>
      </c>
    </row>
    <row r="90" spans="1:6" x14ac:dyDescent="0.25">
      <c r="A90" s="1">
        <v>44743</v>
      </c>
      <c r="B90" t="s">
        <v>230</v>
      </c>
      <c r="C90" s="6">
        <v>-1048</v>
      </c>
      <c r="D90" t="s">
        <v>231</v>
      </c>
      <c r="E90" t="s">
        <v>67</v>
      </c>
      <c r="F90" t="str">
        <f>UPPER(TEXT(Tabela24[[#This Row],[Coluna1]],"MMM"))</f>
        <v>JUL</v>
      </c>
    </row>
    <row r="91" spans="1:6" x14ac:dyDescent="0.25">
      <c r="A91" s="1">
        <v>44743</v>
      </c>
      <c r="B91" t="s">
        <v>232</v>
      </c>
      <c r="C91" s="6">
        <v>-462</v>
      </c>
      <c r="D91" t="s">
        <v>233</v>
      </c>
      <c r="E91" t="s">
        <v>72</v>
      </c>
      <c r="F91" t="str">
        <f>UPPER(TEXT(Tabela24[[#This Row],[Coluna1]],"MMM"))</f>
        <v>JUL</v>
      </c>
    </row>
    <row r="92" spans="1:6" x14ac:dyDescent="0.25">
      <c r="A92" s="1">
        <v>44743</v>
      </c>
      <c r="B92" t="s">
        <v>234</v>
      </c>
      <c r="C92" s="6">
        <v>-146</v>
      </c>
      <c r="D92" t="s">
        <v>235</v>
      </c>
      <c r="E92" t="s">
        <v>77</v>
      </c>
      <c r="F92" t="str">
        <f>UPPER(TEXT(Tabela24[[#This Row],[Coluna1]],"MMM"))</f>
        <v>JUL</v>
      </c>
    </row>
    <row r="93" spans="1:6" x14ac:dyDescent="0.25">
      <c r="A93" s="1">
        <v>44743</v>
      </c>
      <c r="B93" t="s">
        <v>236</v>
      </c>
      <c r="C93" s="6">
        <v>-357</v>
      </c>
      <c r="D93" t="s">
        <v>237</v>
      </c>
      <c r="E93" t="s">
        <v>80</v>
      </c>
      <c r="F93" t="str">
        <f>UPPER(TEXT(Tabela24[[#This Row],[Coluna1]],"MMM"))</f>
        <v>JUL</v>
      </c>
    </row>
    <row r="94" spans="1:6" x14ac:dyDescent="0.25">
      <c r="A94" s="1">
        <v>44743</v>
      </c>
      <c r="B94" t="s">
        <v>238</v>
      </c>
      <c r="C94" s="6">
        <v>-396</v>
      </c>
      <c r="D94" t="s">
        <v>239</v>
      </c>
      <c r="E94" t="s">
        <v>84</v>
      </c>
      <c r="F94" t="str">
        <f>UPPER(TEXT(Tabela24[[#This Row],[Coluna1]],"MMM"))</f>
        <v>JUL</v>
      </c>
    </row>
    <row r="95" spans="1:6" x14ac:dyDescent="0.25">
      <c r="A95" s="1">
        <v>44743</v>
      </c>
      <c r="B95" t="s">
        <v>240</v>
      </c>
      <c r="C95" s="6">
        <v>-101</v>
      </c>
      <c r="D95" t="s">
        <v>241</v>
      </c>
      <c r="E95" t="s">
        <v>92</v>
      </c>
      <c r="F95" t="str">
        <f>UPPER(TEXT(Tabela24[[#This Row],[Coluna1]],"MMM"))</f>
        <v>JUL</v>
      </c>
    </row>
    <row r="96" spans="1:6" x14ac:dyDescent="0.25">
      <c r="A96" s="1">
        <v>44781</v>
      </c>
      <c r="B96" t="s">
        <v>217</v>
      </c>
      <c r="C96" s="6">
        <v>11500</v>
      </c>
      <c r="D96" t="s">
        <v>218</v>
      </c>
      <c r="E96" t="s">
        <v>200</v>
      </c>
      <c r="F96" t="str">
        <f>UPPER(TEXT(Tabela24[[#This Row],[Coluna1]],"MMM"))</f>
        <v>AGO</v>
      </c>
    </row>
    <row r="97" spans="1:6" x14ac:dyDescent="0.25">
      <c r="A97" s="1">
        <v>44783</v>
      </c>
      <c r="B97" t="s">
        <v>255</v>
      </c>
      <c r="C97" s="6">
        <v>-2173</v>
      </c>
      <c r="D97" t="s">
        <v>220</v>
      </c>
      <c r="E97" t="s">
        <v>9</v>
      </c>
      <c r="F97" t="str">
        <f>UPPER(TEXT(Tabela24[[#This Row],[Coluna1]],"MMM"))</f>
        <v>AGO</v>
      </c>
    </row>
    <row r="98" spans="1:6" x14ac:dyDescent="0.25">
      <c r="A98" s="1">
        <v>44783</v>
      </c>
      <c r="B98" t="s">
        <v>256</v>
      </c>
      <c r="C98" s="6">
        <v>-222</v>
      </c>
      <c r="D98" t="s">
        <v>222</v>
      </c>
      <c r="E98" t="s">
        <v>28</v>
      </c>
      <c r="F98" t="str">
        <f>UPPER(TEXT(Tabela24[[#This Row],[Coluna1]],"MMM"))</f>
        <v>AGO</v>
      </c>
    </row>
    <row r="99" spans="1:6" x14ac:dyDescent="0.25">
      <c r="A99" s="1">
        <v>44788</v>
      </c>
      <c r="B99" t="s">
        <v>257</v>
      </c>
      <c r="C99" s="6">
        <v>-2805</v>
      </c>
      <c r="D99" t="s">
        <v>137</v>
      </c>
      <c r="E99" t="s">
        <v>35</v>
      </c>
      <c r="F99" t="str">
        <f>UPPER(TEXT(Tabela24[[#This Row],[Coluna1]],"MMM"))</f>
        <v>AGO</v>
      </c>
    </row>
    <row r="100" spans="1:6" x14ac:dyDescent="0.25">
      <c r="A100" s="1">
        <v>44788</v>
      </c>
      <c r="B100" t="s">
        <v>258</v>
      </c>
      <c r="C100" s="6">
        <v>-848</v>
      </c>
      <c r="D100" t="s">
        <v>225</v>
      </c>
      <c r="E100" t="s">
        <v>41</v>
      </c>
      <c r="F100" t="str">
        <f>UPPER(TEXT(Tabela24[[#This Row],[Coluna1]],"MMM"))</f>
        <v>AGO</v>
      </c>
    </row>
    <row r="101" spans="1:6" x14ac:dyDescent="0.25">
      <c r="A101" s="1">
        <v>44791</v>
      </c>
      <c r="B101" t="s">
        <v>259</v>
      </c>
      <c r="C101" s="6">
        <v>-1773</v>
      </c>
      <c r="D101" t="s">
        <v>227</v>
      </c>
      <c r="E101" t="s">
        <v>53</v>
      </c>
      <c r="F101" t="str">
        <f>UPPER(TEXT(Tabela24[[#This Row],[Coluna1]],"MMM"))</f>
        <v>AGO</v>
      </c>
    </row>
    <row r="102" spans="1:6" x14ac:dyDescent="0.25">
      <c r="A102" s="1">
        <v>44791</v>
      </c>
      <c r="B102" t="s">
        <v>260</v>
      </c>
      <c r="C102" s="6">
        <v>-716</v>
      </c>
      <c r="D102" t="s">
        <v>229</v>
      </c>
      <c r="E102" t="s">
        <v>59</v>
      </c>
      <c r="F102" t="str">
        <f>UPPER(TEXT(Tabela24[[#This Row],[Coluna1]],"MMM"))</f>
        <v>AGO</v>
      </c>
    </row>
    <row r="103" spans="1:6" x14ac:dyDescent="0.25">
      <c r="A103" s="1">
        <v>44793</v>
      </c>
      <c r="B103" t="s">
        <v>261</v>
      </c>
      <c r="C103" s="6">
        <v>-1048</v>
      </c>
      <c r="D103" t="s">
        <v>231</v>
      </c>
      <c r="E103" t="s">
        <v>67</v>
      </c>
      <c r="F103" t="str">
        <f>UPPER(TEXT(Tabela24[[#This Row],[Coluna1]],"MMM"))</f>
        <v>AGO</v>
      </c>
    </row>
    <row r="104" spans="1:6" x14ac:dyDescent="0.25">
      <c r="A104" s="1">
        <v>44794</v>
      </c>
      <c r="B104" t="s">
        <v>263</v>
      </c>
      <c r="C104" s="6">
        <v>-618</v>
      </c>
      <c r="D104" t="s">
        <v>233</v>
      </c>
      <c r="E104" t="s">
        <v>72</v>
      </c>
      <c r="F104" t="str">
        <f>UPPER(TEXT(Tabela24[[#This Row],[Coluna1]],"MMM"))</f>
        <v>AGO</v>
      </c>
    </row>
    <row r="105" spans="1:6" x14ac:dyDescent="0.25">
      <c r="A105" s="1">
        <v>44794</v>
      </c>
      <c r="B105" t="s">
        <v>262</v>
      </c>
      <c r="C105" s="6">
        <v>-105</v>
      </c>
      <c r="D105" t="s">
        <v>235</v>
      </c>
      <c r="E105" t="s">
        <v>77</v>
      </c>
      <c r="F105" t="str">
        <f>UPPER(TEXT(Tabela24[[#This Row],[Coluna1]],"MMM"))</f>
        <v>AGO</v>
      </c>
    </row>
    <row r="106" spans="1:6" x14ac:dyDescent="0.25">
      <c r="A106" s="1">
        <v>44794</v>
      </c>
      <c r="B106" t="s">
        <v>264</v>
      </c>
      <c r="C106" s="6">
        <v>-421</v>
      </c>
      <c r="D106" t="s">
        <v>237</v>
      </c>
      <c r="E106" t="s">
        <v>80</v>
      </c>
      <c r="F106" t="str">
        <f>UPPER(TEXT(Tabela24[[#This Row],[Coluna1]],"MMM"))</f>
        <v>AGO</v>
      </c>
    </row>
    <row r="107" spans="1:6" x14ac:dyDescent="0.25">
      <c r="A107" s="1">
        <v>44794</v>
      </c>
      <c r="B107" t="s">
        <v>265</v>
      </c>
      <c r="C107" s="6">
        <v>-510</v>
      </c>
      <c r="D107" t="s">
        <v>239</v>
      </c>
      <c r="E107" t="s">
        <v>84</v>
      </c>
      <c r="F107" t="str">
        <f>UPPER(TEXT(Tabela24[[#This Row],[Coluna1]],"MMM"))</f>
        <v>AGO</v>
      </c>
    </row>
    <row r="108" spans="1:6" x14ac:dyDescent="0.25">
      <c r="A108" s="1">
        <v>44794</v>
      </c>
      <c r="B108" t="s">
        <v>142</v>
      </c>
      <c r="C108" s="6">
        <v>-108</v>
      </c>
      <c r="D108" t="s">
        <v>241</v>
      </c>
      <c r="E108" t="s">
        <v>92</v>
      </c>
      <c r="F108" t="str">
        <f>UPPER(TEXT(Tabela24[[#This Row],[Coluna1]],"MMM"))</f>
        <v>AGO</v>
      </c>
    </row>
    <row r="109" spans="1:6" x14ac:dyDescent="0.25">
      <c r="A109" s="1">
        <v>44805</v>
      </c>
      <c r="B109" t="s">
        <v>217</v>
      </c>
      <c r="C109" s="6">
        <v>8500</v>
      </c>
      <c r="D109" t="s">
        <v>218</v>
      </c>
      <c r="E109" t="s">
        <v>200</v>
      </c>
      <c r="F109" t="str">
        <f>UPPER(TEXT(Tabela24[[#This Row],[Coluna1]],"MMM"))</f>
        <v>SET</v>
      </c>
    </row>
    <row r="110" spans="1:6" x14ac:dyDescent="0.25">
      <c r="A110" s="1">
        <v>44805</v>
      </c>
      <c r="B110" t="s">
        <v>219</v>
      </c>
      <c r="C110" s="6">
        <v>-1867</v>
      </c>
      <c r="D110" t="s">
        <v>220</v>
      </c>
      <c r="E110" t="s">
        <v>9</v>
      </c>
      <c r="F110" t="str">
        <f>UPPER(TEXT(Tabela24[[#This Row],[Coluna1]],"MMM"))</f>
        <v>SET</v>
      </c>
    </row>
    <row r="111" spans="1:6" x14ac:dyDescent="0.25">
      <c r="A111" s="1">
        <v>44805</v>
      </c>
      <c r="B111" t="s">
        <v>221</v>
      </c>
      <c r="C111" s="6">
        <v>-157</v>
      </c>
      <c r="D111" t="s">
        <v>222</v>
      </c>
      <c r="E111" t="s">
        <v>28</v>
      </c>
      <c r="F111" t="str">
        <f>UPPER(TEXT(Tabela24[[#This Row],[Coluna1]],"MMM"))</f>
        <v>SET</v>
      </c>
    </row>
    <row r="112" spans="1:6" x14ac:dyDescent="0.25">
      <c r="A112" s="1">
        <v>44805</v>
      </c>
      <c r="B112" t="s">
        <v>223</v>
      </c>
      <c r="C112" s="6">
        <v>-1942</v>
      </c>
      <c r="D112" t="s">
        <v>137</v>
      </c>
      <c r="E112" t="s">
        <v>35</v>
      </c>
      <c r="F112" t="str">
        <f>UPPER(TEXT(Tabela24[[#This Row],[Coluna1]],"MMM"))</f>
        <v>SET</v>
      </c>
    </row>
    <row r="113" spans="1:6" x14ac:dyDescent="0.25">
      <c r="A113" s="1">
        <v>44805</v>
      </c>
      <c r="B113" t="s">
        <v>224</v>
      </c>
      <c r="C113" s="6">
        <v>-685</v>
      </c>
      <c r="D113" t="s">
        <v>225</v>
      </c>
      <c r="E113" t="s">
        <v>41</v>
      </c>
      <c r="F113" t="str">
        <f>UPPER(TEXT(Tabela24[[#This Row],[Coluna1]],"MMM"))</f>
        <v>SET</v>
      </c>
    </row>
    <row r="114" spans="1:6" x14ac:dyDescent="0.25">
      <c r="A114" s="1">
        <v>44805</v>
      </c>
      <c r="B114" t="s">
        <v>226</v>
      </c>
      <c r="C114" s="6">
        <v>-1180</v>
      </c>
      <c r="D114" t="s">
        <v>227</v>
      </c>
      <c r="E114" t="s">
        <v>53</v>
      </c>
      <c r="F114" t="str">
        <f>UPPER(TEXT(Tabela24[[#This Row],[Coluna1]],"MMM"))</f>
        <v>SET</v>
      </c>
    </row>
    <row r="115" spans="1:6" x14ac:dyDescent="0.25">
      <c r="A115" s="1">
        <v>44805</v>
      </c>
      <c r="B115" t="s">
        <v>228</v>
      </c>
      <c r="C115" s="6">
        <v>-1212</v>
      </c>
      <c r="D115" t="s">
        <v>229</v>
      </c>
      <c r="E115" t="s">
        <v>59</v>
      </c>
      <c r="F115" t="str">
        <f>UPPER(TEXT(Tabela24[[#This Row],[Coluna1]],"MMM"))</f>
        <v>SET</v>
      </c>
    </row>
    <row r="116" spans="1:6" x14ac:dyDescent="0.25">
      <c r="A116" s="1">
        <v>44805</v>
      </c>
      <c r="B116" t="s">
        <v>230</v>
      </c>
      <c r="C116" s="6">
        <v>-1066</v>
      </c>
      <c r="D116" t="s">
        <v>231</v>
      </c>
      <c r="E116" t="s">
        <v>67</v>
      </c>
      <c r="F116" t="str">
        <f>UPPER(TEXT(Tabela24[[#This Row],[Coluna1]],"MMM"))</f>
        <v>SET</v>
      </c>
    </row>
    <row r="117" spans="1:6" x14ac:dyDescent="0.25">
      <c r="A117" s="1">
        <v>44805</v>
      </c>
      <c r="B117" t="s">
        <v>232</v>
      </c>
      <c r="C117" s="6">
        <v>-354</v>
      </c>
      <c r="D117" t="s">
        <v>233</v>
      </c>
      <c r="E117" t="s">
        <v>72</v>
      </c>
      <c r="F117" t="str">
        <f>UPPER(TEXT(Tabela24[[#This Row],[Coluna1]],"MMM"))</f>
        <v>SET</v>
      </c>
    </row>
    <row r="118" spans="1:6" x14ac:dyDescent="0.25">
      <c r="A118" s="1">
        <v>44805</v>
      </c>
      <c r="B118" t="s">
        <v>234</v>
      </c>
      <c r="C118" s="6">
        <v>-136</v>
      </c>
      <c r="D118" t="s">
        <v>235</v>
      </c>
      <c r="E118" t="s">
        <v>77</v>
      </c>
      <c r="F118" t="str">
        <f>UPPER(TEXT(Tabela24[[#This Row],[Coluna1]],"MMM"))</f>
        <v>SET</v>
      </c>
    </row>
    <row r="119" spans="1:6" x14ac:dyDescent="0.25">
      <c r="A119" s="1">
        <v>44805</v>
      </c>
      <c r="B119" t="s">
        <v>236</v>
      </c>
      <c r="C119" s="6">
        <v>-336</v>
      </c>
      <c r="D119" t="s">
        <v>237</v>
      </c>
      <c r="E119" t="s">
        <v>80</v>
      </c>
      <c r="F119" t="str">
        <f>UPPER(TEXT(Tabela24[[#This Row],[Coluna1]],"MMM"))</f>
        <v>SET</v>
      </c>
    </row>
    <row r="120" spans="1:6" x14ac:dyDescent="0.25">
      <c r="A120" s="1">
        <v>44805</v>
      </c>
      <c r="B120" t="s">
        <v>238</v>
      </c>
      <c r="C120" s="6">
        <v>-612</v>
      </c>
      <c r="D120" t="s">
        <v>239</v>
      </c>
      <c r="E120" t="s">
        <v>84</v>
      </c>
      <c r="F120" t="str">
        <f>UPPER(TEXT(Tabela24[[#This Row],[Coluna1]],"MMM"))</f>
        <v>SET</v>
      </c>
    </row>
    <row r="121" spans="1:6" x14ac:dyDescent="0.25">
      <c r="A121" s="1">
        <v>44805</v>
      </c>
      <c r="B121" t="s">
        <v>240</v>
      </c>
      <c r="C121" s="6">
        <v>-93</v>
      </c>
      <c r="D121" t="s">
        <v>241</v>
      </c>
      <c r="E121" t="s">
        <v>92</v>
      </c>
      <c r="F121" t="str">
        <f>UPPER(TEXT(Tabela24[[#This Row],[Coluna1]],"MMM"))</f>
        <v>SET</v>
      </c>
    </row>
    <row r="122" spans="1:6" x14ac:dyDescent="0.25">
      <c r="A122" s="1">
        <v>44835</v>
      </c>
      <c r="B122" t="s">
        <v>217</v>
      </c>
      <c r="C122" s="6">
        <v>12500</v>
      </c>
      <c r="D122" t="s">
        <v>218</v>
      </c>
      <c r="E122" t="s">
        <v>200</v>
      </c>
      <c r="F122" t="str">
        <f>UPPER(TEXT(Tabela24[[#This Row],[Coluna1]],"MMM"))</f>
        <v>OUT</v>
      </c>
    </row>
    <row r="123" spans="1:6" x14ac:dyDescent="0.25">
      <c r="A123" s="1">
        <v>44835</v>
      </c>
      <c r="B123" t="s">
        <v>219</v>
      </c>
      <c r="C123" s="6">
        <v>-1394</v>
      </c>
      <c r="D123" t="s">
        <v>220</v>
      </c>
      <c r="E123" t="s">
        <v>9</v>
      </c>
      <c r="F123" t="str">
        <f>UPPER(TEXT(Tabela24[[#This Row],[Coluna1]],"MMM"))</f>
        <v>OUT</v>
      </c>
    </row>
    <row r="124" spans="1:6" x14ac:dyDescent="0.25">
      <c r="A124" s="1">
        <v>44835</v>
      </c>
      <c r="B124" t="s">
        <v>221</v>
      </c>
      <c r="C124" s="6">
        <v>-254</v>
      </c>
      <c r="D124" t="s">
        <v>222</v>
      </c>
      <c r="E124" t="s">
        <v>28</v>
      </c>
      <c r="F124" t="str">
        <f>UPPER(TEXT(Tabela24[[#This Row],[Coluna1]],"MMM"))</f>
        <v>OUT</v>
      </c>
    </row>
    <row r="125" spans="1:6" x14ac:dyDescent="0.25">
      <c r="A125" s="1">
        <v>44835</v>
      </c>
      <c r="B125" t="s">
        <v>223</v>
      </c>
      <c r="C125" s="6">
        <v>-2384</v>
      </c>
      <c r="D125" t="s">
        <v>137</v>
      </c>
      <c r="E125" t="s">
        <v>35</v>
      </c>
      <c r="F125" t="str">
        <f>UPPER(TEXT(Tabela24[[#This Row],[Coluna1]],"MMM"))</f>
        <v>OUT</v>
      </c>
    </row>
    <row r="126" spans="1:6" x14ac:dyDescent="0.25">
      <c r="A126" s="1">
        <v>44835</v>
      </c>
      <c r="B126" t="s">
        <v>224</v>
      </c>
      <c r="C126" s="6">
        <v>-809</v>
      </c>
      <c r="D126" t="s">
        <v>225</v>
      </c>
      <c r="E126" t="s">
        <v>41</v>
      </c>
      <c r="F126" t="str">
        <f>UPPER(TEXT(Tabela24[[#This Row],[Coluna1]],"MMM"))</f>
        <v>OUT</v>
      </c>
    </row>
    <row r="127" spans="1:6" x14ac:dyDescent="0.25">
      <c r="A127" s="1">
        <v>44835</v>
      </c>
      <c r="B127" t="s">
        <v>226</v>
      </c>
      <c r="C127" s="6">
        <v>-1923</v>
      </c>
      <c r="D127" t="s">
        <v>227</v>
      </c>
      <c r="E127" t="s">
        <v>53</v>
      </c>
      <c r="F127" t="str">
        <f>UPPER(TEXT(Tabela24[[#This Row],[Coluna1]],"MMM"))</f>
        <v>OUT</v>
      </c>
    </row>
    <row r="128" spans="1:6" x14ac:dyDescent="0.25">
      <c r="A128" s="1">
        <v>44835</v>
      </c>
      <c r="B128" t="s">
        <v>228</v>
      </c>
      <c r="C128" s="6">
        <v>-1038</v>
      </c>
      <c r="D128" t="s">
        <v>229</v>
      </c>
      <c r="E128" t="s">
        <v>59</v>
      </c>
      <c r="F128" t="str">
        <f>UPPER(TEXT(Tabela24[[#This Row],[Coluna1]],"MMM"))</f>
        <v>OUT</v>
      </c>
    </row>
    <row r="129" spans="1:6" x14ac:dyDescent="0.25">
      <c r="A129" s="1">
        <v>44835</v>
      </c>
      <c r="B129" t="s">
        <v>230</v>
      </c>
      <c r="C129" s="6">
        <v>-767</v>
      </c>
      <c r="D129" t="s">
        <v>231</v>
      </c>
      <c r="E129" t="s">
        <v>67</v>
      </c>
      <c r="F129" t="str">
        <f>UPPER(TEXT(Tabela24[[#This Row],[Coluna1]],"MMM"))</f>
        <v>OUT</v>
      </c>
    </row>
    <row r="130" spans="1:6" x14ac:dyDescent="0.25">
      <c r="A130" s="1">
        <v>44835</v>
      </c>
      <c r="B130" t="s">
        <v>232</v>
      </c>
      <c r="C130" s="6">
        <v>-496</v>
      </c>
      <c r="D130" t="s">
        <v>233</v>
      </c>
      <c r="E130" t="s">
        <v>72</v>
      </c>
      <c r="F130" t="str">
        <f>UPPER(TEXT(Tabela24[[#This Row],[Coluna1]],"MMM"))</f>
        <v>OUT</v>
      </c>
    </row>
    <row r="131" spans="1:6" x14ac:dyDescent="0.25">
      <c r="A131" s="1">
        <v>44835</v>
      </c>
      <c r="B131" t="s">
        <v>234</v>
      </c>
      <c r="C131" s="6">
        <v>-500</v>
      </c>
      <c r="D131" t="s">
        <v>235</v>
      </c>
      <c r="E131" t="s">
        <v>77</v>
      </c>
      <c r="F131" t="str">
        <f>UPPER(TEXT(Tabela24[[#This Row],[Coluna1]],"MMM"))</f>
        <v>OUT</v>
      </c>
    </row>
    <row r="132" spans="1:6" x14ac:dyDescent="0.25">
      <c r="A132" s="1">
        <v>44835</v>
      </c>
      <c r="B132" t="s">
        <v>236</v>
      </c>
      <c r="C132" s="6">
        <v>-277</v>
      </c>
      <c r="D132" t="s">
        <v>237</v>
      </c>
      <c r="E132" t="s">
        <v>80</v>
      </c>
      <c r="F132" t="str">
        <f>UPPER(TEXT(Tabela24[[#This Row],[Coluna1]],"MMM"))</f>
        <v>OUT</v>
      </c>
    </row>
    <row r="133" spans="1:6" x14ac:dyDescent="0.25">
      <c r="A133" s="1">
        <v>44835</v>
      </c>
      <c r="B133" t="s">
        <v>238</v>
      </c>
      <c r="C133" s="6">
        <v>-391</v>
      </c>
      <c r="D133" t="s">
        <v>239</v>
      </c>
      <c r="E133" t="s">
        <v>84</v>
      </c>
      <c r="F133" t="str">
        <f>UPPER(TEXT(Tabela24[[#This Row],[Coluna1]],"MMM"))</f>
        <v>OUT</v>
      </c>
    </row>
    <row r="134" spans="1:6" x14ac:dyDescent="0.25">
      <c r="A134" s="1">
        <v>44835</v>
      </c>
      <c r="B134" t="s">
        <v>240</v>
      </c>
      <c r="C134" s="6">
        <v>-116</v>
      </c>
      <c r="D134" t="s">
        <v>241</v>
      </c>
      <c r="E134" t="s">
        <v>92</v>
      </c>
      <c r="F134" t="str">
        <f>UPPER(TEXT(Tabela24[[#This Row],[Coluna1]],"MMM"))</f>
        <v>OUT</v>
      </c>
    </row>
    <row r="135" spans="1:6" x14ac:dyDescent="0.25">
      <c r="A135" s="1">
        <v>44866</v>
      </c>
      <c r="B135" t="s">
        <v>217</v>
      </c>
      <c r="C135" s="6">
        <v>11500</v>
      </c>
      <c r="D135" t="s">
        <v>218</v>
      </c>
      <c r="E135" t="s">
        <v>200</v>
      </c>
      <c r="F135" t="str">
        <f>UPPER(TEXT(Tabela24[[#This Row],[Coluna1]],"MMM"))</f>
        <v>NOV</v>
      </c>
    </row>
    <row r="136" spans="1:6" x14ac:dyDescent="0.25">
      <c r="A136" s="1">
        <v>44866</v>
      </c>
      <c r="B136" t="s">
        <v>219</v>
      </c>
      <c r="C136" s="6">
        <v>-2179</v>
      </c>
      <c r="D136" t="s">
        <v>220</v>
      </c>
      <c r="E136" t="s">
        <v>9</v>
      </c>
      <c r="F136" t="str">
        <f>UPPER(TEXT(Tabela24[[#This Row],[Coluna1]],"MMM"))</f>
        <v>NOV</v>
      </c>
    </row>
    <row r="137" spans="1:6" x14ac:dyDescent="0.25">
      <c r="A137" s="1">
        <v>44866</v>
      </c>
      <c r="B137" t="s">
        <v>221</v>
      </c>
      <c r="C137" s="6">
        <v>-235</v>
      </c>
      <c r="D137" t="s">
        <v>222</v>
      </c>
      <c r="E137" t="s">
        <v>28</v>
      </c>
      <c r="F137" t="str">
        <f>UPPER(TEXT(Tabela24[[#This Row],[Coluna1]],"MMM"))</f>
        <v>NOV</v>
      </c>
    </row>
    <row r="138" spans="1:6" x14ac:dyDescent="0.25">
      <c r="A138" s="1">
        <v>44866</v>
      </c>
      <c r="B138" t="s">
        <v>223</v>
      </c>
      <c r="C138" s="6">
        <v>-1953</v>
      </c>
      <c r="D138" t="s">
        <v>137</v>
      </c>
      <c r="E138" t="s">
        <v>35</v>
      </c>
      <c r="F138" t="str">
        <f>UPPER(TEXT(Tabela24[[#This Row],[Coluna1]],"MMM"))</f>
        <v>NOV</v>
      </c>
    </row>
    <row r="139" spans="1:6" x14ac:dyDescent="0.25">
      <c r="A139" s="1">
        <v>44866</v>
      </c>
      <c r="B139" t="s">
        <v>224</v>
      </c>
      <c r="C139" s="6">
        <v>-704</v>
      </c>
      <c r="D139" t="s">
        <v>225</v>
      </c>
      <c r="E139" t="s">
        <v>41</v>
      </c>
      <c r="F139" t="str">
        <f>UPPER(TEXT(Tabela24[[#This Row],[Coluna1]],"MMM"))</f>
        <v>NOV</v>
      </c>
    </row>
    <row r="140" spans="1:6" x14ac:dyDescent="0.25">
      <c r="A140" s="1">
        <v>44866</v>
      </c>
      <c r="B140" t="s">
        <v>226</v>
      </c>
      <c r="C140" s="6">
        <v>-1920</v>
      </c>
      <c r="D140" t="s">
        <v>227</v>
      </c>
      <c r="E140" t="s">
        <v>53</v>
      </c>
      <c r="F140" t="str">
        <f>UPPER(TEXT(Tabela24[[#This Row],[Coluna1]],"MMM"))</f>
        <v>NOV</v>
      </c>
    </row>
    <row r="141" spans="1:6" x14ac:dyDescent="0.25">
      <c r="A141" s="1">
        <v>44866</v>
      </c>
      <c r="B141" t="s">
        <v>228</v>
      </c>
      <c r="C141" s="6">
        <v>-1122</v>
      </c>
      <c r="D141" t="s">
        <v>229</v>
      </c>
      <c r="E141" t="s">
        <v>59</v>
      </c>
      <c r="F141" t="str">
        <f>UPPER(TEXT(Tabela24[[#This Row],[Coluna1]],"MMM"))</f>
        <v>NOV</v>
      </c>
    </row>
    <row r="142" spans="1:6" x14ac:dyDescent="0.25">
      <c r="A142" s="1">
        <v>44866</v>
      </c>
      <c r="B142" t="s">
        <v>230</v>
      </c>
      <c r="C142" s="6">
        <v>-1061</v>
      </c>
      <c r="D142" t="s">
        <v>231</v>
      </c>
      <c r="E142" t="s">
        <v>67</v>
      </c>
      <c r="F142" t="str">
        <f>UPPER(TEXT(Tabela24[[#This Row],[Coluna1]],"MMM"))</f>
        <v>NOV</v>
      </c>
    </row>
    <row r="143" spans="1:6" x14ac:dyDescent="0.25">
      <c r="A143" s="1">
        <v>44866</v>
      </c>
      <c r="B143" t="s">
        <v>232</v>
      </c>
      <c r="C143" s="6">
        <v>-396</v>
      </c>
      <c r="D143" t="s">
        <v>233</v>
      </c>
      <c r="E143" t="s">
        <v>72</v>
      </c>
      <c r="F143" t="str">
        <f>UPPER(TEXT(Tabela24[[#This Row],[Coluna1]],"MMM"))</f>
        <v>NOV</v>
      </c>
    </row>
    <row r="144" spans="1:6" x14ac:dyDescent="0.25">
      <c r="A144" s="1">
        <v>44866</v>
      </c>
      <c r="B144" t="s">
        <v>234</v>
      </c>
      <c r="C144" s="6">
        <v>-108</v>
      </c>
      <c r="D144" t="s">
        <v>235</v>
      </c>
      <c r="E144" t="s">
        <v>77</v>
      </c>
      <c r="F144" t="str">
        <f>UPPER(TEXT(Tabela24[[#This Row],[Coluna1]],"MMM"))</f>
        <v>NOV</v>
      </c>
    </row>
    <row r="145" spans="1:6" x14ac:dyDescent="0.25">
      <c r="A145" s="1">
        <v>44866</v>
      </c>
      <c r="B145" t="s">
        <v>236</v>
      </c>
      <c r="C145" s="6">
        <v>-369</v>
      </c>
      <c r="D145" t="s">
        <v>237</v>
      </c>
      <c r="E145" t="s">
        <v>80</v>
      </c>
      <c r="F145" t="str">
        <f>UPPER(TEXT(Tabela24[[#This Row],[Coluna1]],"MMM"))</f>
        <v>NOV</v>
      </c>
    </row>
    <row r="146" spans="1:6" x14ac:dyDescent="0.25">
      <c r="A146" s="1">
        <v>44866</v>
      </c>
      <c r="B146" t="s">
        <v>238</v>
      </c>
      <c r="C146" s="6">
        <v>-424</v>
      </c>
      <c r="D146" t="s">
        <v>239</v>
      </c>
      <c r="E146" t="s">
        <v>84</v>
      </c>
      <c r="F146" t="str">
        <f>UPPER(TEXT(Tabela24[[#This Row],[Coluna1]],"MMM"))</f>
        <v>NOV</v>
      </c>
    </row>
    <row r="147" spans="1:6" x14ac:dyDescent="0.25">
      <c r="A147" s="1">
        <v>44866</v>
      </c>
      <c r="B147" t="s">
        <v>240</v>
      </c>
      <c r="C147" s="6">
        <v>-127</v>
      </c>
      <c r="D147" t="s">
        <v>241</v>
      </c>
      <c r="E147" t="s">
        <v>92</v>
      </c>
      <c r="F147" t="str">
        <f>UPPER(TEXT(Tabela24[[#This Row],[Coluna1]],"MMM"))</f>
        <v>NOV</v>
      </c>
    </row>
    <row r="148" spans="1:6" x14ac:dyDescent="0.25">
      <c r="A148" s="1">
        <v>44896</v>
      </c>
      <c r="B148" t="s">
        <v>217</v>
      </c>
      <c r="C148" s="6">
        <v>12500</v>
      </c>
      <c r="D148" t="s">
        <v>218</v>
      </c>
      <c r="E148" t="s">
        <v>200</v>
      </c>
      <c r="F148" t="str">
        <f>UPPER(TEXT(Tabela24[[#This Row],[Coluna1]],"MMM"))</f>
        <v>DEZ</v>
      </c>
    </row>
    <row r="149" spans="1:6" x14ac:dyDescent="0.25">
      <c r="A149" s="1">
        <v>44896</v>
      </c>
      <c r="B149" t="s">
        <v>219</v>
      </c>
      <c r="C149" s="6">
        <v>-1277</v>
      </c>
      <c r="D149" t="s">
        <v>220</v>
      </c>
      <c r="E149" t="s">
        <v>9</v>
      </c>
      <c r="F149" t="str">
        <f>UPPER(TEXT(Tabela24[[#This Row],[Coluna1]],"MMM"))</f>
        <v>DEZ</v>
      </c>
    </row>
    <row r="150" spans="1:6" x14ac:dyDescent="0.25">
      <c r="A150" s="1">
        <v>44896</v>
      </c>
      <c r="B150" t="s">
        <v>221</v>
      </c>
      <c r="C150" s="6">
        <v>-160</v>
      </c>
      <c r="D150" t="s">
        <v>222</v>
      </c>
      <c r="E150" t="s">
        <v>28</v>
      </c>
      <c r="F150" t="str">
        <f>UPPER(TEXT(Tabela24[[#This Row],[Coluna1]],"MMM"))</f>
        <v>DEZ</v>
      </c>
    </row>
    <row r="151" spans="1:6" x14ac:dyDescent="0.25">
      <c r="A151" s="1">
        <v>44896</v>
      </c>
      <c r="B151" t="s">
        <v>223</v>
      </c>
      <c r="C151" s="6">
        <v>-3004</v>
      </c>
      <c r="D151" t="s">
        <v>137</v>
      </c>
      <c r="E151" t="s">
        <v>35</v>
      </c>
      <c r="F151" t="str">
        <f>UPPER(TEXT(Tabela24[[#This Row],[Coluna1]],"MMM"))</f>
        <v>DEZ</v>
      </c>
    </row>
    <row r="152" spans="1:6" x14ac:dyDescent="0.25">
      <c r="A152" s="1">
        <v>44896</v>
      </c>
      <c r="B152" t="s">
        <v>224</v>
      </c>
      <c r="C152" s="6">
        <v>-802</v>
      </c>
      <c r="D152" t="s">
        <v>225</v>
      </c>
      <c r="E152" t="s">
        <v>41</v>
      </c>
      <c r="F152" t="str">
        <f>UPPER(TEXT(Tabela24[[#This Row],[Coluna1]],"MMM"))</f>
        <v>DEZ</v>
      </c>
    </row>
    <row r="153" spans="1:6" x14ac:dyDescent="0.25">
      <c r="A153" s="1">
        <v>44896</v>
      </c>
      <c r="B153" t="s">
        <v>226</v>
      </c>
      <c r="C153" s="6">
        <v>-1744</v>
      </c>
      <c r="D153" t="s">
        <v>227</v>
      </c>
      <c r="E153" t="s">
        <v>53</v>
      </c>
      <c r="F153" t="str">
        <f>UPPER(TEXT(Tabela24[[#This Row],[Coluna1]],"MMM"))</f>
        <v>DEZ</v>
      </c>
    </row>
    <row r="154" spans="1:6" x14ac:dyDescent="0.25">
      <c r="A154" s="1">
        <v>44896</v>
      </c>
      <c r="B154" t="s">
        <v>228</v>
      </c>
      <c r="C154" s="6">
        <v>-1200</v>
      </c>
      <c r="D154" t="s">
        <v>229</v>
      </c>
      <c r="E154" t="s">
        <v>59</v>
      </c>
      <c r="F154" t="str">
        <f>UPPER(TEXT(Tabela24[[#This Row],[Coluna1]],"MMM"))</f>
        <v>DEZ</v>
      </c>
    </row>
    <row r="155" spans="1:6" x14ac:dyDescent="0.25">
      <c r="A155" s="1">
        <v>44896</v>
      </c>
      <c r="B155" t="s">
        <v>230</v>
      </c>
      <c r="C155" s="6">
        <v>-786</v>
      </c>
      <c r="D155" t="s">
        <v>231</v>
      </c>
      <c r="E155" t="s">
        <v>67</v>
      </c>
      <c r="F155" t="str">
        <f>UPPER(TEXT(Tabela24[[#This Row],[Coluna1]],"MMM"))</f>
        <v>DEZ</v>
      </c>
    </row>
    <row r="156" spans="1:6" x14ac:dyDescent="0.25">
      <c r="A156" s="1">
        <v>44896</v>
      </c>
      <c r="B156" t="s">
        <v>232</v>
      </c>
      <c r="C156" s="6">
        <v>-458</v>
      </c>
      <c r="D156" t="s">
        <v>233</v>
      </c>
      <c r="E156" t="s">
        <v>72</v>
      </c>
      <c r="F156" t="str">
        <f>UPPER(TEXT(Tabela24[[#This Row],[Coluna1]],"MMM"))</f>
        <v>DEZ</v>
      </c>
    </row>
    <row r="157" spans="1:6" x14ac:dyDescent="0.25">
      <c r="A157" s="1">
        <v>44896</v>
      </c>
      <c r="B157" t="s">
        <v>234</v>
      </c>
      <c r="C157" s="6">
        <v>-134</v>
      </c>
      <c r="D157" t="s">
        <v>235</v>
      </c>
      <c r="E157" t="s">
        <v>77</v>
      </c>
      <c r="F157" t="str">
        <f>UPPER(TEXT(Tabela24[[#This Row],[Coluna1]],"MMM"))</f>
        <v>DEZ</v>
      </c>
    </row>
    <row r="158" spans="1:6" x14ac:dyDescent="0.25">
      <c r="A158" s="1">
        <v>44896</v>
      </c>
      <c r="B158" t="s">
        <v>236</v>
      </c>
      <c r="C158" s="6">
        <v>-305</v>
      </c>
      <c r="D158" t="s">
        <v>237</v>
      </c>
      <c r="E158" t="s">
        <v>80</v>
      </c>
      <c r="F158" t="str">
        <f>UPPER(TEXT(Tabela24[[#This Row],[Coluna1]],"MMM"))</f>
        <v>DEZ</v>
      </c>
    </row>
    <row r="159" spans="1:6" x14ac:dyDescent="0.25">
      <c r="A159" s="1">
        <v>44896</v>
      </c>
      <c r="B159" t="s">
        <v>238</v>
      </c>
      <c r="C159" s="6">
        <v>-664</v>
      </c>
      <c r="D159" t="s">
        <v>239</v>
      </c>
      <c r="E159" t="s">
        <v>84</v>
      </c>
      <c r="F159" t="str">
        <f>UPPER(TEXT(Tabela24[[#This Row],[Coluna1]],"MMM"))</f>
        <v>DEZ</v>
      </c>
    </row>
    <row r="160" spans="1:6" x14ac:dyDescent="0.25">
      <c r="A160" s="1">
        <v>44896</v>
      </c>
      <c r="B160" t="s">
        <v>240</v>
      </c>
      <c r="C160" s="6">
        <v>-79</v>
      </c>
      <c r="D160" t="s">
        <v>241</v>
      </c>
      <c r="E160" t="s">
        <v>92</v>
      </c>
      <c r="F160" t="str">
        <f>UPPER(TEXT(Tabela24[[#This Row],[Coluna1]],"MMM"))</f>
        <v>DEZ</v>
      </c>
    </row>
    <row r="161" spans="1:6" x14ac:dyDescent="0.25">
      <c r="A161" s="1">
        <v>44897</v>
      </c>
      <c r="B161" t="s">
        <v>284</v>
      </c>
      <c r="C161" s="6">
        <v>-1000</v>
      </c>
      <c r="D161" t="s">
        <v>137</v>
      </c>
      <c r="E161" t="s">
        <v>35</v>
      </c>
      <c r="F161" t="str">
        <f>UPPER(TEXT(Tabela24[[#This Row],[Coluna1]],"MMM"))</f>
        <v>DEZ</v>
      </c>
    </row>
    <row r="162" spans="1:6" x14ac:dyDescent="0.25">
      <c r="A162" s="1"/>
      <c r="C162" s="6"/>
    </row>
    <row r="163" spans="1:6" x14ac:dyDescent="0.25">
      <c r="A163" s="1"/>
      <c r="C163" s="6"/>
    </row>
    <row r="164" spans="1:6" x14ac:dyDescent="0.25">
      <c r="A164" s="1"/>
      <c r="C164" s="6"/>
    </row>
    <row r="165" spans="1:6" x14ac:dyDescent="0.25">
      <c r="A165" s="1"/>
      <c r="C165" s="6"/>
    </row>
    <row r="166" spans="1:6" x14ac:dyDescent="0.25">
      <c r="A166" s="1"/>
      <c r="C166" s="6"/>
    </row>
    <row r="167" spans="1:6" x14ac:dyDescent="0.25">
      <c r="A167" s="1"/>
      <c r="C167" s="6"/>
    </row>
    <row r="168" spans="1:6" x14ac:dyDescent="0.25">
      <c r="A168" s="1"/>
      <c r="C168" s="6"/>
    </row>
    <row r="169" spans="1:6" x14ac:dyDescent="0.25">
      <c r="A169" s="1"/>
      <c r="C169" s="6"/>
    </row>
    <row r="170" spans="1:6" x14ac:dyDescent="0.25">
      <c r="A170" s="1"/>
      <c r="C170" s="6"/>
    </row>
    <row r="171" spans="1:6" x14ac:dyDescent="0.25">
      <c r="A171" s="1"/>
      <c r="C171" s="6"/>
    </row>
    <row r="172" spans="1:6" x14ac:dyDescent="0.25">
      <c r="A172" s="1"/>
      <c r="C172" s="6"/>
    </row>
    <row r="173" spans="1:6" x14ac:dyDescent="0.25">
      <c r="A173" s="1"/>
      <c r="C173" s="6"/>
    </row>
    <row r="174" spans="1:6" x14ac:dyDescent="0.25">
      <c r="A174" s="1"/>
      <c r="C174" s="6"/>
    </row>
    <row r="175" spans="1:6" x14ac:dyDescent="0.25">
      <c r="A175" s="1"/>
      <c r="C175" s="6"/>
    </row>
    <row r="176" spans="1:6" x14ac:dyDescent="0.25">
      <c r="A176" s="1"/>
      <c r="C176" s="6"/>
    </row>
    <row r="177" spans="1:3" x14ac:dyDescent="0.25">
      <c r="A177" s="1"/>
      <c r="C177" s="6"/>
    </row>
    <row r="178" spans="1:3" x14ac:dyDescent="0.25">
      <c r="A178" s="1"/>
      <c r="C178" s="6"/>
    </row>
    <row r="179" spans="1:3" x14ac:dyDescent="0.25">
      <c r="A179" s="1"/>
      <c r="C179" s="6"/>
    </row>
    <row r="180" spans="1:3" x14ac:dyDescent="0.25">
      <c r="A180" s="1"/>
      <c r="C180" s="6"/>
    </row>
    <row r="181" spans="1:3" x14ac:dyDescent="0.25">
      <c r="A181" s="1"/>
      <c r="C181" s="6"/>
    </row>
    <row r="182" spans="1:3" x14ac:dyDescent="0.25">
      <c r="A182" s="1"/>
      <c r="C182" s="6"/>
    </row>
    <row r="183" spans="1:3" x14ac:dyDescent="0.25">
      <c r="A183" s="1"/>
      <c r="C183" s="6"/>
    </row>
    <row r="184" spans="1:3" x14ac:dyDescent="0.25">
      <c r="A184" s="1"/>
      <c r="C184" s="6"/>
    </row>
    <row r="185" spans="1:3" x14ac:dyDescent="0.25">
      <c r="A185" s="1"/>
      <c r="C185" s="6"/>
    </row>
    <row r="186" spans="1:3" x14ac:dyDescent="0.25">
      <c r="A186" s="1"/>
      <c r="C186" s="6"/>
    </row>
    <row r="187" spans="1:3" x14ac:dyDescent="0.25">
      <c r="A187" s="1"/>
      <c r="C187" s="6"/>
    </row>
    <row r="188" spans="1:3" x14ac:dyDescent="0.25">
      <c r="A188" s="1"/>
      <c r="C188" s="6"/>
    </row>
    <row r="189" spans="1:3" x14ac:dyDescent="0.25">
      <c r="A189" s="1"/>
      <c r="C189" s="6"/>
    </row>
    <row r="190" spans="1:3" x14ac:dyDescent="0.25">
      <c r="A190" s="1"/>
      <c r="C190" s="6"/>
    </row>
    <row r="191" spans="1:3" x14ac:dyDescent="0.25">
      <c r="A191" s="1"/>
      <c r="C191" s="6"/>
    </row>
    <row r="192" spans="1:3" x14ac:dyDescent="0.25">
      <c r="A192" s="1"/>
      <c r="C192" s="6"/>
    </row>
    <row r="193" spans="1:3" x14ac:dyDescent="0.25">
      <c r="A193" s="1"/>
      <c r="C193" s="6"/>
    </row>
    <row r="194" spans="1:3" x14ac:dyDescent="0.25">
      <c r="A194" s="1"/>
      <c r="C194" s="6"/>
    </row>
    <row r="195" spans="1:3" x14ac:dyDescent="0.25">
      <c r="A195" s="1"/>
      <c r="C195" s="6"/>
    </row>
    <row r="196" spans="1:3" x14ac:dyDescent="0.25">
      <c r="A196" s="1"/>
      <c r="C196" s="6"/>
    </row>
    <row r="197" spans="1:3" x14ac:dyDescent="0.25">
      <c r="A197" s="1"/>
      <c r="C197" s="6"/>
    </row>
    <row r="198" spans="1:3" x14ac:dyDescent="0.25">
      <c r="A198" s="1"/>
      <c r="C198" s="6"/>
    </row>
    <row r="199" spans="1:3" x14ac:dyDescent="0.25">
      <c r="A199" s="1"/>
      <c r="C199" s="6"/>
    </row>
    <row r="200" spans="1:3" x14ac:dyDescent="0.25">
      <c r="A200" s="1"/>
      <c r="C200" s="6"/>
    </row>
    <row r="201" spans="1:3" x14ac:dyDescent="0.25">
      <c r="A201" s="1"/>
      <c r="C201" s="6"/>
    </row>
    <row r="202" spans="1:3" x14ac:dyDescent="0.25">
      <c r="A202" s="1"/>
      <c r="C202" s="6"/>
    </row>
    <row r="203" spans="1:3" x14ac:dyDescent="0.25">
      <c r="A203" s="1"/>
      <c r="C203" s="6"/>
    </row>
    <row r="204" spans="1:3" x14ac:dyDescent="0.25">
      <c r="A204" s="1"/>
      <c r="C204" s="6"/>
    </row>
    <row r="205" spans="1:3" x14ac:dyDescent="0.25">
      <c r="A205" s="1"/>
      <c r="C205" s="6"/>
    </row>
    <row r="206" spans="1:3" x14ac:dyDescent="0.25">
      <c r="A206" s="1"/>
      <c r="C206" s="6"/>
    </row>
    <row r="207" spans="1:3" x14ac:dyDescent="0.25">
      <c r="A207" s="1"/>
      <c r="C207" s="6"/>
    </row>
    <row r="208" spans="1:3" x14ac:dyDescent="0.25">
      <c r="A208" s="1"/>
      <c r="C208" s="6"/>
    </row>
    <row r="209" spans="1:3" x14ac:dyDescent="0.25">
      <c r="A209" s="1"/>
      <c r="C209" s="6"/>
    </row>
    <row r="210" spans="1:3" x14ac:dyDescent="0.25">
      <c r="A210" s="1"/>
      <c r="C210" s="6"/>
    </row>
    <row r="211" spans="1:3" x14ac:dyDescent="0.25">
      <c r="A211" s="1"/>
      <c r="C211" s="6"/>
    </row>
    <row r="212" spans="1:3" x14ac:dyDescent="0.25">
      <c r="A212" s="1"/>
      <c r="C212" s="6"/>
    </row>
    <row r="213" spans="1:3" x14ac:dyDescent="0.25">
      <c r="A213" s="1"/>
      <c r="C213" s="6"/>
    </row>
    <row r="214" spans="1:3" x14ac:dyDescent="0.25">
      <c r="A214" s="1"/>
      <c r="C214" s="6"/>
    </row>
    <row r="215" spans="1:3" x14ac:dyDescent="0.25">
      <c r="A215" s="1"/>
      <c r="C215" s="6"/>
    </row>
    <row r="216" spans="1:3" x14ac:dyDescent="0.25">
      <c r="A216" s="1"/>
      <c r="C216" s="6"/>
    </row>
    <row r="217" spans="1:3" x14ac:dyDescent="0.25">
      <c r="A217" s="1"/>
      <c r="C217" s="6"/>
    </row>
    <row r="218" spans="1:3" x14ac:dyDescent="0.25">
      <c r="A218" s="1"/>
      <c r="C218" s="6"/>
    </row>
    <row r="219" spans="1:3" x14ac:dyDescent="0.25">
      <c r="A219" s="1"/>
      <c r="C219" s="6"/>
    </row>
    <row r="220" spans="1:3" x14ac:dyDescent="0.25">
      <c r="A220" s="1"/>
      <c r="C220" s="6"/>
    </row>
    <row r="221" spans="1:3" x14ac:dyDescent="0.25">
      <c r="A221" s="1"/>
      <c r="C221" s="6"/>
    </row>
    <row r="222" spans="1:3" x14ac:dyDescent="0.25">
      <c r="A222" s="1"/>
      <c r="C222" s="6"/>
    </row>
    <row r="223" spans="1:3" x14ac:dyDescent="0.25">
      <c r="A223" s="1"/>
      <c r="C223" s="6"/>
    </row>
    <row r="224" spans="1:3" x14ac:dyDescent="0.25">
      <c r="A224" s="1"/>
      <c r="C224" s="6"/>
    </row>
    <row r="225" spans="1:3" x14ac:dyDescent="0.25">
      <c r="A225" s="1"/>
      <c r="C225" s="6"/>
    </row>
    <row r="226" spans="1:3" x14ac:dyDescent="0.25">
      <c r="A226" s="1"/>
      <c r="C226" s="6"/>
    </row>
    <row r="227" spans="1:3" x14ac:dyDescent="0.25">
      <c r="A227" s="1"/>
      <c r="C227" s="6"/>
    </row>
    <row r="228" spans="1:3" x14ac:dyDescent="0.25">
      <c r="A228" s="1"/>
      <c r="C228" s="6"/>
    </row>
    <row r="229" spans="1:3" x14ac:dyDescent="0.25">
      <c r="A229" s="1"/>
      <c r="C229" s="6"/>
    </row>
    <row r="230" spans="1:3" x14ac:dyDescent="0.25">
      <c r="A230" s="1"/>
      <c r="C230" s="6"/>
    </row>
    <row r="231" spans="1:3" x14ac:dyDescent="0.25">
      <c r="A231" s="1"/>
      <c r="C231" s="6"/>
    </row>
    <row r="232" spans="1:3" x14ac:dyDescent="0.25">
      <c r="A232" s="1"/>
      <c r="C232" s="6"/>
    </row>
    <row r="233" spans="1:3" x14ac:dyDescent="0.25">
      <c r="A233" s="1"/>
      <c r="C233" s="6"/>
    </row>
    <row r="234" spans="1:3" x14ac:dyDescent="0.25">
      <c r="A234" s="1"/>
      <c r="C234" s="6"/>
    </row>
    <row r="235" spans="1:3" x14ac:dyDescent="0.25">
      <c r="A235" s="1"/>
      <c r="C235" s="6"/>
    </row>
    <row r="236" spans="1:3" x14ac:dyDescent="0.25">
      <c r="A236" s="1"/>
      <c r="C236" s="6"/>
    </row>
    <row r="237" spans="1:3" x14ac:dyDescent="0.25">
      <c r="A237" s="1"/>
      <c r="C237" s="6"/>
    </row>
    <row r="238" spans="1:3" x14ac:dyDescent="0.25">
      <c r="A238" s="1"/>
      <c r="C238" s="6"/>
    </row>
    <row r="239" spans="1:3" x14ac:dyDescent="0.25">
      <c r="A239" s="1"/>
      <c r="C239" s="6"/>
    </row>
    <row r="240" spans="1:3" x14ac:dyDescent="0.25">
      <c r="A240" s="1"/>
      <c r="C240" s="6"/>
    </row>
    <row r="241" spans="1:3" x14ac:dyDescent="0.25">
      <c r="A241" s="1"/>
      <c r="C241" s="6"/>
    </row>
    <row r="242" spans="1:3" x14ac:dyDescent="0.25">
      <c r="A242" s="1"/>
      <c r="C242" s="6"/>
    </row>
    <row r="243" spans="1:3" x14ac:dyDescent="0.25">
      <c r="A243" s="1"/>
      <c r="C243" s="6"/>
    </row>
    <row r="244" spans="1:3" x14ac:dyDescent="0.25">
      <c r="A244" s="1"/>
      <c r="C244" s="6"/>
    </row>
    <row r="245" spans="1:3" x14ac:dyDescent="0.25">
      <c r="A245" s="1"/>
      <c r="C245" s="6"/>
    </row>
    <row r="246" spans="1:3" x14ac:dyDescent="0.25">
      <c r="A246" s="1"/>
      <c r="C246" s="6"/>
    </row>
    <row r="247" spans="1:3" x14ac:dyDescent="0.25">
      <c r="A247" s="1"/>
      <c r="C247" s="6"/>
    </row>
    <row r="248" spans="1:3" x14ac:dyDescent="0.25">
      <c r="A248" s="1"/>
      <c r="C248" s="6"/>
    </row>
    <row r="249" spans="1:3" x14ac:dyDescent="0.25">
      <c r="A249" s="1"/>
      <c r="C249" s="6"/>
    </row>
    <row r="250" spans="1:3" x14ac:dyDescent="0.25">
      <c r="A250" s="1"/>
      <c r="C250" s="6"/>
    </row>
    <row r="251" spans="1:3" x14ac:dyDescent="0.25">
      <c r="A251" s="1"/>
      <c r="C251" s="6"/>
    </row>
    <row r="252" spans="1:3" x14ac:dyDescent="0.25">
      <c r="A252" s="1"/>
      <c r="C252" s="6"/>
    </row>
    <row r="253" spans="1:3" x14ac:dyDescent="0.25">
      <c r="A253" s="1"/>
      <c r="C253" s="6"/>
    </row>
    <row r="254" spans="1:3" x14ac:dyDescent="0.25">
      <c r="A254" s="1"/>
      <c r="C254" s="6"/>
    </row>
    <row r="255" spans="1:3" x14ac:dyDescent="0.25">
      <c r="A255" s="1"/>
      <c r="C255" s="6"/>
    </row>
    <row r="256" spans="1:3" x14ac:dyDescent="0.25">
      <c r="A256" s="1"/>
      <c r="C256" s="6"/>
    </row>
    <row r="257" spans="1:3" x14ac:dyDescent="0.25">
      <c r="A257" s="1"/>
      <c r="C257" s="6"/>
    </row>
    <row r="258" spans="1:3" x14ac:dyDescent="0.25">
      <c r="A258" s="1"/>
      <c r="C258" s="6"/>
    </row>
    <row r="259" spans="1:3" x14ac:dyDescent="0.25">
      <c r="A259" s="1"/>
      <c r="C259" s="6"/>
    </row>
    <row r="260" spans="1:3" x14ac:dyDescent="0.25">
      <c r="A260" s="1"/>
      <c r="C260" s="6"/>
    </row>
    <row r="261" spans="1:3" x14ac:dyDescent="0.25">
      <c r="A261" s="1"/>
      <c r="C261" s="6"/>
    </row>
    <row r="262" spans="1:3" x14ac:dyDescent="0.25">
      <c r="A262" s="1"/>
      <c r="C262" s="6"/>
    </row>
    <row r="263" spans="1:3" x14ac:dyDescent="0.25">
      <c r="A263" s="1"/>
      <c r="C263" s="6"/>
    </row>
    <row r="264" spans="1:3" x14ac:dyDescent="0.25">
      <c r="A264" s="1"/>
      <c r="C264" s="6"/>
    </row>
    <row r="265" spans="1:3" x14ac:dyDescent="0.25">
      <c r="A265" s="1"/>
      <c r="C265" s="6"/>
    </row>
    <row r="266" spans="1:3" x14ac:dyDescent="0.25">
      <c r="A266" s="1"/>
      <c r="C266" s="6"/>
    </row>
    <row r="267" spans="1:3" x14ac:dyDescent="0.25">
      <c r="A267" s="1"/>
      <c r="C267" s="6"/>
    </row>
    <row r="268" spans="1:3" x14ac:dyDescent="0.25">
      <c r="A268" s="1"/>
      <c r="C268" s="6"/>
    </row>
    <row r="269" spans="1:3" x14ac:dyDescent="0.25">
      <c r="A269" s="1"/>
      <c r="C269" s="6"/>
    </row>
    <row r="270" spans="1:3" x14ac:dyDescent="0.25">
      <c r="A270" s="1"/>
      <c r="C270" s="6"/>
    </row>
    <row r="271" spans="1:3" x14ac:dyDescent="0.25">
      <c r="A271" s="1"/>
      <c r="C271" s="6"/>
    </row>
    <row r="272" spans="1:3" x14ac:dyDescent="0.25">
      <c r="A272" s="1"/>
      <c r="C272" s="6"/>
    </row>
    <row r="273" spans="1:3" x14ac:dyDescent="0.25">
      <c r="A273" s="1"/>
      <c r="C273" s="6"/>
    </row>
    <row r="274" spans="1:3" x14ac:dyDescent="0.25">
      <c r="A274" s="1"/>
      <c r="C274" s="6"/>
    </row>
    <row r="275" spans="1:3" x14ac:dyDescent="0.25">
      <c r="A275" s="1"/>
      <c r="C275" s="6"/>
    </row>
    <row r="276" spans="1:3" x14ac:dyDescent="0.25">
      <c r="A276" s="1"/>
      <c r="C276" s="6"/>
    </row>
    <row r="277" spans="1:3" x14ac:dyDescent="0.25">
      <c r="A277" s="1"/>
      <c r="C277" s="6"/>
    </row>
    <row r="278" spans="1:3" x14ac:dyDescent="0.25">
      <c r="A278" s="1"/>
      <c r="C278" s="6"/>
    </row>
    <row r="279" spans="1:3" x14ac:dyDescent="0.25">
      <c r="A279" s="1"/>
      <c r="C279" s="6"/>
    </row>
    <row r="280" spans="1:3" x14ac:dyDescent="0.25">
      <c r="A280" s="1"/>
      <c r="C280" s="6"/>
    </row>
    <row r="281" spans="1:3" x14ac:dyDescent="0.25">
      <c r="A281" s="1"/>
      <c r="C281" s="6"/>
    </row>
    <row r="282" spans="1:3" x14ac:dyDescent="0.25">
      <c r="A282" s="1"/>
      <c r="C282" s="6"/>
    </row>
    <row r="283" spans="1:3" x14ac:dyDescent="0.25">
      <c r="A283" s="1"/>
      <c r="C283" s="6"/>
    </row>
    <row r="284" spans="1:3" x14ac:dyDescent="0.25">
      <c r="A284" s="1"/>
      <c r="C284" s="6"/>
    </row>
    <row r="285" spans="1:3" x14ac:dyDescent="0.25">
      <c r="A285" s="1"/>
      <c r="C285" s="6"/>
    </row>
    <row r="286" spans="1:3" x14ac:dyDescent="0.25">
      <c r="A286" s="1"/>
      <c r="C286" s="6"/>
    </row>
    <row r="287" spans="1:3" x14ac:dyDescent="0.25">
      <c r="A287" s="1"/>
      <c r="C287" s="6"/>
    </row>
    <row r="288" spans="1:3" x14ac:dyDescent="0.25">
      <c r="A288" s="1"/>
      <c r="C288" s="6"/>
    </row>
    <row r="289" spans="1:3" x14ac:dyDescent="0.25">
      <c r="A289" s="1"/>
      <c r="C289" s="6"/>
    </row>
    <row r="290" spans="1:3" x14ac:dyDescent="0.25">
      <c r="A290" s="1"/>
      <c r="C290" s="6"/>
    </row>
    <row r="291" spans="1:3" x14ac:dyDescent="0.25">
      <c r="A291" s="1"/>
      <c r="C291" s="6"/>
    </row>
    <row r="292" spans="1:3" x14ac:dyDescent="0.25">
      <c r="A292" s="1"/>
      <c r="C292" s="6"/>
    </row>
    <row r="293" spans="1:3" x14ac:dyDescent="0.25">
      <c r="A293" s="1"/>
      <c r="C293" s="6"/>
    </row>
    <row r="294" spans="1:3" x14ac:dyDescent="0.25">
      <c r="A294" s="1"/>
      <c r="C294" s="6"/>
    </row>
    <row r="295" spans="1:3" x14ac:dyDescent="0.25">
      <c r="A295" s="1"/>
      <c r="C295" s="6"/>
    </row>
    <row r="296" spans="1:3" x14ac:dyDescent="0.25">
      <c r="A296" s="1"/>
      <c r="C296" s="6"/>
    </row>
    <row r="297" spans="1:3" x14ac:dyDescent="0.25">
      <c r="A297" s="1"/>
      <c r="C297" s="6"/>
    </row>
    <row r="298" spans="1:3" x14ac:dyDescent="0.25">
      <c r="A298" s="1"/>
      <c r="C298" s="6"/>
    </row>
    <row r="299" spans="1:3" x14ac:dyDescent="0.25">
      <c r="A299" s="1"/>
      <c r="C299" s="6"/>
    </row>
    <row r="300" spans="1:3" x14ac:dyDescent="0.25">
      <c r="A300" s="1"/>
      <c r="C300" s="6"/>
    </row>
    <row r="301" spans="1:3" x14ac:dyDescent="0.25">
      <c r="A301" s="1"/>
      <c r="C301" s="6"/>
    </row>
    <row r="302" spans="1:3" x14ac:dyDescent="0.25">
      <c r="A302" s="1"/>
      <c r="C302" s="6"/>
    </row>
    <row r="303" spans="1:3" x14ac:dyDescent="0.25">
      <c r="A303" s="1"/>
      <c r="C303" s="6"/>
    </row>
    <row r="304" spans="1:3" x14ac:dyDescent="0.25">
      <c r="A304" s="1"/>
      <c r="C304" s="6"/>
    </row>
    <row r="305" spans="1:3" x14ac:dyDescent="0.25">
      <c r="A305" s="1"/>
      <c r="C305" s="6"/>
    </row>
    <row r="306" spans="1:3" x14ac:dyDescent="0.25">
      <c r="A306" s="1"/>
      <c r="C306" s="6"/>
    </row>
    <row r="307" spans="1:3" x14ac:dyDescent="0.25">
      <c r="A307" s="1"/>
      <c r="C307" s="6"/>
    </row>
    <row r="308" spans="1:3" x14ac:dyDescent="0.25">
      <c r="A308" s="1"/>
      <c r="C308" s="6"/>
    </row>
    <row r="309" spans="1:3" x14ac:dyDescent="0.25">
      <c r="A309" s="1"/>
      <c r="C309" s="6"/>
    </row>
    <row r="310" spans="1:3" x14ac:dyDescent="0.25">
      <c r="A310" s="1"/>
      <c r="C310" s="6"/>
    </row>
    <row r="311" spans="1:3" x14ac:dyDescent="0.25">
      <c r="A311" s="1"/>
      <c r="C311" s="6"/>
    </row>
    <row r="312" spans="1:3" x14ac:dyDescent="0.25">
      <c r="A312" s="1"/>
      <c r="C312" s="6"/>
    </row>
    <row r="313" spans="1:3" x14ac:dyDescent="0.25">
      <c r="A313" s="1"/>
      <c r="C313" s="6"/>
    </row>
    <row r="314" spans="1:3" x14ac:dyDescent="0.25">
      <c r="A314" s="1"/>
    </row>
  </sheetData>
  <phoneticPr fontId="10" type="noConversion"/>
  <conditionalFormatting sqref="C5:C161">
    <cfRule type="cellIs" dxfId="1" priority="7" operator="lessThan">
      <formula>0</formula>
    </cfRule>
    <cfRule type="cellIs" dxfId="0" priority="8" operator="greaterThan">
      <formula>0</formula>
    </cfRule>
  </conditionalFormatting>
  <dataValidations count="2">
    <dataValidation type="list" allowBlank="1" showInputMessage="1" showErrorMessage="1" sqref="D5:D161" xr:uid="{109C1964-5211-4496-9A56-D409C2BB3862}">
      <formula1>CATEGORIA</formula1>
    </dataValidation>
    <dataValidation type="list" allowBlank="1" showInputMessage="1" showErrorMessage="1" sqref="E5:E161" xr:uid="{711FD275-5F43-4371-8B0D-C99C344353A4}">
      <formula1>INDIRECT(D5)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8215-5A0B-4ACE-8424-01A4EAA7D3EB}">
  <sheetPr codeName="Planilha7"/>
  <dimension ref="A1:P34"/>
  <sheetViews>
    <sheetView showGridLines="0" zoomScaleNormal="100" workbookViewId="0">
      <pane ySplit="5" topLeftCell="A6" activePane="bottomLeft" state="frozen"/>
      <selection pane="bottomLeft" activeCell="B6" sqref="B6"/>
    </sheetView>
  </sheetViews>
  <sheetFormatPr defaultColWidth="0" defaultRowHeight="15" x14ac:dyDescent="0.25"/>
  <cols>
    <col min="1" max="1" width="12.5703125" bestFit="1" customWidth="1"/>
    <col min="2" max="2" width="6.28515625" customWidth="1"/>
    <col min="3" max="3" width="9.42578125" customWidth="1"/>
    <col min="4" max="4" width="22.28515625" bestFit="1" customWidth="1"/>
    <col min="5" max="5" width="14.28515625" bestFit="1" customWidth="1"/>
    <col min="6" max="6" width="1.7109375" customWidth="1"/>
    <col min="7" max="7" width="21.7109375" bestFit="1" customWidth="1"/>
    <col min="8" max="8" width="15.85546875" bestFit="1" customWidth="1"/>
    <col min="9" max="9" width="16.140625" bestFit="1" customWidth="1"/>
    <col min="10" max="10" width="14.28515625" bestFit="1" customWidth="1"/>
    <col min="11" max="11" width="1.7109375" customWidth="1"/>
    <col min="12" max="12" width="17.42578125" customWidth="1"/>
    <col min="13" max="13" width="9.85546875" customWidth="1"/>
    <col min="14" max="14" width="11.28515625" customWidth="1"/>
    <col min="15" max="15" width="15.85546875" bestFit="1" customWidth="1"/>
    <col min="16" max="16" width="0" hidden="1" customWidth="1"/>
    <col min="17" max="16384" width="9.140625" hidden="1"/>
  </cols>
  <sheetData>
    <row r="1" spans="1:15" ht="9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93"/>
      <c r="O1" s="93"/>
    </row>
    <row r="2" spans="1:15" ht="50.1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93"/>
      <c r="O2" s="93"/>
    </row>
    <row r="3" spans="1:15" ht="9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15" ht="50.1" customHeight="1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30" customHeight="1" x14ac:dyDescent="0.25">
      <c r="A5" s="64" t="s">
        <v>156</v>
      </c>
      <c r="B5" s="65" t="s">
        <v>158</v>
      </c>
      <c r="C5" s="65" t="s">
        <v>163</v>
      </c>
      <c r="D5" s="64" t="s">
        <v>157</v>
      </c>
      <c r="E5" s="64" t="s">
        <v>161</v>
      </c>
      <c r="F5" s="63"/>
      <c r="G5" s="64" t="s">
        <v>164</v>
      </c>
      <c r="H5" s="64" t="s">
        <v>161</v>
      </c>
      <c r="I5" s="64" t="s">
        <v>162</v>
      </c>
      <c r="J5" s="64" t="s">
        <v>165</v>
      </c>
      <c r="K5" s="63"/>
      <c r="L5" s="65" t="s">
        <v>175</v>
      </c>
      <c r="M5" s="65" t="s">
        <v>193</v>
      </c>
      <c r="N5" s="65" t="s">
        <v>176</v>
      </c>
      <c r="O5" s="65" t="s">
        <v>177</v>
      </c>
    </row>
    <row r="6" spans="1:15" x14ac:dyDescent="0.25">
      <c r="A6" t="s">
        <v>278</v>
      </c>
      <c r="B6" t="s">
        <v>160</v>
      </c>
      <c r="C6" t="s">
        <v>242</v>
      </c>
      <c r="D6" t="s">
        <v>243</v>
      </c>
      <c r="E6" s="10">
        <v>100000</v>
      </c>
      <c r="G6" t="s">
        <v>266</v>
      </c>
      <c r="H6" s="10">
        <v>220</v>
      </c>
      <c r="I6" s="10">
        <v>70000</v>
      </c>
      <c r="J6" s="11">
        <f>Tabela22[[#This Row],[Valor]]-Tabela22[[#This Row],[Saldo devedor]]</f>
        <v>-69780</v>
      </c>
      <c r="L6" t="s">
        <v>270</v>
      </c>
      <c r="M6" s="2">
        <v>5</v>
      </c>
      <c r="N6" s="10">
        <v>650</v>
      </c>
      <c r="O6" s="10">
        <v>3200</v>
      </c>
    </row>
    <row r="7" spans="1:15" x14ac:dyDescent="0.25">
      <c r="A7" t="s">
        <v>279</v>
      </c>
      <c r="B7" t="s">
        <v>159</v>
      </c>
      <c r="C7" t="s">
        <v>242</v>
      </c>
      <c r="D7" t="s">
        <v>243</v>
      </c>
      <c r="E7" s="10">
        <v>270000</v>
      </c>
      <c r="G7" t="s">
        <v>247</v>
      </c>
      <c r="H7" s="10">
        <v>450000</v>
      </c>
      <c r="I7" s="10">
        <v>180000</v>
      </c>
      <c r="J7" s="11">
        <f>Tabela22[[#This Row],[Valor]]-Tabela22[[#This Row],[Saldo devedor]]</f>
        <v>270000</v>
      </c>
      <c r="L7" t="s">
        <v>271</v>
      </c>
      <c r="M7" s="2"/>
      <c r="N7" s="10"/>
      <c r="O7" s="10">
        <v>2280</v>
      </c>
    </row>
    <row r="8" spans="1:15" x14ac:dyDescent="0.25">
      <c r="A8" t="s">
        <v>244</v>
      </c>
      <c r="B8" t="s">
        <v>159</v>
      </c>
      <c r="C8" t="s">
        <v>187</v>
      </c>
      <c r="D8" t="s">
        <v>245</v>
      </c>
      <c r="E8" s="10">
        <v>7000</v>
      </c>
      <c r="G8" t="s">
        <v>267</v>
      </c>
      <c r="H8" s="10">
        <v>85000</v>
      </c>
      <c r="I8" s="10"/>
      <c r="J8" s="11">
        <f>Tabela22[[#This Row],[Valor]]-Tabela22[[#This Row],[Saldo devedor]]</f>
        <v>85000</v>
      </c>
      <c r="L8" t="s">
        <v>272</v>
      </c>
      <c r="M8" s="2"/>
      <c r="N8" s="10"/>
      <c r="O8" s="10">
        <v>3700</v>
      </c>
    </row>
    <row r="9" spans="1:15" x14ac:dyDescent="0.25">
      <c r="A9" t="s">
        <v>280</v>
      </c>
      <c r="B9" t="s">
        <v>160</v>
      </c>
      <c r="C9" t="s">
        <v>185</v>
      </c>
      <c r="D9" t="s">
        <v>282</v>
      </c>
      <c r="E9" s="10">
        <v>1000</v>
      </c>
      <c r="G9" t="s">
        <v>268</v>
      </c>
      <c r="H9" s="10">
        <v>58000</v>
      </c>
      <c r="I9" s="10">
        <v>0</v>
      </c>
      <c r="J9" s="11">
        <f>Tabela22[[#This Row],[Valor]]-Tabela22[[#This Row],[Saldo devedor]]</f>
        <v>58000</v>
      </c>
      <c r="M9" s="2"/>
      <c r="N9" s="10"/>
      <c r="O9" s="10"/>
    </row>
    <row r="10" spans="1:15" x14ac:dyDescent="0.25">
      <c r="A10" t="s">
        <v>281</v>
      </c>
      <c r="B10" t="s">
        <v>159</v>
      </c>
      <c r="C10" t="s">
        <v>186</v>
      </c>
      <c r="D10" t="s">
        <v>283</v>
      </c>
      <c r="E10" s="10">
        <v>2000</v>
      </c>
      <c r="G10" t="s">
        <v>269</v>
      </c>
      <c r="H10" s="10">
        <v>6000</v>
      </c>
      <c r="I10" s="10"/>
      <c r="J10" s="11">
        <f>Tabela22[[#This Row],[Valor]]-Tabela22[[#This Row],[Saldo devedor]]</f>
        <v>6000</v>
      </c>
      <c r="O10" s="11"/>
    </row>
    <row r="11" spans="1:15" x14ac:dyDescent="0.25">
      <c r="B11" t="s">
        <v>159</v>
      </c>
      <c r="C11" t="s">
        <v>185</v>
      </c>
      <c r="E11" s="10"/>
      <c r="G11" t="s">
        <v>248</v>
      </c>
      <c r="H11" s="10">
        <v>30000</v>
      </c>
      <c r="I11" s="10"/>
      <c r="J11" s="11">
        <f>Tabela22[[#This Row],[Valor]]-Tabela22[[#This Row],[Saldo devedor]]</f>
        <v>30000</v>
      </c>
    </row>
    <row r="12" spans="1:15" x14ac:dyDescent="0.25">
      <c r="B12" t="s">
        <v>160</v>
      </c>
      <c r="C12" t="s">
        <v>186</v>
      </c>
      <c r="E12" s="10"/>
    </row>
    <row r="13" spans="1:15" x14ac:dyDescent="0.25">
      <c r="B13" t="s">
        <v>159</v>
      </c>
      <c r="C13" t="s">
        <v>187</v>
      </c>
      <c r="E13" s="10"/>
    </row>
    <row r="14" spans="1:15" x14ac:dyDescent="0.25">
      <c r="B14" t="s">
        <v>159</v>
      </c>
      <c r="C14" t="s">
        <v>246</v>
      </c>
      <c r="E14" s="10"/>
    </row>
    <row r="15" spans="1:15" x14ac:dyDescent="0.25">
      <c r="B15" t="s">
        <v>159</v>
      </c>
      <c r="C15" t="s">
        <v>242</v>
      </c>
      <c r="E15" s="10"/>
      <c r="J15" s="11"/>
    </row>
    <row r="16" spans="1:15" x14ac:dyDescent="0.25">
      <c r="B16" t="s">
        <v>159</v>
      </c>
      <c r="C16" t="s">
        <v>246</v>
      </c>
      <c r="E16" s="10"/>
    </row>
    <row r="17" spans="2:5" x14ac:dyDescent="0.25">
      <c r="B17" t="s">
        <v>160</v>
      </c>
      <c r="C17" t="s">
        <v>186</v>
      </c>
      <c r="E17" s="10"/>
    </row>
    <row r="18" spans="2:5" x14ac:dyDescent="0.25">
      <c r="B18" t="s">
        <v>160</v>
      </c>
      <c r="C18" t="s">
        <v>246</v>
      </c>
      <c r="E18" s="10"/>
    </row>
    <row r="19" spans="2:5" x14ac:dyDescent="0.25">
      <c r="B19" t="s">
        <v>160</v>
      </c>
      <c r="C19" t="s">
        <v>246</v>
      </c>
      <c r="E19" s="10"/>
    </row>
    <row r="20" spans="2:5" x14ac:dyDescent="0.25">
      <c r="B20" t="s">
        <v>159</v>
      </c>
      <c r="C20" t="s">
        <v>246</v>
      </c>
      <c r="E20" s="10"/>
    </row>
    <row r="21" spans="2:5" x14ac:dyDescent="0.25">
      <c r="B21" t="s">
        <v>159</v>
      </c>
      <c r="C21" t="s">
        <v>246</v>
      </c>
      <c r="E21" s="10"/>
    </row>
    <row r="22" spans="2:5" x14ac:dyDescent="0.25">
      <c r="E22" s="10"/>
    </row>
    <row r="23" spans="2:5" x14ac:dyDescent="0.25">
      <c r="E23" s="10"/>
    </row>
    <row r="24" spans="2:5" x14ac:dyDescent="0.25">
      <c r="E24" s="10"/>
    </row>
    <row r="25" spans="2:5" x14ac:dyDescent="0.25">
      <c r="E25" s="10"/>
    </row>
    <row r="26" spans="2:5" x14ac:dyDescent="0.25">
      <c r="E26" s="10"/>
    </row>
    <row r="27" spans="2:5" x14ac:dyDescent="0.25">
      <c r="E27" s="10"/>
    </row>
    <row r="28" spans="2:5" x14ac:dyDescent="0.25">
      <c r="E28" s="10"/>
    </row>
    <row r="29" spans="2:5" x14ac:dyDescent="0.25">
      <c r="E29" s="10"/>
    </row>
    <row r="30" spans="2:5" x14ac:dyDescent="0.25">
      <c r="E30" s="10"/>
    </row>
    <row r="31" spans="2:5" x14ac:dyDescent="0.25">
      <c r="E31" s="10"/>
    </row>
    <row r="32" spans="2:5" x14ac:dyDescent="0.25">
      <c r="E32" s="10"/>
    </row>
    <row r="33" spans="5:5" x14ac:dyDescent="0.25">
      <c r="E33" s="10"/>
    </row>
    <row r="34" spans="5:5" x14ac:dyDescent="0.25">
      <c r="E34" s="10"/>
    </row>
  </sheetData>
  <mergeCells count="1">
    <mergeCell ref="N1:O2"/>
  </mergeCells>
  <phoneticPr fontId="10" type="noConversion"/>
  <dataValidations count="3">
    <dataValidation type="list" allowBlank="1" showInputMessage="1" showErrorMessage="1" sqref="B36" xr:uid="{C6254B17-A846-4249-A6A4-D11104B7FF1C}">
      <mc:AlternateContent xmlns:x12ac="http://schemas.microsoft.com/office/spreadsheetml/2011/1/ac" xmlns:mc="http://schemas.openxmlformats.org/markup-compatibility/2006">
        <mc:Choice Requires="x12ac">
          <x12ac:list>"""Fixa""","""Var"""</x12ac:list>
        </mc:Choice>
        <mc:Fallback>
          <formula1>"""Fixa"",""Var"""</formula1>
        </mc:Fallback>
      </mc:AlternateContent>
    </dataValidation>
    <dataValidation type="list" allowBlank="1" showInputMessage="1" showErrorMessage="1" sqref="B6:B21" xr:uid="{2EDB0609-702B-4E15-A61F-EB856989F620}">
      <formula1>"Fixa,Var"</formula1>
    </dataValidation>
    <dataValidation type="list" allowBlank="1" showInputMessage="1" showErrorMessage="1" sqref="C6:C21" xr:uid="{DFDBE3E7-602D-4AC0-BB91-C15E15E3A5C3}">
      <formula1>"Reserva,Curto,Médio,Longo,Aposen"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30EB-2EE3-47D7-8DDF-CB92EA7AC72B}">
  <sheetPr codeName="Planilha8"/>
  <dimension ref="A1:L17"/>
  <sheetViews>
    <sheetView showGridLines="0" showRowColHeaders="0" zoomScaleNormal="100" workbookViewId="0">
      <selection activeCell="C9" sqref="C9"/>
    </sheetView>
  </sheetViews>
  <sheetFormatPr defaultColWidth="0" defaultRowHeight="15" x14ac:dyDescent="0.25"/>
  <cols>
    <col min="1" max="1" width="27.28515625" customWidth="1"/>
    <col min="2" max="2" width="18.85546875" bestFit="1" customWidth="1"/>
    <col min="3" max="3" width="14.28515625" bestFit="1" customWidth="1"/>
    <col min="4" max="4" width="9.140625" customWidth="1"/>
    <col min="5" max="5" width="5.7109375" customWidth="1"/>
    <col min="6" max="6" width="13.140625" bestFit="1" customWidth="1"/>
    <col min="7" max="11" width="15.7109375" customWidth="1"/>
    <col min="12" max="12" width="2.28515625" customWidth="1"/>
    <col min="13" max="16384" width="9.140625" hidden="1"/>
  </cols>
  <sheetData>
    <row r="1" spans="1:12" ht="9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50.1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ht="9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15.75" x14ac:dyDescent="0.25">
      <c r="A4" s="66" t="s">
        <v>168</v>
      </c>
      <c r="B4" s="66" t="s">
        <v>161</v>
      </c>
      <c r="C4" s="66" t="s">
        <v>167</v>
      </c>
      <c r="D4" s="66" t="s">
        <v>166</v>
      </c>
      <c r="E4" s="63"/>
      <c r="F4" s="67" t="s">
        <v>196</v>
      </c>
      <c r="G4" s="68">
        <v>6</v>
      </c>
      <c r="H4" s="63"/>
      <c r="I4" s="63"/>
      <c r="J4" s="63"/>
      <c r="K4" s="63"/>
      <c r="L4" s="63"/>
    </row>
    <row r="5" spans="1:12" x14ac:dyDescent="0.25">
      <c r="A5" t="s">
        <v>274</v>
      </c>
      <c r="B5" s="10">
        <v>10000</v>
      </c>
      <c r="C5" s="2">
        <v>2024</v>
      </c>
      <c r="D5" s="2" t="str">
        <f ca="1">IF(ISERROR(VLOOKUP(C5,'BASE PAINEL'!$F$48:$G$53,2)),"",VLOOKUP(C5,'BASE PAINEL'!$F$48:$G$53,2))</f>
        <v>Curto</v>
      </c>
      <c r="E5" s="15"/>
      <c r="F5" s="55"/>
      <c r="G5" s="15"/>
      <c r="H5" s="15"/>
      <c r="I5" s="15"/>
      <c r="J5" s="15"/>
      <c r="K5" s="15"/>
      <c r="L5" s="15"/>
    </row>
    <row r="6" spans="1:12" x14ac:dyDescent="0.25">
      <c r="A6" t="s">
        <v>273</v>
      </c>
      <c r="B6" s="10">
        <v>25000</v>
      </c>
      <c r="C6" s="2">
        <v>2026</v>
      </c>
      <c r="D6" s="2" t="str">
        <f ca="1">IF(ISERROR(VLOOKUP(C6,'BASE PAINEL'!$F$48:$G$53,2)),"",VLOOKUP(C6,'BASE PAINEL'!$F$48:$G$53,2))</f>
        <v>Médio</v>
      </c>
      <c r="E6" s="15"/>
      <c r="F6" s="52"/>
      <c r="G6" s="53" t="s">
        <v>188</v>
      </c>
      <c r="H6" s="53" t="s">
        <v>189</v>
      </c>
      <c r="I6" s="53" t="s">
        <v>190</v>
      </c>
      <c r="J6" s="53" t="s">
        <v>191</v>
      </c>
      <c r="K6" s="53" t="s">
        <v>192</v>
      </c>
      <c r="L6" s="15"/>
    </row>
    <row r="7" spans="1:12" x14ac:dyDescent="0.25">
      <c r="A7" t="s">
        <v>276</v>
      </c>
      <c r="B7" s="10">
        <v>100000</v>
      </c>
      <c r="C7" s="2">
        <v>2029</v>
      </c>
      <c r="D7" s="2" t="str">
        <f ca="1">IF(ISERROR(VLOOKUP(C7,'BASE PAINEL'!$F$48:$G$53,2)),"",VLOOKUP(C7,'BASE PAINEL'!$F$48:$G$53,2))</f>
        <v>Longo</v>
      </c>
      <c r="E7" s="15"/>
      <c r="F7" s="53" t="s">
        <v>183</v>
      </c>
      <c r="G7" s="57">
        <f>SUM(ORÇAMENTO!C170:C175)*G4</f>
        <v>92220</v>
      </c>
      <c r="H7" s="54">
        <f ca="1">SUMIF(PROJETOS!$D$5:$D$6,H6,PROJETOS!$B$5:$B$6)</f>
        <v>10000</v>
      </c>
      <c r="I7" s="54">
        <f ca="1">SUMIF(PROJETOS!$D$5:$D$9,I6,PROJETOS!$B$5:$B$9)</f>
        <v>75000</v>
      </c>
      <c r="J7" s="54">
        <f ca="1">SUMIF(PROJETOS!$D$5:$D$10,J6,PROJETOS!$B$5:$B$10)</f>
        <v>100000</v>
      </c>
      <c r="K7" s="56">
        <v>1800000</v>
      </c>
      <c r="L7" s="15"/>
    </row>
    <row r="8" spans="1:12" x14ac:dyDescent="0.25">
      <c r="A8" t="s">
        <v>275</v>
      </c>
      <c r="B8" s="10">
        <v>50000</v>
      </c>
      <c r="C8" s="2">
        <v>2027</v>
      </c>
      <c r="D8" s="2" t="str">
        <f ca="1">IF(ISERROR(VLOOKUP(C8,'BASE PAINEL'!$F$48:$G$53,2)),"",VLOOKUP(C8,'BASE PAINEL'!$F$48:$G$53,2))</f>
        <v>Médio</v>
      </c>
      <c r="E8" s="15"/>
      <c r="F8" s="53" t="s">
        <v>184</v>
      </c>
      <c r="G8" s="54">
        <f>SUMIF(PATRIMÔNIO!$C$6:$C$33,G6,PATRIMÔNIO!$E$6:$E$33)</f>
        <v>370000</v>
      </c>
      <c r="H8" s="54">
        <v>25000</v>
      </c>
      <c r="I8" s="54">
        <v>120000</v>
      </c>
      <c r="J8" s="54">
        <v>37000</v>
      </c>
      <c r="K8" s="54">
        <v>200000</v>
      </c>
      <c r="L8" s="15"/>
    </row>
    <row r="9" spans="1:12" x14ac:dyDescent="0.25">
      <c r="A9" t="s">
        <v>277</v>
      </c>
      <c r="B9" s="10">
        <v>400000</v>
      </c>
      <c r="C9" s="2">
        <v>2024</v>
      </c>
      <c r="D9" s="2" t="str">
        <f ca="1">IF(ISERROR(VLOOKUP(C9,'BASE PAINEL'!$F$48:$G$53,2)),"",VLOOKUP(C9,'BASE PAINEL'!$F$48:$G$53,2))</f>
        <v>Curto</v>
      </c>
      <c r="E9" s="15"/>
      <c r="F9" s="53" t="s">
        <v>146</v>
      </c>
      <c r="G9" s="58">
        <f>IF(ISERROR(G8/G7),0,G8/G7)</f>
        <v>4.0121448709607463</v>
      </c>
      <c r="H9" s="58">
        <f t="shared" ref="H9:K9" ca="1" si="0">IF(ISERROR(H8/H7),0,H8/H7)</f>
        <v>2.5</v>
      </c>
      <c r="I9" s="58">
        <f t="shared" ca="1" si="0"/>
        <v>1.6</v>
      </c>
      <c r="J9" s="58">
        <f t="shared" ca="1" si="0"/>
        <v>0.37</v>
      </c>
      <c r="K9" s="58">
        <f t="shared" si="0"/>
        <v>0.1111111111111111</v>
      </c>
      <c r="L9" s="15"/>
    </row>
    <row r="10" spans="1:12" x14ac:dyDescent="0.25">
      <c r="B10" s="10"/>
      <c r="C10" s="2"/>
      <c r="D10" s="2"/>
      <c r="E10" s="15"/>
      <c r="F10" s="15"/>
      <c r="G10" s="15"/>
      <c r="H10" s="15"/>
      <c r="I10" s="15"/>
      <c r="J10" s="15"/>
      <c r="K10" s="15"/>
      <c r="L10" s="15"/>
    </row>
    <row r="16" spans="1:12" x14ac:dyDescent="0.25">
      <c r="B16" s="11"/>
    </row>
    <row r="17" spans="2:2" x14ac:dyDescent="0.25">
      <c r="B17" s="1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0EC9-C6A1-4E2F-9228-1AD41A9A6577}">
  <sheetPr codeName="Planilha5"/>
  <dimension ref="A1:X60"/>
  <sheetViews>
    <sheetView topLeftCell="B28" zoomScale="85" zoomScaleNormal="85" workbookViewId="0">
      <selection activeCell="M48" sqref="M48"/>
    </sheetView>
  </sheetViews>
  <sheetFormatPr defaultRowHeight="15" x14ac:dyDescent="0.25"/>
  <cols>
    <col min="1" max="1" width="33.140625" bestFit="1" customWidth="1"/>
    <col min="2" max="2" width="13.42578125" bestFit="1" customWidth="1"/>
    <col min="3" max="3" width="16" bestFit="1" customWidth="1"/>
    <col min="13" max="13" width="10.85546875" bestFit="1" customWidth="1"/>
  </cols>
  <sheetData>
    <row r="1" spans="1:16" x14ac:dyDescent="0.25">
      <c r="A1" t="s">
        <v>136</v>
      </c>
      <c r="B1" s="14" t="s">
        <v>122</v>
      </c>
      <c r="O1" s="61" t="s">
        <v>198</v>
      </c>
      <c r="P1" s="3" t="s">
        <v>199</v>
      </c>
    </row>
    <row r="2" spans="1:16" x14ac:dyDescent="0.25">
      <c r="A2" s="3" t="s">
        <v>135</v>
      </c>
      <c r="B2" s="4" t="s">
        <v>144</v>
      </c>
      <c r="C2" s="4" t="s">
        <v>145</v>
      </c>
      <c r="D2" t="s">
        <v>152</v>
      </c>
      <c r="E2" s="4" t="s">
        <v>146</v>
      </c>
      <c r="F2" s="4" t="s">
        <v>147</v>
      </c>
      <c r="H2" s="4"/>
      <c r="O2" t="str">
        <f>ORÇAMENTO!E4</f>
        <v>JAN</v>
      </c>
      <c r="P2" t="s">
        <v>122</v>
      </c>
    </row>
    <row r="3" spans="1:16" x14ac:dyDescent="0.25">
      <c r="A3" t="str">
        <f>PROPER(ORÇAMENTO!B29)</f>
        <v>Moradia</v>
      </c>
      <c r="B3" s="2">
        <f>HLOOKUP(MES_PAINEL,DESPESAS,MATCH(A3,ORÇAMENTO!$B$4:$B$128,0),FALSE)</f>
        <v>1916</v>
      </c>
      <c r="C3" s="2">
        <f>HLOOKUP("MENSAL",DESPESAS,MATCH(A3,ORÇAMENTO!$B$4:$B$128,0),FALSE)</f>
        <v>2650</v>
      </c>
      <c r="D3">
        <f>IF(C3-B3&gt;0,C3-B3,0)</f>
        <v>734</v>
      </c>
      <c r="E3" s="5">
        <f t="shared" ref="E3:E14" si="0">IF(ISERROR(B3/C3),0,B3/C3)</f>
        <v>0.7230188679245283</v>
      </c>
      <c r="F3" s="5">
        <f>IF(1-E3&lt;0,0,1-E3)</f>
        <v>0.2769811320754717</v>
      </c>
      <c r="O3" t="str">
        <f>ORÇAMENTO!F4</f>
        <v>FEV</v>
      </c>
      <c r="P3" t="s">
        <v>123</v>
      </c>
    </row>
    <row r="4" spans="1:16" x14ac:dyDescent="0.25">
      <c r="A4" t="str">
        <f>PROPER(ORÇAMENTO!B44)</f>
        <v>Comunicação</v>
      </c>
      <c r="B4" s="2">
        <f>HLOOKUP(MES_PAINEL,DESPESAS,MATCH(A4,ORÇAMENTO!$B$4:$B$128,0),FALSE)</f>
        <v>169</v>
      </c>
      <c r="C4" s="2">
        <f>HLOOKUP("MENSAL",DESPESAS,MATCH(A4,ORÇAMENTO!$B$4:$B$128,0),FALSE)</f>
        <v>270</v>
      </c>
      <c r="D4">
        <f t="shared" ref="D4:D14" si="1">IF(C4-B4&gt;0,C4-B4,0)</f>
        <v>101</v>
      </c>
      <c r="E4" s="5">
        <f t="shared" si="0"/>
        <v>0.62592592592592589</v>
      </c>
      <c r="F4" s="5">
        <f t="shared" ref="F4:F14" si="2">IF(1-E4&lt;0,0,1-E4)</f>
        <v>0.37407407407407411</v>
      </c>
      <c r="O4" t="str">
        <f>ORÇAMENTO!G4</f>
        <v>MAR</v>
      </c>
      <c r="P4" t="s">
        <v>124</v>
      </c>
    </row>
    <row r="5" spans="1:16" x14ac:dyDescent="0.25">
      <c r="A5" t="str">
        <f>PROPER(ORÇAMENTO!B52)</f>
        <v>Alimentação</v>
      </c>
      <c r="B5" s="2">
        <f>HLOOKUP(MES_PAINEL,DESPESAS,MATCH(A5,ORÇAMENTO!$B$4:$B$128,0),FALSE)</f>
        <v>3069</v>
      </c>
      <c r="C5" s="2">
        <f>HLOOKUP("MENSAL",DESPESAS,MATCH(A5,ORÇAMENTO!$B$4:$B$128,0),FALSE)</f>
        <v>2900</v>
      </c>
      <c r="D5">
        <f t="shared" si="1"/>
        <v>0</v>
      </c>
      <c r="E5" s="5">
        <f t="shared" si="0"/>
        <v>1.0582758620689656</v>
      </c>
      <c r="F5" s="5">
        <f t="shared" si="2"/>
        <v>0</v>
      </c>
      <c r="O5" t="str">
        <f>ORÇAMENTO!H4</f>
        <v>ABR</v>
      </c>
      <c r="P5" t="s">
        <v>125</v>
      </c>
    </row>
    <row r="6" spans="1:16" x14ac:dyDescent="0.25">
      <c r="A6" t="str">
        <f>PROPER(ORÇAMENTO!B59)</f>
        <v>Transporte</v>
      </c>
      <c r="B6" s="2">
        <f>HLOOKUP(MES_PAINEL,DESPESAS,MATCH(A6,ORÇAMENTO!$B$4:$B$128,0),FALSE)</f>
        <v>809</v>
      </c>
      <c r="C6" s="2">
        <f>HLOOKUP("MENSAL",DESPESAS,MATCH(A6,ORÇAMENTO!$B$4:$B$128,0),FALSE)</f>
        <v>1800</v>
      </c>
      <c r="D6">
        <f t="shared" si="1"/>
        <v>991</v>
      </c>
      <c r="E6" s="5">
        <f t="shared" si="0"/>
        <v>0.44944444444444442</v>
      </c>
      <c r="F6" s="5">
        <f t="shared" si="2"/>
        <v>0.55055555555555558</v>
      </c>
      <c r="O6" t="str">
        <f>ORÇAMENTO!I4</f>
        <v>MAI</v>
      </c>
      <c r="P6" t="s">
        <v>126</v>
      </c>
    </row>
    <row r="7" spans="1:16" x14ac:dyDescent="0.25">
      <c r="A7" t="str">
        <f>PROPER(ORÇAMENTO!B72)</f>
        <v>Saúde</v>
      </c>
      <c r="B7" s="2">
        <f>HLOOKUP(MES_PAINEL,DESPESAS,MATCH(A7,ORÇAMENTO!$B$4:$B$128,0),FALSE)</f>
        <v>1940</v>
      </c>
      <c r="C7" s="2">
        <f>HLOOKUP("MENSAL",DESPESAS,MATCH(A7,ORÇAMENTO!$B$4:$B$128,0),FALSE)</f>
        <v>1750</v>
      </c>
      <c r="D7">
        <f t="shared" si="1"/>
        <v>0</v>
      </c>
      <c r="E7" s="5">
        <f t="shared" si="0"/>
        <v>1.1085714285714285</v>
      </c>
      <c r="F7" s="5">
        <f t="shared" si="2"/>
        <v>0</v>
      </c>
      <c r="O7" t="str">
        <f>ORÇAMENTO!J4</f>
        <v>JUN</v>
      </c>
      <c r="P7" t="s">
        <v>127</v>
      </c>
    </row>
    <row r="8" spans="1:16" x14ac:dyDescent="0.25">
      <c r="A8" t="str">
        <f>PROPER(ORÇAMENTO!B79)</f>
        <v>Pessoais</v>
      </c>
      <c r="B8" s="2">
        <f>HLOOKUP(MES_PAINEL,DESPESAS,MATCH(A8,ORÇAMENTO!$B$4:$B$128,0),FALSE)</f>
        <v>967</v>
      </c>
      <c r="C8" s="2">
        <f>HLOOKUP("MENSAL",DESPESAS,MATCH(A8,ORÇAMENTO!$B$4:$B$128,0),FALSE)</f>
        <v>1550</v>
      </c>
      <c r="D8">
        <f t="shared" si="1"/>
        <v>583</v>
      </c>
      <c r="E8" s="5">
        <f t="shared" si="0"/>
        <v>0.62387096774193551</v>
      </c>
      <c r="F8" s="5">
        <f t="shared" si="2"/>
        <v>0.37612903225806449</v>
      </c>
      <c r="O8" t="str">
        <f>ORÇAMENTO!K4</f>
        <v>JUL</v>
      </c>
      <c r="P8" t="s">
        <v>128</v>
      </c>
    </row>
    <row r="9" spans="1:16" x14ac:dyDescent="0.25">
      <c r="A9" t="str">
        <f>PROPER(ORÇAMENTO!B88)</f>
        <v>Educação</v>
      </c>
      <c r="B9" s="2">
        <f>HLOOKUP(MES_PAINEL,DESPESAS,MATCH(A9,ORÇAMENTO!$B$4:$B$128,0),FALSE)</f>
        <v>828</v>
      </c>
      <c r="C9" s="2">
        <f>HLOOKUP("MENSAL",DESPESAS,MATCH(A9,ORÇAMENTO!$B$4:$B$128,0),FALSE)</f>
        <v>1200</v>
      </c>
      <c r="D9">
        <f t="shared" si="1"/>
        <v>372</v>
      </c>
      <c r="E9" s="5">
        <f t="shared" si="0"/>
        <v>0.69</v>
      </c>
      <c r="F9" s="5">
        <f t="shared" si="2"/>
        <v>0.31000000000000005</v>
      </c>
      <c r="O9" t="str">
        <f>ORÇAMENTO!L4</f>
        <v>AGO</v>
      </c>
      <c r="P9" t="s">
        <v>129</v>
      </c>
    </row>
    <row r="10" spans="1:16" x14ac:dyDescent="0.25">
      <c r="A10" t="str">
        <f>PROPER(ORÇAMENTO!B95)</f>
        <v>Lazer</v>
      </c>
      <c r="B10" s="2">
        <f>HLOOKUP(MES_PAINEL,DESPESAS,MATCH(A10,ORÇAMENTO!$B$4:$B$128,0),FALSE)</f>
        <v>529</v>
      </c>
      <c r="C10" s="2">
        <f>HLOOKUP("MENSAL",DESPESAS,MATCH(A10,ORÇAMENTO!$B$4:$B$128,0),FALSE)</f>
        <v>1000</v>
      </c>
      <c r="D10">
        <f t="shared" si="1"/>
        <v>471</v>
      </c>
      <c r="E10" s="5">
        <f t="shared" si="0"/>
        <v>0.52900000000000003</v>
      </c>
      <c r="F10" s="5">
        <f t="shared" si="2"/>
        <v>0.47099999999999997</v>
      </c>
      <c r="O10" t="str">
        <f>ORÇAMENTO!M4</f>
        <v>SET</v>
      </c>
      <c r="P10" t="s">
        <v>130</v>
      </c>
    </row>
    <row r="11" spans="1:16" x14ac:dyDescent="0.25">
      <c r="A11" t="str">
        <f>PROPER(ORÇAMENTO!B102)</f>
        <v>Serv.Financeiros</v>
      </c>
      <c r="B11" s="2">
        <f>HLOOKUP(MES_PAINEL,DESPESAS,MATCH(A11,ORÇAMENTO!$B$4:$B$128,0),FALSE)</f>
        <v>153</v>
      </c>
      <c r="C11" s="2">
        <f>HLOOKUP("MENSAL",DESPESAS,MATCH(A11,ORÇAMENTO!$B$4:$B$128,0),FALSE)</f>
        <v>200</v>
      </c>
      <c r="D11">
        <f t="shared" si="1"/>
        <v>47</v>
      </c>
      <c r="E11" s="5">
        <f t="shared" si="0"/>
        <v>0.76500000000000001</v>
      </c>
      <c r="F11" s="5">
        <f t="shared" si="2"/>
        <v>0.23499999999999999</v>
      </c>
      <c r="O11" t="str">
        <f>ORÇAMENTO!N4</f>
        <v>OUT</v>
      </c>
      <c r="P11" t="s">
        <v>131</v>
      </c>
    </row>
    <row r="12" spans="1:16" x14ac:dyDescent="0.25">
      <c r="A12" t="str">
        <f>PROPER(ORÇAMENTO!B107)</f>
        <v>Empresa</v>
      </c>
      <c r="B12" s="2">
        <f>HLOOKUP(MES_PAINEL,DESPESAS,MATCH(A12,ORÇAMENTO!$B$4:$B$128,0),FALSE)</f>
        <v>449</v>
      </c>
      <c r="C12" s="2">
        <f>HLOOKUP("MENSAL",DESPESAS,MATCH(A12,ORÇAMENTO!$B$4:$B$128,0),FALSE)</f>
        <v>850</v>
      </c>
      <c r="D12">
        <f t="shared" si="1"/>
        <v>401</v>
      </c>
      <c r="E12" s="5">
        <f t="shared" si="0"/>
        <v>0.52823529411764703</v>
      </c>
      <c r="F12" s="5">
        <f t="shared" si="2"/>
        <v>0.47176470588235297</v>
      </c>
      <c r="O12" t="str">
        <f>ORÇAMENTO!O4</f>
        <v>NOV</v>
      </c>
      <c r="P12" t="s">
        <v>132</v>
      </c>
    </row>
    <row r="13" spans="1:16" x14ac:dyDescent="0.25">
      <c r="A13" t="str">
        <f>PROPER(ORÇAMENTO!B112)</f>
        <v>Dependentes</v>
      </c>
      <c r="B13" s="2">
        <f>HLOOKUP(MES_PAINEL,DESPESAS,MATCH(A13,ORÇAMENTO!$B$4:$B$128,0),FALSE)</f>
        <v>536</v>
      </c>
      <c r="C13" s="2">
        <f>HLOOKUP("MENSAL",DESPESAS,MATCH(A13,ORÇAMENTO!$B$4:$B$128,0),FALSE)</f>
        <v>950</v>
      </c>
      <c r="D13">
        <f t="shared" si="1"/>
        <v>414</v>
      </c>
      <c r="E13" s="5">
        <f t="shared" si="0"/>
        <v>0.5642105263157895</v>
      </c>
      <c r="F13" s="5">
        <f t="shared" si="2"/>
        <v>0.4357894736842105</v>
      </c>
      <c r="O13" t="str">
        <f>ORÇAMENTO!P4</f>
        <v>DEZ</v>
      </c>
      <c r="P13" t="s">
        <v>133</v>
      </c>
    </row>
    <row r="14" spans="1:16" x14ac:dyDescent="0.25">
      <c r="A14" t="str">
        <f>PROPER(ORÇAMENTO!B123)</f>
        <v>Diversos</v>
      </c>
      <c r="B14" s="2">
        <f>HLOOKUP(MES_PAINEL,DESPESAS,MATCH(A14,ORÇAMENTO!$B$4:$B$128,0),FALSE)</f>
        <v>74</v>
      </c>
      <c r="C14" s="2">
        <f>HLOOKUP("MENSAL",DESPESAS,MATCH(A14,ORÇAMENTO!$B$4:$B$128,0),FALSE)</f>
        <v>250</v>
      </c>
      <c r="D14">
        <f t="shared" si="1"/>
        <v>176</v>
      </c>
      <c r="E14" s="5">
        <f t="shared" si="0"/>
        <v>0.29599999999999999</v>
      </c>
      <c r="F14" s="5">
        <f t="shared" si="2"/>
        <v>0.70399999999999996</v>
      </c>
      <c r="P14" t="s">
        <v>122</v>
      </c>
    </row>
    <row r="15" spans="1:16" x14ac:dyDescent="0.25">
      <c r="A15" t="str">
        <f>PROPER(ORÇAMENTO!B131)</f>
        <v>Previdência</v>
      </c>
      <c r="B15" s="2"/>
      <c r="C15" s="2"/>
      <c r="E15" s="5"/>
      <c r="F15" s="5"/>
      <c r="P15" t="s">
        <v>123</v>
      </c>
    </row>
    <row r="16" spans="1:16" x14ac:dyDescent="0.25">
      <c r="A16" t="str">
        <f>PROPER(ORÇAMENTO!B136)</f>
        <v>Seguro_Vida</v>
      </c>
      <c r="B16" s="2"/>
      <c r="C16" s="2"/>
      <c r="E16" s="5"/>
      <c r="F16" s="5"/>
      <c r="P16" t="s">
        <v>124</v>
      </c>
    </row>
    <row r="17" spans="1:16" x14ac:dyDescent="0.25">
      <c r="A17" t="str">
        <f>PROPER(ORÇAMENTO!B140)</f>
        <v>Seguro_Outro</v>
      </c>
      <c r="B17" s="2"/>
      <c r="C17" s="2"/>
      <c r="E17" s="5"/>
      <c r="F17" s="5"/>
      <c r="P17" t="s">
        <v>125</v>
      </c>
    </row>
    <row r="18" spans="1:16" x14ac:dyDescent="0.25">
      <c r="A18" t="str">
        <f>PROPER(ORÇAMENTO!B146)</f>
        <v>Financiamento</v>
      </c>
      <c r="B18" s="2"/>
      <c r="C18" s="2"/>
      <c r="E18" s="5"/>
      <c r="F18" s="5"/>
      <c r="P18" t="s">
        <v>126</v>
      </c>
    </row>
    <row r="19" spans="1:16" x14ac:dyDescent="0.25">
      <c r="A19" t="str">
        <f>PROPER(ORÇAMENTO!B152)</f>
        <v>Empréstimo</v>
      </c>
      <c r="B19" s="2"/>
      <c r="C19" s="2"/>
      <c r="E19" s="5"/>
      <c r="F19" s="5"/>
      <c r="P19" t="s">
        <v>127</v>
      </c>
    </row>
    <row r="20" spans="1:16" x14ac:dyDescent="0.25">
      <c r="A20" t="str">
        <f>PROPER(ORÇAMENTO!B164)</f>
        <v>Investimento</v>
      </c>
      <c r="B20" s="2"/>
      <c r="C20" s="2"/>
      <c r="E20" s="5"/>
      <c r="F20" s="5"/>
      <c r="P20" t="s">
        <v>128</v>
      </c>
    </row>
    <row r="21" spans="1:16" x14ac:dyDescent="0.25">
      <c r="A21" t="str">
        <f>PROPER(ORÇAMENTO!B6)</f>
        <v>Renda_Principal</v>
      </c>
      <c r="B21" s="2"/>
      <c r="C21" s="2"/>
      <c r="E21" s="5"/>
      <c r="F21" s="5"/>
      <c r="P21" t="s">
        <v>129</v>
      </c>
    </row>
    <row r="22" spans="1:16" x14ac:dyDescent="0.25">
      <c r="A22" t="str">
        <f>PROPER(ORÇAMENTO!B13)</f>
        <v>Renda_Cônjuge</v>
      </c>
      <c r="B22" s="2"/>
      <c r="C22" s="2"/>
      <c r="E22" s="5"/>
      <c r="F22" s="5"/>
      <c r="P22" t="s">
        <v>130</v>
      </c>
    </row>
    <row r="23" spans="1:16" x14ac:dyDescent="0.25">
      <c r="A23" t="str">
        <f>PROPER(ORÇAMENTO!B20)</f>
        <v>Renda_Extra</v>
      </c>
      <c r="B23" s="2"/>
      <c r="C23" s="2"/>
      <c r="E23" s="5"/>
      <c r="F23" s="5"/>
      <c r="P23" t="s">
        <v>131</v>
      </c>
    </row>
    <row r="24" spans="1:16" x14ac:dyDescent="0.25">
      <c r="B24" s="2"/>
      <c r="C24" s="2"/>
      <c r="E24" s="5"/>
      <c r="F24" s="5"/>
      <c r="P24" t="s">
        <v>132</v>
      </c>
    </row>
    <row r="25" spans="1:16" x14ac:dyDescent="0.25">
      <c r="B25" s="2"/>
      <c r="C25" s="2"/>
      <c r="E25" s="5"/>
      <c r="F25" s="5"/>
      <c r="P25" t="s">
        <v>133</v>
      </c>
    </row>
    <row r="26" spans="1:16" x14ac:dyDescent="0.25">
      <c r="B26" s="2"/>
      <c r="C26" s="2"/>
      <c r="E26" s="5"/>
      <c r="F26" s="5"/>
    </row>
    <row r="28" spans="1:16" x14ac:dyDescent="0.25">
      <c r="A28" t="s">
        <v>137</v>
      </c>
    </row>
    <row r="29" spans="1:16" x14ac:dyDescent="0.25">
      <c r="B29" s="2" t="str">
        <f>ORÇAMENTO!E4</f>
        <v>JAN</v>
      </c>
      <c r="C29" s="2" t="str">
        <f>ORÇAMENTO!F4</f>
        <v>FEV</v>
      </c>
      <c r="D29" s="2" t="str">
        <f>ORÇAMENTO!G4</f>
        <v>MAR</v>
      </c>
      <c r="E29" s="2" t="str">
        <f>ORÇAMENTO!H4</f>
        <v>ABR</v>
      </c>
      <c r="F29" s="2" t="str">
        <f>ORÇAMENTO!I4</f>
        <v>MAI</v>
      </c>
      <c r="G29" s="2" t="str">
        <f>ORÇAMENTO!J4</f>
        <v>JUN</v>
      </c>
      <c r="H29" s="2" t="str">
        <f>ORÇAMENTO!K4</f>
        <v>JUL</v>
      </c>
      <c r="I29" s="2" t="str">
        <f>ORÇAMENTO!L4</f>
        <v>AGO</v>
      </c>
      <c r="J29" s="2" t="str">
        <f>ORÇAMENTO!M4</f>
        <v>SET</v>
      </c>
      <c r="K29" s="2" t="str">
        <f>ORÇAMENTO!N4</f>
        <v>OUT</v>
      </c>
      <c r="L29" s="2" t="str">
        <f>ORÇAMENTO!O4</f>
        <v>NOV</v>
      </c>
      <c r="M29" s="2" t="str">
        <f>ORÇAMENTO!P4</f>
        <v>DEZ</v>
      </c>
    </row>
    <row r="30" spans="1:16" x14ac:dyDescent="0.25">
      <c r="A30" t="s">
        <v>148</v>
      </c>
      <c r="B30" s="7">
        <f>ORÇAMENTO!E169</f>
        <v>12000</v>
      </c>
      <c r="C30" s="7">
        <f>ORÇAMENTO!F169</f>
        <v>9000</v>
      </c>
      <c r="D30" s="7">
        <f>ORÇAMENTO!G169</f>
        <v>12500</v>
      </c>
      <c r="E30" s="7">
        <f>ORÇAMENTO!H169</f>
        <v>12000</v>
      </c>
      <c r="F30" s="7">
        <f>ORÇAMENTO!I169</f>
        <v>9000</v>
      </c>
      <c r="G30" s="7">
        <f>ORÇAMENTO!J169</f>
        <v>9500</v>
      </c>
      <c r="H30" s="7">
        <f>ORÇAMENTO!K169</f>
        <v>12000</v>
      </c>
      <c r="I30" s="7">
        <f>ORÇAMENTO!L169</f>
        <v>11500</v>
      </c>
      <c r="J30" s="7">
        <f>ORÇAMENTO!M169</f>
        <v>8500</v>
      </c>
      <c r="K30" s="7">
        <f>ORÇAMENTO!N169</f>
        <v>12500</v>
      </c>
      <c r="L30" s="7">
        <f>ORÇAMENTO!O169</f>
        <v>11500</v>
      </c>
      <c r="M30" s="7">
        <f>ORÇAMENTO!P169</f>
        <v>12500</v>
      </c>
    </row>
    <row r="31" spans="1:16" x14ac:dyDescent="0.25">
      <c r="A31" t="s">
        <v>13</v>
      </c>
      <c r="B31" s="7">
        <f>SUM(ORÇAMENTO!E170:E175)</f>
        <v>11439</v>
      </c>
      <c r="C31" s="7">
        <f>SUM(ORÇAMENTO!F170:F175)</f>
        <v>9446</v>
      </c>
      <c r="D31" s="7">
        <f>SUM(ORÇAMENTO!G170:G175)</f>
        <v>10707</v>
      </c>
      <c r="E31" s="7">
        <f>SUM(ORÇAMENTO!H170:H175)</f>
        <v>10704</v>
      </c>
      <c r="F31" s="7">
        <f>SUM(ORÇAMENTO!I170:I175)</f>
        <v>10630</v>
      </c>
      <c r="G31" s="7">
        <f>SUM(ORÇAMENTO!J170:J175)</f>
        <v>9884</v>
      </c>
      <c r="H31" s="7">
        <f>SUM(ORÇAMENTO!K170:K175)</f>
        <v>10521</v>
      </c>
      <c r="I31" s="7">
        <f>SUM(ORÇAMENTO!L170:L175)</f>
        <v>11347</v>
      </c>
      <c r="J31" s="7">
        <f>SUM(ORÇAMENTO!M170:M175)</f>
        <v>9640</v>
      </c>
      <c r="K31" s="7">
        <f>SUM(ORÇAMENTO!N170:N175)</f>
        <v>10349</v>
      </c>
      <c r="L31" s="7">
        <f>SUM(ORÇAMENTO!O170:O175)</f>
        <v>10598</v>
      </c>
      <c r="M31" s="7">
        <f>SUM(ORÇAMENTO!P170:P175)</f>
        <v>11613</v>
      </c>
    </row>
    <row r="32" spans="1:16" x14ac:dyDescent="0.25">
      <c r="A32" t="s">
        <v>149</v>
      </c>
      <c r="B32" s="7">
        <f>B30-B31</f>
        <v>561</v>
      </c>
      <c r="C32" s="7">
        <f t="shared" ref="C32:M32" si="3">C30-C31</f>
        <v>-446</v>
      </c>
      <c r="D32" s="7">
        <f t="shared" si="3"/>
        <v>1793</v>
      </c>
      <c r="E32" s="7">
        <f t="shared" si="3"/>
        <v>1296</v>
      </c>
      <c r="F32" s="7">
        <f t="shared" si="3"/>
        <v>-1630</v>
      </c>
      <c r="G32" s="7">
        <f t="shared" si="3"/>
        <v>-384</v>
      </c>
      <c r="H32" s="7">
        <f t="shared" si="3"/>
        <v>1479</v>
      </c>
      <c r="I32" s="7">
        <f t="shared" si="3"/>
        <v>153</v>
      </c>
      <c r="J32" s="7">
        <f t="shared" si="3"/>
        <v>-1140</v>
      </c>
      <c r="K32" s="7">
        <f t="shared" si="3"/>
        <v>2151</v>
      </c>
      <c r="L32" s="7">
        <f t="shared" si="3"/>
        <v>902</v>
      </c>
      <c r="M32" s="7">
        <f t="shared" si="3"/>
        <v>887</v>
      </c>
    </row>
    <row r="33" spans="1:24" x14ac:dyDescent="0.25">
      <c r="A33" t="s">
        <v>154</v>
      </c>
      <c r="B33" s="7">
        <f>IF(B32&gt;0,B32,NA())</f>
        <v>561</v>
      </c>
      <c r="C33" s="7" t="e">
        <f t="shared" ref="C33:M33" si="4">IF(C32&gt;0,C32,NA())</f>
        <v>#N/A</v>
      </c>
      <c r="D33" s="7">
        <f t="shared" si="4"/>
        <v>1793</v>
      </c>
      <c r="E33" s="7">
        <f t="shared" si="4"/>
        <v>1296</v>
      </c>
      <c r="F33" s="7" t="e">
        <f t="shared" si="4"/>
        <v>#N/A</v>
      </c>
      <c r="G33" s="7" t="e">
        <f t="shared" si="4"/>
        <v>#N/A</v>
      </c>
      <c r="H33" s="7">
        <f t="shared" si="4"/>
        <v>1479</v>
      </c>
      <c r="I33" s="7">
        <f t="shared" si="4"/>
        <v>153</v>
      </c>
      <c r="J33" s="7" t="e">
        <f t="shared" si="4"/>
        <v>#N/A</v>
      </c>
      <c r="K33" s="7">
        <f t="shared" si="4"/>
        <v>2151</v>
      </c>
      <c r="L33" s="7">
        <f t="shared" si="4"/>
        <v>902</v>
      </c>
      <c r="M33" s="7">
        <f t="shared" si="4"/>
        <v>887</v>
      </c>
    </row>
    <row r="34" spans="1:24" x14ac:dyDescent="0.25">
      <c r="A34" t="s">
        <v>155</v>
      </c>
      <c r="B34" s="7" t="e">
        <f>IF(B32&lt;0,B32,NA())</f>
        <v>#N/A</v>
      </c>
      <c r="C34" s="7">
        <f t="shared" ref="C34:M34" si="5">IF(C32&lt;0,C32,NA())</f>
        <v>-446</v>
      </c>
      <c r="D34" s="7" t="e">
        <f t="shared" si="5"/>
        <v>#N/A</v>
      </c>
      <c r="E34" s="7" t="e">
        <f t="shared" si="5"/>
        <v>#N/A</v>
      </c>
      <c r="F34" s="7">
        <f t="shared" si="5"/>
        <v>-1630</v>
      </c>
      <c r="G34" s="7">
        <f t="shared" si="5"/>
        <v>-384</v>
      </c>
      <c r="H34" s="7" t="e">
        <f t="shared" si="5"/>
        <v>#N/A</v>
      </c>
      <c r="I34" s="7" t="e">
        <f t="shared" si="5"/>
        <v>#N/A</v>
      </c>
      <c r="J34" s="7">
        <f t="shared" si="5"/>
        <v>-1140</v>
      </c>
      <c r="K34" s="7" t="e">
        <f t="shared" si="5"/>
        <v>#N/A</v>
      </c>
      <c r="L34" s="7" t="e">
        <f t="shared" si="5"/>
        <v>#N/A</v>
      </c>
      <c r="M34" s="7" t="e">
        <f t="shared" si="5"/>
        <v>#N/A</v>
      </c>
    </row>
    <row r="35" spans="1:24" x14ac:dyDescent="0.25">
      <c r="A35" t="s">
        <v>197</v>
      </c>
      <c r="B35" s="7">
        <f t="shared" ref="B35:M35" si="6">IF(MES_PAINEL=B29,B32,NA())</f>
        <v>561</v>
      </c>
      <c r="C35" s="7" t="e">
        <f t="shared" si="6"/>
        <v>#N/A</v>
      </c>
      <c r="D35" s="7" t="e">
        <f t="shared" si="6"/>
        <v>#N/A</v>
      </c>
      <c r="E35" s="7" t="e">
        <f t="shared" si="6"/>
        <v>#N/A</v>
      </c>
      <c r="F35" s="7" t="e">
        <f t="shared" si="6"/>
        <v>#N/A</v>
      </c>
      <c r="G35" s="7" t="e">
        <f t="shared" si="6"/>
        <v>#N/A</v>
      </c>
      <c r="H35" s="7" t="e">
        <f t="shared" si="6"/>
        <v>#N/A</v>
      </c>
      <c r="I35" s="7" t="e">
        <f t="shared" si="6"/>
        <v>#N/A</v>
      </c>
      <c r="J35" s="7" t="e">
        <f t="shared" si="6"/>
        <v>#N/A</v>
      </c>
      <c r="K35" s="7" t="e">
        <f t="shared" si="6"/>
        <v>#N/A</v>
      </c>
      <c r="L35" s="7" t="e">
        <f t="shared" si="6"/>
        <v>#N/A</v>
      </c>
      <c r="M35" s="7" t="e">
        <f t="shared" si="6"/>
        <v>#N/A</v>
      </c>
    </row>
    <row r="37" spans="1:24" x14ac:dyDescent="0.25">
      <c r="B37" s="4" t="str">
        <f>MES_PAINEL</f>
        <v>JAN</v>
      </c>
    </row>
    <row r="38" spans="1:24" x14ac:dyDescent="0.25">
      <c r="A38" t="s">
        <v>169</v>
      </c>
      <c r="B38" s="8">
        <f>HLOOKUP($B$37,$B$29:$M$32,2,0)</f>
        <v>12000</v>
      </c>
    </row>
    <row r="39" spans="1:24" x14ac:dyDescent="0.25">
      <c r="A39" t="s">
        <v>170</v>
      </c>
      <c r="B39" s="8">
        <f>HLOOKUP($B$37,$B$29:$M$32,3,0)</f>
        <v>11439</v>
      </c>
    </row>
    <row r="40" spans="1:24" x14ac:dyDescent="0.25">
      <c r="A40" t="s">
        <v>171</v>
      </c>
      <c r="B40" s="8">
        <f>HLOOKUP($B$37,$B$29:$M$32,4,0)</f>
        <v>561</v>
      </c>
    </row>
    <row r="41" spans="1:24" x14ac:dyDescent="0.25">
      <c r="A41" t="s">
        <v>146</v>
      </c>
      <c r="B41" s="5">
        <f>IF(ISERROR(B39/B38),0,B39/B38)</f>
        <v>0.95325000000000004</v>
      </c>
    </row>
    <row r="42" spans="1:24" x14ac:dyDescent="0.25">
      <c r="B42" s="5">
        <f>IF(1-B41&lt;0,0,1-B41)</f>
        <v>4.6749999999999958E-2</v>
      </c>
    </row>
    <row r="43" spans="1:24" x14ac:dyDescent="0.25">
      <c r="M43" s="1"/>
    </row>
    <row r="44" spans="1:24" x14ac:dyDescent="0.25">
      <c r="A44" t="s">
        <v>159</v>
      </c>
      <c r="B44" s="12">
        <f>IF(ISERROR(SUMIF(Tabela21[Fixa / Var],A44,Tabela21[Valor])/SUM(Tabela21[Valor])),0,SUMIF(Tabela21[Fixa / Var],A44,Tabela21[Valor])/SUM(Tabela21[Valor]))</f>
        <v>0.73421052631578942</v>
      </c>
    </row>
    <row r="45" spans="1:24" x14ac:dyDescent="0.25">
      <c r="A45" t="s">
        <v>160</v>
      </c>
      <c r="B45" s="12">
        <f>IF(ISERROR(SUMIF(Tabela21[Fixa / Var],A45,Tabela21[Valor])/SUM(Tabela21[Valor])),0,SUMIF(Tabela21[Fixa / Var],A45,Tabela21[Valor])/SUM(Tabela21[Valor]))</f>
        <v>0.26578947368421052</v>
      </c>
      <c r="C45" t="str">
        <f>IF(B45=0,"",VLOOKUP(B45,A47:C49,3))</f>
        <v>CONSERVADOR</v>
      </c>
    </row>
    <row r="47" spans="1:24" x14ac:dyDescent="0.25">
      <c r="A47" s="12">
        <v>0</v>
      </c>
      <c r="B47" s="12">
        <v>0.4</v>
      </c>
      <c r="C47" t="s">
        <v>180</v>
      </c>
    </row>
    <row r="48" spans="1:24" x14ac:dyDescent="0.25">
      <c r="A48" s="12">
        <v>0.41</v>
      </c>
      <c r="B48" s="12">
        <v>0.6</v>
      </c>
      <c r="C48" t="s">
        <v>181</v>
      </c>
      <c r="F48">
        <f ca="1">YEAR(TODAY())</f>
        <v>2024</v>
      </c>
      <c r="G48" t="s">
        <v>187</v>
      </c>
      <c r="M48" s="60" t="s">
        <v>129</v>
      </c>
      <c r="N48" s="2" t="str">
        <f t="shared" ref="N48:X48" si="7">INDEX($P$2:$P$26,MATCH(M48,$P$2:$P$26,0)+1)</f>
        <v>SET</v>
      </c>
      <c r="O48" s="2" t="str">
        <f t="shared" si="7"/>
        <v>OUT</v>
      </c>
      <c r="P48" s="2" t="str">
        <f t="shared" si="7"/>
        <v>NOV</v>
      </c>
      <c r="Q48" s="2" t="str">
        <f t="shared" si="7"/>
        <v>DEZ</v>
      </c>
      <c r="R48" s="2" t="str">
        <f t="shared" si="7"/>
        <v>JAN</v>
      </c>
      <c r="S48" s="2" t="str">
        <f t="shared" si="7"/>
        <v>FEV</v>
      </c>
      <c r="T48" s="2" t="str">
        <f t="shared" si="7"/>
        <v>MAR</v>
      </c>
      <c r="U48" s="2" t="str">
        <f t="shared" si="7"/>
        <v>ABR</v>
      </c>
      <c r="V48" s="2" t="str">
        <f t="shared" si="7"/>
        <v>MAI</v>
      </c>
      <c r="W48" s="2" t="str">
        <f t="shared" si="7"/>
        <v>JUN</v>
      </c>
      <c r="X48" s="2" t="str">
        <f t="shared" si="7"/>
        <v>JUL</v>
      </c>
    </row>
    <row r="49" spans="1:14" x14ac:dyDescent="0.25">
      <c r="A49" s="12">
        <v>0.71</v>
      </c>
      <c r="B49" s="12">
        <v>1</v>
      </c>
      <c r="C49" t="s">
        <v>182</v>
      </c>
      <c r="F49">
        <f ca="1">YEAR(TODAY())+1</f>
        <v>2025</v>
      </c>
      <c r="G49" t="s">
        <v>187</v>
      </c>
      <c r="N49" s="2"/>
    </row>
    <row r="50" spans="1:14" x14ac:dyDescent="0.25">
      <c r="F50">
        <f ca="1">YEAR(TODAY())+2</f>
        <v>2026</v>
      </c>
      <c r="G50" t="s">
        <v>185</v>
      </c>
    </row>
    <row r="51" spans="1:14" x14ac:dyDescent="0.25">
      <c r="F51">
        <f ca="1">YEAR(TODAY())+3</f>
        <v>2027</v>
      </c>
      <c r="G51" t="s">
        <v>185</v>
      </c>
    </row>
    <row r="52" spans="1:14" x14ac:dyDescent="0.25">
      <c r="F52">
        <f ca="1">YEAR(TODAY())+4</f>
        <v>2028</v>
      </c>
      <c r="G52" t="s">
        <v>186</v>
      </c>
    </row>
    <row r="53" spans="1:14" x14ac:dyDescent="0.25">
      <c r="A53" s="94" t="s">
        <v>178</v>
      </c>
      <c r="B53" t="s">
        <v>194</v>
      </c>
      <c r="C53" s="11">
        <f>SUM(Tabela21[Valor])</f>
        <v>380000</v>
      </c>
      <c r="F53">
        <f ca="1">YEAR(TODAY())+5</f>
        <v>2029</v>
      </c>
      <c r="G53" t="s">
        <v>186</v>
      </c>
    </row>
    <row r="54" spans="1:14" x14ac:dyDescent="0.25">
      <c r="A54" s="94"/>
      <c r="B54" t="s">
        <v>195</v>
      </c>
      <c r="C54" s="11">
        <f>SUM(Tabela22[Valor])</f>
        <v>629220</v>
      </c>
    </row>
    <row r="55" spans="1:14" x14ac:dyDescent="0.25">
      <c r="A55" s="94" t="s">
        <v>179</v>
      </c>
      <c r="B55" t="s">
        <v>194</v>
      </c>
      <c r="C55" s="11">
        <f>SUM(Tabela26[Saldo Devedor])</f>
        <v>9180</v>
      </c>
    </row>
    <row r="56" spans="1:14" x14ac:dyDescent="0.25">
      <c r="A56" s="94"/>
      <c r="B56" t="s">
        <v>195</v>
      </c>
      <c r="C56" s="11">
        <f>SUM(Tabela22[Saldo devedor])</f>
        <v>250000</v>
      </c>
    </row>
    <row r="58" spans="1:14" x14ac:dyDescent="0.25">
      <c r="B58" t="s">
        <v>172</v>
      </c>
      <c r="C58" s="11">
        <f>SUM(C53:C54)</f>
        <v>1009220</v>
      </c>
    </row>
    <row r="59" spans="1:14" x14ac:dyDescent="0.25">
      <c r="B59" t="s">
        <v>173</v>
      </c>
      <c r="C59" s="11">
        <f>SUM(C55:C56)</f>
        <v>259180</v>
      </c>
    </row>
    <row r="60" spans="1:14" x14ac:dyDescent="0.25">
      <c r="B60" t="s">
        <v>174</v>
      </c>
      <c r="C60" s="11">
        <f>C58-C59</f>
        <v>750040</v>
      </c>
    </row>
  </sheetData>
  <mergeCells count="2">
    <mergeCell ref="A53:A54"/>
    <mergeCell ref="A55:A56"/>
  </mergeCells>
  <dataValidations count="1">
    <dataValidation type="list" allowBlank="1" showInputMessage="1" showErrorMessage="1" sqref="M48" xr:uid="{DD78C98B-66F8-4F98-B402-E73A5AA642F4}">
      <formula1>$O$2:$O$13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26</vt:i4>
      </vt:variant>
    </vt:vector>
  </HeadingPairs>
  <TitlesOfParts>
    <vt:vector size="33" baseType="lpstr">
      <vt:lpstr>MENU</vt:lpstr>
      <vt:lpstr>PAINEL</vt:lpstr>
      <vt:lpstr>ORÇAMENTO</vt:lpstr>
      <vt:lpstr>LANÇAMENTO</vt:lpstr>
      <vt:lpstr>PATRIMÔNIO</vt:lpstr>
      <vt:lpstr>PROJETOS</vt:lpstr>
      <vt:lpstr>BASE PAINEL</vt:lpstr>
      <vt:lpstr>Alimentação</vt:lpstr>
      <vt:lpstr>CATEGORIA</vt:lpstr>
      <vt:lpstr>Comunicação</vt:lpstr>
      <vt:lpstr>Dependentes</vt:lpstr>
      <vt:lpstr>DESPESAS</vt:lpstr>
      <vt:lpstr>Diversos</vt:lpstr>
      <vt:lpstr>Educação</vt:lpstr>
      <vt:lpstr>Empresa</vt:lpstr>
      <vt:lpstr>Empréstimo</vt:lpstr>
      <vt:lpstr>Financiamento</vt:lpstr>
      <vt:lpstr>Investimento</vt:lpstr>
      <vt:lpstr>Lazer</vt:lpstr>
      <vt:lpstr>MES_PAINEL</vt:lpstr>
      <vt:lpstr>MESES</vt:lpstr>
      <vt:lpstr>MORADIA</vt:lpstr>
      <vt:lpstr>Pessoais</vt:lpstr>
      <vt:lpstr>Previdência</vt:lpstr>
      <vt:lpstr>Renda_Cônjuge</vt:lpstr>
      <vt:lpstr>Renda_Extra</vt:lpstr>
      <vt:lpstr>Renda_Principal</vt:lpstr>
      <vt:lpstr>Saúde</vt:lpstr>
      <vt:lpstr>Seguro_Outro</vt:lpstr>
      <vt:lpstr>Seguro_Vida</vt:lpstr>
      <vt:lpstr>SERV.FINANCEIROS</vt:lpstr>
      <vt:lpstr>SERVIÇOS_FINANCEIROS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Walmarj</dc:creator>
  <cp:lastModifiedBy>Tony Jr</cp:lastModifiedBy>
  <dcterms:created xsi:type="dcterms:W3CDTF">2021-07-30T20:13:21Z</dcterms:created>
  <dcterms:modified xsi:type="dcterms:W3CDTF">2024-11-30T19:08:55Z</dcterms:modified>
</cp:coreProperties>
</file>