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ilder\Dropbox\DARPA_shared\Model Files and Info\"/>
    </mc:Choice>
  </mc:AlternateContent>
  <bookViews>
    <workbookView xWindow="3000" yWindow="375" windowWidth="21345" windowHeight="18240" tabRatio="608" firstSheet="1" activeTab="1"/>
  </bookViews>
  <sheets>
    <sheet name="m,h,V data (Blemker)" sheetId="2" r:id="rId1"/>
    <sheet name="Fmo using lin reg from paper" sheetId="3" r:id="rId2"/>
    <sheet name="Fmo using V=Cxmxh (zero-interc)" sheetId="5" r:id="rId3"/>
    <sheet name="Sheet1" sheetId="6" r:id="rId4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5" i="3" l="1"/>
  <c r="Q15" i="3" s="1"/>
  <c r="B39" i="3" s="1"/>
  <c r="C39" i="3" s="1"/>
  <c r="Q13" i="3"/>
  <c r="O6" i="3"/>
  <c r="O5" i="3"/>
  <c r="C8" i="3" s="1"/>
  <c r="D8" i="3" s="1"/>
  <c r="E8" i="3" s="1"/>
  <c r="O5" i="5"/>
  <c r="B15" i="3"/>
  <c r="C15" i="3" s="1"/>
  <c r="D15" i="3" s="1"/>
  <c r="E15" i="3" s="1"/>
  <c r="L23" i="6"/>
  <c r="J25" i="6" s="1"/>
  <c r="I25" i="6" s="1"/>
  <c r="J26" i="6"/>
  <c r="I26" i="6"/>
  <c r="J24" i="6"/>
  <c r="I24" i="6"/>
  <c r="L19" i="6"/>
  <c r="J22" i="6"/>
  <c r="I22" i="6"/>
  <c r="J21" i="6"/>
  <c r="I21" i="6" s="1"/>
  <c r="J20" i="6"/>
  <c r="I20" i="6"/>
  <c r="L5" i="6"/>
  <c r="L4" i="6"/>
  <c r="J4" i="6"/>
  <c r="I4" i="6"/>
  <c r="L10" i="6"/>
  <c r="J10" i="6"/>
  <c r="I10" i="6"/>
  <c r="L11" i="6"/>
  <c r="J11" i="6"/>
  <c r="I11" i="6"/>
  <c r="L12" i="6"/>
  <c r="J12" i="6" s="1"/>
  <c r="I12" i="6" s="1"/>
  <c r="L13" i="6"/>
  <c r="J13" i="6"/>
  <c r="I13" i="6" s="1"/>
  <c r="L14" i="6"/>
  <c r="J14" i="6"/>
  <c r="I14" i="6"/>
  <c r="L15" i="6"/>
  <c r="J15" i="6"/>
  <c r="I15" i="6"/>
  <c r="L16" i="6"/>
  <c r="J16" i="6" s="1"/>
  <c r="I16" i="6" s="1"/>
  <c r="L17" i="6"/>
  <c r="J17" i="6"/>
  <c r="I17" i="6" s="1"/>
  <c r="J19" i="6"/>
  <c r="I19" i="6" s="1"/>
  <c r="J23" i="6"/>
  <c r="I23" i="6" s="1"/>
  <c r="L31" i="6"/>
  <c r="J31" i="6" s="1"/>
  <c r="I31" i="6"/>
  <c r="L32" i="6"/>
  <c r="J32" i="6"/>
  <c r="I32" i="6" s="1"/>
  <c r="L34" i="6"/>
  <c r="J34" i="6" s="1"/>
  <c r="I34" i="6" s="1"/>
  <c r="L35" i="6"/>
  <c r="J35" i="6"/>
  <c r="I35" i="6" s="1"/>
  <c r="L38" i="6"/>
  <c r="J38" i="6" s="1"/>
  <c r="I38" i="6"/>
  <c r="L40" i="6"/>
  <c r="J40" i="6"/>
  <c r="I40" i="6" s="1"/>
  <c r="L41" i="6"/>
  <c r="J41" i="6" s="1"/>
  <c r="I41" i="6" s="1"/>
  <c r="L42" i="6"/>
  <c r="J42" i="6"/>
  <c r="I42" i="6" s="1"/>
  <c r="L43" i="6"/>
  <c r="J43" i="6" s="1"/>
  <c r="I43" i="6" s="1"/>
  <c r="L44" i="6"/>
  <c r="J44" i="6"/>
  <c r="I44" i="6" s="1"/>
  <c r="L46" i="6"/>
  <c r="J46" i="6" s="1"/>
  <c r="I46" i="6" s="1"/>
  <c r="L47" i="6"/>
  <c r="J47" i="6"/>
  <c r="I47" i="6" s="1"/>
  <c r="L48" i="6"/>
  <c r="J48" i="6" s="1"/>
  <c r="I48" i="6" s="1"/>
  <c r="L49" i="6"/>
  <c r="J49" i="6"/>
  <c r="I49" i="6" s="1"/>
  <c r="L50" i="6"/>
  <c r="J50" i="6" s="1"/>
  <c r="I50" i="6" s="1"/>
  <c r="L3" i="6"/>
  <c r="J3" i="6"/>
  <c r="I3" i="6" s="1"/>
  <c r="Q30" i="3"/>
  <c r="Q29" i="3"/>
  <c r="B37" i="3" s="1"/>
  <c r="B38" i="3"/>
  <c r="P27" i="3"/>
  <c r="Q27" i="3" s="1"/>
  <c r="P26" i="3"/>
  <c r="Q26" i="3" s="1"/>
  <c r="P25" i="3"/>
  <c r="Q25" i="3" s="1"/>
  <c r="B31" i="3" s="1"/>
  <c r="C31" i="3" s="1"/>
  <c r="D31" i="3" s="1"/>
  <c r="E31" i="3" s="1"/>
  <c r="P23" i="3"/>
  <c r="Q23" i="3" s="1"/>
  <c r="P21" i="3"/>
  <c r="Q21" i="3" s="1"/>
  <c r="B29" i="3" s="1"/>
  <c r="C29" i="3" s="1"/>
  <c r="D29" i="3" s="1"/>
  <c r="E29" i="3" s="1"/>
  <c r="P22" i="3"/>
  <c r="Q22" i="3" s="1"/>
  <c r="B28" i="3" s="1"/>
  <c r="C28" i="3" s="1"/>
  <c r="D28" i="3" s="1"/>
  <c r="E28" i="3" s="1"/>
  <c r="P18" i="3"/>
  <c r="Q18" i="3" s="1"/>
  <c r="B24" i="3" s="1"/>
  <c r="C24" i="3" s="1"/>
  <c r="P17" i="3"/>
  <c r="Q17" i="3" s="1"/>
  <c r="P19" i="3"/>
  <c r="Q19" i="3" s="1"/>
  <c r="D24" i="3"/>
  <c r="E24" i="3" s="1"/>
  <c r="Q14" i="3"/>
  <c r="B16" i="3"/>
  <c r="D39" i="3"/>
  <c r="C21" i="3"/>
  <c r="D21" i="3"/>
  <c r="O6" i="5"/>
  <c r="C54" i="5" s="1"/>
  <c r="C21" i="5"/>
  <c r="D21" i="5" s="1"/>
  <c r="E21" i="5" s="1"/>
  <c r="C57" i="5"/>
  <c r="C56" i="5"/>
  <c r="C55" i="5"/>
  <c r="C53" i="5"/>
  <c r="C52" i="5"/>
  <c r="C51" i="5"/>
  <c r="D51" i="5" s="1"/>
  <c r="E51" i="5" s="1"/>
  <c r="C49" i="5"/>
  <c r="C48" i="5"/>
  <c r="C47" i="5"/>
  <c r="D47" i="5" s="1"/>
  <c r="E47" i="5" s="1"/>
  <c r="C46" i="5"/>
  <c r="C45" i="5"/>
  <c r="C44" i="5"/>
  <c r="C43" i="5"/>
  <c r="D43" i="5" s="1"/>
  <c r="E43" i="5" s="1"/>
  <c r="C42" i="5"/>
  <c r="C41" i="5"/>
  <c r="C40" i="5"/>
  <c r="B38" i="5"/>
  <c r="C38" i="5" s="1"/>
  <c r="D38" i="5" s="1"/>
  <c r="E38" i="5" s="1"/>
  <c r="B37" i="5"/>
  <c r="C37" i="5" s="1"/>
  <c r="D37" i="5" s="1"/>
  <c r="E37" i="5" s="1"/>
  <c r="C36" i="5"/>
  <c r="D36" i="5" s="1"/>
  <c r="C35" i="5"/>
  <c r="C34" i="5"/>
  <c r="C30" i="5"/>
  <c r="C26" i="5"/>
  <c r="C22" i="5"/>
  <c r="C14" i="5"/>
  <c r="B15" i="5"/>
  <c r="C15" i="5"/>
  <c r="D15" i="5" s="1"/>
  <c r="B16" i="5"/>
  <c r="C16" i="5"/>
  <c r="C17" i="5"/>
  <c r="C18" i="5"/>
  <c r="D18" i="5" s="1"/>
  <c r="E18" i="5" s="1"/>
  <c r="C19" i="5"/>
  <c r="C20" i="5"/>
  <c r="C13" i="5"/>
  <c r="C7" i="5"/>
  <c r="D7" i="5" s="1"/>
  <c r="C8" i="5"/>
  <c r="C6" i="5"/>
  <c r="I53" i="5"/>
  <c r="D53" i="5"/>
  <c r="E53" i="5" s="1"/>
  <c r="I52" i="5"/>
  <c r="D52" i="5"/>
  <c r="E52" i="5"/>
  <c r="I51" i="5"/>
  <c r="I50" i="5"/>
  <c r="I49" i="5"/>
  <c r="D49" i="5"/>
  <c r="E49" i="5" s="1"/>
  <c r="I48" i="5"/>
  <c r="D48" i="5"/>
  <c r="E48" i="5"/>
  <c r="I47" i="5"/>
  <c r="I46" i="5"/>
  <c r="D46" i="5"/>
  <c r="E46" i="5"/>
  <c r="I45" i="5"/>
  <c r="D45" i="5"/>
  <c r="E45" i="5" s="1"/>
  <c r="I44" i="5"/>
  <c r="D44" i="5"/>
  <c r="E44" i="5"/>
  <c r="I43" i="5"/>
  <c r="I42" i="5"/>
  <c r="D42" i="5"/>
  <c r="E42" i="5"/>
  <c r="I41" i="5"/>
  <c r="D41" i="5"/>
  <c r="E41" i="5" s="1"/>
  <c r="I40" i="5"/>
  <c r="D40" i="5"/>
  <c r="E40" i="5"/>
  <c r="I39" i="5"/>
  <c r="D39" i="5"/>
  <c r="E39" i="5" s="1"/>
  <c r="I38" i="5"/>
  <c r="I37" i="5"/>
  <c r="I36" i="5"/>
  <c r="E36" i="5"/>
  <c r="I35" i="5"/>
  <c r="D35" i="5"/>
  <c r="E35" i="5" s="1"/>
  <c r="I34" i="5"/>
  <c r="D34" i="5"/>
  <c r="E34" i="5"/>
  <c r="I33" i="5"/>
  <c r="C33" i="5"/>
  <c r="D33" i="5" s="1"/>
  <c r="E33" i="5" s="1"/>
  <c r="I32" i="5"/>
  <c r="C32" i="5"/>
  <c r="D32" i="5" s="1"/>
  <c r="E32" i="5" s="1"/>
  <c r="I31" i="5"/>
  <c r="C31" i="5"/>
  <c r="D31" i="5" s="1"/>
  <c r="E31" i="5" s="1"/>
  <c r="I29" i="5"/>
  <c r="D26" i="5"/>
  <c r="E26" i="5" s="1"/>
  <c r="I28" i="5"/>
  <c r="E28" i="5"/>
  <c r="I27" i="5"/>
  <c r="I26" i="5"/>
  <c r="I25" i="5"/>
  <c r="D22" i="5"/>
  <c r="E22" i="5"/>
  <c r="E24" i="5" s="1"/>
  <c r="I24" i="5"/>
  <c r="I23" i="5"/>
  <c r="I22" i="5"/>
  <c r="I21" i="5"/>
  <c r="I20" i="5"/>
  <c r="D20" i="5"/>
  <c r="E20" i="5" s="1"/>
  <c r="I19" i="5"/>
  <c r="D19" i="5"/>
  <c r="E19" i="5"/>
  <c r="I18" i="5"/>
  <c r="I17" i="5"/>
  <c r="D17" i="5"/>
  <c r="E17" i="5"/>
  <c r="I16" i="5"/>
  <c r="D16" i="5"/>
  <c r="E16" i="5" s="1"/>
  <c r="I15" i="5"/>
  <c r="E15" i="5"/>
  <c r="I14" i="5"/>
  <c r="D14" i="5"/>
  <c r="E14" i="5" s="1"/>
  <c r="I13" i="5"/>
  <c r="D13" i="5"/>
  <c r="E13" i="5"/>
  <c r="I12" i="5"/>
  <c r="D8" i="5"/>
  <c r="E8" i="5" s="1"/>
  <c r="I11" i="5"/>
  <c r="I10" i="5"/>
  <c r="I9" i="5"/>
  <c r="I8" i="5"/>
  <c r="I7" i="5"/>
  <c r="E7" i="5"/>
  <c r="I6" i="5"/>
  <c r="D6" i="5"/>
  <c r="E6" i="5" s="1"/>
  <c r="E39" i="3"/>
  <c r="C30" i="3"/>
  <c r="C57" i="3"/>
  <c r="C56" i="3"/>
  <c r="C55" i="3"/>
  <c r="C54" i="3"/>
  <c r="I53" i="3"/>
  <c r="C53" i="3"/>
  <c r="D53" i="3"/>
  <c r="E53" i="3" s="1"/>
  <c r="I52" i="3"/>
  <c r="C52" i="3"/>
  <c r="D52" i="3"/>
  <c r="E52" i="3" s="1"/>
  <c r="I51" i="3"/>
  <c r="C51" i="3"/>
  <c r="D51" i="3"/>
  <c r="E51" i="3" s="1"/>
  <c r="I50" i="3"/>
  <c r="C50" i="3"/>
  <c r="D50" i="3"/>
  <c r="E50" i="3" s="1"/>
  <c r="I49" i="3"/>
  <c r="C49" i="3"/>
  <c r="D49" i="3"/>
  <c r="E49" i="3" s="1"/>
  <c r="I48" i="3"/>
  <c r="C48" i="3"/>
  <c r="D48" i="3"/>
  <c r="E48" i="3" s="1"/>
  <c r="I47" i="3"/>
  <c r="C47" i="3"/>
  <c r="D47" i="3"/>
  <c r="E47" i="3" s="1"/>
  <c r="I46" i="3"/>
  <c r="C46" i="3"/>
  <c r="D46" i="3"/>
  <c r="E46" i="3" s="1"/>
  <c r="I45" i="3"/>
  <c r="C45" i="3"/>
  <c r="D45" i="3"/>
  <c r="E45" i="3" s="1"/>
  <c r="I44" i="3"/>
  <c r="C44" i="3"/>
  <c r="D44" i="3"/>
  <c r="E44" i="3" s="1"/>
  <c r="I43" i="3"/>
  <c r="C43" i="3"/>
  <c r="D43" i="3"/>
  <c r="E43" i="3" s="1"/>
  <c r="I42" i="3"/>
  <c r="C42" i="3"/>
  <c r="D42" i="3"/>
  <c r="E42" i="3" s="1"/>
  <c r="I41" i="3"/>
  <c r="C41" i="3"/>
  <c r="D41" i="3"/>
  <c r="E41" i="3" s="1"/>
  <c r="I40" i="3"/>
  <c r="C40" i="3"/>
  <c r="D40" i="3"/>
  <c r="E40" i="3" s="1"/>
  <c r="I39" i="3"/>
  <c r="I38" i="3"/>
  <c r="C38" i="3"/>
  <c r="D38" i="3" s="1"/>
  <c r="E38" i="3" s="1"/>
  <c r="I37" i="3"/>
  <c r="C37" i="3"/>
  <c r="D37" i="3" s="1"/>
  <c r="E37" i="3" s="1"/>
  <c r="I36" i="3"/>
  <c r="C36" i="3"/>
  <c r="D36" i="3" s="1"/>
  <c r="E36" i="3" s="1"/>
  <c r="I35" i="3"/>
  <c r="C35" i="3"/>
  <c r="D35" i="3" s="1"/>
  <c r="E35" i="3" s="1"/>
  <c r="I34" i="3"/>
  <c r="C34" i="3"/>
  <c r="D34" i="3" s="1"/>
  <c r="E34" i="3" s="1"/>
  <c r="I33" i="3"/>
  <c r="I32" i="3"/>
  <c r="I31" i="3"/>
  <c r="I29" i="3"/>
  <c r="C26" i="3"/>
  <c r="D26" i="3"/>
  <c r="E26" i="3" s="1"/>
  <c r="I28" i="3"/>
  <c r="I27" i="3"/>
  <c r="I26" i="3"/>
  <c r="I25" i="3"/>
  <c r="I24" i="3"/>
  <c r="I23" i="3"/>
  <c r="I22" i="3"/>
  <c r="I21" i="3"/>
  <c r="E21" i="3"/>
  <c r="I20" i="3"/>
  <c r="C20" i="3"/>
  <c r="D20" i="3" s="1"/>
  <c r="E20" i="3" s="1"/>
  <c r="I19" i="3"/>
  <c r="C19" i="3"/>
  <c r="D19" i="3" s="1"/>
  <c r="E19" i="3"/>
  <c r="I18" i="3"/>
  <c r="C18" i="3"/>
  <c r="D18" i="3" s="1"/>
  <c r="E18" i="3" s="1"/>
  <c r="I17" i="3"/>
  <c r="C17" i="3"/>
  <c r="D17" i="3" s="1"/>
  <c r="E17" i="3" s="1"/>
  <c r="I16" i="3"/>
  <c r="C16" i="3"/>
  <c r="D16" i="3" s="1"/>
  <c r="E16" i="3" s="1"/>
  <c r="I15" i="3"/>
  <c r="I14" i="3"/>
  <c r="C14" i="3"/>
  <c r="D14" i="3" s="1"/>
  <c r="E14" i="3" s="1"/>
  <c r="I13" i="3"/>
  <c r="C13" i="3"/>
  <c r="D13" i="3" s="1"/>
  <c r="E13" i="3" s="1"/>
  <c r="I12" i="3"/>
  <c r="I11" i="3"/>
  <c r="I10" i="3"/>
  <c r="I9" i="3"/>
  <c r="I8" i="3"/>
  <c r="I7" i="3"/>
  <c r="C7" i="3"/>
  <c r="D7" i="3" s="1"/>
  <c r="E7" i="3" s="1"/>
  <c r="I6" i="3"/>
  <c r="I3" i="2"/>
  <c r="J3" i="2"/>
  <c r="K3" i="2"/>
  <c r="L3" i="2"/>
  <c r="I4" i="2"/>
  <c r="J4" i="2"/>
  <c r="K4" i="2"/>
  <c r="L4" i="2"/>
  <c r="I5" i="2"/>
  <c r="J5" i="2"/>
  <c r="K5" i="2"/>
  <c r="L5" i="2"/>
  <c r="I6" i="2"/>
  <c r="J6" i="2"/>
  <c r="K6" i="2"/>
  <c r="L6" i="2"/>
  <c r="I7" i="2"/>
  <c r="J7" i="2"/>
  <c r="K7" i="2"/>
  <c r="L7" i="2"/>
  <c r="I8" i="2"/>
  <c r="J8" i="2"/>
  <c r="K8" i="2"/>
  <c r="L8" i="2"/>
  <c r="I9" i="2"/>
  <c r="J9" i="2"/>
  <c r="K9" i="2"/>
  <c r="L9" i="2"/>
  <c r="I10" i="2"/>
  <c r="J10" i="2"/>
  <c r="K10" i="2"/>
  <c r="L10" i="2"/>
  <c r="I11" i="2"/>
  <c r="J11" i="2"/>
  <c r="K11" i="2"/>
  <c r="L11" i="2"/>
  <c r="I12" i="2"/>
  <c r="J12" i="2"/>
  <c r="K12" i="2"/>
  <c r="L12" i="2"/>
  <c r="I13" i="2"/>
  <c r="J13" i="2"/>
  <c r="K13" i="2"/>
  <c r="L13" i="2"/>
  <c r="I14" i="2"/>
  <c r="J14" i="2"/>
  <c r="K14" i="2"/>
  <c r="L14" i="2"/>
  <c r="I15" i="2"/>
  <c r="J15" i="2"/>
  <c r="K15" i="2"/>
  <c r="L15" i="2"/>
  <c r="I16" i="2"/>
  <c r="J16" i="2"/>
  <c r="K16" i="2"/>
  <c r="L16" i="2"/>
  <c r="I17" i="2"/>
  <c r="J17" i="2"/>
  <c r="K17" i="2"/>
  <c r="L17" i="2"/>
  <c r="I18" i="2"/>
  <c r="J18" i="2"/>
  <c r="K18" i="2"/>
  <c r="L18" i="2"/>
  <c r="I19" i="2"/>
  <c r="J19" i="2"/>
  <c r="K19" i="2"/>
  <c r="L19" i="2"/>
  <c r="I20" i="2"/>
  <c r="J20" i="2"/>
  <c r="K20" i="2"/>
  <c r="L20" i="2"/>
  <c r="I21" i="2"/>
  <c r="J21" i="2"/>
  <c r="K21" i="2"/>
  <c r="L21" i="2"/>
  <c r="I22" i="2"/>
  <c r="J22" i="2"/>
  <c r="K22" i="2"/>
  <c r="L22" i="2"/>
  <c r="I23" i="2"/>
  <c r="J23" i="2"/>
  <c r="K23" i="2"/>
  <c r="L23" i="2"/>
  <c r="I24" i="2"/>
  <c r="J24" i="2"/>
  <c r="K24" i="2"/>
  <c r="L24" i="2"/>
  <c r="I25" i="2"/>
  <c r="J25" i="2"/>
  <c r="K25" i="2"/>
  <c r="L25" i="2"/>
  <c r="L2" i="2"/>
  <c r="I2" i="2"/>
  <c r="J2" i="2"/>
  <c r="K2" i="2" s="1"/>
  <c r="B27" i="3" l="1"/>
  <c r="C27" i="3" s="1"/>
  <c r="D27" i="3" s="1"/>
  <c r="E27" i="3" s="1"/>
  <c r="E12" i="5"/>
  <c r="E10" i="5"/>
  <c r="B32" i="3"/>
  <c r="C32" i="3" s="1"/>
  <c r="D32" i="3" s="1"/>
  <c r="E32" i="3" s="1"/>
  <c r="E11" i="5"/>
  <c r="B25" i="3"/>
  <c r="C25" i="3" s="1"/>
  <c r="D25" i="3" s="1"/>
  <c r="E25" i="3" s="1"/>
  <c r="J9" i="6"/>
  <c r="I9" i="6" s="1"/>
  <c r="J7" i="6"/>
  <c r="I7" i="6" s="1"/>
  <c r="J8" i="6"/>
  <c r="I8" i="6" s="1"/>
  <c r="J6" i="6"/>
  <c r="I6" i="6" s="1"/>
  <c r="E9" i="5"/>
  <c r="E29" i="5"/>
  <c r="E27" i="5"/>
  <c r="B23" i="3"/>
  <c r="C23" i="3" s="1"/>
  <c r="D23" i="3" s="1"/>
  <c r="E23" i="3" s="1"/>
  <c r="B33" i="3"/>
  <c r="C33" i="3" s="1"/>
  <c r="D33" i="3" s="1"/>
  <c r="E33" i="3" s="1"/>
  <c r="J5" i="6"/>
  <c r="I5" i="6" s="1"/>
  <c r="E11" i="3"/>
  <c r="D11" i="3" s="1"/>
  <c r="E9" i="3"/>
  <c r="D9" i="3" s="1"/>
  <c r="E10" i="3"/>
  <c r="D10" i="3" s="1"/>
  <c r="E12" i="3"/>
  <c r="D12" i="3" s="1"/>
  <c r="E23" i="5"/>
  <c r="E25" i="5"/>
  <c r="C6" i="3"/>
  <c r="D6" i="3" s="1"/>
  <c r="E6" i="3" s="1"/>
  <c r="C50" i="5"/>
  <c r="D50" i="5" s="1"/>
  <c r="E50" i="5" s="1"/>
  <c r="C22" i="3"/>
  <c r="D22" i="3" s="1"/>
  <c r="E22" i="3" s="1"/>
</calcChain>
</file>

<file path=xl/comments1.xml><?xml version="1.0" encoding="utf-8"?>
<comments xmlns="http://schemas.openxmlformats.org/spreadsheetml/2006/main">
  <authors>
    <author>Amy Silder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Amy Silder:</t>
        </r>
        <r>
          <rPr>
            <sz val="9"/>
            <color indexed="81"/>
            <rFont val="Tahoma"/>
            <charset val="1"/>
          </rPr>
          <t xml:space="preserve">
This is the average fiber length from all of the other parts of this muscle, listed below.</t>
        </r>
      </text>
    </comment>
  </commentList>
</comments>
</file>

<file path=xl/sharedStrings.xml><?xml version="1.0" encoding="utf-8"?>
<sst xmlns="http://schemas.openxmlformats.org/spreadsheetml/2006/main" count="305" uniqueCount="149">
  <si>
    <t>Subject</t>
  </si>
  <si>
    <t>Age (years)</t>
  </si>
  <si>
    <t>Height (cm)</t>
  </si>
  <si>
    <t>Mass (kg)</t>
  </si>
  <si>
    <t>Bony Leg Length (cm)</t>
  </si>
  <si>
    <t>Female 1</t>
  </si>
  <si>
    <t>Female 2</t>
  </si>
  <si>
    <t>Female 3</t>
  </si>
  <si>
    <t>Female 4</t>
  </si>
  <si>
    <t>Female 5</t>
  </si>
  <si>
    <t>Female 6</t>
  </si>
  <si>
    <t>Female 7</t>
  </si>
  <si>
    <t>Female 8</t>
  </si>
  <si>
    <t>Male 1</t>
  </si>
  <si>
    <t>Male 2</t>
  </si>
  <si>
    <t>Male 3</t>
  </si>
  <si>
    <t>Male 4</t>
  </si>
  <si>
    <t>Male 5</t>
  </si>
  <si>
    <t>Male 6</t>
  </si>
  <si>
    <t>Male 7</t>
  </si>
  <si>
    <t>Male 8</t>
  </si>
  <si>
    <t>Male 9</t>
  </si>
  <si>
    <t>Male 10</t>
  </si>
  <si>
    <t>Male 11</t>
  </si>
  <si>
    <t>Male 12</t>
  </si>
  <si>
    <t>Male 13</t>
  </si>
  <si>
    <t>Male 14</t>
  </si>
  <si>
    <t>Male 15</t>
  </si>
  <si>
    <t>Male 16</t>
  </si>
  <si>
    <t>Total Muscle Volume (cm3)</t>
  </si>
  <si>
    <t>height (m)</t>
  </si>
  <si>
    <t>mass (kg)</t>
  </si>
  <si>
    <t>h*m (m-kg)</t>
  </si>
  <si>
    <t>total muscle volume (cm3)</t>
  </si>
  <si>
    <t>Comparison of Cadaver and MRI Muscle Volume Data</t>
  </si>
  <si>
    <t>*Fiber Length: blue-Friedrich, green-Wickiewicz</t>
  </si>
  <si>
    <t>specific tension 61N/cm2 (Arnold)</t>
  </si>
  <si>
    <t>s.t. (N/cm2)</t>
  </si>
  <si>
    <t>Type</t>
  </si>
  <si>
    <t>MRI</t>
  </si>
  <si>
    <t>Cadaver</t>
  </si>
  <si>
    <t>Simulation</t>
  </si>
  <si>
    <t>m (kg)</t>
  </si>
  <si>
    <t>Publication</t>
  </si>
  <si>
    <t>Blemker</t>
  </si>
  <si>
    <t>Arnold</t>
  </si>
  <si>
    <t>Ward</t>
  </si>
  <si>
    <t>h (m)</t>
  </si>
  <si>
    <t>Volume fraction</t>
  </si>
  <si>
    <t>Volume (cm3)</t>
  </si>
  <si>
    <t>PCSA (cm2)</t>
  </si>
  <si>
    <t>max force (N)</t>
  </si>
  <si>
    <t>Optimal fiber length (cm)</t>
  </si>
  <si>
    <t>Pennation angle (deg)</t>
  </si>
  <si>
    <t>pennation at optimal (rad)</t>
  </si>
  <si>
    <t>Tendon slack length (cm)</t>
  </si>
  <si>
    <t>V (cm3)</t>
  </si>
  <si>
    <t>Adductor brevis</t>
  </si>
  <si>
    <t>Adductor longus</t>
  </si>
  <si>
    <t>Adductor magnus</t>
  </si>
  <si>
    <t>_Adductor magnus distal</t>
  </si>
  <si>
    <t>_Adductor magnus ischial</t>
  </si>
  <si>
    <t>_Adductor magnus middle</t>
  </si>
  <si>
    <t>_Adductor magnus proximal</t>
  </si>
  <si>
    <t>Biceps femoris long head</t>
  </si>
  <si>
    <t>Biceps femoris short head</t>
  </si>
  <si>
    <t>Extensor digitorum longus</t>
  </si>
  <si>
    <t>Extensor hallucis longus</t>
  </si>
  <si>
    <t>Flexor digitorum longus</t>
  </si>
  <si>
    <t>Flexor hallucis longus</t>
  </si>
  <si>
    <t>Gastrocnemius lateral head</t>
  </si>
  <si>
    <t>Gastrocnemius medial head</t>
  </si>
  <si>
    <t>Gemelli</t>
  </si>
  <si>
    <t>Gluteus maximus</t>
  </si>
  <si>
    <t>_Gluteus maximus superior</t>
  </si>
  <si>
    <t>_Gluteus maximus middle</t>
  </si>
  <si>
    <t>_Gluteus maximus inferior</t>
  </si>
  <si>
    <t>Gluteus medius</t>
  </si>
  <si>
    <t>_Gluteus medius anterior</t>
  </si>
  <si>
    <t>_Gluteus medius middle</t>
  </si>
  <si>
    <t>_Gluteus medius posterior</t>
  </si>
  <si>
    <t>Gluteus minimus</t>
  </si>
  <si>
    <t>_Gluteus minimus anterior</t>
  </si>
  <si>
    <t>_Gluteus minimus middle</t>
  </si>
  <si>
    <t>_Gluteus minimus posterior</t>
  </si>
  <si>
    <t>Gracilis</t>
  </si>
  <si>
    <t>Iliacus</t>
  </si>
  <si>
    <t>Pectineus</t>
  </si>
  <si>
    <t>Peroneus brevis</t>
  </si>
  <si>
    <t>Peroneus longus</t>
  </si>
  <si>
    <t>Peroneus tertius</t>
  </si>
  <si>
    <t>Piriformis</t>
  </si>
  <si>
    <t>Psoas</t>
  </si>
  <si>
    <t>Quadratus femoris</t>
  </si>
  <si>
    <t>Rectus femoris</t>
  </si>
  <si>
    <t>Sartorius</t>
  </si>
  <si>
    <t>Semimembranosus</t>
  </si>
  <si>
    <t>Semitendinosus</t>
  </si>
  <si>
    <t>Soleus</t>
  </si>
  <si>
    <t>Tensor fascia latae</t>
  </si>
  <si>
    <t>Tibials anterior</t>
  </si>
  <si>
    <t>Tibials posterior</t>
  </si>
  <si>
    <t>Vastus intermedius</t>
  </si>
  <si>
    <t>Vastus lateralis</t>
  </si>
  <si>
    <t>Vastus medialis</t>
  </si>
  <si>
    <t>obturator externus</t>
  </si>
  <si>
    <t>obturator internus</t>
  </si>
  <si>
    <t>small ext. rotators</t>
  </si>
  <si>
    <t>popliteus</t>
  </si>
  <si>
    <t>47.05*m*h + 1289.6</t>
  </si>
  <si>
    <t>56.933*m*h</t>
  </si>
  <si>
    <t>Muscle</t>
  </si>
  <si>
    <t>Arnold2010</t>
  </si>
  <si>
    <t>lmo</t>
  </si>
  <si>
    <t>pcsa</t>
  </si>
  <si>
    <t>volume</t>
  </si>
  <si>
    <t>EHL</t>
  </si>
  <si>
    <t>EDL</t>
  </si>
  <si>
    <t>PERBREV</t>
  </si>
  <si>
    <t>PERTERT</t>
  </si>
  <si>
    <t>GMAX1</t>
  </si>
  <si>
    <t>GMAX2</t>
  </si>
  <si>
    <t>GMAX3</t>
  </si>
  <si>
    <t>GMED1</t>
  </si>
  <si>
    <t>GMED2</t>
  </si>
  <si>
    <t>GMED3</t>
  </si>
  <si>
    <t>GMIN1</t>
  </si>
  <si>
    <t>GMIN2</t>
  </si>
  <si>
    <t>GMIN3</t>
  </si>
  <si>
    <t>PERLONG</t>
  </si>
  <si>
    <t>Measured sarcomere length</t>
  </si>
  <si>
    <t>normalized measured sarcomere length</t>
  </si>
  <si>
    <t>Pennation angle at optimal (rad)</t>
  </si>
  <si>
    <t>pennation angle (rad)</t>
  </si>
  <si>
    <t>pennation angle at optimal (deg)</t>
  </si>
  <si>
    <t>mass of current OpenSim model (i.e. LowerBody)</t>
  </si>
  <si>
    <t>assumed specific tension in LowerBody. Edith assumed s.t. = 61 N/cm2</t>
  </si>
  <si>
    <t>height of current OpenSim model (i.e. LowerBody)</t>
  </si>
  <si>
    <t>PCSA = assumed peak force (90) / specific tension (61)</t>
  </si>
  <si>
    <t>PCSA = assumed peak force (546.1) / specific tension (61)</t>
  </si>
  <si>
    <t>PCSA = assumed peak force (780.5) / specific tension (61)</t>
  </si>
  <si>
    <t>PCSA = assumed peak force (526.1) / specific tension (61)</t>
  </si>
  <si>
    <t>PCSA = assumed peak force (881.1) / specific tension (61)</t>
  </si>
  <si>
    <t>PCSA = assumed peak force (616.5) / specific tension (61)</t>
  </si>
  <si>
    <t>PCSA = assumed peak force (702.0) / specific tension (61)</t>
  </si>
  <si>
    <t>PCSA = assumed peak force (180) / specific tension (61)</t>
  </si>
  <si>
    <t>PCSA = assumed peak force (190) / specific tension (61)</t>
  </si>
  <si>
    <t>PCSA = assumed peak force (215) / specific tension (61)</t>
  </si>
  <si>
    <t>** Taken from Figure 5A, a linear regression in Geoff's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</si>
</sst>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 tint="0.249977111117893"/>
      <name val="Calibri"/>
      <scheme val="minor"/>
    </font>
    <font>
      <sz val="12"/>
      <color theme="1" tint="0.249977111117893"/>
      <name val="Calibri"/>
      <scheme val="minor"/>
    </font>
    <font>
      <b/>
      <sz val="11"/>
      <color rgb="FF0000FF"/>
      <name val="Calibri"/>
      <scheme val="minor"/>
    </font>
    <font>
      <sz val="10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8000"/>
      <name val="Calibri"/>
      <scheme val="minor"/>
    </font>
    <font>
      <sz val="12"/>
      <color rgb="FFFF6600"/>
      <name val="Calibri"/>
      <scheme val="minor"/>
    </font>
    <font>
      <sz val="12"/>
      <color rgb="FF3366FF"/>
      <name val="Calibri"/>
      <scheme val="minor"/>
    </font>
    <font>
      <sz val="11"/>
      <color theme="1"/>
      <name val="Calibri"/>
      <scheme val="minor"/>
    </font>
    <font>
      <sz val="12"/>
      <name val="Calibri"/>
      <scheme val="minor"/>
    </font>
    <font>
      <b/>
      <sz val="11"/>
      <color theme="1"/>
      <name val="Calibri"/>
      <scheme val="minor"/>
    </font>
    <font>
      <sz val="12"/>
      <color rgb="FF000000"/>
      <name val="Calibri"/>
      <family val="2"/>
      <scheme val="minor"/>
    </font>
    <font>
      <sz val="12"/>
      <color rgb="FF008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5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wrapText="1"/>
    </xf>
    <xf numFmtId="0" fontId="11" fillId="0" borderId="0" xfId="0" applyFont="1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wrapText="1"/>
    </xf>
    <xf numFmtId="0" fontId="7" fillId="0" borderId="0" xfId="0" applyFont="1" applyAlignment="1">
      <alignment wrapText="1"/>
    </xf>
    <xf numFmtId="2" fontId="0" fillId="0" borderId="0" xfId="0" applyNumberFormat="1"/>
    <xf numFmtId="164" fontId="0" fillId="0" borderId="0" xfId="0" applyNumberFormat="1"/>
    <xf numFmtId="164" fontId="7" fillId="0" borderId="0" xfId="0" applyNumberFormat="1" applyFont="1" applyAlignment="1">
      <alignment wrapText="1"/>
    </xf>
    <xf numFmtId="2" fontId="9" fillId="0" borderId="0" xfId="0" applyNumberFormat="1" applyFont="1"/>
    <xf numFmtId="164" fontId="9" fillId="0" borderId="0" xfId="0" applyNumberFormat="1" applyFont="1"/>
    <xf numFmtId="0" fontId="14" fillId="0" borderId="0" xfId="0" applyFont="1" applyFill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>
      <alignment vertical="center"/>
    </xf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'm,h,V data (Blemker)'!$L$1</c:f>
              <c:strCache>
                <c:ptCount val="1"/>
                <c:pt idx="0">
                  <c:v>total muscle volume (cm3)</c:v>
                </c:pt>
              </c:strCache>
            </c:strRef>
          </c:tx>
          <c:spPr>
            <a:ln w="47625">
              <a:noFill/>
            </a:ln>
          </c:spPr>
          <c:trendline>
            <c:spPr>
              <a:ln w="25400">
                <a:solidFill>
                  <a:schemeClr val="accent4">
                    <a:lumMod val="75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36918197725284319"/>
                  <c:y val="-3.9814814814814803E-2"/>
                </c:manualLayout>
              </c:layout>
              <c:numFmt formatCode="General" sourceLinked="0"/>
            </c:trendlineLbl>
          </c:trendline>
          <c:xVal>
            <c:numRef>
              <c:f>'m,h,V data (Blemker)'!$K$2:$K$25</c:f>
              <c:numCache>
                <c:formatCode>General</c:formatCode>
                <c:ptCount val="24"/>
                <c:pt idx="0">
                  <c:v>93.554999999999993</c:v>
                </c:pt>
                <c:pt idx="1">
                  <c:v>113.83399999999999</c:v>
                </c:pt>
                <c:pt idx="2">
                  <c:v>90.08</c:v>
                </c:pt>
                <c:pt idx="3">
                  <c:v>98.091000000000008</c:v>
                </c:pt>
                <c:pt idx="4">
                  <c:v>97.94</c:v>
                </c:pt>
                <c:pt idx="5">
                  <c:v>125.49</c:v>
                </c:pt>
                <c:pt idx="6">
                  <c:v>100.08199999999999</c:v>
                </c:pt>
                <c:pt idx="7">
                  <c:v>127.5</c:v>
                </c:pt>
                <c:pt idx="8">
                  <c:v>68.875</c:v>
                </c:pt>
                <c:pt idx="9">
                  <c:v>140.28</c:v>
                </c:pt>
                <c:pt idx="10">
                  <c:v>90.160000000000011</c:v>
                </c:pt>
                <c:pt idx="11">
                  <c:v>116.94600000000001</c:v>
                </c:pt>
                <c:pt idx="12">
                  <c:v>94.020999999999987</c:v>
                </c:pt>
                <c:pt idx="13">
                  <c:v>104.94</c:v>
                </c:pt>
                <c:pt idx="14">
                  <c:v>138.12799999999999</c:v>
                </c:pt>
                <c:pt idx="15">
                  <c:v>130.56</c:v>
                </c:pt>
                <c:pt idx="16">
                  <c:v>151.14500000000001</c:v>
                </c:pt>
                <c:pt idx="17">
                  <c:v>153.596</c:v>
                </c:pt>
                <c:pt idx="18">
                  <c:v>134.63999999999999</c:v>
                </c:pt>
                <c:pt idx="19">
                  <c:v>142.97499999999999</c:v>
                </c:pt>
                <c:pt idx="20">
                  <c:v>151.02000000000001</c:v>
                </c:pt>
                <c:pt idx="21">
                  <c:v>190.10399999999998</c:v>
                </c:pt>
                <c:pt idx="22">
                  <c:v>157.57499999999999</c:v>
                </c:pt>
                <c:pt idx="23">
                  <c:v>160.49100000000001</c:v>
                </c:pt>
              </c:numCache>
            </c:numRef>
          </c:xVal>
          <c:yVal>
            <c:numRef>
              <c:f>'m,h,V data (Blemker)'!$L$2:$L$25</c:f>
              <c:numCache>
                <c:formatCode>General</c:formatCode>
                <c:ptCount val="24"/>
                <c:pt idx="0">
                  <c:v>6157</c:v>
                </c:pt>
                <c:pt idx="1">
                  <c:v>6427</c:v>
                </c:pt>
                <c:pt idx="2">
                  <c:v>4951</c:v>
                </c:pt>
                <c:pt idx="3">
                  <c:v>6185</c:v>
                </c:pt>
                <c:pt idx="4">
                  <c:v>5912</c:v>
                </c:pt>
                <c:pt idx="5">
                  <c:v>6449</c:v>
                </c:pt>
                <c:pt idx="6">
                  <c:v>6002</c:v>
                </c:pt>
                <c:pt idx="7">
                  <c:v>6866</c:v>
                </c:pt>
                <c:pt idx="8">
                  <c:v>3979</c:v>
                </c:pt>
                <c:pt idx="9">
                  <c:v>7307</c:v>
                </c:pt>
                <c:pt idx="10">
                  <c:v>5795</c:v>
                </c:pt>
                <c:pt idx="11">
                  <c:v>7059</c:v>
                </c:pt>
                <c:pt idx="12">
                  <c:v>6104</c:v>
                </c:pt>
                <c:pt idx="13">
                  <c:v>6587</c:v>
                </c:pt>
                <c:pt idx="14">
                  <c:v>7584</c:v>
                </c:pt>
                <c:pt idx="15">
                  <c:v>7690</c:v>
                </c:pt>
                <c:pt idx="16">
                  <c:v>8242</c:v>
                </c:pt>
                <c:pt idx="17">
                  <c:v>9266</c:v>
                </c:pt>
                <c:pt idx="18">
                  <c:v>8330</c:v>
                </c:pt>
                <c:pt idx="19">
                  <c:v>7729</c:v>
                </c:pt>
                <c:pt idx="20">
                  <c:v>8683</c:v>
                </c:pt>
                <c:pt idx="21">
                  <c:v>10064</c:v>
                </c:pt>
                <c:pt idx="22">
                  <c:v>8493</c:v>
                </c:pt>
                <c:pt idx="23">
                  <c:v>8922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91208"/>
        <c:axId val="414991600"/>
      </c:scatterChart>
      <c:valAx>
        <c:axId val="414991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4991600"/>
        <c:crosses val="autoZero"/>
        <c:crossBetween val="midCat"/>
      </c:valAx>
      <c:valAx>
        <c:axId val="41499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991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'm,h,V data (Blemker)'!$L$1</c:f>
              <c:strCache>
                <c:ptCount val="1"/>
                <c:pt idx="0">
                  <c:v>total muscle volume (cm3)</c:v>
                </c:pt>
              </c:strCache>
            </c:strRef>
          </c:tx>
          <c:spPr>
            <a:ln w="47625">
              <a:noFill/>
            </a:ln>
          </c:spPr>
          <c:trendline>
            <c:spPr>
              <a:ln w="25400">
                <a:solidFill>
                  <a:schemeClr val="accent6">
                    <a:lumMod val="75000"/>
                  </a:schemeClr>
                </a:solidFill>
                <a:tailEnd type="none"/>
              </a:ln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35723797025371801"/>
                  <c:y val="0.48796296296296315"/>
                </c:manualLayout>
              </c:layout>
              <c:numFmt formatCode="General" sourceLinked="0"/>
            </c:trendlineLbl>
          </c:trendline>
          <c:xVal>
            <c:numRef>
              <c:f>'m,h,V data (Blemker)'!$K$2:$K$25</c:f>
              <c:numCache>
                <c:formatCode>General</c:formatCode>
                <c:ptCount val="24"/>
                <c:pt idx="0">
                  <c:v>93.554999999999993</c:v>
                </c:pt>
                <c:pt idx="1">
                  <c:v>113.83399999999999</c:v>
                </c:pt>
                <c:pt idx="2">
                  <c:v>90.08</c:v>
                </c:pt>
                <c:pt idx="3">
                  <c:v>98.091000000000008</c:v>
                </c:pt>
                <c:pt idx="4">
                  <c:v>97.94</c:v>
                </c:pt>
                <c:pt idx="5">
                  <c:v>125.49</c:v>
                </c:pt>
                <c:pt idx="6">
                  <c:v>100.08199999999999</c:v>
                </c:pt>
                <c:pt idx="7">
                  <c:v>127.5</c:v>
                </c:pt>
                <c:pt idx="8">
                  <c:v>68.875</c:v>
                </c:pt>
                <c:pt idx="9">
                  <c:v>140.28</c:v>
                </c:pt>
                <c:pt idx="10">
                  <c:v>90.160000000000011</c:v>
                </c:pt>
                <c:pt idx="11">
                  <c:v>116.94600000000001</c:v>
                </c:pt>
                <c:pt idx="12">
                  <c:v>94.020999999999987</c:v>
                </c:pt>
                <c:pt idx="13">
                  <c:v>104.94</c:v>
                </c:pt>
                <c:pt idx="14">
                  <c:v>138.12799999999999</c:v>
                </c:pt>
                <c:pt idx="15">
                  <c:v>130.56</c:v>
                </c:pt>
                <c:pt idx="16">
                  <c:v>151.14500000000001</c:v>
                </c:pt>
                <c:pt idx="17">
                  <c:v>153.596</c:v>
                </c:pt>
                <c:pt idx="18">
                  <c:v>134.63999999999999</c:v>
                </c:pt>
                <c:pt idx="19">
                  <c:v>142.97499999999999</c:v>
                </c:pt>
                <c:pt idx="20">
                  <c:v>151.02000000000001</c:v>
                </c:pt>
                <c:pt idx="21">
                  <c:v>190.10399999999998</c:v>
                </c:pt>
                <c:pt idx="22">
                  <c:v>157.57499999999999</c:v>
                </c:pt>
                <c:pt idx="23">
                  <c:v>160.49100000000001</c:v>
                </c:pt>
              </c:numCache>
            </c:numRef>
          </c:xVal>
          <c:yVal>
            <c:numRef>
              <c:f>'m,h,V data (Blemker)'!$L$2:$L$25</c:f>
              <c:numCache>
                <c:formatCode>General</c:formatCode>
                <c:ptCount val="24"/>
                <c:pt idx="0">
                  <c:v>6157</c:v>
                </c:pt>
                <c:pt idx="1">
                  <c:v>6427</c:v>
                </c:pt>
                <c:pt idx="2">
                  <c:v>4951</c:v>
                </c:pt>
                <c:pt idx="3">
                  <c:v>6185</c:v>
                </c:pt>
                <c:pt idx="4">
                  <c:v>5912</c:v>
                </c:pt>
                <c:pt idx="5">
                  <c:v>6449</c:v>
                </c:pt>
                <c:pt idx="6">
                  <c:v>6002</c:v>
                </c:pt>
                <c:pt idx="7">
                  <c:v>6866</c:v>
                </c:pt>
                <c:pt idx="8">
                  <c:v>3979</c:v>
                </c:pt>
                <c:pt idx="9">
                  <c:v>7307</c:v>
                </c:pt>
                <c:pt idx="10">
                  <c:v>5795</c:v>
                </c:pt>
                <c:pt idx="11">
                  <c:v>7059</c:v>
                </c:pt>
                <c:pt idx="12">
                  <c:v>6104</c:v>
                </c:pt>
                <c:pt idx="13">
                  <c:v>6587</c:v>
                </c:pt>
                <c:pt idx="14">
                  <c:v>7584</c:v>
                </c:pt>
                <c:pt idx="15">
                  <c:v>7690</c:v>
                </c:pt>
                <c:pt idx="16">
                  <c:v>8242</c:v>
                </c:pt>
                <c:pt idx="17">
                  <c:v>9266</c:v>
                </c:pt>
                <c:pt idx="18">
                  <c:v>8330</c:v>
                </c:pt>
                <c:pt idx="19">
                  <c:v>7729</c:v>
                </c:pt>
                <c:pt idx="20">
                  <c:v>8683</c:v>
                </c:pt>
                <c:pt idx="21">
                  <c:v>10064</c:v>
                </c:pt>
                <c:pt idx="22">
                  <c:v>8493</c:v>
                </c:pt>
                <c:pt idx="23">
                  <c:v>8922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063072"/>
        <c:axId val="400063464"/>
      </c:scatterChart>
      <c:valAx>
        <c:axId val="40006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0063464"/>
        <c:crosses val="autoZero"/>
        <c:crossBetween val="midCat"/>
      </c:valAx>
      <c:valAx>
        <c:axId val="400063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0063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15</xdr:row>
      <xdr:rowOff>177800</xdr:rowOff>
    </xdr:from>
    <xdr:to>
      <xdr:col>7</xdr:col>
      <xdr:colOff>317500</xdr:colOff>
      <xdr:row>42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787400</xdr:colOff>
      <xdr:row>16</xdr:row>
      <xdr:rowOff>0</xdr:rowOff>
    </xdr:from>
    <xdr:to>
      <xdr:col>14</xdr:col>
      <xdr:colOff>787400</xdr:colOff>
      <xdr:row>42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2" workbookViewId="0">
      <selection activeCell="R18" sqref="R18"/>
    </sheetView>
  </sheetViews>
  <sheetFormatPr defaultColWidth="11" defaultRowHeight="15.7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29</v>
      </c>
      <c r="F1" s="1" t="s">
        <v>4</v>
      </c>
      <c r="I1" s="1" t="s">
        <v>30</v>
      </c>
      <c r="J1" s="1" t="s">
        <v>31</v>
      </c>
      <c r="K1" s="1" t="s">
        <v>32</v>
      </c>
      <c r="L1" s="1" t="s">
        <v>33</v>
      </c>
    </row>
    <row r="2" spans="1:12" x14ac:dyDescent="0.25">
      <c r="A2" s="1" t="s">
        <v>5</v>
      </c>
      <c r="B2" s="2">
        <v>20</v>
      </c>
      <c r="C2" s="2">
        <v>165</v>
      </c>
      <c r="D2" s="2">
        <v>56.7</v>
      </c>
      <c r="E2" s="2">
        <v>6157</v>
      </c>
      <c r="F2" s="2">
        <v>82.8</v>
      </c>
      <c r="I2">
        <f>C2/100</f>
        <v>1.65</v>
      </c>
      <c r="J2">
        <f>D2</f>
        <v>56.7</v>
      </c>
      <c r="K2">
        <f>I2*J2</f>
        <v>93.554999999999993</v>
      </c>
      <c r="L2">
        <f>E2</f>
        <v>6157</v>
      </c>
    </row>
    <row r="3" spans="1:12" x14ac:dyDescent="0.25">
      <c r="A3" s="1" t="s">
        <v>6</v>
      </c>
      <c r="B3" s="2">
        <v>22</v>
      </c>
      <c r="C3" s="2">
        <v>173</v>
      </c>
      <c r="D3" s="2">
        <v>65.8</v>
      </c>
      <c r="E3" s="2">
        <v>6427</v>
      </c>
      <c r="F3" s="2">
        <v>86.6</v>
      </c>
      <c r="I3">
        <f t="shared" ref="I3:I25" si="0">C3/100</f>
        <v>1.73</v>
      </c>
      <c r="J3">
        <f t="shared" ref="J3:J25" si="1">D3</f>
        <v>65.8</v>
      </c>
      <c r="K3">
        <f t="shared" ref="K3:K25" si="2">I3*J3</f>
        <v>113.83399999999999</v>
      </c>
      <c r="L3">
        <f t="shared" ref="L3:L25" si="3">E3</f>
        <v>6427</v>
      </c>
    </row>
    <row r="4" spans="1:12" x14ac:dyDescent="0.25">
      <c r="A4" s="1" t="s">
        <v>7</v>
      </c>
      <c r="B4" s="2">
        <v>26</v>
      </c>
      <c r="C4" s="2">
        <v>160</v>
      </c>
      <c r="D4" s="2">
        <v>56.3</v>
      </c>
      <c r="E4" s="2">
        <v>4951</v>
      </c>
      <c r="F4" s="2">
        <v>73.599999999999994</v>
      </c>
      <c r="I4">
        <f t="shared" si="0"/>
        <v>1.6</v>
      </c>
      <c r="J4">
        <f t="shared" si="1"/>
        <v>56.3</v>
      </c>
      <c r="K4">
        <f t="shared" si="2"/>
        <v>90.08</v>
      </c>
      <c r="L4">
        <f t="shared" si="3"/>
        <v>4951</v>
      </c>
    </row>
    <row r="5" spans="1:12" x14ac:dyDescent="0.25">
      <c r="A5" s="1" t="s">
        <v>8</v>
      </c>
      <c r="B5" s="2">
        <v>27</v>
      </c>
      <c r="C5" s="2">
        <v>173</v>
      </c>
      <c r="D5" s="2">
        <v>56.7</v>
      </c>
      <c r="E5" s="2">
        <v>6185</v>
      </c>
      <c r="F5" s="2">
        <v>82.5</v>
      </c>
      <c r="I5">
        <f t="shared" si="0"/>
        <v>1.73</v>
      </c>
      <c r="J5">
        <f t="shared" si="1"/>
        <v>56.7</v>
      </c>
      <c r="K5">
        <f t="shared" si="2"/>
        <v>98.091000000000008</v>
      </c>
      <c r="L5">
        <f t="shared" si="3"/>
        <v>6185</v>
      </c>
    </row>
    <row r="6" spans="1:12" x14ac:dyDescent="0.25">
      <c r="A6" s="1" t="s">
        <v>9</v>
      </c>
      <c r="B6" s="2">
        <v>30</v>
      </c>
      <c r="C6" s="2">
        <v>166</v>
      </c>
      <c r="D6" s="2">
        <v>59</v>
      </c>
      <c r="E6" s="2">
        <v>5912</v>
      </c>
      <c r="F6" s="2">
        <v>79</v>
      </c>
      <c r="I6">
        <f t="shared" si="0"/>
        <v>1.66</v>
      </c>
      <c r="J6">
        <f t="shared" si="1"/>
        <v>59</v>
      </c>
      <c r="K6">
        <f t="shared" si="2"/>
        <v>97.94</v>
      </c>
      <c r="L6">
        <f t="shared" si="3"/>
        <v>5912</v>
      </c>
    </row>
    <row r="7" spans="1:12" x14ac:dyDescent="0.25">
      <c r="A7" s="1" t="s">
        <v>10</v>
      </c>
      <c r="B7" s="2">
        <v>31</v>
      </c>
      <c r="C7" s="2">
        <v>178</v>
      </c>
      <c r="D7" s="2">
        <v>70.5</v>
      </c>
      <c r="E7" s="2">
        <v>6449</v>
      </c>
      <c r="F7" s="2">
        <v>87</v>
      </c>
      <c r="I7">
        <f t="shared" si="0"/>
        <v>1.78</v>
      </c>
      <c r="J7">
        <f t="shared" si="1"/>
        <v>70.5</v>
      </c>
      <c r="K7">
        <f t="shared" si="2"/>
        <v>125.49</v>
      </c>
      <c r="L7">
        <f t="shared" si="3"/>
        <v>6449</v>
      </c>
    </row>
    <row r="8" spans="1:12" x14ac:dyDescent="0.25">
      <c r="A8" s="1" t="s">
        <v>11</v>
      </c>
      <c r="B8" s="2">
        <v>40</v>
      </c>
      <c r="C8" s="2">
        <v>163</v>
      </c>
      <c r="D8" s="2">
        <v>61.4</v>
      </c>
      <c r="E8" s="2">
        <v>6002</v>
      </c>
      <c r="F8" s="2">
        <v>79.8</v>
      </c>
      <c r="I8">
        <f t="shared" si="0"/>
        <v>1.63</v>
      </c>
      <c r="J8">
        <f t="shared" si="1"/>
        <v>61.4</v>
      </c>
      <c r="K8">
        <f t="shared" si="2"/>
        <v>100.08199999999999</v>
      </c>
      <c r="L8">
        <f t="shared" si="3"/>
        <v>6002</v>
      </c>
    </row>
    <row r="9" spans="1:12" x14ac:dyDescent="0.25">
      <c r="A9" s="1" t="s">
        <v>12</v>
      </c>
      <c r="B9" s="2">
        <v>41</v>
      </c>
      <c r="C9" s="2">
        <v>170</v>
      </c>
      <c r="D9" s="2">
        <v>75</v>
      </c>
      <c r="E9" s="2">
        <v>6866</v>
      </c>
      <c r="F9" s="2">
        <v>79.8</v>
      </c>
      <c r="I9">
        <f t="shared" si="0"/>
        <v>1.7</v>
      </c>
      <c r="J9">
        <f t="shared" si="1"/>
        <v>75</v>
      </c>
      <c r="K9">
        <f t="shared" si="2"/>
        <v>127.5</v>
      </c>
      <c r="L9">
        <f t="shared" si="3"/>
        <v>6866</v>
      </c>
    </row>
    <row r="10" spans="1:12" x14ac:dyDescent="0.25">
      <c r="A10" s="1" t="s">
        <v>13</v>
      </c>
      <c r="B10" s="2">
        <v>12</v>
      </c>
      <c r="C10" s="2">
        <v>145</v>
      </c>
      <c r="D10" s="2">
        <v>47.5</v>
      </c>
      <c r="E10" s="2">
        <v>3979</v>
      </c>
      <c r="F10" s="2">
        <v>71.599999999999994</v>
      </c>
      <c r="I10">
        <f t="shared" si="0"/>
        <v>1.45</v>
      </c>
      <c r="J10">
        <f t="shared" si="1"/>
        <v>47.5</v>
      </c>
      <c r="K10">
        <f t="shared" si="2"/>
        <v>68.875</v>
      </c>
      <c r="L10">
        <f t="shared" si="3"/>
        <v>3979</v>
      </c>
    </row>
    <row r="11" spans="1:12" x14ac:dyDescent="0.25">
      <c r="A11" s="1" t="s">
        <v>14</v>
      </c>
      <c r="B11" s="2">
        <v>13</v>
      </c>
      <c r="C11" s="2">
        <v>168</v>
      </c>
      <c r="D11" s="2">
        <v>83.5</v>
      </c>
      <c r="E11" s="2">
        <v>7307</v>
      </c>
      <c r="F11" s="2">
        <v>85.6</v>
      </c>
      <c r="I11">
        <f t="shared" si="0"/>
        <v>1.68</v>
      </c>
      <c r="J11">
        <f t="shared" si="1"/>
        <v>83.5</v>
      </c>
      <c r="K11">
        <f t="shared" si="2"/>
        <v>140.28</v>
      </c>
      <c r="L11">
        <f t="shared" si="3"/>
        <v>7307</v>
      </c>
    </row>
    <row r="12" spans="1:12" x14ac:dyDescent="0.25">
      <c r="A12" s="1" t="s">
        <v>15</v>
      </c>
      <c r="B12" s="2">
        <v>13</v>
      </c>
      <c r="C12" s="2">
        <v>161</v>
      </c>
      <c r="D12" s="2">
        <v>56</v>
      </c>
      <c r="E12" s="2">
        <v>5795</v>
      </c>
      <c r="F12" s="2">
        <v>78.400000000000006</v>
      </c>
      <c r="I12">
        <f t="shared" si="0"/>
        <v>1.61</v>
      </c>
      <c r="J12">
        <f t="shared" si="1"/>
        <v>56</v>
      </c>
      <c r="K12">
        <f t="shared" si="2"/>
        <v>90.160000000000011</v>
      </c>
      <c r="L12">
        <f t="shared" si="3"/>
        <v>5795</v>
      </c>
    </row>
    <row r="13" spans="1:12" x14ac:dyDescent="0.25">
      <c r="A13" s="1" t="s">
        <v>16</v>
      </c>
      <c r="B13" s="2">
        <v>14</v>
      </c>
      <c r="C13" s="2">
        <v>178</v>
      </c>
      <c r="D13" s="2">
        <v>65.7</v>
      </c>
      <c r="E13" s="2">
        <v>7059</v>
      </c>
      <c r="F13" s="2">
        <v>88.6</v>
      </c>
      <c r="I13">
        <f t="shared" si="0"/>
        <v>1.78</v>
      </c>
      <c r="J13">
        <f t="shared" si="1"/>
        <v>65.7</v>
      </c>
      <c r="K13">
        <f t="shared" si="2"/>
        <v>116.94600000000001</v>
      </c>
      <c r="L13">
        <f t="shared" si="3"/>
        <v>7059</v>
      </c>
    </row>
    <row r="14" spans="1:12" x14ac:dyDescent="0.25">
      <c r="A14" s="1" t="s">
        <v>17</v>
      </c>
      <c r="B14" s="2">
        <v>14</v>
      </c>
      <c r="C14" s="2">
        <v>167</v>
      </c>
      <c r="D14" s="2">
        <v>56.3</v>
      </c>
      <c r="E14" s="2">
        <v>6104</v>
      </c>
      <c r="F14" s="2">
        <v>81.900000000000006</v>
      </c>
      <c r="I14">
        <f t="shared" si="0"/>
        <v>1.67</v>
      </c>
      <c r="J14">
        <f t="shared" si="1"/>
        <v>56.3</v>
      </c>
      <c r="K14">
        <f t="shared" si="2"/>
        <v>94.020999999999987</v>
      </c>
      <c r="L14">
        <f t="shared" si="3"/>
        <v>6104</v>
      </c>
    </row>
    <row r="15" spans="1:12" x14ac:dyDescent="0.25">
      <c r="A15" s="1" t="s">
        <v>18</v>
      </c>
      <c r="B15" s="2">
        <v>15</v>
      </c>
      <c r="C15" s="2">
        <v>165</v>
      </c>
      <c r="D15" s="2">
        <v>63.6</v>
      </c>
      <c r="E15" s="2">
        <v>6587</v>
      </c>
      <c r="F15" s="2">
        <v>84.3</v>
      </c>
      <c r="I15">
        <f t="shared" si="0"/>
        <v>1.65</v>
      </c>
      <c r="J15">
        <f t="shared" si="1"/>
        <v>63.6</v>
      </c>
      <c r="K15">
        <f t="shared" si="2"/>
        <v>104.94</v>
      </c>
      <c r="L15">
        <f t="shared" si="3"/>
        <v>6587</v>
      </c>
    </row>
    <row r="16" spans="1:12" x14ac:dyDescent="0.25">
      <c r="A16" s="1" t="s">
        <v>19</v>
      </c>
      <c r="B16" s="2">
        <v>15</v>
      </c>
      <c r="C16" s="2">
        <v>178</v>
      </c>
      <c r="D16" s="2">
        <v>77.599999999999994</v>
      </c>
      <c r="E16" s="2">
        <v>7584</v>
      </c>
      <c r="F16" s="2">
        <v>88.1</v>
      </c>
      <c r="I16">
        <f t="shared" si="0"/>
        <v>1.78</v>
      </c>
      <c r="J16">
        <f t="shared" si="1"/>
        <v>77.599999999999994</v>
      </c>
      <c r="K16">
        <f t="shared" si="2"/>
        <v>138.12799999999999</v>
      </c>
      <c r="L16">
        <f t="shared" si="3"/>
        <v>7584</v>
      </c>
    </row>
    <row r="17" spans="1:12" x14ac:dyDescent="0.25">
      <c r="A17" s="1" t="s">
        <v>20</v>
      </c>
      <c r="B17" s="2">
        <v>17</v>
      </c>
      <c r="C17" s="2">
        <v>170</v>
      </c>
      <c r="D17" s="2">
        <v>76.8</v>
      </c>
      <c r="E17" s="2">
        <v>7690</v>
      </c>
      <c r="F17" s="2">
        <v>82.3</v>
      </c>
      <c r="I17">
        <f t="shared" si="0"/>
        <v>1.7</v>
      </c>
      <c r="J17">
        <f t="shared" si="1"/>
        <v>76.8</v>
      </c>
      <c r="K17">
        <f t="shared" si="2"/>
        <v>130.56</v>
      </c>
      <c r="L17">
        <f t="shared" si="3"/>
        <v>7690</v>
      </c>
    </row>
    <row r="18" spans="1:12" x14ac:dyDescent="0.25">
      <c r="A18" s="1" t="s">
        <v>21</v>
      </c>
      <c r="B18" s="2">
        <v>20</v>
      </c>
      <c r="C18" s="2">
        <v>185</v>
      </c>
      <c r="D18" s="2">
        <v>81.7</v>
      </c>
      <c r="E18" s="2">
        <v>8242</v>
      </c>
      <c r="F18" s="2">
        <v>86.5</v>
      </c>
      <c r="I18">
        <f t="shared" si="0"/>
        <v>1.85</v>
      </c>
      <c r="J18">
        <f t="shared" si="1"/>
        <v>81.7</v>
      </c>
      <c r="K18">
        <f t="shared" si="2"/>
        <v>151.14500000000001</v>
      </c>
      <c r="L18">
        <f t="shared" si="3"/>
        <v>8242</v>
      </c>
    </row>
    <row r="19" spans="1:12" x14ac:dyDescent="0.25">
      <c r="A19" s="1" t="s">
        <v>22</v>
      </c>
      <c r="B19" s="2">
        <v>23</v>
      </c>
      <c r="C19" s="2">
        <v>188</v>
      </c>
      <c r="D19" s="2">
        <v>81.7</v>
      </c>
      <c r="E19" s="2">
        <v>9266</v>
      </c>
      <c r="F19" s="2">
        <v>89</v>
      </c>
      <c r="I19">
        <f t="shared" si="0"/>
        <v>1.88</v>
      </c>
      <c r="J19">
        <f t="shared" si="1"/>
        <v>81.7</v>
      </c>
      <c r="K19">
        <f t="shared" si="2"/>
        <v>153.596</v>
      </c>
      <c r="L19">
        <f t="shared" si="3"/>
        <v>9266</v>
      </c>
    </row>
    <row r="20" spans="1:12" x14ac:dyDescent="0.25">
      <c r="A20" s="1" t="s">
        <v>23</v>
      </c>
      <c r="B20" s="2">
        <v>25</v>
      </c>
      <c r="C20" s="2">
        <v>180</v>
      </c>
      <c r="D20" s="2">
        <v>74.8</v>
      </c>
      <c r="E20" s="2">
        <v>8330</v>
      </c>
      <c r="F20" s="2">
        <v>84.7</v>
      </c>
      <c r="I20">
        <f t="shared" si="0"/>
        <v>1.8</v>
      </c>
      <c r="J20">
        <f t="shared" si="1"/>
        <v>74.8</v>
      </c>
      <c r="K20">
        <f t="shared" si="2"/>
        <v>134.63999999999999</v>
      </c>
      <c r="L20">
        <f t="shared" si="3"/>
        <v>8330</v>
      </c>
    </row>
    <row r="21" spans="1:12" x14ac:dyDescent="0.25">
      <c r="A21" s="1" t="s">
        <v>24</v>
      </c>
      <c r="B21" s="2">
        <v>28</v>
      </c>
      <c r="C21" s="2">
        <v>175</v>
      </c>
      <c r="D21" s="2">
        <v>81.7</v>
      </c>
      <c r="E21" s="2">
        <v>7729</v>
      </c>
      <c r="F21" s="2">
        <v>85.7</v>
      </c>
      <c r="I21">
        <f t="shared" si="0"/>
        <v>1.75</v>
      </c>
      <c r="J21">
        <f t="shared" si="1"/>
        <v>81.7</v>
      </c>
      <c r="K21">
        <f t="shared" si="2"/>
        <v>142.97499999999999</v>
      </c>
      <c r="L21">
        <f t="shared" si="3"/>
        <v>7729</v>
      </c>
    </row>
    <row r="22" spans="1:12" x14ac:dyDescent="0.25">
      <c r="A22" s="1" t="s">
        <v>25</v>
      </c>
      <c r="B22" s="2">
        <v>32</v>
      </c>
      <c r="C22" s="2">
        <v>180</v>
      </c>
      <c r="D22" s="2">
        <v>83.9</v>
      </c>
      <c r="E22" s="2">
        <v>8683</v>
      </c>
      <c r="F22" s="2">
        <v>89.3</v>
      </c>
      <c r="I22">
        <f t="shared" si="0"/>
        <v>1.8</v>
      </c>
      <c r="J22">
        <f t="shared" si="1"/>
        <v>83.9</v>
      </c>
      <c r="K22">
        <f t="shared" si="2"/>
        <v>151.02000000000001</v>
      </c>
      <c r="L22">
        <f t="shared" si="3"/>
        <v>8683</v>
      </c>
    </row>
    <row r="23" spans="1:12" x14ac:dyDescent="0.25">
      <c r="A23" s="1" t="s">
        <v>26</v>
      </c>
      <c r="B23" s="2">
        <v>41</v>
      </c>
      <c r="C23" s="2">
        <v>178</v>
      </c>
      <c r="D23" s="2">
        <v>106.8</v>
      </c>
      <c r="E23" s="2">
        <v>10064</v>
      </c>
      <c r="F23" s="2">
        <v>84.7</v>
      </c>
      <c r="I23">
        <f t="shared" si="0"/>
        <v>1.78</v>
      </c>
      <c r="J23">
        <f t="shared" si="1"/>
        <v>106.8</v>
      </c>
      <c r="K23">
        <f t="shared" si="2"/>
        <v>190.10399999999998</v>
      </c>
      <c r="L23">
        <f t="shared" si="3"/>
        <v>10064</v>
      </c>
    </row>
    <row r="24" spans="1:12" x14ac:dyDescent="0.25">
      <c r="A24" s="1" t="s">
        <v>27</v>
      </c>
      <c r="B24" s="2">
        <v>42</v>
      </c>
      <c r="C24" s="2">
        <v>165</v>
      </c>
      <c r="D24" s="2">
        <v>95.5</v>
      </c>
      <c r="E24" s="2">
        <v>8493</v>
      </c>
      <c r="F24" s="2">
        <v>84.2</v>
      </c>
      <c r="I24">
        <f t="shared" si="0"/>
        <v>1.65</v>
      </c>
      <c r="J24">
        <f t="shared" si="1"/>
        <v>95.5</v>
      </c>
      <c r="K24">
        <f t="shared" si="2"/>
        <v>157.57499999999999</v>
      </c>
      <c r="L24">
        <f t="shared" si="3"/>
        <v>8493</v>
      </c>
    </row>
    <row r="25" spans="1:12" x14ac:dyDescent="0.25">
      <c r="A25" s="1" t="s">
        <v>28</v>
      </c>
      <c r="B25" s="2">
        <v>51</v>
      </c>
      <c r="C25" s="2">
        <v>183</v>
      </c>
      <c r="D25" s="2">
        <v>87.7</v>
      </c>
      <c r="E25" s="2">
        <v>8922</v>
      </c>
      <c r="F25" s="2">
        <v>89.5</v>
      </c>
      <c r="I25">
        <f t="shared" si="0"/>
        <v>1.83</v>
      </c>
      <c r="J25">
        <f t="shared" si="1"/>
        <v>87.7</v>
      </c>
      <c r="K25">
        <f t="shared" si="2"/>
        <v>160.49100000000001</v>
      </c>
      <c r="L25">
        <f t="shared" si="3"/>
        <v>8922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7"/>
  <sheetViews>
    <sheetView tabSelected="1" workbookViewId="0">
      <selection activeCell="O3" sqref="O3:O4"/>
    </sheetView>
  </sheetViews>
  <sheetFormatPr defaultColWidth="10.875" defaultRowHeight="15.75" x14ac:dyDescent="0.25"/>
  <cols>
    <col min="1" max="1" width="30.875" style="3" customWidth="1"/>
    <col min="2" max="2" width="7.875" style="3" customWidth="1"/>
    <col min="3" max="3" width="12.125" style="3" customWidth="1"/>
    <col min="4" max="4" width="9.375" style="3" customWidth="1"/>
    <col min="5" max="6" width="11.375" style="3" customWidth="1"/>
    <col min="7" max="7" width="12.875" style="3" customWidth="1"/>
    <col min="8" max="9" width="10.375" style="3" customWidth="1"/>
    <col min="10" max="10" width="10.875" style="3" customWidth="1"/>
    <col min="11" max="13" width="3" style="13" customWidth="1"/>
    <col min="14" max="14" width="11" style="3" bestFit="1" customWidth="1"/>
    <col min="15" max="15" width="11.875" style="3" bestFit="1" customWidth="1"/>
    <col min="16" max="16" width="13.625" style="3" customWidth="1"/>
    <col min="17" max="16384" width="10.875" style="4"/>
  </cols>
  <sheetData>
    <row r="1" spans="1:19" ht="63" x14ac:dyDescent="0.25">
      <c r="A1" s="3" t="s">
        <v>34</v>
      </c>
      <c r="B1" s="24"/>
      <c r="G1" s="3" t="s">
        <v>35</v>
      </c>
      <c r="J1" s="3" t="s">
        <v>36</v>
      </c>
    </row>
    <row r="2" spans="1:19" x14ac:dyDescent="0.25">
      <c r="N2" s="5" t="s">
        <v>37</v>
      </c>
      <c r="O2" s="9">
        <v>30</v>
      </c>
      <c r="P2" s="24" t="s">
        <v>136</v>
      </c>
    </row>
    <row r="3" spans="1:19" ht="17.25" customHeight="1" x14ac:dyDescent="0.25">
      <c r="A3" s="3" t="s">
        <v>38</v>
      </c>
      <c r="B3" s="3" t="s">
        <v>39</v>
      </c>
      <c r="C3" s="3" t="s">
        <v>39</v>
      </c>
      <c r="D3" s="3" t="s">
        <v>39</v>
      </c>
      <c r="E3" s="3" t="s">
        <v>39</v>
      </c>
      <c r="F3" s="3" t="s">
        <v>40</v>
      </c>
      <c r="G3" s="3" t="s">
        <v>40</v>
      </c>
      <c r="J3" s="3" t="s">
        <v>41</v>
      </c>
      <c r="N3" s="5" t="s">
        <v>42</v>
      </c>
      <c r="O3" s="9">
        <v>75.337000000000003</v>
      </c>
      <c r="P3" s="24" t="s">
        <v>135</v>
      </c>
      <c r="Q3" s="24"/>
      <c r="R3" s="24"/>
      <c r="S3" s="24"/>
    </row>
    <row r="4" spans="1:19" ht="15.75" customHeight="1" x14ac:dyDescent="0.25">
      <c r="A4" s="3" t="s">
        <v>43</v>
      </c>
      <c r="B4" s="3" t="s">
        <v>44</v>
      </c>
      <c r="C4" s="3" t="s">
        <v>44</v>
      </c>
      <c r="D4" s="3" t="s">
        <v>44</v>
      </c>
      <c r="E4" s="3" t="s">
        <v>44</v>
      </c>
      <c r="F4" s="3" t="s">
        <v>45</v>
      </c>
      <c r="G4" s="3" t="s">
        <v>46</v>
      </c>
      <c r="J4" s="3" t="s">
        <v>45</v>
      </c>
      <c r="N4" s="5" t="s">
        <v>47</v>
      </c>
      <c r="O4" s="9">
        <v>1.7</v>
      </c>
      <c r="P4" s="25" t="s">
        <v>137</v>
      </c>
      <c r="Q4" s="25"/>
    </row>
    <row r="5" spans="1:19" ht="47.25" x14ac:dyDescent="0.25">
      <c r="A5" s="7" t="s">
        <v>111</v>
      </c>
      <c r="B5" s="7" t="s">
        <v>48</v>
      </c>
      <c r="C5" s="7" t="s">
        <v>49</v>
      </c>
      <c r="D5" s="7" t="s">
        <v>50</v>
      </c>
      <c r="E5" s="7" t="s">
        <v>51</v>
      </c>
      <c r="F5" s="7" t="s">
        <v>52</v>
      </c>
      <c r="G5" s="7" t="s">
        <v>52</v>
      </c>
      <c r="H5" s="7" t="s">
        <v>53</v>
      </c>
      <c r="I5" s="7" t="s">
        <v>54</v>
      </c>
      <c r="J5" s="7" t="s">
        <v>55</v>
      </c>
      <c r="N5" s="5" t="s">
        <v>56</v>
      </c>
      <c r="O5" s="5">
        <f>47.05*$O$3*$O$4 + 1289.6</f>
        <v>7315.4299449999999</v>
      </c>
      <c r="P5" s="3" t="s">
        <v>109</v>
      </c>
      <c r="Q5" s="3">
        <v>7488.4224599999998</v>
      </c>
      <c r="R5" s="4" t="s">
        <v>148</v>
      </c>
    </row>
    <row r="6" spans="1:19" x14ac:dyDescent="0.25">
      <c r="A6" s="3" t="s">
        <v>57</v>
      </c>
      <c r="B6" s="8">
        <v>1.47</v>
      </c>
      <c r="C6" s="3">
        <f>B6/100*$O$5</f>
        <v>107.5368201915</v>
      </c>
      <c r="D6" s="3">
        <f>C6/G6</f>
        <v>10.430341434675071</v>
      </c>
      <c r="E6" s="7">
        <f>D6*$O$2</f>
        <v>312.91024304025211</v>
      </c>
      <c r="F6" s="8">
        <v>10.31</v>
      </c>
      <c r="G6" s="8">
        <v>10.31</v>
      </c>
      <c r="H6" s="8">
        <v>6.1</v>
      </c>
      <c r="I6" s="3">
        <f>H6*PI()/180</f>
        <v>0.10646508437165408</v>
      </c>
      <c r="J6" s="8">
        <v>3.6</v>
      </c>
      <c r="O6" s="5">
        <f>56.933*$O$3*$O$4</f>
        <v>7291.574415699999</v>
      </c>
      <c r="P6" s="3" t="s">
        <v>110</v>
      </c>
    </row>
    <row r="7" spans="1:19" x14ac:dyDescent="0.25">
      <c r="A7" s="3" t="s">
        <v>58</v>
      </c>
      <c r="B7" s="8">
        <v>2.2599999999999998</v>
      </c>
      <c r="C7" s="3">
        <f>B7/100*$O$5</f>
        <v>165.328716757</v>
      </c>
      <c r="D7" s="3">
        <f>C7/G7</f>
        <v>15.279918369408502</v>
      </c>
      <c r="E7" s="7">
        <f>D7*$O$2</f>
        <v>458.39755108225506</v>
      </c>
      <c r="F7" s="8">
        <v>10.82</v>
      </c>
      <c r="G7" s="8">
        <v>10.82</v>
      </c>
      <c r="H7" s="8">
        <v>7.1</v>
      </c>
      <c r="I7" s="3">
        <f t="shared" ref="I7:I53" si="0">H7*PI()/180</f>
        <v>0.12391837689159739</v>
      </c>
      <c r="J7" s="8">
        <v>13</v>
      </c>
    </row>
    <row r="8" spans="1:19" x14ac:dyDescent="0.25">
      <c r="A8" s="3" t="s">
        <v>59</v>
      </c>
      <c r="B8" s="8">
        <v>7.86</v>
      </c>
      <c r="C8" s="3">
        <f>B8/100*$O$5</f>
        <v>574.99279367700001</v>
      </c>
      <c r="D8" s="3">
        <f>C8/G8</f>
        <v>39.819445545498617</v>
      </c>
      <c r="E8" s="7">
        <f>D8*$O$2</f>
        <v>1194.5833663649585</v>
      </c>
      <c r="G8" s="8">
        <v>14.44</v>
      </c>
      <c r="H8" s="8">
        <v>15.5</v>
      </c>
      <c r="I8" s="3">
        <f t="shared" si="0"/>
        <v>0.27052603405912107</v>
      </c>
      <c r="J8" s="8"/>
    </row>
    <row r="9" spans="1:19" x14ac:dyDescent="0.25">
      <c r="A9" s="3" t="s">
        <v>60</v>
      </c>
      <c r="D9" s="10">
        <f>E9/$O$2</f>
        <v>9.9548613863746542</v>
      </c>
      <c r="E9" s="7">
        <f>E8/4</f>
        <v>298.64584159123962</v>
      </c>
      <c r="F9" s="8">
        <v>17.72</v>
      </c>
      <c r="G9" s="8"/>
      <c r="H9" s="8">
        <v>13.8</v>
      </c>
      <c r="I9" s="3">
        <f t="shared" si="0"/>
        <v>0.24085543677521748</v>
      </c>
      <c r="J9" s="8">
        <v>9</v>
      </c>
    </row>
    <row r="10" spans="1:19" x14ac:dyDescent="0.25">
      <c r="A10" s="3" t="s">
        <v>61</v>
      </c>
      <c r="D10" s="10">
        <f t="shared" ref="D10:D12" si="1">E10/$O$2</f>
        <v>9.9548613863746542</v>
      </c>
      <c r="E10" s="7">
        <f>E8/4</f>
        <v>298.64584159123962</v>
      </c>
      <c r="F10" s="8">
        <v>15.62</v>
      </c>
      <c r="G10" s="8"/>
      <c r="H10" s="8">
        <v>11.9</v>
      </c>
      <c r="I10" s="3">
        <f t="shared" si="0"/>
        <v>0.2076941809873252</v>
      </c>
      <c r="J10" s="8">
        <v>22.1</v>
      </c>
    </row>
    <row r="11" spans="1:19" x14ac:dyDescent="0.25">
      <c r="A11" s="3" t="s">
        <v>62</v>
      </c>
      <c r="D11" s="10">
        <f t="shared" si="1"/>
        <v>9.9548613863746542</v>
      </c>
      <c r="E11" s="7">
        <f>E8/4</f>
        <v>298.64584159123962</v>
      </c>
      <c r="F11" s="8">
        <v>13.77</v>
      </c>
      <c r="G11" s="8"/>
      <c r="H11" s="8">
        <v>14.7</v>
      </c>
      <c r="I11" s="3">
        <f t="shared" si="0"/>
        <v>0.25656340004316641</v>
      </c>
      <c r="J11" s="8">
        <v>4.8</v>
      </c>
    </row>
    <row r="12" spans="1:19" x14ac:dyDescent="0.25">
      <c r="A12" s="3" t="s">
        <v>63</v>
      </c>
      <c r="D12" s="10">
        <f t="shared" si="1"/>
        <v>9.9548613863746542</v>
      </c>
      <c r="E12" s="7">
        <f>E8/4</f>
        <v>298.64584159123962</v>
      </c>
      <c r="F12" s="8">
        <v>10.56</v>
      </c>
      <c r="G12" s="8"/>
      <c r="H12" s="8">
        <v>22.2</v>
      </c>
      <c r="I12" s="3">
        <f t="shared" si="0"/>
        <v>0.38746309394274114</v>
      </c>
      <c r="J12" s="8">
        <v>4.3</v>
      </c>
      <c r="N12" s="15" t="s">
        <v>112</v>
      </c>
      <c r="O12" s="7" t="s">
        <v>113</v>
      </c>
      <c r="P12" s="7" t="s">
        <v>114</v>
      </c>
      <c r="Q12" s="7" t="s">
        <v>115</v>
      </c>
    </row>
    <row r="13" spans="1:19" x14ac:dyDescent="0.25">
      <c r="A13" s="3" t="s">
        <v>64</v>
      </c>
      <c r="B13" s="8">
        <v>2.92</v>
      </c>
      <c r="C13" s="3">
        <f t="shared" ref="C13:C21" si="2">B13/100*$O$5</f>
        <v>213.61055439399999</v>
      </c>
      <c r="D13" s="3">
        <f t="shared" ref="D13:D20" si="3">C13/G13</f>
        <v>21.886327294467211</v>
      </c>
      <c r="E13" s="7">
        <f t="shared" ref="E13:E22" si="4">D13*$O$2</f>
        <v>656.58981883401634</v>
      </c>
      <c r="F13" s="8">
        <v>9.76</v>
      </c>
      <c r="G13" s="8">
        <v>9.76</v>
      </c>
      <c r="H13" s="8">
        <v>11.6</v>
      </c>
      <c r="I13" s="3">
        <f t="shared" si="0"/>
        <v>0.20245819323134223</v>
      </c>
      <c r="J13" s="8">
        <v>32.200000000000003</v>
      </c>
      <c r="N13" s="12" t="s">
        <v>117</v>
      </c>
      <c r="O13" s="12">
        <v>6.93</v>
      </c>
      <c r="P13" s="12">
        <v>5.7</v>
      </c>
      <c r="Q13" s="4">
        <f>O13*P13</f>
        <v>39.500999999999998</v>
      </c>
    </row>
    <row r="14" spans="1:19" x14ac:dyDescent="0.25">
      <c r="A14" s="3" t="s">
        <v>65</v>
      </c>
      <c r="B14" s="8">
        <v>1.4</v>
      </c>
      <c r="C14" s="3">
        <f t="shared" si="2"/>
        <v>102.41601922999999</v>
      </c>
      <c r="D14" s="3">
        <f t="shared" si="3"/>
        <v>9.2852238649138705</v>
      </c>
      <c r="E14" s="7">
        <f>D14*$O$2</f>
        <v>278.55671594741614</v>
      </c>
      <c r="F14" s="8">
        <v>11.03</v>
      </c>
      <c r="G14" s="8">
        <v>11.03</v>
      </c>
      <c r="H14" s="8">
        <v>12.3</v>
      </c>
      <c r="I14" s="3">
        <f t="shared" si="0"/>
        <v>0.21467549799530256</v>
      </c>
      <c r="J14" s="8">
        <v>10.4</v>
      </c>
      <c r="N14" s="12" t="s">
        <v>116</v>
      </c>
      <c r="O14" s="12">
        <v>7.48</v>
      </c>
      <c r="P14" s="12">
        <v>2.7</v>
      </c>
      <c r="Q14" s="4">
        <f t="shared" ref="Q14:Q15" si="5">O14*P14</f>
        <v>20.196000000000002</v>
      </c>
    </row>
    <row r="15" spans="1:19" x14ac:dyDescent="0.25">
      <c r="A15" s="3" t="s">
        <v>66</v>
      </c>
      <c r="B15" s="10">
        <f>1.44*(Q13/SUM($Q$13:$Q$15))</f>
        <v>0.79718651070173863</v>
      </c>
      <c r="C15" s="3">
        <f t="shared" si="2"/>
        <v>58.317620721375611</v>
      </c>
      <c r="D15" s="3">
        <f t="shared" si="3"/>
        <v>8.4152410853355857</v>
      </c>
      <c r="E15" s="7">
        <f t="shared" si="4"/>
        <v>252.45723256006758</v>
      </c>
      <c r="F15" s="8">
        <v>6.93</v>
      </c>
      <c r="G15" s="8">
        <v>6.93</v>
      </c>
      <c r="H15" s="8">
        <v>10.8</v>
      </c>
      <c r="I15" s="3">
        <f t="shared" si="0"/>
        <v>0.18849555921538758</v>
      </c>
      <c r="J15" s="8">
        <v>36.700000000000003</v>
      </c>
      <c r="N15" s="12" t="s">
        <v>119</v>
      </c>
      <c r="O15" s="12">
        <v>7.9</v>
      </c>
      <c r="P15" s="12">
        <f>90/61</f>
        <v>1.4754098360655739</v>
      </c>
      <c r="Q15" s="4">
        <f t="shared" si="5"/>
        <v>11.655737704918034</v>
      </c>
      <c r="R15" s="4" t="s">
        <v>138</v>
      </c>
    </row>
    <row r="16" spans="1:19" x14ac:dyDescent="0.25">
      <c r="A16" s="3" t="s">
        <v>67</v>
      </c>
      <c r="B16" s="10">
        <f>1.44*(Q14/SUM($Q$13:$Q$15))</f>
        <v>0.40758408065953555</v>
      </c>
      <c r="C16" s="3">
        <f t="shared" si="2"/>
        <v>29.816527887620616</v>
      </c>
      <c r="D16" s="3">
        <f t="shared" si="3"/>
        <v>3.986166829895804</v>
      </c>
      <c r="E16" s="7">
        <f t="shared" si="4"/>
        <v>119.58500489687412</v>
      </c>
      <c r="F16" s="8">
        <v>7.48</v>
      </c>
      <c r="G16" s="8">
        <v>7.48</v>
      </c>
      <c r="H16" s="8">
        <v>9.4</v>
      </c>
      <c r="I16" s="3">
        <f t="shared" si="0"/>
        <v>0.16406094968746698</v>
      </c>
      <c r="J16" s="8">
        <v>33.200000000000003</v>
      </c>
      <c r="N16" s="12"/>
      <c r="O16" s="12"/>
      <c r="P16" s="12"/>
    </row>
    <row r="17" spans="1:18" x14ac:dyDescent="0.25">
      <c r="A17" s="3" t="s">
        <v>68</v>
      </c>
      <c r="B17" s="8">
        <v>0.43</v>
      </c>
      <c r="C17" s="3">
        <f t="shared" si="2"/>
        <v>31.456348763499999</v>
      </c>
      <c r="D17" s="3">
        <f t="shared" si="3"/>
        <v>7.0529929963004481</v>
      </c>
      <c r="E17" s="7">
        <f t="shared" si="4"/>
        <v>211.58978988901345</v>
      </c>
      <c r="F17" s="8">
        <v>4.46</v>
      </c>
      <c r="G17" s="8">
        <v>4.46</v>
      </c>
      <c r="H17" s="8">
        <v>13.6</v>
      </c>
      <c r="I17" s="3">
        <f t="shared" si="0"/>
        <v>0.23736477827122882</v>
      </c>
      <c r="J17" s="8">
        <v>37.799999999999997</v>
      </c>
      <c r="N17" s="12" t="s">
        <v>120</v>
      </c>
      <c r="O17" s="12">
        <v>14.7</v>
      </c>
      <c r="P17" s="12">
        <f>546.1/61</f>
        <v>8.9524590163934423</v>
      </c>
      <c r="Q17" s="4">
        <f>O17*P17</f>
        <v>131.60114754098359</v>
      </c>
      <c r="R17" s="4" t="s">
        <v>139</v>
      </c>
    </row>
    <row r="18" spans="1:18" x14ac:dyDescent="0.25">
      <c r="A18" s="3" t="s">
        <v>69</v>
      </c>
      <c r="B18" s="8">
        <v>1.0900000000000001</v>
      </c>
      <c r="C18" s="3">
        <f t="shared" si="2"/>
        <v>79.738186400499998</v>
      </c>
      <c r="D18" s="3">
        <f t="shared" si="3"/>
        <v>15.130585654743834</v>
      </c>
      <c r="E18" s="7">
        <f t="shared" si="4"/>
        <v>453.91756964231502</v>
      </c>
      <c r="F18" s="8">
        <v>5.27</v>
      </c>
      <c r="G18" s="8">
        <v>5.27</v>
      </c>
      <c r="H18" s="8">
        <v>16.899999999999999</v>
      </c>
      <c r="I18" s="3">
        <f t="shared" si="0"/>
        <v>0.29496064358704166</v>
      </c>
      <c r="J18" s="8">
        <v>35.6</v>
      </c>
      <c r="N18" s="12" t="s">
        <v>121</v>
      </c>
      <c r="O18" s="12">
        <v>15.7</v>
      </c>
      <c r="P18" s="12">
        <f>780.5/61</f>
        <v>12.795081967213115</v>
      </c>
      <c r="Q18" s="4">
        <f t="shared" ref="Q18:Q30" si="6">O18*P18</f>
        <v>200.88278688524588</v>
      </c>
      <c r="R18" s="4" t="s">
        <v>140</v>
      </c>
    </row>
    <row r="19" spans="1:18" x14ac:dyDescent="0.25">
      <c r="A19" s="3" t="s">
        <v>70</v>
      </c>
      <c r="B19" s="8">
        <v>2.11</v>
      </c>
      <c r="C19" s="3">
        <f t="shared" si="2"/>
        <v>154.35557183949999</v>
      </c>
      <c r="D19" s="3">
        <f t="shared" si="3"/>
        <v>26.2509475917517</v>
      </c>
      <c r="E19" s="7">
        <f t="shared" si="4"/>
        <v>787.52842775255101</v>
      </c>
      <c r="F19" s="8">
        <v>5.88</v>
      </c>
      <c r="G19" s="8">
        <v>5.88</v>
      </c>
      <c r="H19" s="8">
        <v>12</v>
      </c>
      <c r="I19" s="3">
        <f t="shared" si="0"/>
        <v>0.20943951023931953</v>
      </c>
      <c r="J19" s="8">
        <v>38.200000000000003</v>
      </c>
      <c r="N19" s="12" t="s">
        <v>122</v>
      </c>
      <c r="O19" s="12">
        <v>16.7</v>
      </c>
      <c r="P19" s="12">
        <f>526.1/61</f>
        <v>8.6245901639344265</v>
      </c>
      <c r="Q19" s="4">
        <f t="shared" si="6"/>
        <v>144.0306557377049</v>
      </c>
      <c r="R19" s="4" t="s">
        <v>141</v>
      </c>
    </row>
    <row r="20" spans="1:18" x14ac:dyDescent="0.25">
      <c r="A20" s="3" t="s">
        <v>71</v>
      </c>
      <c r="B20" s="8">
        <v>3.62</v>
      </c>
      <c r="C20" s="3">
        <f t="shared" si="2"/>
        <v>264.818564009</v>
      </c>
      <c r="D20" s="3">
        <f t="shared" si="3"/>
        <v>51.925208629215689</v>
      </c>
      <c r="E20" s="7">
        <f t="shared" si="4"/>
        <v>1557.7562588764706</v>
      </c>
      <c r="F20" s="8">
        <v>5.0999999999999996</v>
      </c>
      <c r="G20" s="8">
        <v>5.0999999999999996</v>
      </c>
      <c r="H20" s="8">
        <v>9.9</v>
      </c>
      <c r="I20" s="3">
        <f t="shared" si="0"/>
        <v>0.17278759594743864</v>
      </c>
      <c r="J20" s="8">
        <v>40.1</v>
      </c>
      <c r="N20" s="12"/>
      <c r="O20" s="12"/>
      <c r="P20" s="12"/>
    </row>
    <row r="21" spans="1:18" x14ac:dyDescent="0.25">
      <c r="A21" s="3" t="s">
        <v>72</v>
      </c>
      <c r="B21" s="10">
        <v>0.23</v>
      </c>
      <c r="C21" s="3">
        <f t="shared" si="2"/>
        <v>16.825488873499999</v>
      </c>
      <c r="D21" s="3">
        <f>C21/F21</f>
        <v>7.0106203639583331</v>
      </c>
      <c r="E21" s="7">
        <f t="shared" si="4"/>
        <v>210.31861091874998</v>
      </c>
      <c r="F21" s="8">
        <v>2.4</v>
      </c>
      <c r="G21" s="8"/>
      <c r="H21" s="8">
        <v>0</v>
      </c>
      <c r="I21" s="3">
        <f t="shared" si="0"/>
        <v>0</v>
      </c>
      <c r="J21" s="8">
        <v>3.9</v>
      </c>
      <c r="N21" s="12" t="s">
        <v>123</v>
      </c>
      <c r="O21" s="12">
        <v>7.3</v>
      </c>
      <c r="P21" s="12">
        <f>881.1/61</f>
        <v>14.444262295081968</v>
      </c>
      <c r="Q21" s="4">
        <f t="shared" si="6"/>
        <v>105.44311475409836</v>
      </c>
      <c r="R21" s="4" t="s">
        <v>142</v>
      </c>
    </row>
    <row r="22" spans="1:18" x14ac:dyDescent="0.25">
      <c r="A22" s="3" t="s">
        <v>73</v>
      </c>
      <c r="B22" s="8">
        <v>11.93</v>
      </c>
      <c r="C22" s="3">
        <f>B22/100*$O$5</f>
        <v>872.73079243849998</v>
      </c>
      <c r="D22" s="3">
        <f>C22/G22</f>
        <v>55.623377465806243</v>
      </c>
      <c r="E22" s="7">
        <f t="shared" si="4"/>
        <v>1668.7013239741873</v>
      </c>
      <c r="G22" s="8">
        <v>15.69</v>
      </c>
      <c r="H22" s="8">
        <v>21.9</v>
      </c>
      <c r="I22" s="3">
        <f t="shared" si="0"/>
        <v>0.38222710618675809</v>
      </c>
      <c r="J22" s="8"/>
      <c r="N22" s="12" t="s">
        <v>124</v>
      </c>
      <c r="O22" s="12">
        <v>7.3</v>
      </c>
      <c r="P22" s="12">
        <f>616.5/61</f>
        <v>10.10655737704918</v>
      </c>
      <c r="Q22" s="4">
        <f t="shared" si="6"/>
        <v>73.777868852459008</v>
      </c>
      <c r="R22" s="4" t="s">
        <v>143</v>
      </c>
    </row>
    <row r="23" spans="1:18" x14ac:dyDescent="0.25">
      <c r="A23" s="3" t="s">
        <v>74</v>
      </c>
      <c r="B23" s="10">
        <f>$B$22*Q17/SUM($Q$17:$Q$19)</f>
        <v>3.2947610053740632</v>
      </c>
      <c r="C23" s="3">
        <f>B23/100*$O$5</f>
        <v>241.02593320331727</v>
      </c>
      <c r="D23" s="14">
        <f>C23/F23</f>
        <v>16.396321986620222</v>
      </c>
      <c r="E23" s="7">
        <f>D23*$O$2</f>
        <v>491.88965959860667</v>
      </c>
      <c r="F23" s="8">
        <v>14.7</v>
      </c>
      <c r="G23" s="8"/>
      <c r="H23" s="8">
        <v>21.1</v>
      </c>
      <c r="I23" s="3">
        <f t="shared" si="0"/>
        <v>0.36826447217080355</v>
      </c>
      <c r="J23" s="8">
        <v>5</v>
      </c>
      <c r="N23" s="12" t="s">
        <v>125</v>
      </c>
      <c r="O23" s="12">
        <v>7.3</v>
      </c>
      <c r="P23" s="12">
        <f>702/61</f>
        <v>11.508196721311476</v>
      </c>
      <c r="Q23" s="4">
        <f t="shared" si="6"/>
        <v>84.009836065573779</v>
      </c>
      <c r="R23" s="4" t="s">
        <v>144</v>
      </c>
    </row>
    <row r="24" spans="1:18" x14ac:dyDescent="0.25">
      <c r="A24" s="3" t="s">
        <v>75</v>
      </c>
      <c r="B24" s="10">
        <f t="shared" ref="B24:B25" si="7">$B$22*Q18/SUM($Q$17:$Q$19)</f>
        <v>5.0292933249252849</v>
      </c>
      <c r="C24" s="3">
        <f t="shared" ref="C24:C25" si="8">B24/100*$O$5</f>
        <v>367.91442991347049</v>
      </c>
      <c r="D24" s="14">
        <f t="shared" ref="D24:D25" si="9">C24/F24</f>
        <v>23.434040121877104</v>
      </c>
      <c r="E24" s="7">
        <f t="shared" ref="E24:E25" si="10">D24*$O$2</f>
        <v>703.02120365631311</v>
      </c>
      <c r="F24" s="8">
        <v>15.7</v>
      </c>
      <c r="G24" s="8"/>
      <c r="H24" s="8">
        <v>21.9</v>
      </c>
      <c r="I24" s="3">
        <f t="shared" si="0"/>
        <v>0.38222710618675809</v>
      </c>
      <c r="J24" s="8">
        <v>7.3</v>
      </c>
      <c r="N24" s="12"/>
      <c r="O24" s="12"/>
      <c r="P24" s="12"/>
    </row>
    <row r="25" spans="1:18" x14ac:dyDescent="0.25">
      <c r="A25" s="3" t="s">
        <v>76</v>
      </c>
      <c r="B25" s="10">
        <f t="shared" si="7"/>
        <v>3.6059456697006507</v>
      </c>
      <c r="C25" s="3">
        <f t="shared" si="8"/>
        <v>263.79042932171217</v>
      </c>
      <c r="D25" s="14">
        <f t="shared" si="9"/>
        <v>15.79583409112049</v>
      </c>
      <c r="E25" s="7">
        <f t="shared" si="10"/>
        <v>473.87502273361468</v>
      </c>
      <c r="F25" s="8">
        <v>16.7</v>
      </c>
      <c r="G25" s="8"/>
      <c r="H25" s="8">
        <v>22.8</v>
      </c>
      <c r="I25" s="3">
        <f t="shared" si="0"/>
        <v>0.39793506945470719</v>
      </c>
      <c r="J25" s="8">
        <v>7</v>
      </c>
      <c r="N25" s="12" t="s">
        <v>126</v>
      </c>
      <c r="O25" s="3">
        <v>6.8</v>
      </c>
      <c r="P25" s="12">
        <f>180/61</f>
        <v>2.9508196721311477</v>
      </c>
      <c r="Q25" s="4">
        <f t="shared" si="6"/>
        <v>20.065573770491802</v>
      </c>
      <c r="R25" s="4" t="s">
        <v>145</v>
      </c>
    </row>
    <row r="26" spans="1:18" x14ac:dyDescent="0.25">
      <c r="A26" s="3" t="s">
        <v>77</v>
      </c>
      <c r="B26" s="8">
        <v>4.54</v>
      </c>
      <c r="C26" s="3">
        <f>B26/100*$O$5</f>
        <v>332.12051950300003</v>
      </c>
      <c r="D26" s="3">
        <f>C26/G26</f>
        <v>45.309757094542974</v>
      </c>
      <c r="E26" s="7">
        <f>D26*$O$2</f>
        <v>1359.2927128362892</v>
      </c>
      <c r="G26" s="8">
        <v>7.33</v>
      </c>
      <c r="H26" s="8">
        <v>20.5</v>
      </c>
      <c r="I26" s="3">
        <f t="shared" si="0"/>
        <v>0.3577924966588375</v>
      </c>
      <c r="J26" s="8"/>
      <c r="N26" s="12" t="s">
        <v>127</v>
      </c>
      <c r="O26" s="3">
        <v>5.6</v>
      </c>
      <c r="P26" s="12">
        <f>190/61</f>
        <v>3.1147540983606556</v>
      </c>
      <c r="Q26" s="4">
        <f t="shared" si="6"/>
        <v>17.442622950819672</v>
      </c>
      <c r="R26" s="4" t="s">
        <v>146</v>
      </c>
    </row>
    <row r="27" spans="1:18" x14ac:dyDescent="0.25">
      <c r="A27" s="3" t="s">
        <v>78</v>
      </c>
      <c r="B27" s="10">
        <f>$B$26*Q21/SUM($Q$21:$Q$23)</f>
        <v>1.8186006546644846</v>
      </c>
      <c r="C27" s="3">
        <f>B27/100*$O$5</f>
        <v>133.03845687129174</v>
      </c>
      <c r="D27" s="3">
        <f>C27/F27</f>
        <v>18.224446146752292</v>
      </c>
      <c r="E27" s="7">
        <f>D27*$O$2</f>
        <v>546.73338440256873</v>
      </c>
      <c r="F27" s="8">
        <v>7.3</v>
      </c>
      <c r="G27" s="8"/>
      <c r="H27" s="8">
        <v>20.5</v>
      </c>
      <c r="I27" s="3">
        <f t="shared" si="0"/>
        <v>0.3577924966588375</v>
      </c>
      <c r="J27" s="8">
        <v>5.7</v>
      </c>
      <c r="N27" s="12" t="s">
        <v>128</v>
      </c>
      <c r="O27" s="3">
        <v>3.8</v>
      </c>
      <c r="P27" s="12">
        <f>215/61</f>
        <v>3.5245901639344264</v>
      </c>
      <c r="Q27" s="4">
        <f t="shared" si="6"/>
        <v>13.39344262295082</v>
      </c>
      <c r="R27" s="4" t="s">
        <v>147</v>
      </c>
    </row>
    <row r="28" spans="1:18" x14ac:dyDescent="0.25">
      <c r="A28" s="3" t="s">
        <v>79</v>
      </c>
      <c r="B28" s="10">
        <f t="shared" ref="B28:B29" si="11">$B$26*Q22/SUM($Q$21:$Q$23)</f>
        <v>1.2724631751227495</v>
      </c>
      <c r="C28" s="3">
        <f t="shared" ref="C28:C29" si="12">B28/100*$O$5</f>
        <v>93.08615215202741</v>
      </c>
      <c r="D28" s="3">
        <f t="shared" ref="D28:D29" si="13">C28/F28</f>
        <v>12.75152769205855</v>
      </c>
      <c r="E28" s="7">
        <f t="shared" ref="E28:E29" si="14">D28*$O$2</f>
        <v>382.54583076175652</v>
      </c>
      <c r="F28" s="8">
        <v>7.3</v>
      </c>
      <c r="G28" s="8"/>
      <c r="H28" s="8">
        <v>20.5</v>
      </c>
      <c r="I28" s="3">
        <f t="shared" si="0"/>
        <v>0.3577924966588375</v>
      </c>
      <c r="J28" s="8">
        <v>6.6</v>
      </c>
      <c r="N28" s="12"/>
      <c r="O28" s="12"/>
      <c r="P28" s="12"/>
    </row>
    <row r="29" spans="1:18" x14ac:dyDescent="0.25">
      <c r="A29" s="3" t="s">
        <v>80</v>
      </c>
      <c r="B29" s="10">
        <f t="shared" si="11"/>
        <v>1.4489361702127661</v>
      </c>
      <c r="C29" s="3">
        <f t="shared" si="12"/>
        <v>105.99591047968086</v>
      </c>
      <c r="D29" s="3">
        <f t="shared" si="13"/>
        <v>14.519987736942584</v>
      </c>
      <c r="E29" s="7">
        <f t="shared" si="14"/>
        <v>435.59963210827749</v>
      </c>
      <c r="F29" s="8">
        <v>7.3</v>
      </c>
      <c r="G29" s="8"/>
      <c r="H29" s="8">
        <v>20.5</v>
      </c>
      <c r="I29" s="3">
        <f t="shared" si="0"/>
        <v>0.3577924966588375</v>
      </c>
      <c r="J29" s="8">
        <v>4.5999999999999996</v>
      </c>
      <c r="N29" s="12" t="s">
        <v>118</v>
      </c>
      <c r="O29" s="12">
        <v>4.54</v>
      </c>
      <c r="P29" s="12">
        <v>5</v>
      </c>
      <c r="Q29" s="4">
        <f t="shared" si="6"/>
        <v>22.7</v>
      </c>
    </row>
    <row r="30" spans="1:18" x14ac:dyDescent="0.25">
      <c r="A30" s="3" t="s">
        <v>81</v>
      </c>
      <c r="B30" s="8">
        <v>1.47</v>
      </c>
      <c r="C30" s="3">
        <f>B30/100*$O$5</f>
        <v>107.5368201915</v>
      </c>
      <c r="E30" s="7"/>
      <c r="G30" s="8"/>
      <c r="H30" s="8"/>
      <c r="J30" s="8"/>
      <c r="N30" s="12" t="s">
        <v>129</v>
      </c>
      <c r="O30" s="12">
        <v>5.08</v>
      </c>
      <c r="P30" s="12">
        <v>10.7</v>
      </c>
      <c r="Q30" s="4">
        <f t="shared" si="6"/>
        <v>54.355999999999995</v>
      </c>
    </row>
    <row r="31" spans="1:18" x14ac:dyDescent="0.25">
      <c r="A31" s="3" t="s">
        <v>82</v>
      </c>
      <c r="B31" s="10">
        <f>$B$30*Q25/SUM($Q$25:$Q$27)</f>
        <v>0.57947826086956511</v>
      </c>
      <c r="C31" s="3">
        <f>B31/100*$O$5</f>
        <v>42.391326220417383</v>
      </c>
      <c r="D31" s="3">
        <f>C31/F31</f>
        <v>6.2340185618260859</v>
      </c>
      <c r="E31" s="7">
        <f t="shared" ref="E31:E39" si="15">D31*$O$2</f>
        <v>187.02055685478257</v>
      </c>
      <c r="F31" s="8">
        <v>6.8</v>
      </c>
      <c r="G31" s="8">
        <v>6.8</v>
      </c>
      <c r="H31" s="8">
        <v>10</v>
      </c>
      <c r="I31" s="3">
        <f t="shared" si="0"/>
        <v>0.17453292519943295</v>
      </c>
      <c r="J31" s="8">
        <v>1.6</v>
      </c>
    </row>
    <row r="32" spans="1:18" x14ac:dyDescent="0.25">
      <c r="A32" s="3" t="s">
        <v>83</v>
      </c>
      <c r="B32" s="10">
        <f t="shared" ref="B32:B33" si="16">$B$30*Q26/SUM($Q$25:$Q$27)</f>
        <v>0.50372946859903378</v>
      </c>
      <c r="C32" s="3">
        <f t="shared" ref="C32:C33" si="17">B32/100*$O$5</f>
        <v>36.849976387683085</v>
      </c>
      <c r="D32" s="3">
        <f>C32/F32</f>
        <v>6.5803529263719795</v>
      </c>
      <c r="E32" s="7">
        <f t="shared" si="15"/>
        <v>197.4105877911594</v>
      </c>
      <c r="F32" s="8">
        <v>5.6</v>
      </c>
      <c r="G32" s="8">
        <v>5.6</v>
      </c>
      <c r="H32" s="8">
        <v>0</v>
      </c>
      <c r="I32" s="3">
        <f t="shared" si="0"/>
        <v>0</v>
      </c>
      <c r="J32" s="8">
        <v>2.6</v>
      </c>
    </row>
    <row r="33" spans="1:10" x14ac:dyDescent="0.25">
      <c r="A33" s="3" t="s">
        <v>84</v>
      </c>
      <c r="B33" s="10">
        <f t="shared" si="16"/>
        <v>0.38679227053140092</v>
      </c>
      <c r="C33" s="3">
        <f t="shared" si="17"/>
        <v>28.295517583399512</v>
      </c>
      <c r="D33" s="3">
        <f>C33/F33</f>
        <v>7.446188837736714</v>
      </c>
      <c r="E33" s="7">
        <f t="shared" si="15"/>
        <v>223.38566513210142</v>
      </c>
      <c r="F33" s="8">
        <v>3.8</v>
      </c>
      <c r="G33" s="8">
        <v>3.8</v>
      </c>
      <c r="H33" s="8">
        <v>1</v>
      </c>
      <c r="I33" s="3">
        <f t="shared" si="0"/>
        <v>1.7453292519943295E-2</v>
      </c>
      <c r="J33" s="8">
        <v>5.0999999999999996</v>
      </c>
    </row>
    <row r="34" spans="1:10" x14ac:dyDescent="0.25">
      <c r="A34" s="3" t="s">
        <v>85</v>
      </c>
      <c r="B34" s="8">
        <v>1.46</v>
      </c>
      <c r="C34" s="3">
        <f t="shared" ref="C34:C39" si="18">B34/100*$O$5</f>
        <v>106.805277197</v>
      </c>
      <c r="D34" s="3">
        <f t="shared" ref="D34:D39" si="19">C34/G34</f>
        <v>4.688554749648814</v>
      </c>
      <c r="E34" s="7">
        <f t="shared" si="15"/>
        <v>140.65664248946442</v>
      </c>
      <c r="F34" s="8">
        <v>22.78</v>
      </c>
      <c r="G34" s="8">
        <v>22.78</v>
      </c>
      <c r="H34" s="8">
        <v>8.1999999999999993</v>
      </c>
      <c r="I34" s="3">
        <f t="shared" si="0"/>
        <v>0.143116998663535</v>
      </c>
      <c r="J34" s="8">
        <v>16.899999999999999</v>
      </c>
    </row>
    <row r="35" spans="1:10" x14ac:dyDescent="0.25">
      <c r="A35" s="3" t="s">
        <v>86</v>
      </c>
      <c r="B35" s="8">
        <v>2.48</v>
      </c>
      <c r="C35" s="3">
        <f t="shared" si="18"/>
        <v>181.42266263599998</v>
      </c>
      <c r="D35" s="3">
        <f t="shared" si="19"/>
        <v>17.019011504315195</v>
      </c>
      <c r="E35" s="7">
        <f t="shared" si="15"/>
        <v>510.57034512945586</v>
      </c>
      <c r="F35" s="8">
        <v>10.66</v>
      </c>
      <c r="G35" s="8">
        <v>10.66</v>
      </c>
      <c r="H35" s="8">
        <v>14.3</v>
      </c>
      <c r="I35" s="3">
        <f t="shared" si="0"/>
        <v>0.24958208303518914</v>
      </c>
      <c r="J35" s="8">
        <v>9.4</v>
      </c>
    </row>
    <row r="36" spans="1:10" x14ac:dyDescent="0.25">
      <c r="A36" s="3" t="s">
        <v>87</v>
      </c>
      <c r="B36" s="8">
        <v>0.92</v>
      </c>
      <c r="C36" s="3">
        <f t="shared" si="18"/>
        <v>67.301955493999998</v>
      </c>
      <c r="D36" s="3">
        <f t="shared" si="19"/>
        <v>5.0602974055639089</v>
      </c>
      <c r="E36" s="7">
        <f t="shared" si="15"/>
        <v>151.80892216691726</v>
      </c>
      <c r="F36" s="8">
        <v>13.3</v>
      </c>
      <c r="G36" s="8">
        <v>13.3</v>
      </c>
      <c r="H36" s="8">
        <v>0</v>
      </c>
      <c r="I36" s="3">
        <f t="shared" si="0"/>
        <v>0</v>
      </c>
      <c r="J36" s="8">
        <v>0.1</v>
      </c>
    </row>
    <row r="37" spans="1:10" x14ac:dyDescent="0.25">
      <c r="A37" s="3" t="s">
        <v>88</v>
      </c>
      <c r="B37" s="10">
        <f>1.83*Q29/SUM($Q$29:$Q$30)</f>
        <v>0.53910143272425248</v>
      </c>
      <c r="C37" s="3">
        <f t="shared" si="18"/>
        <v>39.437587643434</v>
      </c>
      <c r="D37" s="3">
        <f t="shared" si="19"/>
        <v>8.6866933135317179</v>
      </c>
      <c r="E37" s="7">
        <f t="shared" si="15"/>
        <v>260.60079940595153</v>
      </c>
      <c r="F37" s="8">
        <v>4.54</v>
      </c>
      <c r="G37" s="8">
        <v>4.54</v>
      </c>
      <c r="H37" s="8">
        <v>11.5</v>
      </c>
      <c r="I37" s="3">
        <f t="shared" si="0"/>
        <v>0.20071286397934787</v>
      </c>
      <c r="J37" s="8">
        <v>14.8</v>
      </c>
    </row>
    <row r="38" spans="1:10" x14ac:dyDescent="0.25">
      <c r="A38" s="3" t="s">
        <v>89</v>
      </c>
      <c r="B38" s="10">
        <f>1.83*Q30/SUM($Q$29:$Q$30)</f>
        <v>1.2908985672757476</v>
      </c>
      <c r="C38" s="3">
        <f t="shared" si="18"/>
        <v>94.434780350066006</v>
      </c>
      <c r="D38" s="3">
        <f t="shared" si="19"/>
        <v>18.589523690957876</v>
      </c>
      <c r="E38" s="7">
        <f t="shared" si="15"/>
        <v>557.68571072873624</v>
      </c>
      <c r="F38" s="8">
        <v>5.08</v>
      </c>
      <c r="G38" s="8">
        <v>5.08</v>
      </c>
      <c r="H38" s="8">
        <v>14.1</v>
      </c>
      <c r="I38" s="3">
        <f t="shared" si="0"/>
        <v>0.24609142453120048</v>
      </c>
      <c r="J38" s="8">
        <v>33.299999999999997</v>
      </c>
    </row>
    <row r="39" spans="1:10" x14ac:dyDescent="0.25">
      <c r="A39" s="3" t="s">
        <v>90</v>
      </c>
      <c r="B39" s="10">
        <f>1.44*(Q15/SUM($Q$13:$Q$15))</f>
        <v>0.23522940863872555</v>
      </c>
      <c r="C39" s="3">
        <f t="shared" si="18"/>
        <v>17.208042599003743</v>
      </c>
      <c r="D39" s="3">
        <f t="shared" si="19"/>
        <v>2.1782332403802207</v>
      </c>
      <c r="E39" s="7">
        <f t="shared" si="15"/>
        <v>65.346997211406617</v>
      </c>
      <c r="F39" s="8">
        <v>7.9</v>
      </c>
      <c r="G39" s="8">
        <v>7.9</v>
      </c>
      <c r="H39" s="8">
        <v>13</v>
      </c>
      <c r="I39" s="3">
        <f t="shared" si="0"/>
        <v>0.22689280275926285</v>
      </c>
      <c r="J39" s="8">
        <v>10</v>
      </c>
    </row>
    <row r="40" spans="1:10" x14ac:dyDescent="0.25">
      <c r="A40" s="3" t="s">
        <v>91</v>
      </c>
      <c r="B40" s="8">
        <v>0.61</v>
      </c>
      <c r="C40" s="3">
        <f t="shared" ref="C40:C57" si="20">B40/100*$O$5</f>
        <v>44.624122664499993</v>
      </c>
      <c r="D40" s="3">
        <f t="shared" ref="D40:D53" si="21">C40/G40</f>
        <v>17.163124101730766</v>
      </c>
      <c r="E40" s="7">
        <f t="shared" ref="E40:E53" si="22">D40*$O$2</f>
        <v>514.89372305192296</v>
      </c>
      <c r="F40" s="8">
        <v>2.6</v>
      </c>
      <c r="G40" s="8">
        <v>2.6</v>
      </c>
      <c r="H40" s="8">
        <v>10</v>
      </c>
      <c r="I40" s="3">
        <f t="shared" si="0"/>
        <v>0.17453292519943295</v>
      </c>
      <c r="J40" s="8">
        <v>11.5</v>
      </c>
    </row>
    <row r="41" spans="1:10" x14ac:dyDescent="0.25">
      <c r="A41" s="3" t="s">
        <v>92</v>
      </c>
      <c r="B41" s="8">
        <v>3.8</v>
      </c>
      <c r="C41" s="3">
        <f t="shared" si="20"/>
        <v>277.98633790999997</v>
      </c>
      <c r="D41" s="3">
        <f t="shared" si="21"/>
        <v>23.779840710863986</v>
      </c>
      <c r="E41" s="7">
        <f t="shared" si="22"/>
        <v>713.39522132591958</v>
      </c>
      <c r="F41" s="8">
        <v>11.69</v>
      </c>
      <c r="G41" s="8">
        <v>11.69</v>
      </c>
      <c r="H41" s="8">
        <v>10.7</v>
      </c>
      <c r="I41" s="3">
        <f t="shared" si="0"/>
        <v>0.18675022996339324</v>
      </c>
      <c r="J41" s="8">
        <v>9.6999999999999993</v>
      </c>
    </row>
    <row r="42" spans="1:10" x14ac:dyDescent="0.25">
      <c r="A42" s="3" t="s">
        <v>93</v>
      </c>
      <c r="B42" s="8">
        <v>0.45</v>
      </c>
      <c r="C42" s="3">
        <f t="shared" si="20"/>
        <v>32.919434752500003</v>
      </c>
      <c r="D42" s="3">
        <f t="shared" si="21"/>
        <v>6.0961916208333333</v>
      </c>
      <c r="E42" s="7">
        <f t="shared" si="22"/>
        <v>182.88574862499999</v>
      </c>
      <c r="F42" s="8">
        <v>5.4</v>
      </c>
      <c r="G42" s="8">
        <v>5.4</v>
      </c>
      <c r="H42" s="8">
        <v>0</v>
      </c>
      <c r="I42" s="3">
        <f t="shared" si="0"/>
        <v>0</v>
      </c>
      <c r="J42" s="8">
        <v>2.4</v>
      </c>
    </row>
    <row r="43" spans="1:10" x14ac:dyDescent="0.25">
      <c r="A43" s="3" t="s">
        <v>94</v>
      </c>
      <c r="B43" s="8">
        <v>3.79</v>
      </c>
      <c r="C43" s="3">
        <f t="shared" si="20"/>
        <v>277.25479491550004</v>
      </c>
      <c r="D43" s="3">
        <f t="shared" si="21"/>
        <v>36.528958486890652</v>
      </c>
      <c r="E43" s="7">
        <f t="shared" si="22"/>
        <v>1095.8687546067194</v>
      </c>
      <c r="F43" s="8">
        <v>7.59</v>
      </c>
      <c r="G43" s="8">
        <v>7.59</v>
      </c>
      <c r="H43" s="8">
        <v>13.9</v>
      </c>
      <c r="I43" s="3">
        <f t="shared" si="0"/>
        <v>0.24260076602721178</v>
      </c>
      <c r="J43" s="11">
        <v>34.6</v>
      </c>
    </row>
    <row r="44" spans="1:10" x14ac:dyDescent="0.25">
      <c r="A44" s="3" t="s">
        <v>95</v>
      </c>
      <c r="B44" s="8">
        <v>2.29</v>
      </c>
      <c r="C44" s="3">
        <f t="shared" si="20"/>
        <v>167.52334574049999</v>
      </c>
      <c r="D44" s="3">
        <f t="shared" si="21"/>
        <v>4.1569068421960296</v>
      </c>
      <c r="E44" s="7">
        <f t="shared" si="22"/>
        <v>124.70720526588089</v>
      </c>
      <c r="F44" s="8">
        <v>40.299999999999997</v>
      </c>
      <c r="G44" s="8">
        <v>40.299999999999997</v>
      </c>
      <c r="H44" s="8">
        <v>1.3</v>
      </c>
      <c r="I44" s="3">
        <f t="shared" si="0"/>
        <v>2.2689280275926284E-2</v>
      </c>
      <c r="J44" s="8">
        <v>11</v>
      </c>
    </row>
    <row r="45" spans="1:10" x14ac:dyDescent="0.25">
      <c r="A45" s="3" t="s">
        <v>96</v>
      </c>
      <c r="B45" s="8">
        <v>3.46</v>
      </c>
      <c r="C45" s="3">
        <f t="shared" si="20"/>
        <v>253.11387609699997</v>
      </c>
      <c r="D45" s="3">
        <f t="shared" si="21"/>
        <v>36.683170448840571</v>
      </c>
      <c r="E45" s="7">
        <f t="shared" si="22"/>
        <v>1100.4951134652172</v>
      </c>
      <c r="F45" s="8">
        <v>6.9</v>
      </c>
      <c r="G45" s="8">
        <v>6.9</v>
      </c>
      <c r="H45" s="8">
        <v>15.1</v>
      </c>
      <c r="I45" s="3">
        <f t="shared" si="0"/>
        <v>0.26354471705114374</v>
      </c>
      <c r="J45" s="8">
        <v>37.799999999999997</v>
      </c>
    </row>
    <row r="46" spans="1:10" x14ac:dyDescent="0.25">
      <c r="A46" s="3" t="s">
        <v>97</v>
      </c>
      <c r="B46" s="8">
        <v>2.6</v>
      </c>
      <c r="C46" s="3">
        <f t="shared" si="20"/>
        <v>190.20117857000002</v>
      </c>
      <c r="D46" s="3">
        <f t="shared" si="21"/>
        <v>9.8549833455958566</v>
      </c>
      <c r="E46" s="7">
        <f t="shared" si="22"/>
        <v>295.6495003678757</v>
      </c>
      <c r="F46" s="8">
        <v>19.3</v>
      </c>
      <c r="G46" s="8">
        <v>19.3</v>
      </c>
      <c r="H46" s="8">
        <v>12.9</v>
      </c>
      <c r="I46" s="3">
        <f t="shared" si="0"/>
        <v>0.22514747350726852</v>
      </c>
      <c r="J46" s="8">
        <v>24.5</v>
      </c>
    </row>
    <row r="47" spans="1:10" x14ac:dyDescent="0.25">
      <c r="A47" s="3" t="s">
        <v>98</v>
      </c>
      <c r="B47" s="8">
        <v>6.21</v>
      </c>
      <c r="C47" s="3">
        <f t="shared" si="20"/>
        <v>454.28819958450003</v>
      </c>
      <c r="D47" s="3">
        <f t="shared" si="21"/>
        <v>103.24731808738636</v>
      </c>
      <c r="E47" s="7">
        <f t="shared" si="22"/>
        <v>3097.4195426215911</v>
      </c>
      <c r="F47" s="8">
        <v>4.4000000000000004</v>
      </c>
      <c r="G47" s="8">
        <v>4.4000000000000004</v>
      </c>
      <c r="H47" s="8">
        <v>28.3</v>
      </c>
      <c r="I47" s="3">
        <f t="shared" si="0"/>
        <v>0.49392817831439528</v>
      </c>
      <c r="J47" s="8">
        <v>28.2</v>
      </c>
    </row>
    <row r="48" spans="1:10" x14ac:dyDescent="0.25">
      <c r="A48" s="3" t="s">
        <v>99</v>
      </c>
      <c r="B48" s="8">
        <v>0.89</v>
      </c>
      <c r="C48" s="3">
        <f t="shared" si="20"/>
        <v>65.107326510500002</v>
      </c>
      <c r="D48" s="3">
        <f t="shared" si="21"/>
        <v>6.8534027905789472</v>
      </c>
      <c r="E48" s="7">
        <f t="shared" si="22"/>
        <v>205.60208371736843</v>
      </c>
      <c r="F48" s="8">
        <v>9.5</v>
      </c>
      <c r="G48" s="8">
        <v>9.5</v>
      </c>
      <c r="H48" s="8">
        <v>3</v>
      </c>
      <c r="I48" s="3">
        <f t="shared" si="0"/>
        <v>5.2359877559829883E-2</v>
      </c>
      <c r="J48" s="8">
        <v>45</v>
      </c>
    </row>
    <row r="49" spans="1:10" x14ac:dyDescent="0.25">
      <c r="A49" s="3" t="s">
        <v>100</v>
      </c>
      <c r="B49" s="8">
        <v>1.91</v>
      </c>
      <c r="C49" s="3">
        <f t="shared" si="20"/>
        <v>139.72471194949998</v>
      </c>
      <c r="D49" s="3">
        <f t="shared" si="21"/>
        <v>20.457498089238648</v>
      </c>
      <c r="E49" s="7">
        <f t="shared" si="22"/>
        <v>613.72494267715945</v>
      </c>
      <c r="F49" s="8">
        <v>6.83</v>
      </c>
      <c r="G49" s="8">
        <v>6.83</v>
      </c>
      <c r="H49" s="8">
        <v>9.6</v>
      </c>
      <c r="I49" s="3">
        <f t="shared" si="0"/>
        <v>0.16755160819145562</v>
      </c>
      <c r="J49" s="8">
        <v>24.1</v>
      </c>
    </row>
    <row r="50" spans="1:10" x14ac:dyDescent="0.25">
      <c r="A50" s="3" t="s">
        <v>101</v>
      </c>
      <c r="B50" s="8">
        <v>1.49</v>
      </c>
      <c r="C50" s="3">
        <f t="shared" si="20"/>
        <v>108.99990618050001</v>
      </c>
      <c r="D50" s="3">
        <f t="shared" si="21"/>
        <v>28.835954016005292</v>
      </c>
      <c r="E50" s="7">
        <f t="shared" si="22"/>
        <v>865.07862048015875</v>
      </c>
      <c r="F50" s="8">
        <v>3.78</v>
      </c>
      <c r="G50" s="8">
        <v>3.78</v>
      </c>
      <c r="H50" s="8">
        <v>13.7</v>
      </c>
      <c r="I50" s="3">
        <f t="shared" si="0"/>
        <v>0.23911010752322312</v>
      </c>
      <c r="J50" s="8">
        <v>28.2</v>
      </c>
    </row>
    <row r="51" spans="1:10" x14ac:dyDescent="0.25">
      <c r="A51" s="3" t="s">
        <v>102</v>
      </c>
      <c r="B51" s="8">
        <v>3.84</v>
      </c>
      <c r="C51" s="3">
        <f t="shared" si="20"/>
        <v>280.91250988799999</v>
      </c>
      <c r="D51" s="3">
        <f t="shared" si="21"/>
        <v>28.289275920241693</v>
      </c>
      <c r="E51" s="7">
        <f t="shared" si="22"/>
        <v>848.67827760725072</v>
      </c>
      <c r="F51" s="8">
        <v>9.93</v>
      </c>
      <c r="G51" s="8">
        <v>9.93</v>
      </c>
      <c r="H51" s="8">
        <v>4.5</v>
      </c>
      <c r="I51" s="3">
        <f t="shared" si="0"/>
        <v>7.8539816339744828E-2</v>
      </c>
      <c r="J51" s="11">
        <v>10.6</v>
      </c>
    </row>
    <row r="52" spans="1:10" x14ac:dyDescent="0.25">
      <c r="A52" s="3" t="s">
        <v>103</v>
      </c>
      <c r="B52" s="8">
        <v>11.66</v>
      </c>
      <c r="C52" s="3">
        <f t="shared" si="20"/>
        <v>852.97913158699998</v>
      </c>
      <c r="D52" s="3">
        <f t="shared" si="21"/>
        <v>85.812789898088539</v>
      </c>
      <c r="E52" s="7">
        <f t="shared" si="22"/>
        <v>2574.3836969426561</v>
      </c>
      <c r="F52" s="8">
        <v>9.94</v>
      </c>
      <c r="G52" s="8">
        <v>9.94</v>
      </c>
      <c r="H52" s="8">
        <v>18.399999999999999</v>
      </c>
      <c r="I52" s="3">
        <f t="shared" si="0"/>
        <v>0.32114058236695658</v>
      </c>
      <c r="J52" s="11">
        <v>13</v>
      </c>
    </row>
    <row r="53" spans="1:10" x14ac:dyDescent="0.25">
      <c r="A53" s="3" t="s">
        <v>104</v>
      </c>
      <c r="B53" s="8">
        <v>6.06</v>
      </c>
      <c r="C53" s="3">
        <f t="shared" si="20"/>
        <v>443.31505466699997</v>
      </c>
      <c r="D53" s="3">
        <f t="shared" si="21"/>
        <v>45.797009779648761</v>
      </c>
      <c r="E53" s="7">
        <f t="shared" si="22"/>
        <v>1373.9102933894628</v>
      </c>
      <c r="F53" s="8">
        <v>9.68</v>
      </c>
      <c r="G53" s="8">
        <v>9.68</v>
      </c>
      <c r="H53" s="8">
        <v>29.6</v>
      </c>
      <c r="I53" s="3">
        <f t="shared" si="0"/>
        <v>0.51661745859032149</v>
      </c>
      <c r="J53" s="11">
        <v>11.2</v>
      </c>
    </row>
    <row r="54" spans="1:10" x14ac:dyDescent="0.25">
      <c r="A54" s="22" t="s">
        <v>105</v>
      </c>
      <c r="B54" s="23">
        <v>0.76</v>
      </c>
      <c r="C54" s="3">
        <f t="shared" si="20"/>
        <v>55.597267582000001</v>
      </c>
    </row>
    <row r="55" spans="1:10" x14ac:dyDescent="0.25">
      <c r="A55" s="22" t="s">
        <v>106</v>
      </c>
      <c r="B55" s="23">
        <v>0.38</v>
      </c>
      <c r="C55" s="3">
        <f t="shared" si="20"/>
        <v>27.798633791</v>
      </c>
    </row>
    <row r="56" spans="1:10" x14ac:dyDescent="0.25">
      <c r="A56" s="22" t="s">
        <v>107</v>
      </c>
      <c r="B56" s="23">
        <v>0.23</v>
      </c>
      <c r="C56" s="3">
        <f t="shared" si="20"/>
        <v>16.825488873499999</v>
      </c>
    </row>
    <row r="57" spans="1:10" x14ac:dyDescent="0.25">
      <c r="A57" s="22" t="s">
        <v>108</v>
      </c>
      <c r="B57" s="23">
        <v>0.33</v>
      </c>
      <c r="C57" s="3">
        <f t="shared" si="20"/>
        <v>24.140918818499998</v>
      </c>
    </row>
  </sheetData>
  <pageMargins left="0.75" right="0.75" top="1" bottom="1" header="0.5" footer="0.5"/>
  <pageSetup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topLeftCell="C1" workbookViewId="0">
      <selection activeCell="R5" sqref="R5"/>
    </sheetView>
  </sheetViews>
  <sheetFormatPr defaultColWidth="11" defaultRowHeight="15.75" x14ac:dyDescent="0.25"/>
  <cols>
    <col min="1" max="1" width="28.5" customWidth="1"/>
    <col min="3" max="4" width="11.875" bestFit="1" customWidth="1"/>
    <col min="13" max="13" width="11.875" bestFit="1" customWidth="1"/>
  </cols>
  <sheetData>
    <row r="1" spans="1:17" ht="78.75" x14ac:dyDescent="0.25">
      <c r="A1" s="3" t="s">
        <v>34</v>
      </c>
      <c r="B1" s="3"/>
      <c r="C1" s="3"/>
      <c r="D1" s="3"/>
      <c r="E1" s="3"/>
      <c r="F1" s="3"/>
      <c r="G1" s="3" t="s">
        <v>35</v>
      </c>
      <c r="H1" s="3"/>
      <c r="I1" s="3"/>
      <c r="J1" s="3" t="s">
        <v>36</v>
      </c>
      <c r="K1" s="3"/>
      <c r="L1" s="3"/>
      <c r="M1" s="3"/>
      <c r="N1" s="3"/>
      <c r="O1" s="3"/>
      <c r="P1" s="3"/>
      <c r="Q1" s="4"/>
    </row>
    <row r="2" spans="1:17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5" t="s">
        <v>37</v>
      </c>
      <c r="O2" s="5">
        <v>61</v>
      </c>
      <c r="P2" s="3"/>
      <c r="Q2" s="4"/>
    </row>
    <row r="3" spans="1:17" x14ac:dyDescent="0.25">
      <c r="A3" s="3" t="s">
        <v>38</v>
      </c>
      <c r="B3" s="3" t="s">
        <v>39</v>
      </c>
      <c r="C3" s="3" t="s">
        <v>39</v>
      </c>
      <c r="D3" s="3" t="s">
        <v>39</v>
      </c>
      <c r="E3" s="3" t="s">
        <v>39</v>
      </c>
      <c r="F3" s="3" t="s">
        <v>40</v>
      </c>
      <c r="G3" s="3" t="s">
        <v>40</v>
      </c>
      <c r="H3" s="3"/>
      <c r="I3" s="3"/>
      <c r="J3" s="3" t="s">
        <v>41</v>
      </c>
      <c r="K3" s="3"/>
      <c r="L3" s="3"/>
      <c r="M3" s="3"/>
      <c r="N3" s="5" t="s">
        <v>42</v>
      </c>
      <c r="O3" s="5">
        <v>75.337000000000003</v>
      </c>
      <c r="P3" s="3"/>
      <c r="Q3" s="4"/>
    </row>
    <row r="4" spans="1:17" x14ac:dyDescent="0.25">
      <c r="A4" s="3" t="s">
        <v>43</v>
      </c>
      <c r="B4" s="3" t="s">
        <v>44</v>
      </c>
      <c r="C4" s="3" t="s">
        <v>44</v>
      </c>
      <c r="D4" s="3" t="s">
        <v>44</v>
      </c>
      <c r="E4" s="3" t="s">
        <v>44</v>
      </c>
      <c r="F4" s="3" t="s">
        <v>45</v>
      </c>
      <c r="G4" s="3" t="s">
        <v>46</v>
      </c>
      <c r="H4" s="3"/>
      <c r="I4" s="3"/>
      <c r="J4" s="3" t="s">
        <v>45</v>
      </c>
      <c r="K4" s="3"/>
      <c r="L4" s="3"/>
      <c r="M4" s="3"/>
      <c r="N4" s="5" t="s">
        <v>47</v>
      </c>
      <c r="O4" s="5">
        <v>1.7</v>
      </c>
      <c r="P4" s="3"/>
      <c r="Q4" s="4"/>
    </row>
    <row r="5" spans="1:17" ht="47.25" x14ac:dyDescent="0.25">
      <c r="A5" s="7" t="s">
        <v>111</v>
      </c>
      <c r="B5" s="7" t="s">
        <v>48</v>
      </c>
      <c r="C5" s="7" t="s">
        <v>49</v>
      </c>
      <c r="D5" s="7" t="s">
        <v>50</v>
      </c>
      <c r="E5" s="7" t="s">
        <v>51</v>
      </c>
      <c r="F5" s="7" t="s">
        <v>52</v>
      </c>
      <c r="G5" s="7" t="s">
        <v>52</v>
      </c>
      <c r="H5" s="7" t="s">
        <v>53</v>
      </c>
      <c r="I5" s="7" t="s">
        <v>54</v>
      </c>
      <c r="J5" s="7" t="s">
        <v>55</v>
      </c>
      <c r="K5" s="3"/>
      <c r="L5" s="3"/>
      <c r="M5" s="3"/>
      <c r="N5" s="5" t="s">
        <v>56</v>
      </c>
      <c r="O5" s="5">
        <f>47.05*$O$3*$O$4 + 1289.6</f>
        <v>7315.4299449999999</v>
      </c>
      <c r="P5" s="3" t="s">
        <v>109</v>
      </c>
      <c r="Q5" s="3">
        <v>7488.4224599999998</v>
      </c>
    </row>
    <row r="6" spans="1:17" x14ac:dyDescent="0.25">
      <c r="A6" s="3" t="s">
        <v>57</v>
      </c>
      <c r="B6" s="3">
        <v>1.47</v>
      </c>
      <c r="C6" s="3">
        <f>B6/100*$O$6</f>
        <v>107.18614391078998</v>
      </c>
      <c r="D6" s="3">
        <f>C6/G6</f>
        <v>10.396328216371481</v>
      </c>
      <c r="E6" s="3">
        <f>D6*$O$2</f>
        <v>634.17602119866035</v>
      </c>
      <c r="F6" s="3">
        <v>10.31</v>
      </c>
      <c r="G6" s="3">
        <v>10.31</v>
      </c>
      <c r="H6" s="3">
        <v>6.1</v>
      </c>
      <c r="I6" s="3">
        <f>H6*PI()/180</f>
        <v>0.10646508437165408</v>
      </c>
      <c r="J6" s="3">
        <v>3.6</v>
      </c>
      <c r="K6" s="3"/>
      <c r="L6" s="3"/>
      <c r="M6" s="3"/>
      <c r="N6" s="3"/>
      <c r="O6" s="5">
        <f>56.933*$O$3*$O$4</f>
        <v>7291.574415699999</v>
      </c>
      <c r="P6" s="3" t="s">
        <v>110</v>
      </c>
      <c r="Q6" s="4"/>
    </row>
    <row r="7" spans="1:17" x14ac:dyDescent="0.25">
      <c r="A7" s="3" t="s">
        <v>58</v>
      </c>
      <c r="B7" s="3">
        <v>2.2599999999999998</v>
      </c>
      <c r="C7" s="3">
        <f t="shared" ref="C7:C8" si="0">B7/100*$O$6</f>
        <v>164.78958179481998</v>
      </c>
      <c r="D7" s="3">
        <f>C7/G7</f>
        <v>15.230090738892789</v>
      </c>
      <c r="E7" s="3">
        <f>D7*$O$2</f>
        <v>929.03553507246011</v>
      </c>
      <c r="F7" s="3">
        <v>10.82</v>
      </c>
      <c r="G7" s="3">
        <v>10.82</v>
      </c>
      <c r="H7" s="3">
        <v>7.1</v>
      </c>
      <c r="I7" s="3">
        <f t="shared" ref="I7:I53" si="1">H7*PI()/180</f>
        <v>0.12391837689159739</v>
      </c>
      <c r="J7" s="3">
        <v>13</v>
      </c>
      <c r="K7" s="3"/>
      <c r="L7" s="3"/>
      <c r="M7" s="3"/>
      <c r="N7" s="3"/>
      <c r="O7" s="3"/>
      <c r="P7" s="3"/>
      <c r="Q7" s="4"/>
    </row>
    <row r="8" spans="1:17" x14ac:dyDescent="0.25">
      <c r="A8" s="3" t="s">
        <v>59</v>
      </c>
      <c r="B8" s="3">
        <v>7.86</v>
      </c>
      <c r="C8" s="3">
        <f t="shared" si="0"/>
        <v>573.11774907401991</v>
      </c>
      <c r="D8" s="3">
        <f>C8/G8</f>
        <v>39.689594811220218</v>
      </c>
      <c r="E8" s="3">
        <f>D8*$O$2</f>
        <v>2421.0652834844332</v>
      </c>
      <c r="F8" s="3"/>
      <c r="G8" s="3">
        <v>14.44</v>
      </c>
      <c r="H8" s="3">
        <v>15.5</v>
      </c>
      <c r="I8" s="3">
        <f t="shared" si="1"/>
        <v>0.27052603405912107</v>
      </c>
      <c r="J8" s="3"/>
      <c r="K8" s="3"/>
      <c r="L8" s="3"/>
      <c r="M8" s="3"/>
      <c r="N8" s="3"/>
      <c r="O8" s="3"/>
      <c r="P8" s="3"/>
      <c r="Q8" s="4"/>
    </row>
    <row r="9" spans="1:17" x14ac:dyDescent="0.25">
      <c r="A9" s="3" t="s">
        <v>60</v>
      </c>
      <c r="B9" s="3"/>
      <c r="C9" s="3"/>
      <c r="D9" s="3"/>
      <c r="E9" s="3">
        <f>E8/4</f>
        <v>605.26632087110829</v>
      </c>
      <c r="F9" s="3">
        <v>17.72</v>
      </c>
      <c r="G9" s="3"/>
      <c r="H9" s="3">
        <v>13.8</v>
      </c>
      <c r="I9" s="3">
        <f t="shared" si="1"/>
        <v>0.24085543677521748</v>
      </c>
      <c r="J9" s="3">
        <v>9</v>
      </c>
      <c r="K9" s="3"/>
      <c r="L9" s="3"/>
      <c r="M9" s="3"/>
      <c r="N9" s="3"/>
      <c r="O9" s="3"/>
      <c r="P9" s="3"/>
      <c r="Q9" s="4"/>
    </row>
    <row r="10" spans="1:17" x14ac:dyDescent="0.25">
      <c r="A10" s="3" t="s">
        <v>61</v>
      </c>
      <c r="B10" s="3"/>
      <c r="C10" s="3"/>
      <c r="D10" s="3"/>
      <c r="E10" s="3">
        <f>E8/4</f>
        <v>605.26632087110829</v>
      </c>
      <c r="F10" s="3">
        <v>15.62</v>
      </c>
      <c r="G10" s="3"/>
      <c r="H10" s="3">
        <v>11.9</v>
      </c>
      <c r="I10" s="3">
        <f t="shared" si="1"/>
        <v>0.2076941809873252</v>
      </c>
      <c r="J10" s="3">
        <v>22.1</v>
      </c>
      <c r="K10" s="3"/>
      <c r="L10" s="3"/>
      <c r="M10" s="3"/>
      <c r="N10" s="3"/>
      <c r="O10" s="3"/>
      <c r="P10" s="3"/>
      <c r="Q10" s="4"/>
    </row>
    <row r="11" spans="1:17" x14ac:dyDescent="0.25">
      <c r="A11" s="3" t="s">
        <v>62</v>
      </c>
      <c r="B11" s="3"/>
      <c r="C11" s="3"/>
      <c r="D11" s="3"/>
      <c r="E11" s="3">
        <f>E8/4</f>
        <v>605.26632087110829</v>
      </c>
      <c r="F11" s="3">
        <v>13.77</v>
      </c>
      <c r="G11" s="3"/>
      <c r="H11" s="3">
        <v>14.7</v>
      </c>
      <c r="I11" s="3">
        <f t="shared" si="1"/>
        <v>0.25656340004316641</v>
      </c>
      <c r="J11" s="3">
        <v>4.8</v>
      </c>
      <c r="K11" s="3"/>
      <c r="L11" s="3"/>
      <c r="M11" s="3"/>
      <c r="N11" s="3"/>
      <c r="O11" s="3"/>
      <c r="P11" s="3"/>
      <c r="Q11" s="4"/>
    </row>
    <row r="12" spans="1:17" x14ac:dyDescent="0.25">
      <c r="A12" s="3" t="s">
        <v>63</v>
      </c>
      <c r="B12" s="3"/>
      <c r="C12" s="3"/>
      <c r="D12" s="3"/>
      <c r="E12" s="3">
        <f>E8/4</f>
        <v>605.26632087110829</v>
      </c>
      <c r="F12" s="3">
        <v>10.56</v>
      </c>
      <c r="G12" s="3"/>
      <c r="H12" s="3">
        <v>22.2</v>
      </c>
      <c r="I12" s="3">
        <f t="shared" si="1"/>
        <v>0.38746309394274114</v>
      </c>
      <c r="J12" s="3">
        <v>4.3</v>
      </c>
      <c r="K12" s="3"/>
      <c r="L12" s="3"/>
      <c r="M12" s="3"/>
      <c r="N12" s="3"/>
      <c r="O12" s="3"/>
      <c r="P12" s="3"/>
      <c r="Q12" s="4"/>
    </row>
    <row r="13" spans="1:17" x14ac:dyDescent="0.25">
      <c r="A13" s="3" t="s">
        <v>64</v>
      </c>
      <c r="B13" s="3">
        <v>2.92</v>
      </c>
      <c r="C13" s="3">
        <f t="shared" ref="C13:C22" si="2">B13/100*$O$6</f>
        <v>212.91397293843997</v>
      </c>
      <c r="D13" s="3">
        <f t="shared" ref="D13:D20" si="3">C13/G13</f>
        <v>21.81495624369262</v>
      </c>
      <c r="E13" s="3">
        <f t="shared" ref="E13:E22" si="4">D13*$O$2</f>
        <v>1330.7123308652499</v>
      </c>
      <c r="F13" s="3">
        <v>9.76</v>
      </c>
      <c r="G13" s="3">
        <v>9.76</v>
      </c>
      <c r="H13" s="3">
        <v>11.6</v>
      </c>
      <c r="I13" s="3">
        <f t="shared" si="1"/>
        <v>0.20245819323134223</v>
      </c>
      <c r="J13" s="3">
        <v>32.200000000000003</v>
      </c>
      <c r="K13" s="3"/>
      <c r="L13" s="3"/>
      <c r="M13" s="3"/>
      <c r="N13" s="3"/>
      <c r="O13" s="3"/>
      <c r="P13" s="3"/>
      <c r="Q13" s="4"/>
    </row>
    <row r="14" spans="1:17" x14ac:dyDescent="0.25">
      <c r="A14" s="3" t="s">
        <v>65</v>
      </c>
      <c r="B14" s="3">
        <v>1.4</v>
      </c>
      <c r="C14" s="3">
        <f t="shared" si="2"/>
        <v>102.08204181979997</v>
      </c>
      <c r="D14" s="3">
        <f t="shared" si="3"/>
        <v>9.254944861269264</v>
      </c>
      <c r="E14" s="3">
        <f t="shared" si="4"/>
        <v>564.55163653742511</v>
      </c>
      <c r="F14" s="3">
        <v>11.03</v>
      </c>
      <c r="G14" s="3">
        <v>11.03</v>
      </c>
      <c r="H14" s="3">
        <v>12.3</v>
      </c>
      <c r="I14" s="3">
        <f t="shared" si="1"/>
        <v>0.21467549799530256</v>
      </c>
      <c r="J14" s="3">
        <v>10.4</v>
      </c>
      <c r="K14" s="3"/>
      <c r="L14" s="3"/>
      <c r="M14" s="3"/>
      <c r="N14" s="3"/>
      <c r="O14" s="3"/>
      <c r="P14" s="3"/>
      <c r="Q14" s="4"/>
    </row>
    <row r="15" spans="1:17" x14ac:dyDescent="0.25">
      <c r="A15" s="3" t="s">
        <v>66</v>
      </c>
      <c r="B15" s="3">
        <f>1.44/2</f>
        <v>0.72</v>
      </c>
      <c r="C15" s="3">
        <f t="shared" si="2"/>
        <v>52.49933579303999</v>
      </c>
      <c r="D15" s="3">
        <f t="shared" si="3"/>
        <v>7.5756617305974014</v>
      </c>
      <c r="E15" s="3">
        <f t="shared" si="4"/>
        <v>462.11536556644148</v>
      </c>
      <c r="F15" s="3">
        <v>6.93</v>
      </c>
      <c r="G15" s="3">
        <v>6.93</v>
      </c>
      <c r="H15" s="3">
        <v>10.8</v>
      </c>
      <c r="I15" s="3">
        <f t="shared" si="1"/>
        <v>0.18849555921538758</v>
      </c>
      <c r="J15" s="3">
        <v>36.700000000000003</v>
      </c>
      <c r="K15" s="3"/>
      <c r="L15" s="3"/>
      <c r="M15" s="3"/>
      <c r="N15" s="3"/>
      <c r="O15" s="3"/>
      <c r="P15" s="3"/>
      <c r="Q15" s="4"/>
    </row>
    <row r="16" spans="1:17" x14ac:dyDescent="0.25">
      <c r="A16" s="3" t="s">
        <v>67</v>
      </c>
      <c r="B16" s="3">
        <f>1.44/2</f>
        <v>0.72</v>
      </c>
      <c r="C16" s="3">
        <f t="shared" si="2"/>
        <v>52.49933579303999</v>
      </c>
      <c r="D16" s="3">
        <f t="shared" si="3"/>
        <v>7.0186277798181802</v>
      </c>
      <c r="E16" s="3">
        <f t="shared" si="4"/>
        <v>428.13629456890897</v>
      </c>
      <c r="F16" s="3">
        <v>7.48</v>
      </c>
      <c r="G16" s="3">
        <v>7.48</v>
      </c>
      <c r="H16" s="3">
        <v>9.4</v>
      </c>
      <c r="I16" s="3">
        <f t="shared" si="1"/>
        <v>0.16406094968746698</v>
      </c>
      <c r="J16" s="3">
        <v>33.200000000000003</v>
      </c>
      <c r="K16" s="3"/>
      <c r="L16" s="3"/>
      <c r="M16" s="3"/>
      <c r="N16" s="3"/>
      <c r="O16" s="3"/>
      <c r="P16" s="3"/>
      <c r="Q16" s="4"/>
    </row>
    <row r="17" spans="1:17" x14ac:dyDescent="0.25">
      <c r="A17" s="3" t="s">
        <v>68</v>
      </c>
      <c r="B17" s="3">
        <v>0.43</v>
      </c>
      <c r="C17" s="3">
        <f t="shared" si="2"/>
        <v>31.353769987509995</v>
      </c>
      <c r="D17" s="3">
        <f t="shared" si="3"/>
        <v>7.0299932707421515</v>
      </c>
      <c r="E17" s="3">
        <f t="shared" si="4"/>
        <v>428.82958951527127</v>
      </c>
      <c r="F17" s="3">
        <v>4.46</v>
      </c>
      <c r="G17" s="3">
        <v>4.46</v>
      </c>
      <c r="H17" s="3">
        <v>13.6</v>
      </c>
      <c r="I17" s="3">
        <f t="shared" si="1"/>
        <v>0.23736477827122882</v>
      </c>
      <c r="J17" s="3">
        <v>37.799999999999997</v>
      </c>
      <c r="K17" s="3"/>
      <c r="L17" s="3"/>
      <c r="M17" s="3"/>
      <c r="N17" s="3"/>
      <c r="O17" s="3"/>
      <c r="P17" s="3"/>
      <c r="Q17" s="4"/>
    </row>
    <row r="18" spans="1:17" x14ac:dyDescent="0.25">
      <c r="A18" s="3" t="s">
        <v>69</v>
      </c>
      <c r="B18" s="3">
        <v>1.0900000000000001</v>
      </c>
      <c r="C18" s="3">
        <f t="shared" si="2"/>
        <v>79.478161131129994</v>
      </c>
      <c r="D18" s="3">
        <f t="shared" si="3"/>
        <v>15.081244996419356</v>
      </c>
      <c r="E18" s="3">
        <f t="shared" si="4"/>
        <v>919.95594478158068</v>
      </c>
      <c r="F18" s="3">
        <v>5.27</v>
      </c>
      <c r="G18" s="3">
        <v>5.27</v>
      </c>
      <c r="H18" s="3">
        <v>16.899999999999999</v>
      </c>
      <c r="I18" s="3">
        <f t="shared" si="1"/>
        <v>0.29496064358704166</v>
      </c>
      <c r="J18" s="3">
        <v>35.6</v>
      </c>
      <c r="K18" s="3"/>
      <c r="L18" s="3"/>
      <c r="M18" s="3"/>
      <c r="N18" s="3"/>
      <c r="O18" s="3"/>
      <c r="P18" s="3"/>
      <c r="Q18" s="4"/>
    </row>
    <row r="19" spans="1:17" x14ac:dyDescent="0.25">
      <c r="A19" s="3" t="s">
        <v>70</v>
      </c>
      <c r="B19" s="3">
        <v>2.11</v>
      </c>
      <c r="C19" s="3">
        <f t="shared" si="2"/>
        <v>153.85222017126995</v>
      </c>
      <c r="D19" s="3">
        <f t="shared" si="3"/>
        <v>26.165343566542507</v>
      </c>
      <c r="E19" s="3">
        <f t="shared" si="4"/>
        <v>1596.085957559093</v>
      </c>
      <c r="F19" s="3">
        <v>5.88</v>
      </c>
      <c r="G19" s="3">
        <v>5.88</v>
      </c>
      <c r="H19" s="3">
        <v>12</v>
      </c>
      <c r="I19" s="3">
        <f t="shared" si="1"/>
        <v>0.20943951023931953</v>
      </c>
      <c r="J19" s="3">
        <v>38.200000000000003</v>
      </c>
      <c r="K19" s="3"/>
      <c r="L19" s="3"/>
      <c r="M19" s="3"/>
      <c r="N19" s="3"/>
      <c r="O19" s="3"/>
      <c r="P19" s="3"/>
      <c r="Q19" s="4"/>
    </row>
    <row r="20" spans="1:17" x14ac:dyDescent="0.25">
      <c r="A20" s="3" t="s">
        <v>71</v>
      </c>
      <c r="B20" s="3">
        <v>3.62</v>
      </c>
      <c r="C20" s="3">
        <f t="shared" si="2"/>
        <v>263.95499384834</v>
      </c>
      <c r="D20" s="3">
        <f t="shared" si="3"/>
        <v>51.755881146733337</v>
      </c>
      <c r="E20" s="3">
        <f t="shared" si="4"/>
        <v>3157.1087499507335</v>
      </c>
      <c r="F20" s="3">
        <v>5.0999999999999996</v>
      </c>
      <c r="G20" s="3">
        <v>5.0999999999999996</v>
      </c>
      <c r="H20" s="3">
        <v>9.9</v>
      </c>
      <c r="I20" s="3">
        <f t="shared" si="1"/>
        <v>0.17278759594743864</v>
      </c>
      <c r="J20" s="3">
        <v>40.1</v>
      </c>
      <c r="K20" s="3"/>
      <c r="L20" s="3"/>
      <c r="M20" s="3"/>
      <c r="N20" s="3"/>
      <c r="O20" s="3"/>
      <c r="P20" s="3"/>
      <c r="Q20" s="4"/>
    </row>
    <row r="21" spans="1:17" x14ac:dyDescent="0.25">
      <c r="A21" s="3" t="s">
        <v>72</v>
      </c>
      <c r="B21" s="3">
        <v>0.23</v>
      </c>
      <c r="C21" s="3">
        <f t="shared" si="2"/>
        <v>16.770621156109996</v>
      </c>
      <c r="D21" s="3">
        <f>C21/F21</f>
        <v>6.9877588150458321</v>
      </c>
      <c r="E21" s="3">
        <f t="shared" si="4"/>
        <v>426.25328771779573</v>
      </c>
      <c r="F21" s="3">
        <v>2.4</v>
      </c>
      <c r="G21" s="3"/>
      <c r="H21" s="3">
        <v>0</v>
      </c>
      <c r="I21" s="3">
        <f t="shared" si="1"/>
        <v>0</v>
      </c>
      <c r="J21" s="3">
        <v>3.9</v>
      </c>
      <c r="K21" s="3"/>
      <c r="L21" s="3"/>
      <c r="M21" s="3"/>
      <c r="N21" s="3"/>
      <c r="O21" s="3"/>
      <c r="P21" s="3"/>
      <c r="Q21" s="4"/>
    </row>
    <row r="22" spans="1:17" x14ac:dyDescent="0.25">
      <c r="A22" s="3" t="s">
        <v>73</v>
      </c>
      <c r="B22" s="3">
        <v>11.93</v>
      </c>
      <c r="C22" s="3">
        <f t="shared" si="2"/>
        <v>869.88482779300989</v>
      </c>
      <c r="D22" s="3">
        <f>C22/G22</f>
        <v>55.441990299108348</v>
      </c>
      <c r="E22" s="3">
        <f t="shared" si="4"/>
        <v>3381.9614082456092</v>
      </c>
      <c r="F22" s="3"/>
      <c r="G22" s="3">
        <v>15.69</v>
      </c>
      <c r="H22" s="3">
        <v>21.9</v>
      </c>
      <c r="I22" s="3">
        <f t="shared" si="1"/>
        <v>0.38222710618675809</v>
      </c>
      <c r="J22" s="3"/>
      <c r="K22" s="3"/>
      <c r="L22" s="3"/>
      <c r="M22" s="3"/>
      <c r="N22" s="3"/>
      <c r="O22" s="3"/>
      <c r="P22" s="3"/>
      <c r="Q22" s="4"/>
    </row>
    <row r="23" spans="1:17" x14ac:dyDescent="0.25">
      <c r="A23" s="3" t="s">
        <v>74</v>
      </c>
      <c r="B23" s="3"/>
      <c r="C23" s="3"/>
      <c r="D23" s="3"/>
      <c r="E23" s="3">
        <f>546.1/1852.6*E22</f>
        <v>996.91737290452738</v>
      </c>
      <c r="F23" s="3">
        <v>14.7</v>
      </c>
      <c r="G23" s="3"/>
      <c r="H23" s="3">
        <v>21.1</v>
      </c>
      <c r="I23" s="3">
        <f t="shared" si="1"/>
        <v>0.36826447217080355</v>
      </c>
      <c r="J23" s="3">
        <v>5</v>
      </c>
      <c r="K23" s="3"/>
      <c r="L23" s="3"/>
      <c r="M23" s="3"/>
      <c r="N23" s="3"/>
      <c r="O23" s="3"/>
      <c r="P23" s="3"/>
      <c r="Q23" s="4"/>
    </row>
    <row r="24" spans="1:17" x14ac:dyDescent="0.25">
      <c r="A24" s="3" t="s">
        <v>75</v>
      </c>
      <c r="B24" s="3"/>
      <c r="C24" s="3"/>
      <c r="D24" s="3"/>
      <c r="E24" s="3">
        <f>780.5/1852.6*E22</f>
        <v>1424.8196475956483</v>
      </c>
      <c r="F24" s="3">
        <v>15.7</v>
      </c>
      <c r="G24" s="3"/>
      <c r="H24" s="3">
        <v>21.9</v>
      </c>
      <c r="I24" s="3">
        <f t="shared" si="1"/>
        <v>0.38222710618675809</v>
      </c>
      <c r="J24" s="3">
        <v>7.3</v>
      </c>
      <c r="K24" s="3"/>
      <c r="L24" s="3"/>
      <c r="M24" s="3"/>
      <c r="N24" s="3"/>
      <c r="O24" s="3"/>
      <c r="P24" s="3"/>
      <c r="Q24" s="4"/>
    </row>
    <row r="25" spans="1:17" x14ac:dyDescent="0.25">
      <c r="A25" s="3" t="s">
        <v>76</v>
      </c>
      <c r="B25" s="3"/>
      <c r="C25" s="3"/>
      <c r="D25" s="3"/>
      <c r="E25" s="3">
        <f>526.1/1852.6*E22</f>
        <v>960.40693991040428</v>
      </c>
      <c r="F25" s="3">
        <v>16.7</v>
      </c>
      <c r="G25" s="3"/>
      <c r="H25" s="3">
        <v>22.8</v>
      </c>
      <c r="I25" s="3">
        <f t="shared" si="1"/>
        <v>0.39793506945470719</v>
      </c>
      <c r="J25" s="3">
        <v>7</v>
      </c>
      <c r="K25" s="3"/>
      <c r="L25" s="3"/>
      <c r="M25" s="3"/>
      <c r="N25" s="3"/>
      <c r="O25" s="3"/>
      <c r="P25" s="3"/>
      <c r="Q25" s="4"/>
    </row>
    <row r="26" spans="1:17" x14ac:dyDescent="0.25">
      <c r="A26" s="3" t="s">
        <v>77</v>
      </c>
      <c r="B26" s="3">
        <v>4.54</v>
      </c>
      <c r="C26" s="3">
        <f t="shared" ref="C26" si="5">B26/100*$O$6</f>
        <v>331.03747847277998</v>
      </c>
      <c r="D26" s="3">
        <f>C26/G26</f>
        <v>45.162002520160982</v>
      </c>
      <c r="E26" s="3">
        <f>D26*$O$2</f>
        <v>2754.8821537298199</v>
      </c>
      <c r="F26" s="3"/>
      <c r="G26" s="3">
        <v>7.33</v>
      </c>
      <c r="H26" s="3">
        <v>20.5</v>
      </c>
      <c r="I26" s="3">
        <f t="shared" si="1"/>
        <v>0.3577924966588375</v>
      </c>
      <c r="J26" s="3"/>
      <c r="K26" s="3"/>
      <c r="L26" s="3"/>
      <c r="M26" s="3"/>
      <c r="N26" s="3"/>
      <c r="O26" s="3"/>
      <c r="P26" s="3"/>
      <c r="Q26" s="4"/>
    </row>
    <row r="27" spans="1:17" x14ac:dyDescent="0.25">
      <c r="A27" s="3" t="s">
        <v>78</v>
      </c>
      <c r="B27" s="3"/>
      <c r="C27" s="3"/>
      <c r="D27" s="3"/>
      <c r="E27" s="3">
        <f>881.1/2199.6*E26</f>
        <v>1103.5309445587127</v>
      </c>
      <c r="F27" s="3">
        <v>7.3</v>
      </c>
      <c r="G27" s="3"/>
      <c r="H27" s="3">
        <v>20.5</v>
      </c>
      <c r="I27" s="3">
        <f t="shared" si="1"/>
        <v>0.3577924966588375</v>
      </c>
      <c r="J27" s="3">
        <v>5.7</v>
      </c>
      <c r="K27" s="3"/>
      <c r="L27" s="3"/>
      <c r="M27" s="3"/>
      <c r="N27" s="3"/>
      <c r="O27" s="3"/>
      <c r="P27" s="3"/>
      <c r="Q27" s="4"/>
    </row>
    <row r="28" spans="1:17" x14ac:dyDescent="0.25">
      <c r="A28" s="3" t="s">
        <v>79</v>
      </c>
      <c r="B28" s="3"/>
      <c r="C28" s="3"/>
      <c r="D28" s="3"/>
      <c r="E28" s="3">
        <f>616.5/2199.6*E26</f>
        <v>772.13350053393083</v>
      </c>
      <c r="F28" s="3">
        <v>7.3</v>
      </c>
      <c r="G28" s="3"/>
      <c r="H28" s="3">
        <v>20.5</v>
      </c>
      <c r="I28" s="3">
        <f t="shared" si="1"/>
        <v>0.3577924966588375</v>
      </c>
      <c r="J28" s="3">
        <v>6.6</v>
      </c>
      <c r="K28" s="3"/>
      <c r="L28" s="3"/>
      <c r="M28" s="3"/>
      <c r="N28" s="3"/>
      <c r="O28" s="3"/>
      <c r="P28" s="3"/>
      <c r="Q28" s="4"/>
    </row>
    <row r="29" spans="1:17" x14ac:dyDescent="0.25">
      <c r="A29" s="3" t="s">
        <v>80</v>
      </c>
      <c r="B29" s="3"/>
      <c r="C29" s="3"/>
      <c r="D29" s="3"/>
      <c r="E29" s="3">
        <f>702/2199.6*E26</f>
        <v>879.21770863717666</v>
      </c>
      <c r="F29" s="3">
        <v>7.3</v>
      </c>
      <c r="G29" s="3"/>
      <c r="H29" s="3">
        <v>20.5</v>
      </c>
      <c r="I29" s="3">
        <f t="shared" si="1"/>
        <v>0.3577924966588375</v>
      </c>
      <c r="J29" s="3">
        <v>4.5999999999999996</v>
      </c>
      <c r="K29" s="3"/>
      <c r="L29" s="3"/>
      <c r="M29" s="3"/>
      <c r="N29" s="3"/>
      <c r="O29" s="3"/>
      <c r="P29" s="3"/>
      <c r="Q29" s="4"/>
    </row>
    <row r="30" spans="1:17" x14ac:dyDescent="0.25">
      <c r="A30" s="3" t="s">
        <v>81</v>
      </c>
      <c r="B30" s="3">
        <v>1.47</v>
      </c>
      <c r="C30" s="3">
        <f t="shared" ref="C30" si="6">B30/100*$O$6</f>
        <v>107.18614391078998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4"/>
    </row>
    <row r="31" spans="1:17" x14ac:dyDescent="0.25">
      <c r="A31" s="3" t="s">
        <v>82</v>
      </c>
      <c r="B31" s="3"/>
      <c r="C31" s="3">
        <f>$C$30*(180/61*6.8)/(180/61*6.8+190/61*5.6+215/61*3.8)</f>
        <v>42.253088614108506</v>
      </c>
      <c r="D31" s="3">
        <f>C31/F31</f>
        <v>6.2136895020747804</v>
      </c>
      <c r="E31" s="3">
        <f t="shared" ref="E31:E53" si="7">D31*$O$2</f>
        <v>379.03505962656163</v>
      </c>
      <c r="F31" s="3">
        <v>6.8</v>
      </c>
      <c r="G31" s="3">
        <v>6.8</v>
      </c>
      <c r="H31" s="3">
        <v>10</v>
      </c>
      <c r="I31" s="3">
        <f t="shared" si="1"/>
        <v>0.17453292519943295</v>
      </c>
      <c r="J31" s="3">
        <v>1.6</v>
      </c>
      <c r="K31" s="3"/>
      <c r="L31" s="3"/>
      <c r="M31" s="3"/>
      <c r="N31" s="3"/>
      <c r="O31" s="3"/>
      <c r="P31" s="3"/>
      <c r="Q31" s="4"/>
    </row>
    <row r="32" spans="1:17" x14ac:dyDescent="0.25">
      <c r="A32" s="3" t="s">
        <v>83</v>
      </c>
      <c r="B32" s="3"/>
      <c r="C32" s="3">
        <f>$C$30*(190/61*5.6)/(180/61*6.8+190/61*5.6+215/61*3.8)</f>
        <v>36.729809056708703</v>
      </c>
      <c r="D32" s="3">
        <f>C32/F32</f>
        <v>6.558894474412269</v>
      </c>
      <c r="E32" s="3">
        <f t="shared" si="7"/>
        <v>400.09256293914842</v>
      </c>
      <c r="F32" s="3">
        <v>5.6</v>
      </c>
      <c r="G32" s="3">
        <v>5.6</v>
      </c>
      <c r="H32" s="3">
        <v>0</v>
      </c>
      <c r="I32" s="3">
        <f t="shared" si="1"/>
        <v>0</v>
      </c>
      <c r="J32" s="3">
        <v>2.6</v>
      </c>
      <c r="K32" s="3"/>
      <c r="L32" s="3"/>
      <c r="M32" s="3"/>
      <c r="N32" s="3"/>
      <c r="O32" s="3"/>
      <c r="P32" s="3"/>
      <c r="Q32" s="4"/>
    </row>
    <row r="33" spans="1:17" x14ac:dyDescent="0.25">
      <c r="A33" s="3" t="s">
        <v>84</v>
      </c>
      <c r="B33" s="3"/>
      <c r="C33" s="3">
        <f>$C$30*(215/61*3.8)/(180/61*6.8+190/61*5.6+215/61*3.8)</f>
        <v>28.203246239972753</v>
      </c>
      <c r="D33" s="3">
        <f>C33/F33</f>
        <v>7.4219069052559883</v>
      </c>
      <c r="E33" s="3">
        <f t="shared" si="7"/>
        <v>452.73632122061531</v>
      </c>
      <c r="F33" s="3">
        <v>3.8</v>
      </c>
      <c r="G33" s="3">
        <v>3.8</v>
      </c>
      <c r="H33" s="3">
        <v>1</v>
      </c>
      <c r="I33" s="3">
        <f t="shared" si="1"/>
        <v>1.7453292519943295E-2</v>
      </c>
      <c r="J33" s="3">
        <v>5.0999999999999996</v>
      </c>
      <c r="K33" s="3"/>
      <c r="L33" s="3"/>
      <c r="M33" s="3"/>
      <c r="N33" s="3"/>
      <c r="O33" s="3"/>
      <c r="P33" s="3"/>
      <c r="Q33" s="4"/>
    </row>
    <row r="34" spans="1:17" x14ac:dyDescent="0.25">
      <c r="A34" s="3" t="s">
        <v>85</v>
      </c>
      <c r="B34" s="3">
        <v>1.46</v>
      </c>
      <c r="C34" s="3">
        <f t="shared" ref="C34:C38" si="8">B34/100*$O$6</f>
        <v>106.45698646921998</v>
      </c>
      <c r="D34" s="3">
        <f>C34/G34</f>
        <v>4.6732654288507449</v>
      </c>
      <c r="E34" s="3">
        <f t="shared" si="7"/>
        <v>285.06919115989547</v>
      </c>
      <c r="F34" s="3">
        <v>22.78</v>
      </c>
      <c r="G34" s="3">
        <v>22.78</v>
      </c>
      <c r="H34" s="3">
        <v>8.1999999999999993</v>
      </c>
      <c r="I34" s="3">
        <f t="shared" si="1"/>
        <v>0.143116998663535</v>
      </c>
      <c r="J34" s="3">
        <v>16.899999999999999</v>
      </c>
      <c r="K34" s="3"/>
      <c r="L34" s="3"/>
      <c r="M34" s="3"/>
      <c r="N34" s="3"/>
      <c r="O34" s="3"/>
      <c r="P34" s="3"/>
      <c r="Q34" s="4"/>
    </row>
    <row r="35" spans="1:17" x14ac:dyDescent="0.25">
      <c r="A35" s="3" t="s">
        <v>86</v>
      </c>
      <c r="B35" s="3">
        <v>2.48</v>
      </c>
      <c r="C35" s="3">
        <f t="shared" si="8"/>
        <v>180.83104550935997</v>
      </c>
      <c r="D35" s="3">
        <f>C35/G35</f>
        <v>16.963512711947462</v>
      </c>
      <c r="E35" s="3">
        <f t="shared" si="7"/>
        <v>1034.7742754287951</v>
      </c>
      <c r="F35" s="3">
        <v>10.66</v>
      </c>
      <c r="G35" s="3">
        <v>10.66</v>
      </c>
      <c r="H35" s="3">
        <v>14.3</v>
      </c>
      <c r="I35" s="3">
        <f t="shared" si="1"/>
        <v>0.24958208303518914</v>
      </c>
      <c r="J35" s="3">
        <v>9.4</v>
      </c>
      <c r="K35" s="3"/>
      <c r="L35" s="3"/>
      <c r="M35" s="3"/>
      <c r="N35" s="3"/>
      <c r="O35" s="3"/>
      <c r="P35" s="3"/>
      <c r="Q35" s="4"/>
    </row>
    <row r="36" spans="1:17" x14ac:dyDescent="0.25">
      <c r="A36" s="3" t="s">
        <v>87</v>
      </c>
      <c r="B36" s="3">
        <v>0.92</v>
      </c>
      <c r="C36" s="3">
        <f t="shared" si="8"/>
        <v>67.082484624439985</v>
      </c>
      <c r="D36" s="3">
        <f>C36/G36</f>
        <v>5.0437958364240592</v>
      </c>
      <c r="E36" s="3">
        <f t="shared" si="7"/>
        <v>307.67154602186758</v>
      </c>
      <c r="F36" s="3">
        <v>13.3</v>
      </c>
      <c r="G36" s="3">
        <v>13.3</v>
      </c>
      <c r="H36" s="3">
        <v>0</v>
      </c>
      <c r="I36" s="3">
        <f t="shared" si="1"/>
        <v>0</v>
      </c>
      <c r="J36" s="3">
        <v>0.1</v>
      </c>
      <c r="K36" s="3"/>
      <c r="L36" s="3"/>
      <c r="M36" s="3"/>
      <c r="N36" s="3"/>
      <c r="O36" s="3"/>
      <c r="P36" s="3"/>
      <c r="Q36" s="4"/>
    </row>
    <row r="37" spans="1:17" x14ac:dyDescent="0.25">
      <c r="A37" s="3" t="s">
        <v>88</v>
      </c>
      <c r="B37" s="3">
        <f>1.83/2</f>
        <v>0.91500000000000004</v>
      </c>
      <c r="C37" s="3">
        <f t="shared" si="8"/>
        <v>66.717905903654994</v>
      </c>
      <c r="D37" s="3">
        <f>C37/G37</f>
        <v>14.695573987589206</v>
      </c>
      <c r="E37" s="3">
        <f t="shared" si="7"/>
        <v>896.43001324294164</v>
      </c>
      <c r="F37" s="3">
        <v>4.54</v>
      </c>
      <c r="G37" s="3">
        <v>4.54</v>
      </c>
      <c r="H37" s="3">
        <v>11.5</v>
      </c>
      <c r="I37" s="3">
        <f t="shared" si="1"/>
        <v>0.20071286397934787</v>
      </c>
      <c r="J37" s="3">
        <v>14.8</v>
      </c>
      <c r="K37" s="3"/>
      <c r="L37" s="3"/>
      <c r="M37" s="3"/>
      <c r="N37" s="3"/>
      <c r="O37" s="3"/>
      <c r="P37" s="3"/>
      <c r="Q37" s="4"/>
    </row>
    <row r="38" spans="1:17" x14ac:dyDescent="0.25">
      <c r="A38" s="3" t="s">
        <v>89</v>
      </c>
      <c r="B38" s="3">
        <f>1.83/2</f>
        <v>0.91500000000000004</v>
      </c>
      <c r="C38" s="3">
        <f t="shared" si="8"/>
        <v>66.717905903654994</v>
      </c>
      <c r="D38" s="3">
        <f>C38/G38</f>
        <v>13.133446044026574</v>
      </c>
      <c r="E38" s="3">
        <f t="shared" si="7"/>
        <v>801.14020868562102</v>
      </c>
      <c r="F38" s="3">
        <v>5.08</v>
      </c>
      <c r="G38" s="3">
        <v>5.08</v>
      </c>
      <c r="H38" s="3">
        <v>14.1</v>
      </c>
      <c r="I38" s="3">
        <f t="shared" si="1"/>
        <v>0.24609142453120048</v>
      </c>
      <c r="J38" s="3">
        <v>33.299999999999997</v>
      </c>
      <c r="K38" s="3"/>
      <c r="L38" s="3"/>
      <c r="M38" s="3"/>
      <c r="N38" s="3"/>
      <c r="O38" s="3"/>
      <c r="P38" s="3"/>
      <c r="Q38" s="4"/>
    </row>
    <row r="39" spans="1:17" x14ac:dyDescent="0.25">
      <c r="A39" s="3" t="s">
        <v>90</v>
      </c>
      <c r="B39" s="3"/>
      <c r="C39" s="3"/>
      <c r="D39" s="3">
        <f>90/61</f>
        <v>1.4754098360655739</v>
      </c>
      <c r="E39" s="3">
        <f t="shared" si="7"/>
        <v>90</v>
      </c>
      <c r="F39" s="3">
        <v>7.9</v>
      </c>
      <c r="G39" s="3">
        <v>7.9</v>
      </c>
      <c r="H39" s="3">
        <v>13</v>
      </c>
      <c r="I39" s="3">
        <f t="shared" si="1"/>
        <v>0.22689280275926285</v>
      </c>
      <c r="J39" s="3">
        <v>10</v>
      </c>
      <c r="K39" s="3"/>
      <c r="L39" s="3"/>
      <c r="M39" s="3"/>
      <c r="N39" s="3"/>
      <c r="O39" s="3"/>
      <c r="P39" s="3"/>
      <c r="Q39" s="4"/>
    </row>
    <row r="40" spans="1:17" x14ac:dyDescent="0.25">
      <c r="A40" s="3" t="s">
        <v>91</v>
      </c>
      <c r="B40" s="3">
        <v>0.61</v>
      </c>
      <c r="C40" s="3">
        <f t="shared" ref="C40:C57" si="9">B40/100*$O$6</f>
        <v>44.478603935769989</v>
      </c>
      <c r="D40" s="3">
        <f t="shared" ref="D40:D53" si="10">C40/G40</f>
        <v>17.107155359911534</v>
      </c>
      <c r="E40" s="3">
        <f t="shared" si="7"/>
        <v>1043.5364769546036</v>
      </c>
      <c r="F40" s="3">
        <v>2.6</v>
      </c>
      <c r="G40" s="3">
        <v>2.6</v>
      </c>
      <c r="H40" s="3">
        <v>10</v>
      </c>
      <c r="I40" s="3">
        <f t="shared" si="1"/>
        <v>0.17453292519943295</v>
      </c>
      <c r="J40" s="3">
        <v>11.5</v>
      </c>
      <c r="K40" s="3"/>
      <c r="L40" s="3"/>
      <c r="M40" s="3"/>
      <c r="N40" s="3"/>
      <c r="O40" s="3"/>
      <c r="P40" s="3"/>
      <c r="Q40" s="4"/>
    </row>
    <row r="41" spans="1:17" x14ac:dyDescent="0.25">
      <c r="A41" s="3" t="s">
        <v>92</v>
      </c>
      <c r="B41" s="3">
        <v>3.8</v>
      </c>
      <c r="C41" s="3">
        <f t="shared" si="9"/>
        <v>277.07982779659994</v>
      </c>
      <c r="D41" s="3">
        <f t="shared" si="10"/>
        <v>23.702294935551748</v>
      </c>
      <c r="E41" s="3">
        <f t="shared" si="7"/>
        <v>1445.8399910686567</v>
      </c>
      <c r="F41" s="3">
        <v>11.69</v>
      </c>
      <c r="G41" s="3">
        <v>11.69</v>
      </c>
      <c r="H41" s="3">
        <v>10.7</v>
      </c>
      <c r="I41" s="3">
        <f t="shared" si="1"/>
        <v>0.18675022996339324</v>
      </c>
      <c r="J41" s="3">
        <v>9.6999999999999993</v>
      </c>
      <c r="K41" s="3"/>
      <c r="L41" s="3"/>
      <c r="M41" s="3"/>
      <c r="N41" s="3"/>
      <c r="O41" s="3"/>
      <c r="P41" s="3"/>
      <c r="Q41" s="4"/>
    </row>
    <row r="42" spans="1:17" x14ac:dyDescent="0.25">
      <c r="A42" s="3" t="s">
        <v>93</v>
      </c>
      <c r="B42" s="3">
        <v>0.45</v>
      </c>
      <c r="C42" s="3">
        <f t="shared" si="9"/>
        <v>32.812084870649997</v>
      </c>
      <c r="D42" s="3">
        <f t="shared" si="10"/>
        <v>6.0763120130833324</v>
      </c>
      <c r="E42" s="3">
        <f t="shared" si="7"/>
        <v>370.65503279808325</v>
      </c>
      <c r="F42" s="3">
        <v>5.4</v>
      </c>
      <c r="G42" s="3">
        <v>5.4</v>
      </c>
      <c r="H42" s="3">
        <v>0</v>
      </c>
      <c r="I42" s="3">
        <f t="shared" si="1"/>
        <v>0</v>
      </c>
      <c r="J42" s="3">
        <v>2.4</v>
      </c>
      <c r="K42" s="3"/>
      <c r="L42" s="3"/>
      <c r="M42" s="3"/>
      <c r="N42" s="3"/>
      <c r="O42" s="3"/>
      <c r="P42" s="3"/>
      <c r="Q42" s="4"/>
    </row>
    <row r="43" spans="1:17" x14ac:dyDescent="0.25">
      <c r="A43" s="3" t="s">
        <v>94</v>
      </c>
      <c r="B43" s="3">
        <v>3.79</v>
      </c>
      <c r="C43" s="3">
        <f t="shared" si="9"/>
        <v>276.35067035502999</v>
      </c>
      <c r="D43" s="3">
        <f t="shared" si="10"/>
        <v>36.40983799144005</v>
      </c>
      <c r="E43" s="3">
        <f t="shared" si="7"/>
        <v>2221.0001174778431</v>
      </c>
      <c r="F43" s="3">
        <v>7.59</v>
      </c>
      <c r="G43" s="3">
        <v>7.59</v>
      </c>
      <c r="H43" s="3">
        <v>13.9</v>
      </c>
      <c r="I43" s="3">
        <f t="shared" si="1"/>
        <v>0.24260076602721178</v>
      </c>
      <c r="J43" s="3">
        <v>34.6</v>
      </c>
      <c r="K43" s="3"/>
      <c r="L43" s="3"/>
      <c r="M43" s="3"/>
      <c r="N43" s="3"/>
      <c r="O43" s="3"/>
      <c r="P43" s="3"/>
      <c r="Q43" s="4"/>
    </row>
    <row r="44" spans="1:17" x14ac:dyDescent="0.25">
      <c r="A44" s="3" t="s">
        <v>95</v>
      </c>
      <c r="B44" s="3">
        <v>2.29</v>
      </c>
      <c r="C44" s="3">
        <f t="shared" si="9"/>
        <v>166.97705411952998</v>
      </c>
      <c r="D44" s="3">
        <f t="shared" si="10"/>
        <v>4.1433512188468979</v>
      </c>
      <c r="E44" s="3">
        <f t="shared" si="7"/>
        <v>252.74442434966076</v>
      </c>
      <c r="F44" s="3">
        <v>40.299999999999997</v>
      </c>
      <c r="G44" s="3">
        <v>40.299999999999997</v>
      </c>
      <c r="H44" s="3">
        <v>1.3</v>
      </c>
      <c r="I44" s="3">
        <f t="shared" si="1"/>
        <v>2.2689280275926284E-2</v>
      </c>
      <c r="J44" s="3">
        <v>11</v>
      </c>
      <c r="K44" s="3"/>
      <c r="L44" s="3"/>
      <c r="M44" s="3"/>
      <c r="N44" s="3"/>
      <c r="O44" s="3"/>
      <c r="P44" s="3"/>
      <c r="Q44" s="4"/>
    </row>
    <row r="45" spans="1:17" x14ac:dyDescent="0.25">
      <c r="A45" s="3" t="s">
        <v>96</v>
      </c>
      <c r="B45" s="3">
        <v>3.46</v>
      </c>
      <c r="C45" s="3">
        <f t="shared" si="9"/>
        <v>252.28847478321995</v>
      </c>
      <c r="D45" s="3">
        <f t="shared" si="10"/>
        <v>36.563547070031873</v>
      </c>
      <c r="E45" s="3">
        <f t="shared" si="7"/>
        <v>2230.3763712719442</v>
      </c>
      <c r="F45" s="3">
        <v>6.9</v>
      </c>
      <c r="G45" s="3">
        <v>6.9</v>
      </c>
      <c r="H45" s="3">
        <v>15.1</v>
      </c>
      <c r="I45" s="3">
        <f t="shared" si="1"/>
        <v>0.26354471705114374</v>
      </c>
      <c r="J45" s="3">
        <v>37.799999999999997</v>
      </c>
      <c r="K45" s="3"/>
      <c r="L45" s="3"/>
      <c r="M45" s="3"/>
      <c r="N45" s="3"/>
      <c r="O45" s="3"/>
      <c r="P45" s="3"/>
      <c r="Q45" s="4"/>
    </row>
    <row r="46" spans="1:17" x14ac:dyDescent="0.25">
      <c r="A46" s="3" t="s">
        <v>97</v>
      </c>
      <c r="B46" s="3">
        <v>2.6</v>
      </c>
      <c r="C46" s="3">
        <f t="shared" si="9"/>
        <v>189.5809348082</v>
      </c>
      <c r="D46" s="3">
        <f t="shared" si="10"/>
        <v>9.8228463631191705</v>
      </c>
      <c r="E46" s="3">
        <f t="shared" si="7"/>
        <v>599.19362815026943</v>
      </c>
      <c r="F46" s="3">
        <v>19.3</v>
      </c>
      <c r="G46" s="3">
        <v>19.3</v>
      </c>
      <c r="H46" s="3">
        <v>12.9</v>
      </c>
      <c r="I46" s="3">
        <f t="shared" si="1"/>
        <v>0.22514747350726852</v>
      </c>
      <c r="J46" s="3">
        <v>24.5</v>
      </c>
      <c r="K46" s="3"/>
      <c r="L46" s="3"/>
      <c r="M46" s="3"/>
      <c r="N46" s="3"/>
      <c r="O46" s="3"/>
      <c r="P46" s="3"/>
      <c r="Q46" s="4"/>
    </row>
    <row r="47" spans="1:17" x14ac:dyDescent="0.25">
      <c r="A47" s="3" t="s">
        <v>98</v>
      </c>
      <c r="B47" s="3">
        <v>6.21</v>
      </c>
      <c r="C47" s="3">
        <f t="shared" si="9"/>
        <v>452.80677121496996</v>
      </c>
      <c r="D47" s="3">
        <f t="shared" si="10"/>
        <v>102.91062982158407</v>
      </c>
      <c r="E47" s="3">
        <f t="shared" si="7"/>
        <v>6277.5484191166279</v>
      </c>
      <c r="F47" s="3">
        <v>4.4000000000000004</v>
      </c>
      <c r="G47" s="3">
        <v>4.4000000000000004</v>
      </c>
      <c r="H47" s="3">
        <v>28.3</v>
      </c>
      <c r="I47" s="3">
        <f t="shared" si="1"/>
        <v>0.49392817831439528</v>
      </c>
      <c r="J47" s="3">
        <v>28.2</v>
      </c>
      <c r="K47" s="3"/>
      <c r="L47" s="3"/>
      <c r="M47" s="3"/>
      <c r="N47" s="3"/>
      <c r="O47" s="3"/>
      <c r="P47" s="3"/>
      <c r="Q47" s="4"/>
    </row>
    <row r="48" spans="1:17" x14ac:dyDescent="0.25">
      <c r="A48" s="3" t="s">
        <v>99</v>
      </c>
      <c r="B48" s="3">
        <v>0.89</v>
      </c>
      <c r="C48" s="3">
        <f t="shared" si="9"/>
        <v>64.895012299729984</v>
      </c>
      <c r="D48" s="3">
        <f t="shared" si="10"/>
        <v>6.8310539262873666</v>
      </c>
      <c r="E48" s="3">
        <f t="shared" si="7"/>
        <v>416.69428950352938</v>
      </c>
      <c r="F48" s="3">
        <v>9.5</v>
      </c>
      <c r="G48" s="3">
        <v>9.5</v>
      </c>
      <c r="H48" s="3">
        <v>3</v>
      </c>
      <c r="I48" s="3">
        <f t="shared" si="1"/>
        <v>5.2359877559829883E-2</v>
      </c>
      <c r="J48" s="3">
        <v>45</v>
      </c>
      <c r="K48" s="3"/>
      <c r="L48" s="3"/>
      <c r="M48" s="3"/>
      <c r="N48" s="3"/>
      <c r="O48" s="3"/>
      <c r="P48" s="3"/>
      <c r="Q48" s="4"/>
    </row>
    <row r="49" spans="1:17" x14ac:dyDescent="0.25">
      <c r="A49" s="3" t="s">
        <v>100</v>
      </c>
      <c r="B49" s="3">
        <v>1.91</v>
      </c>
      <c r="C49" s="3">
        <f t="shared" si="9"/>
        <v>139.26907133986998</v>
      </c>
      <c r="D49" s="3">
        <f t="shared" si="10"/>
        <v>20.3907864333631</v>
      </c>
      <c r="E49" s="3">
        <f t="shared" si="7"/>
        <v>1243.8379724351491</v>
      </c>
      <c r="F49" s="3">
        <v>6.83</v>
      </c>
      <c r="G49" s="3">
        <v>6.83</v>
      </c>
      <c r="H49" s="3">
        <v>9.6</v>
      </c>
      <c r="I49" s="3">
        <f t="shared" si="1"/>
        <v>0.16755160819145562</v>
      </c>
      <c r="J49" s="3">
        <v>24.1</v>
      </c>
      <c r="K49" s="3"/>
      <c r="L49" s="3"/>
      <c r="M49" s="3"/>
      <c r="N49" s="3"/>
      <c r="O49" s="3"/>
      <c r="P49" s="3"/>
      <c r="Q49" s="4"/>
    </row>
    <row r="50" spans="1:17" x14ac:dyDescent="0.25">
      <c r="A50" s="3" t="s">
        <v>101</v>
      </c>
      <c r="B50" s="3">
        <v>1.49</v>
      </c>
      <c r="C50" s="3">
        <f t="shared" si="9"/>
        <v>108.64445879392999</v>
      </c>
      <c r="D50" s="3">
        <f t="shared" si="10"/>
        <v>28.741920315854493</v>
      </c>
      <c r="E50" s="3">
        <f t="shared" si="7"/>
        <v>1753.2571392671241</v>
      </c>
      <c r="F50" s="3">
        <v>3.78</v>
      </c>
      <c r="G50" s="3">
        <v>3.78</v>
      </c>
      <c r="H50" s="3">
        <v>13.7</v>
      </c>
      <c r="I50" s="3">
        <f t="shared" si="1"/>
        <v>0.23911010752322312</v>
      </c>
      <c r="J50" s="3">
        <v>28.2</v>
      </c>
      <c r="K50" s="3"/>
      <c r="L50" s="3"/>
      <c r="M50" s="3"/>
      <c r="N50" s="3"/>
      <c r="O50" s="3"/>
      <c r="P50" s="3"/>
      <c r="Q50" s="4"/>
    </row>
    <row r="51" spans="1:17" x14ac:dyDescent="0.25">
      <c r="A51" s="3" t="s">
        <v>102</v>
      </c>
      <c r="B51" s="3">
        <v>3.84</v>
      </c>
      <c r="C51" s="3">
        <f t="shared" si="9"/>
        <v>279.99645756287993</v>
      </c>
      <c r="D51" s="3">
        <f t="shared" si="10"/>
        <v>28.197024930803618</v>
      </c>
      <c r="E51" s="3">
        <f t="shared" si="7"/>
        <v>1720.0185207790207</v>
      </c>
      <c r="F51" s="3">
        <v>9.93</v>
      </c>
      <c r="G51" s="3">
        <v>9.93</v>
      </c>
      <c r="H51" s="3">
        <v>4.5</v>
      </c>
      <c r="I51" s="3">
        <f t="shared" si="1"/>
        <v>7.8539816339744828E-2</v>
      </c>
      <c r="J51" s="3">
        <v>10.6</v>
      </c>
      <c r="K51" s="3"/>
      <c r="L51" s="3"/>
      <c r="M51" s="3"/>
      <c r="N51" s="3"/>
      <c r="O51" s="3"/>
      <c r="P51" s="3"/>
      <c r="Q51" s="4"/>
    </row>
    <row r="52" spans="1:17" x14ac:dyDescent="0.25">
      <c r="A52" s="3" t="s">
        <v>103</v>
      </c>
      <c r="B52" s="3">
        <v>11.66</v>
      </c>
      <c r="C52" s="3">
        <f t="shared" si="9"/>
        <v>850.19757687061986</v>
      </c>
      <c r="D52" s="3">
        <f t="shared" si="10"/>
        <v>85.532955419579466</v>
      </c>
      <c r="E52" s="3">
        <f t="shared" si="7"/>
        <v>5217.510280594347</v>
      </c>
      <c r="F52" s="3">
        <v>9.94</v>
      </c>
      <c r="G52" s="3">
        <v>9.94</v>
      </c>
      <c r="H52" s="3">
        <v>18.399999999999999</v>
      </c>
      <c r="I52" s="3">
        <f t="shared" si="1"/>
        <v>0.32114058236695658</v>
      </c>
      <c r="J52" s="3">
        <v>13</v>
      </c>
      <c r="K52" s="3"/>
      <c r="L52" s="3"/>
      <c r="M52" s="3"/>
      <c r="N52" s="3"/>
      <c r="O52" s="3"/>
      <c r="P52" s="3"/>
      <c r="Q52" s="4"/>
    </row>
    <row r="53" spans="1:17" x14ac:dyDescent="0.25">
      <c r="A53" s="3" t="s">
        <v>104</v>
      </c>
      <c r="B53" s="3">
        <v>6.06</v>
      </c>
      <c r="C53" s="3">
        <f t="shared" si="9"/>
        <v>441.86940959141992</v>
      </c>
      <c r="D53" s="3">
        <f t="shared" si="10"/>
        <v>45.647666280105362</v>
      </c>
      <c r="E53" s="3">
        <f t="shared" si="7"/>
        <v>2784.5076430864269</v>
      </c>
      <c r="F53" s="3">
        <v>9.68</v>
      </c>
      <c r="G53" s="3">
        <v>9.68</v>
      </c>
      <c r="H53" s="3">
        <v>29.6</v>
      </c>
      <c r="I53" s="3">
        <f t="shared" si="1"/>
        <v>0.51661745859032149</v>
      </c>
      <c r="J53" s="3">
        <v>11.2</v>
      </c>
      <c r="K53" s="3"/>
      <c r="L53" s="3"/>
      <c r="M53" s="3"/>
      <c r="N53" s="3"/>
      <c r="O53" s="3"/>
      <c r="P53" s="3"/>
      <c r="Q53" s="4"/>
    </row>
    <row r="54" spans="1:17" x14ac:dyDescent="0.25">
      <c r="A54" s="6" t="s">
        <v>105</v>
      </c>
      <c r="B54" s="6">
        <v>0.76</v>
      </c>
      <c r="C54" s="3">
        <f t="shared" si="9"/>
        <v>55.415965559319993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4"/>
    </row>
    <row r="55" spans="1:17" x14ac:dyDescent="0.25">
      <c r="A55" s="6" t="s">
        <v>106</v>
      </c>
      <c r="B55" s="6">
        <v>0.38</v>
      </c>
      <c r="C55" s="3">
        <f t="shared" si="9"/>
        <v>27.707982779659996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4"/>
    </row>
    <row r="56" spans="1:17" x14ac:dyDescent="0.25">
      <c r="A56" s="6" t="s">
        <v>107</v>
      </c>
      <c r="B56" s="6">
        <v>0.23</v>
      </c>
      <c r="C56" s="3">
        <f t="shared" si="9"/>
        <v>16.770621156109996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4"/>
    </row>
    <row r="57" spans="1:17" x14ac:dyDescent="0.25">
      <c r="A57" s="6" t="s">
        <v>108</v>
      </c>
      <c r="B57" s="6">
        <v>0.33</v>
      </c>
      <c r="C57" s="3">
        <f t="shared" si="9"/>
        <v>24.062195571809998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48" sqref="L48"/>
    </sheetView>
  </sheetViews>
  <sheetFormatPr defaultColWidth="11" defaultRowHeight="15.75" x14ac:dyDescent="0.25"/>
  <cols>
    <col min="1" max="1" width="24.125" bestFit="1" customWidth="1"/>
    <col min="2" max="2" width="9" customWidth="1"/>
    <col min="5" max="5" width="9.5" bestFit="1" customWidth="1"/>
    <col min="6" max="6" width="12.375" bestFit="1" customWidth="1"/>
    <col min="7" max="9" width="12.625" customWidth="1"/>
    <col min="10" max="10" width="12.625" style="18" customWidth="1"/>
    <col min="11" max="11" width="10.625" customWidth="1"/>
    <col min="12" max="12" width="11.375" customWidth="1"/>
    <col min="14" max="14" width="12.125" style="18" customWidth="1"/>
  </cols>
  <sheetData>
    <row r="1" spans="1:14" x14ac:dyDescent="0.25">
      <c r="K1" t="s">
        <v>46</v>
      </c>
      <c r="L1" t="s">
        <v>46</v>
      </c>
      <c r="M1" t="s">
        <v>46</v>
      </c>
      <c r="N1" s="18" t="s">
        <v>46</v>
      </c>
    </row>
    <row r="2" spans="1:14" s="16" customFormat="1" ht="63" x14ac:dyDescent="0.25">
      <c r="A2" s="16" t="s">
        <v>111</v>
      </c>
      <c r="B2" s="16" t="s">
        <v>48</v>
      </c>
      <c r="C2" s="16" t="s">
        <v>49</v>
      </c>
      <c r="D2" s="16" t="s">
        <v>50</v>
      </c>
      <c r="E2" s="16" t="s">
        <v>51</v>
      </c>
      <c r="F2" s="16" t="s">
        <v>52</v>
      </c>
      <c r="G2" s="16" t="s">
        <v>55</v>
      </c>
      <c r="I2" s="16" t="s">
        <v>134</v>
      </c>
      <c r="J2" s="19" t="s">
        <v>132</v>
      </c>
      <c r="K2" s="16" t="s">
        <v>130</v>
      </c>
      <c r="L2" s="16" t="s">
        <v>131</v>
      </c>
      <c r="M2" s="16" t="s">
        <v>53</v>
      </c>
      <c r="N2" s="19" t="s">
        <v>133</v>
      </c>
    </row>
    <row r="3" spans="1:14" x14ac:dyDescent="0.25">
      <c r="A3" t="s">
        <v>57</v>
      </c>
      <c r="B3" s="17">
        <v>1.47</v>
      </c>
      <c r="C3" s="17">
        <v>107.5368201915</v>
      </c>
      <c r="D3" s="17">
        <v>10.430341434675071</v>
      </c>
      <c r="E3" s="17">
        <v>312.91024304025211</v>
      </c>
      <c r="F3" s="17">
        <v>10.31</v>
      </c>
      <c r="G3" s="17">
        <v>3.6</v>
      </c>
      <c r="H3" s="17"/>
      <c r="I3" s="17">
        <f>J3*180/PI()</f>
        <v>6.5764623970967744</v>
      </c>
      <c r="J3" s="18">
        <f t="shared" ref="J3:J12" si="0">ASIN(L3*SIN(N3))</f>
        <v>0.11478092196293747</v>
      </c>
      <c r="K3" s="17">
        <v>2.91</v>
      </c>
      <c r="L3" s="17">
        <f t="shared" ref="L3:L12" si="1">K3/2.7</f>
        <v>1.0777777777777777</v>
      </c>
      <c r="M3" s="17">
        <v>6.1</v>
      </c>
      <c r="N3" s="18">
        <v>0.10646508437165408</v>
      </c>
    </row>
    <row r="4" spans="1:14" x14ac:dyDescent="0.25">
      <c r="A4" t="s">
        <v>58</v>
      </c>
      <c r="B4" s="17">
        <v>2.2599999999999998</v>
      </c>
      <c r="C4" s="17">
        <v>165.328716757</v>
      </c>
      <c r="D4" s="17">
        <v>15.279918369408502</v>
      </c>
      <c r="E4" s="17">
        <v>458.39755108225506</v>
      </c>
      <c r="F4" s="17">
        <v>10.82</v>
      </c>
      <c r="G4" s="17">
        <v>13</v>
      </c>
      <c r="H4" s="17"/>
      <c r="I4" s="17">
        <f t="shared" ref="I4:I50" si="2">J4*180/PI()</f>
        <v>7.8936618897649673</v>
      </c>
      <c r="J4" s="18">
        <f t="shared" si="0"/>
        <v>0.13777039001559635</v>
      </c>
      <c r="K4" s="17">
        <v>3</v>
      </c>
      <c r="L4" s="17">
        <f t="shared" si="1"/>
        <v>1.1111111111111109</v>
      </c>
      <c r="M4" s="17">
        <v>7.1</v>
      </c>
      <c r="N4" s="18">
        <v>0.12391837689159739</v>
      </c>
    </row>
    <row r="5" spans="1:14" x14ac:dyDescent="0.25">
      <c r="A5" t="s">
        <v>59</v>
      </c>
      <c r="B5" s="17">
        <v>7.86</v>
      </c>
      <c r="C5" s="17">
        <v>574.99279367700001</v>
      </c>
      <c r="D5" s="17">
        <v>39.819445545498617</v>
      </c>
      <c r="E5" s="17">
        <v>1194.5833663649585</v>
      </c>
      <c r="F5" s="17"/>
      <c r="G5" s="17"/>
      <c r="H5" s="17"/>
      <c r="I5" s="17">
        <f t="shared" si="2"/>
        <v>12.518804094951687</v>
      </c>
      <c r="J5" s="18">
        <f t="shared" si="0"/>
        <v>0.21849434986905578</v>
      </c>
      <c r="K5" s="17">
        <v>2.19</v>
      </c>
      <c r="L5" s="17">
        <f t="shared" si="1"/>
        <v>0.81111111111111101</v>
      </c>
      <c r="M5" s="17">
        <v>15.5</v>
      </c>
      <c r="N5" s="18">
        <v>0.27052603405912107</v>
      </c>
    </row>
    <row r="6" spans="1:14" x14ac:dyDescent="0.25">
      <c r="A6" t="s">
        <v>60</v>
      </c>
      <c r="B6" s="17"/>
      <c r="C6" s="17"/>
      <c r="D6" s="17">
        <v>9.9548613863746542</v>
      </c>
      <c r="E6" s="17">
        <v>298.64584159123962</v>
      </c>
      <c r="F6" s="17">
        <v>17.72</v>
      </c>
      <c r="G6" s="17">
        <v>9</v>
      </c>
      <c r="H6" s="17"/>
      <c r="I6" s="20">
        <f t="shared" si="2"/>
        <v>11.155775937988006</v>
      </c>
      <c r="J6" s="21">
        <f>ASIN(L5*SIN(N6))</f>
        <v>0.19470502073264948</v>
      </c>
      <c r="K6" s="17"/>
      <c r="L6" s="17"/>
      <c r="M6" s="17">
        <v>13.8</v>
      </c>
      <c r="N6" s="18">
        <v>0.24085543677521748</v>
      </c>
    </row>
    <row r="7" spans="1:14" x14ac:dyDescent="0.25">
      <c r="A7" t="s">
        <v>61</v>
      </c>
      <c r="B7" s="17"/>
      <c r="C7" s="17"/>
      <c r="D7" s="17">
        <v>9.9548613863746542</v>
      </c>
      <c r="E7" s="17">
        <v>298.64584159123962</v>
      </c>
      <c r="F7" s="17">
        <v>15.62</v>
      </c>
      <c r="G7" s="17">
        <v>22.1</v>
      </c>
      <c r="H7" s="17"/>
      <c r="I7" s="20">
        <f t="shared" si="2"/>
        <v>9.6282284235731748</v>
      </c>
      <c r="J7" s="21">
        <f>ASIN(L5*SIN(N7))</f>
        <v>0.16804428712545511</v>
      </c>
      <c r="K7" s="17"/>
      <c r="L7" s="17"/>
      <c r="M7" s="17">
        <v>11.9</v>
      </c>
      <c r="N7" s="18">
        <v>0.2076941809873252</v>
      </c>
    </row>
    <row r="8" spans="1:14" x14ac:dyDescent="0.25">
      <c r="A8" t="s">
        <v>62</v>
      </c>
      <c r="B8" s="17"/>
      <c r="C8" s="17"/>
      <c r="D8" s="17">
        <v>9.9548613863746542</v>
      </c>
      <c r="E8" s="17">
        <v>298.64584159123962</v>
      </c>
      <c r="F8" s="17">
        <v>13.77</v>
      </c>
      <c r="G8" s="17">
        <v>4.8</v>
      </c>
      <c r="H8" s="17"/>
      <c r="I8" s="20">
        <f t="shared" si="2"/>
        <v>11.877850034946515</v>
      </c>
      <c r="J8" s="21">
        <f>ASIN(L5*SIN(N8))</f>
        <v>0.20730759116794023</v>
      </c>
      <c r="K8" s="17"/>
      <c r="L8" s="17"/>
      <c r="M8" s="17">
        <v>14.7</v>
      </c>
      <c r="N8" s="18">
        <v>0.25656340004316641</v>
      </c>
    </row>
    <row r="9" spans="1:14" x14ac:dyDescent="0.25">
      <c r="A9" t="s">
        <v>63</v>
      </c>
      <c r="B9" s="17"/>
      <c r="C9" s="17"/>
      <c r="D9" s="17">
        <v>9.9548613863746542</v>
      </c>
      <c r="E9" s="17">
        <v>298.64584159123962</v>
      </c>
      <c r="F9" s="17">
        <v>10.56</v>
      </c>
      <c r="G9" s="17">
        <v>4.3</v>
      </c>
      <c r="H9" s="17"/>
      <c r="I9" s="20">
        <f t="shared" si="2"/>
        <v>17.846676293918922</v>
      </c>
      <c r="J9" s="21">
        <f>ASIN(L5*SIN(N9))</f>
        <v>0.31148326186650444</v>
      </c>
      <c r="K9" s="17"/>
      <c r="L9" s="17"/>
      <c r="M9" s="17">
        <v>22.2</v>
      </c>
      <c r="N9" s="18">
        <v>0.38746309394274114</v>
      </c>
    </row>
    <row r="10" spans="1:14" x14ac:dyDescent="0.25">
      <c r="A10" t="s">
        <v>64</v>
      </c>
      <c r="B10" s="17">
        <v>2.92</v>
      </c>
      <c r="C10" s="17">
        <v>213.61055439399999</v>
      </c>
      <c r="D10" s="17">
        <v>21.886327294467211</v>
      </c>
      <c r="E10" s="17">
        <v>656.58981883401634</v>
      </c>
      <c r="F10" s="17">
        <v>9.76</v>
      </c>
      <c r="G10" s="17">
        <v>32.200000000000003</v>
      </c>
      <c r="H10" s="17"/>
      <c r="I10" s="17">
        <f t="shared" si="2"/>
        <v>10.079371838154358</v>
      </c>
      <c r="J10" s="18">
        <f t="shared" si="0"/>
        <v>0.17591822510858657</v>
      </c>
      <c r="K10" s="17">
        <v>2.35</v>
      </c>
      <c r="L10" s="17">
        <f t="shared" si="1"/>
        <v>0.87037037037037035</v>
      </c>
      <c r="M10" s="17">
        <v>11.6</v>
      </c>
      <c r="N10" s="18">
        <v>0.20245819323134223</v>
      </c>
    </row>
    <row r="11" spans="1:14" x14ac:dyDescent="0.25">
      <c r="A11" t="s">
        <v>65</v>
      </c>
      <c r="B11" s="17">
        <v>1.4</v>
      </c>
      <c r="C11" s="17">
        <v>102.41601922999999</v>
      </c>
      <c r="D11" s="17">
        <v>9.2852238649138705</v>
      </c>
      <c r="E11" s="17">
        <v>278.55671594741614</v>
      </c>
      <c r="F11" s="17">
        <v>11.03</v>
      </c>
      <c r="G11" s="17">
        <v>10.4</v>
      </c>
      <c r="H11" s="17"/>
      <c r="I11" s="17">
        <f t="shared" si="2"/>
        <v>15.138872321614921</v>
      </c>
      <c r="J11" s="18">
        <f t="shared" si="0"/>
        <v>0.26422316705121829</v>
      </c>
      <c r="K11" s="17">
        <v>3.31</v>
      </c>
      <c r="L11" s="17">
        <f t="shared" si="1"/>
        <v>1.2259259259259259</v>
      </c>
      <c r="M11" s="17">
        <v>12.3</v>
      </c>
      <c r="N11" s="18">
        <v>0.21467549799530256</v>
      </c>
    </row>
    <row r="12" spans="1:14" x14ac:dyDescent="0.25">
      <c r="A12" t="s">
        <v>66</v>
      </c>
      <c r="B12" s="17">
        <v>0.79718651070173863</v>
      </c>
      <c r="C12" s="17">
        <v>58.317620721375611</v>
      </c>
      <c r="D12" s="17">
        <v>8.4152410853355857</v>
      </c>
      <c r="E12" s="17">
        <v>252.45723256006758</v>
      </c>
      <c r="F12" s="17">
        <v>6.93</v>
      </c>
      <c r="G12" s="17">
        <v>36.700000000000003</v>
      </c>
      <c r="H12" s="17"/>
      <c r="I12" s="17">
        <f t="shared" si="2"/>
        <v>12.505276307143122</v>
      </c>
      <c r="J12" s="18">
        <f t="shared" si="0"/>
        <v>0.21825824543128516</v>
      </c>
      <c r="K12" s="17">
        <v>3.12</v>
      </c>
      <c r="L12" s="17">
        <f t="shared" si="1"/>
        <v>1.1555555555555554</v>
      </c>
      <c r="M12" s="17">
        <v>10.8</v>
      </c>
      <c r="N12" s="18">
        <v>0.18849555921538758</v>
      </c>
    </row>
    <row r="13" spans="1:14" x14ac:dyDescent="0.25">
      <c r="A13" t="s">
        <v>67</v>
      </c>
      <c r="B13" s="17">
        <v>0.40758408065953555</v>
      </c>
      <c r="C13" s="17">
        <v>29.816527887620616</v>
      </c>
      <c r="D13" s="17">
        <v>3.986166829895804</v>
      </c>
      <c r="E13" s="17">
        <v>119.58500489687412</v>
      </c>
      <c r="F13" s="17">
        <v>7.48</v>
      </c>
      <c r="G13" s="17">
        <v>33.200000000000003</v>
      </c>
      <c r="H13" s="17"/>
      <c r="I13" s="17">
        <f t="shared" si="2"/>
        <v>11.302629902048473</v>
      </c>
      <c r="J13" s="18">
        <f>ASIN(L13*SIN(N13))</f>
        <v>0.19726810592511004</v>
      </c>
      <c r="K13" s="17">
        <v>3.24</v>
      </c>
      <c r="L13" s="17">
        <f>K13/2.7</f>
        <v>1.2</v>
      </c>
      <c r="M13" s="17">
        <v>9.4</v>
      </c>
      <c r="N13" s="18">
        <v>0.16406094968746698</v>
      </c>
    </row>
    <row r="14" spans="1:14" x14ac:dyDescent="0.25">
      <c r="A14" t="s">
        <v>68</v>
      </c>
      <c r="B14" s="17">
        <v>0.43</v>
      </c>
      <c r="C14" s="17">
        <v>31.456348763499999</v>
      </c>
      <c r="D14" s="17">
        <v>7.0529929963004481</v>
      </c>
      <c r="E14" s="17">
        <v>211.58978988901345</v>
      </c>
      <c r="F14" s="17">
        <v>4.46</v>
      </c>
      <c r="G14" s="17">
        <v>37.799999999999997</v>
      </c>
      <c r="H14" s="17"/>
      <c r="I14" s="17">
        <f t="shared" si="2"/>
        <v>12.882334098395251</v>
      </c>
      <c r="J14" s="18">
        <f t="shared" ref="J14:J23" si="3">ASIN(L14*SIN(N14))</f>
        <v>0.22483914535893229</v>
      </c>
      <c r="K14" s="17">
        <v>2.56</v>
      </c>
      <c r="L14" s="17">
        <f t="shared" ref="L14:L50" si="4">K14/2.7</f>
        <v>0.94814814814814807</v>
      </c>
      <c r="M14" s="17">
        <v>13.6</v>
      </c>
      <c r="N14" s="18">
        <v>0.23736477827122882</v>
      </c>
    </row>
    <row r="15" spans="1:14" x14ac:dyDescent="0.25">
      <c r="A15" t="s">
        <v>69</v>
      </c>
      <c r="B15" s="17">
        <v>1.0900000000000001</v>
      </c>
      <c r="C15" s="17">
        <v>79.738186400499998</v>
      </c>
      <c r="D15" s="17">
        <v>15.130585654743834</v>
      </c>
      <c r="E15" s="17">
        <v>453.91756964231502</v>
      </c>
      <c r="F15" s="17">
        <v>5.27</v>
      </c>
      <c r="G15" s="17">
        <v>35.6</v>
      </c>
      <c r="H15" s="17"/>
      <c r="I15" s="17">
        <f t="shared" si="2"/>
        <v>14.783772779254027</v>
      </c>
      <c r="J15" s="18">
        <f t="shared" si="3"/>
        <v>0.25802551086469561</v>
      </c>
      <c r="K15" s="17">
        <v>2.37</v>
      </c>
      <c r="L15" s="17">
        <f t="shared" si="4"/>
        <v>0.87777777777777777</v>
      </c>
      <c r="M15" s="17">
        <v>16.899999999999999</v>
      </c>
      <c r="N15" s="18">
        <v>0.29496064358704166</v>
      </c>
    </row>
    <row r="16" spans="1:14" x14ac:dyDescent="0.25">
      <c r="A16" t="s">
        <v>70</v>
      </c>
      <c r="B16" s="17">
        <v>2.11</v>
      </c>
      <c r="C16" s="17">
        <v>154.35557183949999</v>
      </c>
      <c r="D16" s="17">
        <v>26.2509475917517</v>
      </c>
      <c r="E16" s="17">
        <v>787.52842775255101</v>
      </c>
      <c r="F16" s="17">
        <v>5.88</v>
      </c>
      <c r="G16" s="17">
        <v>38.200000000000003</v>
      </c>
      <c r="H16" s="17"/>
      <c r="I16" s="17">
        <f t="shared" si="2"/>
        <v>12.04510968247933</v>
      </c>
      <c r="J16" s="18">
        <f t="shared" si="3"/>
        <v>0.21022682272311308</v>
      </c>
      <c r="K16" s="17">
        <v>2.71</v>
      </c>
      <c r="L16" s="17">
        <f t="shared" si="4"/>
        <v>1.0037037037037035</v>
      </c>
      <c r="M16" s="17">
        <v>12</v>
      </c>
      <c r="N16" s="18">
        <v>0.20943951023931953</v>
      </c>
    </row>
    <row r="17" spans="1:14" x14ac:dyDescent="0.25">
      <c r="A17" t="s">
        <v>71</v>
      </c>
      <c r="B17" s="17">
        <v>3.62</v>
      </c>
      <c r="C17" s="17">
        <v>264.818564009</v>
      </c>
      <c r="D17" s="17">
        <v>51.925208629215689</v>
      </c>
      <c r="E17" s="17">
        <v>1557.7562588764706</v>
      </c>
      <c r="F17" s="17">
        <v>5.0999999999999996</v>
      </c>
      <c r="G17" s="17">
        <v>40.1</v>
      </c>
      <c r="H17" s="17"/>
      <c r="I17" s="17">
        <f t="shared" si="2"/>
        <v>9.4928532769702159</v>
      </c>
      <c r="J17" s="18">
        <f t="shared" si="3"/>
        <v>0.16568154509186347</v>
      </c>
      <c r="K17" s="17">
        <v>2.59</v>
      </c>
      <c r="L17" s="17">
        <f t="shared" si="4"/>
        <v>0.95925925925925914</v>
      </c>
      <c r="M17" s="17">
        <v>9.9</v>
      </c>
      <c r="N17" s="18">
        <v>0.17278759594743864</v>
      </c>
    </row>
    <row r="18" spans="1:14" x14ac:dyDescent="0.25">
      <c r="A18" t="s">
        <v>72</v>
      </c>
      <c r="B18" s="17">
        <v>0.23</v>
      </c>
      <c r="C18" s="17">
        <v>16.825488873499999</v>
      </c>
      <c r="D18" s="17">
        <v>7.0106203639583331</v>
      </c>
      <c r="E18" s="17">
        <v>210.31861091874998</v>
      </c>
      <c r="F18" s="17">
        <v>2.4</v>
      </c>
      <c r="G18" s="17">
        <v>3.9</v>
      </c>
      <c r="H18" s="17"/>
      <c r="I18" s="17"/>
      <c r="K18" s="17"/>
      <c r="L18" s="17"/>
      <c r="M18" s="17">
        <v>0</v>
      </c>
      <c r="N18" s="18">
        <v>0</v>
      </c>
    </row>
    <row r="19" spans="1:14" x14ac:dyDescent="0.25">
      <c r="A19" t="s">
        <v>73</v>
      </c>
      <c r="B19" s="17">
        <v>11.93</v>
      </c>
      <c r="C19" s="17">
        <v>872.73079243849998</v>
      </c>
      <c r="D19" s="17">
        <v>55.623377465806243</v>
      </c>
      <c r="E19" s="17">
        <v>1668.7013239741873</v>
      </c>
      <c r="F19" s="17"/>
      <c r="G19" s="17"/>
      <c r="H19" s="17"/>
      <c r="I19" s="17">
        <f t="shared" si="2"/>
        <v>21.049441613718088</v>
      </c>
      <c r="J19" s="18">
        <f t="shared" si="3"/>
        <v>0.367382061865689</v>
      </c>
      <c r="K19" s="17">
        <v>2.6</v>
      </c>
      <c r="L19" s="17">
        <f t="shared" si="4"/>
        <v>0.96296296296296291</v>
      </c>
      <c r="M19" s="17">
        <v>21.9</v>
      </c>
      <c r="N19" s="18">
        <v>0.38222710618675809</v>
      </c>
    </row>
    <row r="20" spans="1:14" x14ac:dyDescent="0.25">
      <c r="A20" t="s">
        <v>74</v>
      </c>
      <c r="B20" s="17">
        <v>3.2947610053740632</v>
      </c>
      <c r="C20" s="17">
        <v>241.02593320331727</v>
      </c>
      <c r="D20" s="17">
        <v>16.396321986620222</v>
      </c>
      <c r="E20" s="17">
        <v>491.88965959860667</v>
      </c>
      <c r="F20" s="17">
        <v>14.7</v>
      </c>
      <c r="G20" s="17">
        <v>5</v>
      </c>
      <c r="H20" s="17"/>
      <c r="I20" s="20">
        <f t="shared" si="2"/>
        <v>20.283380791476823</v>
      </c>
      <c r="J20" s="21">
        <f>ASIN(L19*SIN(N20))</f>
        <v>0.35401177824704394</v>
      </c>
      <c r="K20" s="17"/>
      <c r="L20" s="17"/>
      <c r="M20" s="17">
        <v>21.1</v>
      </c>
      <c r="N20" s="18">
        <v>0.36826447217080355</v>
      </c>
    </row>
    <row r="21" spans="1:14" x14ac:dyDescent="0.25">
      <c r="A21" t="s">
        <v>75</v>
      </c>
      <c r="B21" s="17">
        <v>5.0292933249252849</v>
      </c>
      <c r="C21" s="17">
        <v>367.91442991347049</v>
      </c>
      <c r="D21" s="17">
        <v>23.434040121877104</v>
      </c>
      <c r="E21" s="17">
        <v>703.02120365631311</v>
      </c>
      <c r="F21" s="17">
        <v>15.7</v>
      </c>
      <c r="G21" s="17">
        <v>7.3</v>
      </c>
      <c r="H21" s="17"/>
      <c r="I21" s="20">
        <f t="shared" si="2"/>
        <v>21.049441613718088</v>
      </c>
      <c r="J21" s="21">
        <f>ASIN(L19*SIN(N21))</f>
        <v>0.367382061865689</v>
      </c>
      <c r="K21" s="17"/>
      <c r="L21" s="17"/>
      <c r="M21" s="17">
        <v>21.9</v>
      </c>
      <c r="N21" s="18">
        <v>0.38222710618675809</v>
      </c>
    </row>
    <row r="22" spans="1:14" x14ac:dyDescent="0.25">
      <c r="A22" t="s">
        <v>76</v>
      </c>
      <c r="B22" s="17">
        <v>3.6059456697006507</v>
      </c>
      <c r="C22" s="17">
        <v>263.79042932171217</v>
      </c>
      <c r="D22" s="17">
        <v>15.79583409112049</v>
      </c>
      <c r="E22" s="17">
        <v>473.87502273361468</v>
      </c>
      <c r="F22" s="17">
        <v>16.7</v>
      </c>
      <c r="G22" s="17">
        <v>7</v>
      </c>
      <c r="H22" s="17"/>
      <c r="I22" s="20">
        <f t="shared" si="2"/>
        <v>21.910830159648327</v>
      </c>
      <c r="J22" s="21">
        <f>ASIN(L19*SIN(N22))</f>
        <v>0.38241612813113807</v>
      </c>
      <c r="K22" s="17"/>
      <c r="L22" s="17"/>
      <c r="M22" s="17">
        <v>22.8</v>
      </c>
      <c r="N22" s="18">
        <v>0.39793506945470719</v>
      </c>
    </row>
    <row r="23" spans="1:14" x14ac:dyDescent="0.25">
      <c r="A23" t="s">
        <v>77</v>
      </c>
      <c r="B23" s="17">
        <v>4.54</v>
      </c>
      <c r="C23" s="17">
        <v>332.12051950300003</v>
      </c>
      <c r="D23" s="17">
        <v>45.309757094542974</v>
      </c>
      <c r="E23" s="17">
        <v>1359.2927128362892</v>
      </c>
      <c r="F23" s="17"/>
      <c r="G23" s="17"/>
      <c r="H23" s="17"/>
      <c r="I23" s="17">
        <f t="shared" si="2"/>
        <v>18.137317670808116</v>
      </c>
      <c r="J23" s="18">
        <f t="shared" si="3"/>
        <v>0.31655591083575063</v>
      </c>
      <c r="K23" s="17">
        <v>2.4</v>
      </c>
      <c r="L23" s="17">
        <f t="shared" si="4"/>
        <v>0.88888888888888884</v>
      </c>
      <c r="M23" s="17">
        <v>20.5</v>
      </c>
      <c r="N23" s="18">
        <v>0.3577924966588375</v>
      </c>
    </row>
    <row r="24" spans="1:14" x14ac:dyDescent="0.25">
      <c r="A24" t="s">
        <v>78</v>
      </c>
      <c r="B24" s="17">
        <v>1.8186006546644846</v>
      </c>
      <c r="C24" s="17">
        <v>133.03845687129174</v>
      </c>
      <c r="D24" s="17">
        <v>18.224446146752292</v>
      </c>
      <c r="E24" s="17">
        <v>546.73338440256873</v>
      </c>
      <c r="F24" s="17">
        <v>7.3</v>
      </c>
      <c r="G24" s="17">
        <v>5.7</v>
      </c>
      <c r="H24" s="17"/>
      <c r="I24" s="20">
        <f t="shared" si="2"/>
        <v>18.137317670808116</v>
      </c>
      <c r="J24" s="21">
        <f>ASIN(L23*SIN(N24))</f>
        <v>0.31655591083575063</v>
      </c>
      <c r="K24" s="17"/>
      <c r="L24" s="17"/>
      <c r="M24" s="17">
        <v>20.5</v>
      </c>
      <c r="N24" s="18">
        <v>0.3577924966588375</v>
      </c>
    </row>
    <row r="25" spans="1:14" x14ac:dyDescent="0.25">
      <c r="A25" t="s">
        <v>79</v>
      </c>
      <c r="B25" s="17">
        <v>1.2724631751227495</v>
      </c>
      <c r="C25" s="17">
        <v>93.08615215202741</v>
      </c>
      <c r="D25" s="17">
        <v>12.75152769205855</v>
      </c>
      <c r="E25" s="17">
        <v>382.54583076175652</v>
      </c>
      <c r="F25" s="17">
        <v>7.3</v>
      </c>
      <c r="G25" s="17">
        <v>6.6</v>
      </c>
      <c r="H25" s="17"/>
      <c r="I25" s="20">
        <f t="shared" si="2"/>
        <v>18.137317670808116</v>
      </c>
      <c r="J25" s="21">
        <f>ASIN(L23*SIN(N25))</f>
        <v>0.31655591083575063</v>
      </c>
      <c r="K25" s="17"/>
      <c r="L25" s="17"/>
      <c r="M25" s="17">
        <v>20.5</v>
      </c>
      <c r="N25" s="18">
        <v>0.3577924966588375</v>
      </c>
    </row>
    <row r="26" spans="1:14" x14ac:dyDescent="0.25">
      <c r="A26" t="s">
        <v>80</v>
      </c>
      <c r="B26" s="17">
        <v>1.4489361702127661</v>
      </c>
      <c r="C26" s="17">
        <v>105.99591047968086</v>
      </c>
      <c r="D26" s="17">
        <v>14.519987736942584</v>
      </c>
      <c r="E26" s="17">
        <v>435.59963210827749</v>
      </c>
      <c r="F26" s="17">
        <v>7.3</v>
      </c>
      <c r="G26" s="17">
        <v>4.5999999999999996</v>
      </c>
      <c r="H26" s="17"/>
      <c r="I26" s="20">
        <f t="shared" si="2"/>
        <v>18.137317670808116</v>
      </c>
      <c r="J26" s="21">
        <f>ASIN(L23*SIN(N26))</f>
        <v>0.31655591083575063</v>
      </c>
      <c r="K26" s="17"/>
      <c r="L26" s="17"/>
      <c r="M26" s="17">
        <v>20.5</v>
      </c>
      <c r="N26" s="18">
        <v>0.3577924966588375</v>
      </c>
    </row>
    <row r="27" spans="1:14" x14ac:dyDescent="0.25">
      <c r="A27" t="s">
        <v>81</v>
      </c>
      <c r="B27" s="17">
        <v>1.47</v>
      </c>
      <c r="C27" s="17">
        <v>107.5368201915</v>
      </c>
      <c r="D27" s="17"/>
      <c r="E27" s="17"/>
      <c r="F27" s="17"/>
      <c r="G27" s="17"/>
      <c r="H27" s="17"/>
      <c r="I27" s="17"/>
      <c r="K27" s="17"/>
      <c r="L27" s="17"/>
      <c r="M27" s="17"/>
    </row>
    <row r="28" spans="1:14" x14ac:dyDescent="0.25">
      <c r="A28" t="s">
        <v>82</v>
      </c>
      <c r="B28" s="17">
        <v>0.57947826086956511</v>
      </c>
      <c r="C28" s="17">
        <v>42.391326220417383</v>
      </c>
      <c r="D28" s="17">
        <v>6.2340185618260859</v>
      </c>
      <c r="E28" s="17">
        <v>187.02055685478257</v>
      </c>
      <c r="F28" s="17">
        <v>6.8</v>
      </c>
      <c r="G28" s="17">
        <v>1.6</v>
      </c>
      <c r="H28" s="17"/>
      <c r="I28" s="17"/>
      <c r="K28" s="17"/>
      <c r="L28" s="17"/>
      <c r="M28" s="17">
        <v>10</v>
      </c>
      <c r="N28" s="18">
        <v>0.17453292519943295</v>
      </c>
    </row>
    <row r="29" spans="1:14" x14ac:dyDescent="0.25">
      <c r="A29" t="s">
        <v>83</v>
      </c>
      <c r="B29" s="17">
        <v>0.50372946859903378</v>
      </c>
      <c r="C29" s="17">
        <v>36.849976387683085</v>
      </c>
      <c r="D29" s="17">
        <v>6.5803529263719795</v>
      </c>
      <c r="E29" s="17">
        <v>197.4105877911594</v>
      </c>
      <c r="F29" s="17">
        <v>5.6</v>
      </c>
      <c r="G29" s="17">
        <v>2.6</v>
      </c>
      <c r="H29" s="17"/>
      <c r="I29" s="17"/>
      <c r="K29" s="17"/>
      <c r="L29" s="17"/>
      <c r="M29" s="17">
        <v>0</v>
      </c>
      <c r="N29" s="18">
        <v>0</v>
      </c>
    </row>
    <row r="30" spans="1:14" x14ac:dyDescent="0.25">
      <c r="A30" t="s">
        <v>84</v>
      </c>
      <c r="B30" s="17">
        <v>0.38679227053140092</v>
      </c>
      <c r="C30" s="17">
        <v>28.295517583399512</v>
      </c>
      <c r="D30" s="17">
        <v>7.446188837736714</v>
      </c>
      <c r="E30" s="17">
        <v>223.38566513210142</v>
      </c>
      <c r="F30" s="17">
        <v>3.8</v>
      </c>
      <c r="G30" s="17">
        <v>5.0999999999999996</v>
      </c>
      <c r="H30" s="17"/>
      <c r="I30" s="17"/>
      <c r="K30" s="17"/>
      <c r="L30" s="17"/>
      <c r="M30" s="17">
        <v>1</v>
      </c>
      <c r="N30" s="18">
        <v>1.7453292519943295E-2</v>
      </c>
    </row>
    <row r="31" spans="1:14" x14ac:dyDescent="0.25">
      <c r="A31" t="s">
        <v>85</v>
      </c>
      <c r="B31" s="17">
        <v>1.46</v>
      </c>
      <c r="C31" s="17">
        <v>106.805277197</v>
      </c>
      <c r="D31" s="17">
        <v>4.688554749648814</v>
      </c>
      <c r="E31" s="17">
        <v>140.65664248946442</v>
      </c>
      <c r="F31" s="17">
        <v>22.78</v>
      </c>
      <c r="G31" s="17">
        <v>16.899999999999999</v>
      </c>
      <c r="H31" s="17"/>
      <c r="I31" s="17">
        <f t="shared" si="2"/>
        <v>9.8549637218821378</v>
      </c>
      <c r="J31" s="18">
        <f t="shared" ref="J31:J32" si="5">ASIN(L31*SIN(N31))</f>
        <v>0.17200156461143803</v>
      </c>
      <c r="K31" s="17">
        <v>3.24</v>
      </c>
      <c r="L31" s="17">
        <f t="shared" si="4"/>
        <v>1.2</v>
      </c>
      <c r="M31" s="17">
        <v>8.1999999999999993</v>
      </c>
      <c r="N31" s="18">
        <v>0.143116998663535</v>
      </c>
    </row>
    <row r="32" spans="1:14" x14ac:dyDescent="0.25">
      <c r="A32" t="s">
        <v>86</v>
      </c>
      <c r="B32" s="17">
        <v>2.48</v>
      </c>
      <c r="C32" s="17">
        <v>181.42266263599998</v>
      </c>
      <c r="D32" s="17">
        <v>17.019011504315195</v>
      </c>
      <c r="E32" s="17">
        <v>510.57034512945586</v>
      </c>
      <c r="F32" s="17">
        <v>10.66</v>
      </c>
      <c r="G32" s="17">
        <v>9.4</v>
      </c>
      <c r="H32" s="17"/>
      <c r="I32" s="17">
        <f t="shared" si="2"/>
        <v>16.037889217683453</v>
      </c>
      <c r="J32" s="18">
        <f t="shared" si="5"/>
        <v>0.27991397191867384</v>
      </c>
      <c r="K32" s="17">
        <v>3.02</v>
      </c>
      <c r="L32" s="17">
        <f t="shared" si="4"/>
        <v>1.1185185185185185</v>
      </c>
      <c r="M32" s="17">
        <v>14.3</v>
      </c>
      <c r="N32" s="18">
        <v>0.24958208303518914</v>
      </c>
    </row>
    <row r="33" spans="1:14" x14ac:dyDescent="0.25">
      <c r="A33" t="s">
        <v>87</v>
      </c>
      <c r="B33" s="17">
        <v>0.92</v>
      </c>
      <c r="C33" s="17">
        <v>67.301955493999998</v>
      </c>
      <c r="D33" s="17">
        <v>5.0602974055639089</v>
      </c>
      <c r="E33" s="17">
        <v>151.80892216691726</v>
      </c>
      <c r="F33" s="17">
        <v>13.3</v>
      </c>
      <c r="G33" s="17">
        <v>0.1</v>
      </c>
      <c r="H33" s="17"/>
      <c r="I33" s="17"/>
      <c r="K33" s="17"/>
      <c r="L33" s="17"/>
      <c r="M33" s="17">
        <v>0</v>
      </c>
      <c r="N33" s="18">
        <v>0</v>
      </c>
    </row>
    <row r="34" spans="1:14" x14ac:dyDescent="0.25">
      <c r="A34" t="s">
        <v>88</v>
      </c>
      <c r="B34" s="17">
        <v>0.53910143272425248</v>
      </c>
      <c r="C34" s="17">
        <v>39.437587643434</v>
      </c>
      <c r="D34" s="17">
        <v>8.6866933135317179</v>
      </c>
      <c r="E34" s="17">
        <v>260.60079940595153</v>
      </c>
      <c r="F34" s="17">
        <v>4.54</v>
      </c>
      <c r="G34" s="17">
        <v>14.8</v>
      </c>
      <c r="H34" s="17"/>
      <c r="I34" s="17">
        <f t="shared" si="2"/>
        <v>11.759163646563424</v>
      </c>
      <c r="J34" s="18">
        <f t="shared" ref="J34:J35" si="6">ASIN(L34*SIN(N34))</f>
        <v>0.20523612291335452</v>
      </c>
      <c r="K34" s="17">
        <v>2.76</v>
      </c>
      <c r="L34" s="17">
        <f t="shared" si="4"/>
        <v>1.0222222222222221</v>
      </c>
      <c r="M34" s="17">
        <v>11.5</v>
      </c>
      <c r="N34" s="18">
        <v>0.20071286397934787</v>
      </c>
    </row>
    <row r="35" spans="1:14" x14ac:dyDescent="0.25">
      <c r="A35" t="s">
        <v>89</v>
      </c>
      <c r="B35" s="17">
        <v>1.2908985672757476</v>
      </c>
      <c r="C35" s="17">
        <v>94.434780350066006</v>
      </c>
      <c r="D35" s="17">
        <v>18.589523690957876</v>
      </c>
      <c r="E35" s="17">
        <v>557.68571072873624</v>
      </c>
      <c r="F35" s="17">
        <v>5.08</v>
      </c>
      <c r="G35" s="17">
        <v>33.299999999999997</v>
      </c>
      <c r="H35" s="17"/>
      <c r="I35" s="17">
        <f t="shared" si="2"/>
        <v>14.206630207137218</v>
      </c>
      <c r="J35" s="18">
        <f t="shared" si="6"/>
        <v>0.24795247272782847</v>
      </c>
      <c r="K35" s="17">
        <v>2.72</v>
      </c>
      <c r="L35" s="17">
        <f t="shared" si="4"/>
        <v>1.0074074074074073</v>
      </c>
      <c r="M35" s="17">
        <v>14.1</v>
      </c>
      <c r="N35" s="18">
        <v>0.24609142453120048</v>
      </c>
    </row>
    <row r="36" spans="1:14" x14ac:dyDescent="0.25">
      <c r="A36" t="s">
        <v>90</v>
      </c>
      <c r="B36" s="17">
        <v>0.23522940863872555</v>
      </c>
      <c r="C36" s="17">
        <v>17.208042599003743</v>
      </c>
      <c r="D36" s="17">
        <v>2.1782332403802207</v>
      </c>
      <c r="E36" s="17">
        <v>65.346997211406617</v>
      </c>
      <c r="F36" s="17">
        <v>7.9</v>
      </c>
      <c r="G36" s="17">
        <v>10</v>
      </c>
      <c r="H36" s="17"/>
      <c r="I36" s="17"/>
      <c r="K36" s="17"/>
      <c r="L36" s="17"/>
      <c r="M36" s="17">
        <v>13</v>
      </c>
      <c r="N36" s="18">
        <v>0.22689280275926285</v>
      </c>
    </row>
    <row r="37" spans="1:14" x14ac:dyDescent="0.25">
      <c r="A37" t="s">
        <v>91</v>
      </c>
      <c r="B37" s="17">
        <v>0.61</v>
      </c>
      <c r="C37" s="17">
        <v>44.624122664499993</v>
      </c>
      <c r="D37" s="17">
        <v>17.163124101730766</v>
      </c>
      <c r="E37" s="17">
        <v>514.89372305192296</v>
      </c>
      <c r="F37" s="17">
        <v>2.6</v>
      </c>
      <c r="G37" s="17">
        <v>11.5</v>
      </c>
      <c r="H37" s="17"/>
      <c r="I37" s="17"/>
      <c r="K37" s="17"/>
      <c r="L37" s="17"/>
      <c r="M37" s="17">
        <v>10</v>
      </c>
      <c r="N37" s="18">
        <v>0.17453292519943295</v>
      </c>
    </row>
    <row r="38" spans="1:14" x14ac:dyDescent="0.25">
      <c r="A38" t="s">
        <v>92</v>
      </c>
      <c r="B38" s="17">
        <v>3.8</v>
      </c>
      <c r="C38" s="17">
        <v>277.98633790999997</v>
      </c>
      <c r="D38" s="17">
        <v>23.779840710863986</v>
      </c>
      <c r="E38" s="17">
        <v>713.39522132591958</v>
      </c>
      <c r="F38" s="17">
        <v>11.69</v>
      </c>
      <c r="G38" s="17">
        <v>9.6999999999999993</v>
      </c>
      <c r="H38" s="17"/>
      <c r="I38" s="17">
        <f t="shared" si="2"/>
        <v>12.348680110075552</v>
      </c>
      <c r="J38" s="18">
        <f t="shared" ref="J38" si="7">ASIN(L38*SIN(N38))</f>
        <v>0.21552512619635417</v>
      </c>
      <c r="K38" s="17">
        <v>3.11</v>
      </c>
      <c r="L38" s="17">
        <f t="shared" si="4"/>
        <v>1.1518518518518517</v>
      </c>
      <c r="M38" s="17">
        <v>10.6</v>
      </c>
      <c r="N38" s="18">
        <v>0.18675022996339324</v>
      </c>
    </row>
    <row r="39" spans="1:14" x14ac:dyDescent="0.25">
      <c r="A39" t="s">
        <v>93</v>
      </c>
      <c r="B39" s="17">
        <v>0.45</v>
      </c>
      <c r="C39" s="17">
        <v>32.919434752500003</v>
      </c>
      <c r="D39" s="17">
        <v>6.0961916208333333</v>
      </c>
      <c r="E39" s="17">
        <v>182.88574862499999</v>
      </c>
      <c r="F39" s="17">
        <v>5.4</v>
      </c>
      <c r="G39" s="17">
        <v>2.4</v>
      </c>
      <c r="H39" s="17"/>
      <c r="I39" s="17"/>
      <c r="K39" s="17"/>
      <c r="L39" s="17"/>
      <c r="M39" s="17">
        <v>0</v>
      </c>
      <c r="N39" s="18">
        <v>0</v>
      </c>
    </row>
    <row r="40" spans="1:14" x14ac:dyDescent="0.25">
      <c r="A40" t="s">
        <v>94</v>
      </c>
      <c r="B40" s="17">
        <v>3.79</v>
      </c>
      <c r="C40" s="17">
        <v>277.25479491550004</v>
      </c>
      <c r="D40" s="17">
        <v>36.528958486890652</v>
      </c>
      <c r="E40" s="17">
        <v>1095.8687546067194</v>
      </c>
      <c r="F40" s="17">
        <v>7.59</v>
      </c>
      <c r="G40" s="17">
        <v>34.6</v>
      </c>
      <c r="H40" s="17"/>
      <c r="I40" s="17">
        <f t="shared" si="2"/>
        <v>12.43403792655152</v>
      </c>
      <c r="J40" s="18">
        <f t="shared" ref="J40:J50" si="8">ASIN(L40*SIN(N40))</f>
        <v>0.21701490113617289</v>
      </c>
      <c r="K40" s="17">
        <v>2.42</v>
      </c>
      <c r="L40" s="17">
        <f t="shared" si="4"/>
        <v>0.89629629629629626</v>
      </c>
      <c r="M40" s="17">
        <v>13.9</v>
      </c>
      <c r="N40" s="18">
        <v>0.24260076602721178</v>
      </c>
    </row>
    <row r="41" spans="1:14" x14ac:dyDescent="0.25">
      <c r="A41" t="s">
        <v>95</v>
      </c>
      <c r="B41" s="17">
        <v>2.29</v>
      </c>
      <c r="C41" s="17">
        <v>167.52334574049999</v>
      </c>
      <c r="D41" s="17">
        <v>4.1569068421960296</v>
      </c>
      <c r="E41" s="17">
        <v>124.70720526588089</v>
      </c>
      <c r="F41" s="17">
        <v>40.299999999999997</v>
      </c>
      <c r="G41" s="17">
        <v>11</v>
      </c>
      <c r="H41" s="17"/>
      <c r="I41" s="17">
        <f t="shared" si="2"/>
        <v>1.4974494011859962</v>
      </c>
      <c r="J41" s="18">
        <f t="shared" si="8"/>
        <v>2.6135422432713117E-2</v>
      </c>
      <c r="K41" s="17">
        <v>3.11</v>
      </c>
      <c r="L41" s="17">
        <f t="shared" si="4"/>
        <v>1.1518518518518517</v>
      </c>
      <c r="M41" s="17">
        <v>1.3</v>
      </c>
      <c r="N41" s="18">
        <v>2.2689280275926284E-2</v>
      </c>
    </row>
    <row r="42" spans="1:14" x14ac:dyDescent="0.25">
      <c r="A42" t="s">
        <v>96</v>
      </c>
      <c r="B42" s="17">
        <v>3.46</v>
      </c>
      <c r="C42" s="17">
        <v>253.11387609699997</v>
      </c>
      <c r="D42" s="17">
        <v>36.683170448840571</v>
      </c>
      <c r="E42" s="17">
        <v>1100.4951134652172</v>
      </c>
      <c r="F42" s="17">
        <v>6.9</v>
      </c>
      <c r="G42" s="17">
        <v>37.799999999999997</v>
      </c>
      <c r="H42" s="17"/>
      <c r="I42" s="17">
        <f t="shared" si="2"/>
        <v>14.58529726636594</v>
      </c>
      <c r="J42" s="18">
        <f t="shared" si="8"/>
        <v>0.25456145968021404</v>
      </c>
      <c r="K42" s="17">
        <v>2.61</v>
      </c>
      <c r="L42" s="17">
        <f t="shared" si="4"/>
        <v>0.96666666666666656</v>
      </c>
      <c r="M42" s="17">
        <v>15.1</v>
      </c>
      <c r="N42" s="18">
        <v>0.26354471705114374</v>
      </c>
    </row>
    <row r="43" spans="1:14" x14ac:dyDescent="0.25">
      <c r="A43" t="s">
        <v>97</v>
      </c>
      <c r="B43" s="17">
        <v>2.6</v>
      </c>
      <c r="C43" s="17">
        <v>190.20117857000002</v>
      </c>
      <c r="D43" s="17">
        <v>9.8549833455958566</v>
      </c>
      <c r="E43" s="17">
        <v>295.6495003678757</v>
      </c>
      <c r="F43" s="17">
        <v>19.3</v>
      </c>
      <c r="G43" s="17">
        <v>24.5</v>
      </c>
      <c r="H43" s="17"/>
      <c r="I43" s="17">
        <f t="shared" si="2"/>
        <v>13.825185113094202</v>
      </c>
      <c r="J43" s="18">
        <f t="shared" si="8"/>
        <v>0.24129499992119841</v>
      </c>
      <c r="K43" s="17">
        <v>2.89</v>
      </c>
      <c r="L43" s="17">
        <f t="shared" si="4"/>
        <v>1.0703703703703704</v>
      </c>
      <c r="M43" s="17">
        <v>12.9</v>
      </c>
      <c r="N43" s="18">
        <v>0.22514747350726852</v>
      </c>
    </row>
    <row r="44" spans="1:14" x14ac:dyDescent="0.25">
      <c r="A44" t="s">
        <v>98</v>
      </c>
      <c r="B44" s="17">
        <v>6.21</v>
      </c>
      <c r="C44" s="17">
        <v>454.28819958450003</v>
      </c>
      <c r="D44" s="17">
        <v>103.24731808738636</v>
      </c>
      <c r="E44" s="17">
        <v>3097.4195426215911</v>
      </c>
      <c r="F44" s="17">
        <v>4.4000000000000004</v>
      </c>
      <c r="G44" s="17">
        <v>28.2</v>
      </c>
      <c r="H44" s="17"/>
      <c r="I44" s="17">
        <f t="shared" si="2"/>
        <v>21.854264859169291</v>
      </c>
      <c r="J44" s="18">
        <f t="shared" si="8"/>
        <v>0.38142887739539905</v>
      </c>
      <c r="K44" s="17">
        <v>2.12</v>
      </c>
      <c r="L44" s="17">
        <f t="shared" si="4"/>
        <v>0.78518518518518521</v>
      </c>
      <c r="M44" s="17">
        <v>28.3</v>
      </c>
      <c r="N44" s="18">
        <v>0.49392817831439528</v>
      </c>
    </row>
    <row r="45" spans="1:14" x14ac:dyDescent="0.25">
      <c r="A45" t="s">
        <v>99</v>
      </c>
      <c r="B45" s="17">
        <v>0.89</v>
      </c>
      <c r="C45" s="17">
        <v>65.107326510500002</v>
      </c>
      <c r="D45" s="17">
        <v>6.8534027905789472</v>
      </c>
      <c r="E45" s="17">
        <v>205.60208371736843</v>
      </c>
      <c r="F45" s="17">
        <v>9.5</v>
      </c>
      <c r="G45" s="17">
        <v>45</v>
      </c>
      <c r="H45" s="17"/>
      <c r="I45" s="17"/>
      <c r="K45" s="17"/>
      <c r="L45" s="17"/>
      <c r="M45" s="17">
        <v>3</v>
      </c>
      <c r="N45" s="18">
        <v>5.2359877559829883E-2</v>
      </c>
    </row>
    <row r="46" spans="1:14" x14ac:dyDescent="0.25">
      <c r="A46" t="s">
        <v>100</v>
      </c>
      <c r="B46" s="17">
        <v>1.91</v>
      </c>
      <c r="C46" s="17">
        <v>139.72471194949998</v>
      </c>
      <c r="D46" s="17">
        <v>20.457498089238648</v>
      </c>
      <c r="E46" s="17">
        <v>613.72494267715945</v>
      </c>
      <c r="F46" s="17">
        <v>6.83</v>
      </c>
      <c r="G46" s="17">
        <v>24.1</v>
      </c>
      <c r="H46" s="17"/>
      <c r="I46" s="17">
        <f t="shared" si="2"/>
        <v>11.183151174226483</v>
      </c>
      <c r="J46" s="18">
        <f t="shared" si="8"/>
        <v>0.19518280873852215</v>
      </c>
      <c r="K46" s="17">
        <v>3.14</v>
      </c>
      <c r="L46" s="17">
        <f t="shared" si="4"/>
        <v>1.162962962962963</v>
      </c>
      <c r="M46" s="17">
        <v>9.6</v>
      </c>
      <c r="N46" s="18">
        <v>0.16755160819145562</v>
      </c>
    </row>
    <row r="47" spans="1:14" x14ac:dyDescent="0.25">
      <c r="A47" t="s">
        <v>101</v>
      </c>
      <c r="B47" s="17">
        <v>1.49</v>
      </c>
      <c r="C47" s="17">
        <v>108.99990618050001</v>
      </c>
      <c r="D47" s="17">
        <v>28.835954016005292</v>
      </c>
      <c r="E47" s="17">
        <v>865.07862048015875</v>
      </c>
      <c r="F47" s="17">
        <v>3.78</v>
      </c>
      <c r="G47" s="17">
        <v>28.2</v>
      </c>
      <c r="H47" s="17"/>
      <c r="I47" s="17">
        <f t="shared" si="2"/>
        <v>12.976867740214178</v>
      </c>
      <c r="J47" s="18">
        <f t="shared" si="8"/>
        <v>0.22648906866257357</v>
      </c>
      <c r="K47" s="17">
        <v>2.56</v>
      </c>
      <c r="L47" s="17">
        <f t="shared" si="4"/>
        <v>0.94814814814814807</v>
      </c>
      <c r="M47" s="17">
        <v>13.7</v>
      </c>
      <c r="N47" s="18">
        <v>0.23911010752322312</v>
      </c>
    </row>
    <row r="48" spans="1:14" x14ac:dyDescent="0.25">
      <c r="A48" t="s">
        <v>102</v>
      </c>
      <c r="B48" s="17">
        <v>3.84</v>
      </c>
      <c r="C48" s="17">
        <v>280.91250988799999</v>
      </c>
      <c r="D48" s="17">
        <v>28.289275920241693</v>
      </c>
      <c r="E48" s="17">
        <v>848.67827760725072</v>
      </c>
      <c r="F48" s="17">
        <v>9.93</v>
      </c>
      <c r="G48" s="17">
        <v>10.6</v>
      </c>
      <c r="H48" s="17"/>
      <c r="I48" s="17">
        <f t="shared" si="2"/>
        <v>3.6153482299408615</v>
      </c>
      <c r="J48" s="18">
        <f t="shared" si="8"/>
        <v>6.3099730218617076E-2</v>
      </c>
      <c r="K48" s="17">
        <v>2.17</v>
      </c>
      <c r="L48" s="17">
        <f t="shared" si="4"/>
        <v>0.80370370370370359</v>
      </c>
      <c r="M48" s="17">
        <v>4.5</v>
      </c>
      <c r="N48" s="18">
        <v>7.8539816339744828E-2</v>
      </c>
    </row>
    <row r="49" spans="1:14" x14ac:dyDescent="0.25">
      <c r="A49" t="s">
        <v>103</v>
      </c>
      <c r="B49" s="17">
        <v>11.66</v>
      </c>
      <c r="C49" s="17">
        <v>852.97913158699998</v>
      </c>
      <c r="D49" s="17">
        <v>85.812789898088539</v>
      </c>
      <c r="E49" s="17">
        <v>2574.3836969426561</v>
      </c>
      <c r="F49" s="17">
        <v>9.94</v>
      </c>
      <c r="G49" s="17">
        <v>13</v>
      </c>
      <c r="H49" s="17"/>
      <c r="I49" s="17">
        <f t="shared" si="2"/>
        <v>14.488228327893395</v>
      </c>
      <c r="J49" s="18">
        <f t="shared" si="8"/>
        <v>0.25286728710245238</v>
      </c>
      <c r="K49" s="17">
        <v>2.14</v>
      </c>
      <c r="L49" s="17">
        <f t="shared" si="4"/>
        <v>0.79259259259259263</v>
      </c>
      <c r="M49" s="17">
        <v>18.399999999999999</v>
      </c>
      <c r="N49" s="18">
        <v>0.32114058236695658</v>
      </c>
    </row>
    <row r="50" spans="1:14" x14ac:dyDescent="0.25">
      <c r="A50" t="s">
        <v>104</v>
      </c>
      <c r="B50" s="17">
        <v>6.06</v>
      </c>
      <c r="C50" s="17">
        <v>443.31505466699997</v>
      </c>
      <c r="D50" s="17">
        <v>45.797009779648761</v>
      </c>
      <c r="E50" s="17">
        <v>1373.9102933894628</v>
      </c>
      <c r="F50" s="17">
        <v>9.68</v>
      </c>
      <c r="G50" s="17">
        <v>11.2</v>
      </c>
      <c r="H50" s="17"/>
      <c r="I50" s="17">
        <f t="shared" si="2"/>
        <v>24.191568731575128</v>
      </c>
      <c r="J50" s="18">
        <f t="shared" si="8"/>
        <v>0.42222252558849427</v>
      </c>
      <c r="K50" s="17">
        <v>2.2400000000000002</v>
      </c>
      <c r="L50" s="17">
        <f t="shared" si="4"/>
        <v>0.82962962962962961</v>
      </c>
      <c r="M50" s="17">
        <v>29.6</v>
      </c>
      <c r="N50" s="18">
        <v>0.51661745859032149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m,h,V data (Blemker)</vt:lpstr>
      <vt:lpstr>Fmo using lin reg from paper</vt:lpstr>
      <vt:lpstr>Fmo using V=Cxmxh (zero-interc)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Apoorva Rajagopal (lab)</dc:creator>
  <cp:lastModifiedBy> Amy Silder</cp:lastModifiedBy>
  <cp:lastPrinted>2013-07-29T20:47:42Z</cp:lastPrinted>
  <dcterms:created xsi:type="dcterms:W3CDTF">2013-07-29T18:16:19Z</dcterms:created>
  <dcterms:modified xsi:type="dcterms:W3CDTF">2014-04-01T18:43:43Z</dcterms:modified>
</cp:coreProperties>
</file>