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85" windowWidth="11430" windowHeight="6405"/>
  </bookViews>
  <sheets>
    <sheet name="Withdrawals" sheetId="1" r:id="rId1"/>
  </sheets>
  <calcPr calcId="0"/>
</workbook>
</file>

<file path=xl/calcChain.xml><?xml version="1.0" encoding="utf-8"?>
<calcChain xmlns="http://schemas.openxmlformats.org/spreadsheetml/2006/main">
  <c r="AA1" i="1"/>
  <c r="N4"/>
  <c r="O4"/>
  <c r="P4"/>
  <c r="R4"/>
  <c r="Y4"/>
  <c r="Z4"/>
  <c r="AA4"/>
  <c r="AB4"/>
  <c r="J5"/>
  <c r="K5"/>
  <c r="N5"/>
  <c r="O5"/>
  <c r="P5"/>
  <c r="Q5"/>
  <c r="R5"/>
  <c r="T5"/>
  <c r="Y5"/>
  <c r="Z5"/>
  <c r="AA5"/>
  <c r="AB5"/>
  <c r="K6"/>
  <c r="N6"/>
  <c r="O6"/>
  <c r="P6"/>
  <c r="Q6"/>
  <c r="R6"/>
  <c r="T6"/>
  <c r="Y6"/>
  <c r="Z6"/>
  <c r="AA6"/>
  <c r="AB6"/>
  <c r="N7"/>
  <c r="O7"/>
  <c r="P7"/>
  <c r="Q7"/>
  <c r="R7"/>
  <c r="T7"/>
  <c r="W7"/>
  <c r="X7"/>
  <c r="Y7"/>
  <c r="Z7"/>
  <c r="AA7"/>
  <c r="AB7"/>
  <c r="N8"/>
  <c r="O8"/>
  <c r="P8"/>
  <c r="Q8"/>
  <c r="R8"/>
  <c r="S8"/>
  <c r="Y8"/>
  <c r="Z8"/>
  <c r="AA8"/>
  <c r="AB8"/>
  <c r="N9"/>
  <c r="O9"/>
  <c r="P9"/>
  <c r="Q9"/>
  <c r="R9"/>
  <c r="S9"/>
  <c r="Y9"/>
  <c r="Z9"/>
  <c r="AA9"/>
  <c r="AB9"/>
  <c r="N10"/>
  <c r="O10"/>
  <c r="P10"/>
  <c r="Q10"/>
  <c r="R10"/>
  <c r="T10"/>
  <c r="W10"/>
  <c r="Y10"/>
  <c r="Z10"/>
  <c r="AA10"/>
  <c r="AB10"/>
  <c r="N11"/>
  <c r="O11"/>
  <c r="P11"/>
  <c r="Q11"/>
  <c r="R11"/>
  <c r="T11"/>
  <c r="Y11"/>
  <c r="Z11"/>
  <c r="AA11"/>
  <c r="AB11"/>
  <c r="N12"/>
  <c r="O12"/>
  <c r="P12"/>
  <c r="Q12"/>
  <c r="R12"/>
  <c r="Y12"/>
  <c r="Z12"/>
  <c r="AA12"/>
  <c r="AB12"/>
  <c r="N13"/>
  <c r="O13"/>
  <c r="P13"/>
  <c r="Q13"/>
  <c r="R13"/>
  <c r="T13"/>
  <c r="Y13"/>
  <c r="Z13"/>
  <c r="AA13"/>
  <c r="AB13"/>
  <c r="N14"/>
  <c r="O14"/>
  <c r="P14"/>
  <c r="Q14"/>
  <c r="R14"/>
  <c r="T14"/>
  <c r="Y14"/>
  <c r="Z14"/>
  <c r="AA14"/>
  <c r="AB14"/>
  <c r="N15"/>
  <c r="O15"/>
  <c r="P15"/>
  <c r="Q15"/>
  <c r="R15"/>
  <c r="S15"/>
  <c r="Y15"/>
  <c r="Z15"/>
  <c r="AA15"/>
  <c r="AB15"/>
  <c r="N16"/>
  <c r="O16"/>
  <c r="P16"/>
  <c r="Q16"/>
  <c r="R16"/>
  <c r="Y16"/>
  <c r="Z16"/>
  <c r="AA16"/>
  <c r="AB16"/>
  <c r="N17"/>
  <c r="O17"/>
  <c r="P17"/>
  <c r="Q17"/>
  <c r="R17"/>
  <c r="S17"/>
  <c r="Y17"/>
  <c r="Z17"/>
  <c r="AA17"/>
  <c r="AB17"/>
  <c r="N18"/>
  <c r="O18"/>
  <c r="P18"/>
  <c r="Q18"/>
  <c r="R18"/>
  <c r="Y18"/>
  <c r="Z18"/>
  <c r="AA18"/>
  <c r="AB18"/>
  <c r="N19"/>
  <c r="O19"/>
  <c r="P19"/>
  <c r="Q19"/>
  <c r="R19"/>
  <c r="Y19"/>
  <c r="Z19"/>
  <c r="AA19"/>
  <c r="AB19"/>
  <c r="N20"/>
  <c r="O20"/>
  <c r="P20"/>
  <c r="Q20"/>
  <c r="R20"/>
  <c r="Y20"/>
  <c r="Z20"/>
  <c r="AA20"/>
  <c r="AB20"/>
  <c r="N21"/>
  <c r="O21"/>
  <c r="P21"/>
  <c r="Q21"/>
  <c r="R21"/>
  <c r="Y21"/>
  <c r="Z21"/>
  <c r="AA21"/>
  <c r="AB21"/>
  <c r="N22"/>
  <c r="O22"/>
  <c r="P22"/>
  <c r="Q22"/>
  <c r="R22"/>
  <c r="Y22"/>
  <c r="Z22"/>
  <c r="AA22"/>
  <c r="AB22"/>
  <c r="N23"/>
  <c r="O23"/>
  <c r="P23"/>
  <c r="Q23"/>
  <c r="R23"/>
  <c r="Y23"/>
  <c r="Z23"/>
  <c r="AA23"/>
  <c r="AB23"/>
  <c r="N24"/>
  <c r="O24"/>
  <c r="P24"/>
  <c r="Q24"/>
  <c r="R24"/>
  <c r="Y24"/>
  <c r="Z24"/>
  <c r="AA24"/>
  <c r="AB24"/>
  <c r="N25"/>
  <c r="O25"/>
  <c r="P25"/>
  <c r="Q25"/>
  <c r="R25"/>
  <c r="Y25"/>
  <c r="Z25"/>
  <c r="AA25"/>
  <c r="AB25"/>
  <c r="N26"/>
  <c r="O26"/>
  <c r="P26"/>
  <c r="Q26"/>
  <c r="R26"/>
  <c r="Y26"/>
  <c r="Z26"/>
  <c r="AA26"/>
  <c r="AB26"/>
  <c r="N27"/>
  <c r="O27"/>
  <c r="P27"/>
  <c r="Q27"/>
  <c r="R27"/>
  <c r="Y27"/>
  <c r="Z27"/>
  <c r="AA27"/>
  <c r="AB27"/>
  <c r="N28"/>
  <c r="O28"/>
  <c r="P28"/>
  <c r="Q28"/>
  <c r="R28"/>
  <c r="Y28"/>
  <c r="Z28"/>
  <c r="AA28"/>
  <c r="AB28"/>
  <c r="N29"/>
  <c r="O29"/>
  <c r="P29"/>
  <c r="Q29"/>
  <c r="R29"/>
  <c r="Y29"/>
  <c r="Z29"/>
  <c r="AA29"/>
  <c r="AB29"/>
  <c r="N30"/>
  <c r="O30"/>
  <c r="P30"/>
  <c r="Q30"/>
  <c r="R30"/>
  <c r="Y30"/>
  <c r="Z30"/>
  <c r="AA30"/>
  <c r="AB30"/>
  <c r="N31"/>
  <c r="O31"/>
  <c r="P31"/>
  <c r="Q31"/>
  <c r="R31"/>
  <c r="Y31"/>
  <c r="Z31"/>
  <c r="AA31"/>
  <c r="AB31"/>
  <c r="N32"/>
  <c r="O32"/>
  <c r="P32"/>
  <c r="Q32"/>
  <c r="R32"/>
  <c r="Y32"/>
  <c r="Z32"/>
  <c r="AA32"/>
  <c r="AB32"/>
  <c r="N33"/>
  <c r="O33"/>
  <c r="P33"/>
  <c r="Q33"/>
  <c r="R33"/>
  <c r="Y33"/>
  <c r="Z33"/>
  <c r="AA33"/>
  <c r="AB33"/>
  <c r="N34"/>
  <c r="O34"/>
  <c r="P34"/>
  <c r="Q34"/>
  <c r="R34"/>
  <c r="Y34"/>
  <c r="Z34"/>
  <c r="AA34"/>
  <c r="AB34"/>
  <c r="N35"/>
  <c r="O35"/>
  <c r="P35"/>
  <c r="Q35"/>
  <c r="R35"/>
  <c r="Y35"/>
  <c r="Z35"/>
  <c r="AA35"/>
  <c r="AB35"/>
  <c r="N36"/>
  <c r="O36"/>
  <c r="P36"/>
  <c r="Q36"/>
  <c r="R36"/>
  <c r="Y36"/>
  <c r="Z36"/>
  <c r="AA36"/>
  <c r="AB36"/>
  <c r="N37"/>
  <c r="O37"/>
  <c r="P37"/>
  <c r="Q37"/>
  <c r="R37"/>
  <c r="Y37"/>
  <c r="Z37"/>
  <c r="AA37"/>
  <c r="AB37"/>
  <c r="N38"/>
  <c r="O38"/>
  <c r="P38"/>
  <c r="Q38"/>
  <c r="R38"/>
  <c r="Y38"/>
  <c r="Z38"/>
  <c r="AA38"/>
  <c r="AB38"/>
  <c r="N39"/>
  <c r="O39"/>
  <c r="P39"/>
  <c r="Q39"/>
  <c r="R39"/>
  <c r="Y39"/>
  <c r="Z39"/>
  <c r="AA39"/>
  <c r="AB39"/>
  <c r="N40"/>
  <c r="O40"/>
  <c r="P40"/>
  <c r="Q40"/>
  <c r="R40"/>
  <c r="Y40"/>
  <c r="Z40"/>
  <c r="AA40"/>
  <c r="AB40"/>
  <c r="N41"/>
  <c r="O41"/>
  <c r="P41"/>
  <c r="Q41"/>
  <c r="R41"/>
  <c r="Y41"/>
  <c r="Z41"/>
  <c r="AA41"/>
  <c r="AB41"/>
  <c r="N42"/>
  <c r="O42"/>
  <c r="P42"/>
  <c r="Q42"/>
  <c r="R42"/>
  <c r="Y42"/>
  <c r="Z42"/>
  <c r="AA42"/>
  <c r="AB42"/>
  <c r="N43"/>
  <c r="O43"/>
  <c r="P43"/>
  <c r="Q43"/>
  <c r="R43"/>
  <c r="Y43"/>
  <c r="Z43"/>
  <c r="AA43"/>
  <c r="AB43"/>
  <c r="N44"/>
  <c r="O44"/>
  <c r="P44"/>
  <c r="Q44"/>
  <c r="R44"/>
  <c r="Y44"/>
  <c r="Z44"/>
  <c r="AA44"/>
  <c r="AB44"/>
</calcChain>
</file>

<file path=xl/sharedStrings.xml><?xml version="1.0" encoding="utf-8"?>
<sst xmlns="http://schemas.openxmlformats.org/spreadsheetml/2006/main" count="44" uniqueCount="43">
  <si>
    <t>Inflation Rate =</t>
  </si>
  <si>
    <t>Your Age =</t>
  </si>
  <si>
    <t>Male</t>
  </si>
  <si>
    <t>Female</t>
  </si>
  <si>
    <t>m =</t>
  </si>
  <si>
    <t>c =</t>
  </si>
  <si>
    <t>Annualized Return</t>
  </si>
  <si>
    <t>R =</t>
  </si>
  <si>
    <t>Ratio =</t>
  </si>
  <si>
    <t>Increment =</t>
  </si>
  <si>
    <t>Dying</t>
  </si>
  <si>
    <t>Prob of</t>
  </si>
  <si>
    <t>Years</t>
  </si>
  <si>
    <t>to go</t>
  </si>
  <si>
    <t>Withdrawal</t>
  </si>
  <si>
    <t>Rate</t>
  </si>
  <si>
    <t>f</t>
  </si>
  <si>
    <t>average =</t>
  </si>
  <si>
    <t>Your</t>
  </si>
  <si>
    <t>Age</t>
  </si>
  <si>
    <t>Limit =</t>
  </si>
  <si>
    <t>Number</t>
  </si>
  <si>
    <t>Probability =</t>
  </si>
  <si>
    <t>Corresponding Withdrawal Rate =</t>
  </si>
  <si>
    <t>check sum =</t>
  </si>
  <si>
    <t xml:space="preserve">Fill in the </t>
  </si>
  <si>
    <t>boxes</t>
  </si>
  <si>
    <t>See:</t>
  </si>
  <si>
    <t>http://home.golden.net/~pjponzo/withdrawals.htm</t>
  </si>
  <si>
    <t>Male or Female? (m/f) =</t>
  </si>
  <si>
    <t>Random</t>
  </si>
  <si>
    <t>Withdrawal =</t>
  </si>
  <si>
    <t>Index</t>
  </si>
  <si>
    <t>Inflation Factor</t>
  </si>
  <si>
    <t>Press F9 for another set of Random Returns</t>
  </si>
  <si>
    <t>Chart</t>
  </si>
  <si>
    <t>Critical Age</t>
  </si>
  <si>
    <t xml:space="preserve"> then stare at the chart above</t>
  </si>
  <si>
    <t>A $100 Portfolio with Random Returns</t>
  </si>
  <si>
    <t>using this</t>
  </si>
  <si>
    <t>Don't live this long !!</t>
  </si>
  <si>
    <t>Mean Annual Return =</t>
  </si>
  <si>
    <t>Standard Deviation of Returns =</t>
  </si>
</sst>
</file>

<file path=xl/styles.xml><?xml version="1.0" encoding="utf-8"?>
<styleSheet xmlns="http://schemas.openxmlformats.org/spreadsheetml/2006/main">
  <numFmts count="4">
    <numFmt numFmtId="179" formatCode="0.0%"/>
    <numFmt numFmtId="180" formatCode="&quot;$&quot;#,##0"/>
    <numFmt numFmtId="181" formatCode="&quot;$&quot;#,##0.00"/>
    <numFmt numFmtId="182" formatCode="0.000"/>
  </numFmts>
  <fonts count="5">
    <font>
      <sz val="8"/>
      <name val="Arial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n">
        <color indexed="22"/>
      </bottom>
      <diagonal/>
    </border>
    <border>
      <left/>
      <right/>
      <top style="thick">
        <color indexed="10"/>
      </top>
      <bottom style="thin">
        <color indexed="22"/>
      </bottom>
      <diagonal/>
    </border>
    <border>
      <left/>
      <right style="thick">
        <color indexed="10"/>
      </right>
      <top style="thick">
        <color indexed="10"/>
      </top>
      <bottom style="thin">
        <color indexed="22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0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9" fontId="0" fillId="2" borderId="0" xfId="0" applyNumberFormat="1" applyFill="1"/>
    <xf numFmtId="179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1" fillId="4" borderId="2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9" fontId="1" fillId="4" borderId="3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" fillId="4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6" xfId="0" applyFill="1" applyBorder="1"/>
    <xf numFmtId="0" fontId="1" fillId="0" borderId="7" xfId="0" applyFont="1" applyBorder="1" applyAlignment="1">
      <alignment horizontal="center" vertical="center"/>
    </xf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right" vertical="center"/>
    </xf>
    <xf numFmtId="10" fontId="1" fillId="5" borderId="15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10" fontId="1" fillId="5" borderId="10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right" vertical="center"/>
    </xf>
    <xf numFmtId="10" fontId="1" fillId="5" borderId="17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right" vertical="center"/>
    </xf>
    <xf numFmtId="179" fontId="1" fillId="5" borderId="17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1" fillId="4" borderId="1" xfId="0" applyFont="1" applyFill="1" applyBorder="1"/>
    <xf numFmtId="181" fontId="0" fillId="2" borderId="0" xfId="0" applyNumberFormat="1" applyFill="1"/>
    <xf numFmtId="182" fontId="0" fillId="2" borderId="0" xfId="0" applyNumberFormat="1" applyFill="1"/>
    <xf numFmtId="0" fontId="0" fillId="6" borderId="0" xfId="0" applyFill="1"/>
    <xf numFmtId="18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80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2774230054158918E-2"/>
          <c:y val="0.10320284697508897"/>
          <c:w val="0.85011371406974023"/>
          <c:h val="0.7829181494661922"/>
        </c:manualLayout>
      </c:layout>
      <c:lineChart>
        <c:grouping val="standard"/>
        <c:ser>
          <c:idx val="1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Withdrawals!$N$4:$N$44</c:f>
              <c:numCache>
                <c:formatCode>General</c:formatCode>
                <c:ptCount val="4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</c:numCache>
            </c:numRef>
          </c:cat>
          <c:val>
            <c:numRef>
              <c:f>Withdrawals!$R$4:$R$44</c:f>
              <c:numCache>
                <c:formatCode>0.0%</c:formatCode>
                <c:ptCount val="41"/>
                <c:pt idx="0">
                  <c:v>1.0381053520204446</c:v>
                </c:pt>
                <c:pt idx="1">
                  <c:v>0.52875712279797871</c:v>
                </c:pt>
                <c:pt idx="2">
                  <c:v>0.35905350229269173</c:v>
                </c:pt>
                <c:pt idx="3">
                  <c:v>0.27426099249435915</c:v>
                </c:pt>
                <c:pt idx="4">
                  <c:v>0.22343288057614583</c:v>
                </c:pt>
                <c:pt idx="5">
                  <c:v>0.18958691794699203</c:v>
                </c:pt>
                <c:pt idx="6">
                  <c:v>0.16544498869699506</c:v>
                </c:pt>
                <c:pt idx="7">
                  <c:v>0.14736802671684562</c:v>
                </c:pt>
                <c:pt idx="8">
                  <c:v>0.13333432141141885</c:v>
                </c:pt>
                <c:pt idx="9">
                  <c:v>0.12213083999153078</c:v>
                </c:pt>
                <c:pt idx="10">
                  <c:v>0.112985646703122</c:v>
                </c:pt>
                <c:pt idx="11">
                  <c:v>0.10538411244694902</c:v>
                </c:pt>
                <c:pt idx="12">
                  <c:v>9.8969950732264181E-2</c:v>
                </c:pt>
                <c:pt idx="13">
                  <c:v>9.3488666797399506E-2</c:v>
                </c:pt>
                <c:pt idx="14">
                  <c:v>8.875362708593848E-2</c:v>
                </c:pt>
                <c:pt idx="15">
                  <c:v>8.4624852672814041E-2</c:v>
                </c:pt>
                <c:pt idx="16">
                  <c:v>8.0995297366738842E-2</c:v>
                </c:pt>
                <c:pt idx="17">
                  <c:v>7.7781699781413055E-2</c:v>
                </c:pt>
                <c:pt idx="18">
                  <c:v>7.491832422902385E-2</c:v>
                </c:pt>
                <c:pt idx="19">
                  <c:v>7.2352579348142307E-2</c:v>
                </c:pt>
                <c:pt idx="20">
                  <c:v>7.0041888554460113E-2</c:v>
                </c:pt>
                <c:pt idx="21">
                  <c:v>6.7951414007007743E-2</c:v>
                </c:pt>
                <c:pt idx="22">
                  <c:v>6.6052374324183316E-2</c:v>
                </c:pt>
                <c:pt idx="23">
                  <c:v>6.4320782872475252E-2</c:v>
                </c:pt>
                <c:pt idx="24">
                  <c:v>6.2736488867437601E-2</c:v>
                </c:pt>
                <c:pt idx="25">
                  <c:v>6.1282439760456706E-2</c:v>
                </c:pt>
                <c:pt idx="26">
                  <c:v>5.9944107540835026E-2</c:v>
                </c:pt>
                <c:pt idx="27">
                  <c:v>5.8709037974280703E-2</c:v>
                </c:pt>
                <c:pt idx="28">
                  <c:v>5.7566493103417604E-2</c:v>
                </c:pt>
                <c:pt idx="29">
                  <c:v>5.650716524909985E-2</c:v>
                </c:pt>
                <c:pt idx="30">
                  <c:v>5.5522946367110977E-2</c:v>
                </c:pt>
                <c:pt idx="31">
                  <c:v>5.4606740651183601E-2</c:v>
                </c:pt>
                <c:pt idx="32">
                  <c:v>5.3752311208805158E-2</c:v>
                </c:pt>
                <c:pt idx="33">
                  <c:v>5.2954153794754585E-2</c:v>
                </c:pt>
                <c:pt idx="34">
                  <c:v>5.2207392190756097E-2</c:v>
                </c:pt>
                <c:pt idx="35">
                  <c:v>5.1507691022217097E-2</c:v>
                </c:pt>
                <c:pt idx="36">
                  <c:v>5.0851182713079375E-2</c:v>
                </c:pt>
                <c:pt idx="37">
                  <c:v>5.0234405974333388E-2</c:v>
                </c:pt>
                <c:pt idx="38">
                  <c:v>4.9654253755992202E-2</c:v>
                </c:pt>
                <c:pt idx="39">
                  <c:v>4.9107929006363543E-2</c:v>
                </c:pt>
                <c:pt idx="40">
                  <c:v>4.8592906905612389E-2</c:v>
                </c:pt>
              </c:numCache>
            </c:numRef>
          </c:val>
        </c:ser>
        <c:marker val="1"/>
        <c:axId val="344675840"/>
        <c:axId val="344677376"/>
      </c:lineChart>
      <c:lineChart>
        <c:grouping val="standard"/>
        <c:ser>
          <c:idx val="0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Withdrawals!$N$4:$N$44</c:f>
              <c:numCache>
                <c:formatCode>General</c:formatCode>
                <c:ptCount val="4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</c:numCache>
            </c:numRef>
          </c:cat>
          <c:val>
            <c:numRef>
              <c:f>Withdrawals!$P$4:$P$44</c:f>
              <c:numCache>
                <c:formatCode>0.0%</c:formatCode>
                <c:ptCount val="41"/>
                <c:pt idx="0">
                  <c:v>1.2796277412444934E-2</c:v>
                </c:pt>
                <c:pt idx="1">
                  <c:v>1.3951677279198438E-2</c:v>
                </c:pt>
                <c:pt idx="2">
                  <c:v>1.5189733963101526E-2</c:v>
                </c:pt>
                <c:pt idx="3">
                  <c:v>1.6511624248200962E-2</c:v>
                </c:pt>
                <c:pt idx="4">
                  <c:v>1.7917333673182489E-2</c:v>
                </c:pt>
                <c:pt idx="5">
                  <c:v>1.9405347903261316E-2</c:v>
                </c:pt>
                <c:pt idx="6">
                  <c:v>2.0972302309024138E-2</c:v>
                </c:pt>
                <c:pt idx="7">
                  <c:v>2.261259141041827E-2</c:v>
                </c:pt>
                <c:pt idx="8">
                  <c:v>2.4317943027937772E-2</c:v>
                </c:pt>
                <c:pt idx="9">
                  <c:v>2.6076966298397397E-2</c:v>
                </c:pt>
                <c:pt idx="10">
                  <c:v>2.7874688345304488E-2</c:v>
                </c:pt>
                <c:pt idx="11">
                  <c:v>2.9692101484773081E-2</c:v>
                </c:pt>
                <c:pt idx="12">
                  <c:v>3.1505751444021568E-2</c:v>
                </c:pt>
                <c:pt idx="13">
                  <c:v>3.3287407053665952E-2</c:v>
                </c:pt>
                <c:pt idx="14">
                  <c:v>3.500386287440882E-2</c:v>
                </c:pt>
                <c:pt idx="15">
                  <c:v>3.6616937490953405E-2</c:v>
                </c:pt>
                <c:pt idx="16">
                  <c:v>3.8083740511234199E-2</c:v>
                </c:pt>
                <c:pt idx="17">
                  <c:v>3.9357288783658406E-2</c:v>
                </c:pt>
                <c:pt idx="18">
                  <c:v>4.0387554407905535E-2</c:v>
                </c:pt>
                <c:pt idx="19">
                  <c:v>4.1123020456122483E-2</c:v>
                </c:pt>
                <c:pt idx="20">
                  <c:v>4.1512801044509495E-2</c:v>
                </c:pt>
                <c:pt idx="21">
                  <c:v>4.1509346403858727E-2</c:v>
                </c:pt>
                <c:pt idx="22">
                  <c:v>4.1071697325588241E-2</c:v>
                </c:pt>
                <c:pt idx="23">
                  <c:v>4.0169174928481155E-2</c:v>
                </c:pt>
                <c:pt idx="24">
                  <c:v>3.8785292506913649E-2</c:v>
                </c:pt>
                <c:pt idx="25">
                  <c:v>3.6921562893729498E-2</c:v>
                </c:pt>
                <c:pt idx="26">
                  <c:v>3.4600761005780023E-2</c:v>
                </c:pt>
                <c:pt idx="27">
                  <c:v>3.1869109052535816E-2</c:v>
                </c:pt>
                <c:pt idx="28">
                  <c:v>2.8796811155252677E-2</c:v>
                </c:pt>
                <c:pt idx="29">
                  <c:v>2.5476409283638035E-2</c:v>
                </c:pt>
                <c:pt idx="30">
                  <c:v>2.2018595248973538E-2</c:v>
                </c:pt>
                <c:pt idx="31">
                  <c:v>1.8545411701887171E-2</c:v>
                </c:pt>
                <c:pt idx="32">
                  <c:v>1.5181198053556888E-2</c:v>
                </c:pt>
                <c:pt idx="33">
                  <c:v>1.2042132832437935E-2</c:v>
                </c:pt>
                <c:pt idx="34">
                  <c:v>9.2256929448703007E-3</c:v>
                </c:pt>
                <c:pt idx="35">
                  <c:v>6.8016562311694617E-3</c:v>
                </c:pt>
                <c:pt idx="36">
                  <c:v>4.8062746244890153E-3</c:v>
                </c:pt>
                <c:pt idx="37">
                  <c:v>3.2408454305302703E-3</c:v>
                </c:pt>
                <c:pt idx="38">
                  <c:v>2.0751168881227855E-3</c:v>
                </c:pt>
                <c:pt idx="39">
                  <c:v>1.2549338327840776E-3</c:v>
                </c:pt>
                <c:pt idx="40">
                  <c:v>7.1254320102009938E-4</c:v>
                </c:pt>
              </c:numCache>
            </c:numRef>
          </c:val>
        </c:ser>
        <c:marker val="1"/>
        <c:axId val="350458624"/>
        <c:axId val="350460544"/>
      </c:lineChart>
      <c:catAx>
        <c:axId val="344675840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4677376"/>
        <c:crosses val="autoZero"/>
        <c:lblAlgn val="ctr"/>
        <c:lblOffset val="100"/>
        <c:tickLblSkip val="2"/>
        <c:tickMarkSkip val="2"/>
      </c:catAx>
      <c:valAx>
        <c:axId val="344677376"/>
        <c:scaling>
          <c:orientation val="minMax"/>
          <c:max val="0.15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cross"/>
        <c:tickLblPos val="nextTo"/>
        <c:spPr>
          <a:ln w="25400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4675840"/>
        <c:crosses val="autoZero"/>
        <c:crossBetween val="midCat"/>
        <c:majorUnit val="0.01"/>
        <c:minorUnit val="0.01"/>
      </c:valAx>
      <c:catAx>
        <c:axId val="350458624"/>
        <c:scaling>
          <c:orientation val="minMax"/>
        </c:scaling>
        <c:delete val="1"/>
        <c:axPos val="b"/>
        <c:numFmt formatCode="General" sourceLinked="1"/>
        <c:tickLblPos val="none"/>
        <c:crossAx val="350460544"/>
        <c:crosses val="autoZero"/>
        <c:lblAlgn val="ctr"/>
        <c:lblOffset val="100"/>
      </c:catAx>
      <c:valAx>
        <c:axId val="350460544"/>
        <c:scaling>
          <c:orientation val="minMax"/>
        </c:scaling>
        <c:axPos val="r"/>
        <c:numFmt formatCode="0%" sourceLinked="0"/>
        <c:majorTickMark val="cross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45862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200" verticalDpi="200" copies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500021798308103"/>
          <c:y val="6.3927225702882881E-2"/>
          <c:w val="0.80357282989123513"/>
          <c:h val="0.81278901250808233"/>
        </c:manualLayout>
      </c:layout>
      <c:barChart>
        <c:barDir val="col"/>
        <c:grouping val="clustered"/>
        <c:ser>
          <c:idx val="1"/>
          <c:order val="1"/>
          <c:spPr>
            <a:noFill/>
            <a:ln w="12700">
              <a:solidFill>
                <a:srgbClr val="FF0000"/>
              </a:solidFill>
              <a:prstDash val="solid"/>
            </a:ln>
          </c:spPr>
          <c:cat>
            <c:numRef>
              <c:f>Withdrawals!$N$4:$N$44</c:f>
              <c:numCache>
                <c:formatCode>General</c:formatCode>
                <c:ptCount val="4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</c:numCache>
            </c:numRef>
          </c:cat>
          <c:val>
            <c:numRef>
              <c:f>Withdrawals!$AB$4:$AB$44</c:f>
              <c:numCache>
                <c:formatCode>"$"#,##0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103.79075698520165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val>
        </c:ser>
        <c:axId val="288965376"/>
        <c:axId val="288966912"/>
      </c:barChart>
      <c:lineChart>
        <c:grouping val="standard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Withdrawals!$N$4:$N$44</c:f>
              <c:numCache>
                <c:formatCode>General</c:formatCode>
                <c:ptCount val="4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</c:numCache>
            </c:numRef>
          </c:cat>
          <c:val>
            <c:numRef>
              <c:f>Withdrawals!$AA$3:$AA$44</c:f>
              <c:numCache>
                <c:formatCode>"$"#,##0</c:formatCode>
                <c:ptCount val="42"/>
                <c:pt idx="0">
                  <c:v>100</c:v>
                </c:pt>
                <c:pt idx="1">
                  <c:v>99.72859790837002</c:v>
                </c:pt>
                <c:pt idx="2">
                  <c:v>103.79075698520165</c:v>
                </c:pt>
                <c:pt idx="3">
                  <c:v>92.092010955709497</c:v>
                </c:pt>
                <c:pt idx="4">
                  <c:v>87.915485940627022</c:v>
                </c:pt>
                <c:pt idx="5">
                  <c:v>83.496141198632685</c:v>
                </c:pt>
                <c:pt idx="6">
                  <c:v>85.090157713887194</c:v>
                </c:pt>
                <c:pt idx="7">
                  <c:v>97.739387219523692</c:v>
                </c:pt>
                <c:pt idx="8">
                  <c:v>92.649498489995196</c:v>
                </c:pt>
                <c:pt idx="9">
                  <c:v>78.89968158656805</c:v>
                </c:pt>
                <c:pt idx="10">
                  <c:v>82.430801898720475</c:v>
                </c:pt>
                <c:pt idx="11">
                  <c:v>73.61503571988267</c:v>
                </c:pt>
                <c:pt idx="12">
                  <c:v>68.334378032922501</c:v>
                </c:pt>
                <c:pt idx="13">
                  <c:v>59.98162466434524</c:v>
                </c:pt>
                <c:pt idx="14">
                  <c:v>68.385012700161354</c:v>
                </c:pt>
                <c:pt idx="15">
                  <c:v>67.218920085847188</c:v>
                </c:pt>
                <c:pt idx="16">
                  <c:v>63.438637500329364</c:v>
                </c:pt>
                <c:pt idx="17">
                  <c:v>55.932189452802561</c:v>
                </c:pt>
                <c:pt idx="18">
                  <c:v>42.022340965179332</c:v>
                </c:pt>
                <c:pt idx="19">
                  <c:v>37.970740434685524</c:v>
                </c:pt>
                <c:pt idx="20">
                  <c:v>26.350272872521117</c:v>
                </c:pt>
                <c:pt idx="21">
                  <c:v>12.528049329060904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288965376"/>
        <c:axId val="288966912"/>
      </c:lineChart>
      <c:catAx>
        <c:axId val="288965376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66912"/>
        <c:crosses val="autoZero"/>
        <c:auto val="1"/>
        <c:lblAlgn val="ctr"/>
        <c:lblOffset val="100"/>
        <c:tickLblSkip val="3"/>
        <c:tickMarkSkip val="1"/>
      </c:catAx>
      <c:valAx>
        <c:axId val="288966912"/>
        <c:scaling>
          <c:orientation val="minMax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&quot;$&quot;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965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47625</xdr:rowOff>
    </xdr:from>
    <xdr:to>
      <xdr:col>5</xdr:col>
      <xdr:colOff>638175</xdr:colOff>
      <xdr:row>22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38100</xdr:rowOff>
    </xdr:from>
    <xdr:to>
      <xdr:col>11</xdr:col>
      <xdr:colOff>0</xdr:colOff>
      <xdr:row>20</xdr:row>
      <xdr:rowOff>114300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0.62197</cdr:x>
      <cdr:y>0.01773</cdr:y>
    </cdr:from>
    <cdr:to>
      <cdr:x>0.84512</cdr:x>
      <cdr:y>0.16313</cdr:y>
    </cdr:to>
    <cdr:sp macro="" textlink="Withdrawals!$S$8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657226" y="50800"/>
          <a:ext cx="952247" cy="3905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9050">
          <a:solidFill>
            <a:srgbClr val="0000FF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DCB0C1-5576-4BA8-BBE6-A512FE1DC8A4}" type="TxLink"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en-GB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0.01116</cdr:x>
      <cdr:y>0.01773</cdr:y>
    </cdr:from>
    <cdr:to>
      <cdr:x>0.51344</cdr:x>
      <cdr:y>0.08501</cdr:y>
    </cdr:to>
    <cdr:sp macro="" textlink="Withdrawals!$S$9">
      <cdr:nvSpPr>
        <cdr:cNvPr id="205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2143339" cy="1807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9050">
          <a:solidFill>
            <a:srgbClr val="80008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FF7969F8-F914-4AC1-93BC-3BD581458807}" type="TxLink"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en-GB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0.09622</cdr:x>
      <cdr:y>0.42428</cdr:y>
    </cdr:from>
    <cdr:to>
      <cdr:x>0.26805</cdr:x>
      <cdr:y>0.49156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760" y="1142822"/>
          <a:ext cx="733220" cy="18070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9050">
          <a:solidFill>
            <a:srgbClr val="FF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Fraction Dying</a:t>
          </a:r>
        </a:p>
      </cdr:txBody>
    </cdr:sp>
  </cdr:relSizeAnchor>
  <cdr:relSizeAnchor xmlns:cdr="http://schemas.openxmlformats.org/drawingml/2006/chartDrawing">
    <cdr:from>
      <cdr:x>0.13924</cdr:x>
      <cdr:y>0.6536</cdr:y>
    </cdr:from>
    <cdr:to>
      <cdr:x>0.58115</cdr:x>
      <cdr:y>0.87352</cdr:y>
    </cdr:to>
    <cdr:sp macro="" textlink="Withdrawals!$S$17">
      <cdr:nvSpPr>
        <cdr:cNvPr id="2056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97325" y="1758785"/>
          <a:ext cx="1885722" cy="59070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80008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1E3C999-E670-4ED4-B6BD-00314E360F2F}" type="TxLink"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en-GB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0.1759</cdr:x>
      <cdr:y>0.1207</cdr:y>
    </cdr:from>
    <cdr:to>
      <cdr:x>0.24947</cdr:x>
      <cdr:y>0.18797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774" y="327368"/>
          <a:ext cx="313939" cy="1807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9050">
          <a:solidFill>
            <a:srgbClr val="0000FF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MRW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0.12123</cdr:x>
      <cdr:y>0.02273</cdr:y>
    </cdr:from>
    <cdr:to>
      <cdr:x>0.71555</cdr:x>
      <cdr:y>0.09551</cdr:y>
    </cdr:to>
    <cdr:sp macro="" textlink="Withdrawals!$S$19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27642" y="50800"/>
          <a:ext cx="1590710" cy="15251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9050">
          <a:solidFill>
            <a:srgbClr val="008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57E8A7-F5C2-4E67-9CB6-EE3FDE5A537D}" type="TxLink"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en-GB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0.66106</cdr:x>
      <cdr:y>0.09527</cdr:y>
    </cdr:from>
    <cdr:to>
      <cdr:x>0.97425</cdr:x>
      <cdr:y>0.15899</cdr:y>
    </cdr:to>
    <cdr:sp macro="" textlink="Withdrawals!$S$2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772510" y="202819"/>
          <a:ext cx="838269" cy="13351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FF0000"/>
          </a:solidFill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B75914-5007-4EA2-A887-B769BF8D9814}" type="TxLink">
            <a:rPr lang="en-GB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</a:t>
          </a:fld>
          <a:endParaRPr lang="en-GB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44"/>
  <sheetViews>
    <sheetView tabSelected="1" workbookViewId="0">
      <selection activeCell="F33" sqref="F33"/>
    </sheetView>
  </sheetViews>
  <sheetFormatPr defaultRowHeight="11.25"/>
  <cols>
    <col min="1" max="1" width="0.6640625" customWidth="1"/>
    <col min="2" max="2" width="34.5" customWidth="1"/>
    <col min="5" max="5" width="10.33203125" customWidth="1"/>
    <col min="6" max="6" width="12.33203125" customWidth="1"/>
    <col min="15" max="16" width="9.33203125" style="1"/>
    <col min="18" max="18" width="10" customWidth="1"/>
    <col min="19" max="19" width="11.83203125" customWidth="1"/>
    <col min="20" max="20" width="7.5" customWidth="1"/>
    <col min="25" max="25" width="5.83203125" customWidth="1"/>
    <col min="26" max="28" width="9.33203125" style="1"/>
  </cols>
  <sheetData>
    <row r="1" spans="2:29" ht="6.75" customHeight="1" thickBot="1">
      <c r="Y1" s="51"/>
      <c r="Z1" s="51"/>
      <c r="AA1" s="55">
        <f ca="1">MAX(AA3:AA44)</f>
        <v>103.79075698520165</v>
      </c>
      <c r="AB1" s="53"/>
    </row>
    <row r="2" spans="2:29" ht="12.75" thickTop="1" thickBot="1">
      <c r="B2" s="38" t="s">
        <v>41</v>
      </c>
      <c r="C2" s="39">
        <v>0.09</v>
      </c>
      <c r="E2" s="35"/>
      <c r="F2" s="36" t="s">
        <v>1</v>
      </c>
      <c r="G2" s="37">
        <v>65</v>
      </c>
      <c r="H2" s="15"/>
      <c r="I2" s="44"/>
      <c r="J2" s="45" t="s">
        <v>22</v>
      </c>
      <c r="K2" s="46">
        <v>0.95</v>
      </c>
      <c r="N2" s="5" t="s">
        <v>18</v>
      </c>
      <c r="O2" s="5" t="s">
        <v>11</v>
      </c>
      <c r="P2" s="5" t="s">
        <v>21</v>
      </c>
      <c r="Q2" s="5" t="s">
        <v>12</v>
      </c>
      <c r="R2" s="5" t="s">
        <v>14</v>
      </c>
      <c r="Y2" s="51" t="s">
        <v>32</v>
      </c>
      <c r="Z2" s="53" t="s">
        <v>30</v>
      </c>
      <c r="AA2" s="53" t="s">
        <v>35</v>
      </c>
      <c r="AB2" s="53" t="s">
        <v>36</v>
      </c>
      <c r="AC2" s="18"/>
    </row>
    <row r="3" spans="2:29" ht="12" customHeight="1" thickTop="1" thickBot="1">
      <c r="B3" s="40" t="s">
        <v>42</v>
      </c>
      <c r="C3" s="41">
        <v>0.15</v>
      </c>
      <c r="E3" s="32"/>
      <c r="F3" s="33" t="s">
        <v>29</v>
      </c>
      <c r="G3" s="34" t="s">
        <v>16</v>
      </c>
      <c r="H3" s="15"/>
      <c r="I3" s="15"/>
      <c r="J3" s="15"/>
      <c r="K3" s="15"/>
      <c r="M3" s="2"/>
      <c r="N3" s="5" t="s">
        <v>19</v>
      </c>
      <c r="O3" s="5" t="s">
        <v>10</v>
      </c>
      <c r="P3" s="5" t="s">
        <v>10</v>
      </c>
      <c r="Q3" s="5" t="s">
        <v>13</v>
      </c>
      <c r="R3" s="5" t="s">
        <v>15</v>
      </c>
      <c r="Y3" s="51">
        <v>1</v>
      </c>
      <c r="Z3" s="54">
        <v>0</v>
      </c>
      <c r="AA3" s="52">
        <v>100</v>
      </c>
      <c r="AB3" s="52">
        <v>-1</v>
      </c>
      <c r="AC3" s="13"/>
    </row>
    <row r="4" spans="2:29" ht="12.75" thickTop="1" thickBot="1">
      <c r="B4" s="42" t="s">
        <v>0</v>
      </c>
      <c r="C4" s="43">
        <v>0.04</v>
      </c>
      <c r="M4" s="2"/>
      <c r="N4" s="5">
        <f>G2</f>
        <v>65</v>
      </c>
      <c r="O4" s="6">
        <f>1-EXP(EXP(($G$2-$W$7)/$X$7)*(1-EXP($Q4/$X$7)))</f>
        <v>1.2796277412444934E-2</v>
      </c>
      <c r="P4" s="6">
        <f>1-EXP(EXP(($G$2-$W$7)/$X$7)*(1-EXP($Q4/$X$7)))</f>
        <v>1.2796277412444934E-2</v>
      </c>
      <c r="Q4" s="3">
        <v>1</v>
      </c>
      <c r="R4" s="6">
        <f>$T$7 /(1-$T$6^Q4)</f>
        <v>1.0381053520204446</v>
      </c>
      <c r="S4" s="7" t="s">
        <v>6</v>
      </c>
      <c r="T4" s="4"/>
      <c r="V4" s="10"/>
      <c r="W4" s="11" t="s">
        <v>2</v>
      </c>
      <c r="X4" s="11" t="s">
        <v>3</v>
      </c>
      <c r="Y4" s="51">
        <f>1+Y3</f>
        <v>2</v>
      </c>
      <c r="Z4" s="54">
        <f ca="1">NORMINV(RAND(),$C$2,$C$3)</f>
        <v>5.5424478887143774E-2</v>
      </c>
      <c r="AA4" s="52">
        <f ca="1">MAX(AA3*(1+Z4)-$T$10*$W$10^Y4,0)</f>
        <v>99.72859790837002</v>
      </c>
      <c r="AB4" s="52">
        <f t="shared" ref="AB4:AB44" si="0">IF(N4=$G$2+$K$5,AA$1,-1)</f>
        <v>-1</v>
      </c>
    </row>
    <row r="5" spans="2:29" ht="12.75" thickTop="1" thickBot="1">
      <c r="G5" s="27"/>
      <c r="H5" s="24"/>
      <c r="I5" s="24"/>
      <c r="J5" s="25" t="str">
        <f>"Years to die at "&amp;TEXT(K2,"0.0%")&amp;" probability is "</f>
        <v xml:space="preserve">Years to die at 95.0% probability is </v>
      </c>
      <c r="K5" s="26">
        <f>ROUNDUP($X$7*LN(1-EXP(($W$7-$G$2)/$X$7)*LN(1-$K$2)),0)</f>
        <v>33</v>
      </c>
      <c r="M5" s="2"/>
      <c r="N5" s="5">
        <f>N4+$T$11</f>
        <v>66</v>
      </c>
      <c r="O5" s="6">
        <f t="shared" ref="O5:O44" si="1">1-EXP(EXP(($G$2-$W$7)/$X$7)*(1-EXP($Q5/$X$7)))</f>
        <v>2.6747954691643372E-2</v>
      </c>
      <c r="P5" s="6">
        <f>O5-O4</f>
        <v>1.3951677279198438E-2</v>
      </c>
      <c r="Q5" s="5">
        <f>Q4+$T$11</f>
        <v>2</v>
      </c>
      <c r="R5" s="6">
        <f>$T$7 /(1-$T$6^Q5)</f>
        <v>0.52875712279797871</v>
      </c>
      <c r="S5" s="3" t="s">
        <v>7</v>
      </c>
      <c r="T5" s="4">
        <f>SQRT((1+C2)^2-C3^2)-1</f>
        <v>7.9629566101262483E-2</v>
      </c>
      <c r="V5" s="12" t="s">
        <v>4</v>
      </c>
      <c r="W5" s="11">
        <v>81</v>
      </c>
      <c r="X5" s="11">
        <v>86</v>
      </c>
      <c r="Y5" s="51">
        <f t="shared" ref="Y5:Y44" si="2">1+Y4</f>
        <v>3</v>
      </c>
      <c r="Z5" s="54">
        <f t="shared" ref="Z5:Z44" ca="1" si="3">NORMINV(RAND(),$C$2,$C$3)</f>
        <v>0.10136072569352109</v>
      </c>
      <c r="AA5" s="52">
        <f t="shared" ref="AA5:AA44" ca="1" si="4">MAX(AA4*(1+Z5)-$T$10*$W$10^Y5,0)</f>
        <v>103.79075698520165</v>
      </c>
      <c r="AB5" s="52">
        <f t="shared" si="0"/>
        <v>-1</v>
      </c>
    </row>
    <row r="6" spans="2:29" ht="12.75" thickTop="1" thickBot="1">
      <c r="G6" s="19"/>
      <c r="H6" s="20"/>
      <c r="I6" s="20"/>
      <c r="J6" s="21" t="s">
        <v>23</v>
      </c>
      <c r="K6" s="23">
        <f>$T$7 /(1-$T$6^(K5))</f>
        <v>5.3752311208805158E-2</v>
      </c>
      <c r="M6" s="2"/>
      <c r="N6" s="5">
        <f t="shared" ref="N6:Q44" si="5">N5+$T$11</f>
        <v>67</v>
      </c>
      <c r="O6" s="6">
        <f t="shared" si="1"/>
        <v>4.1937688654744898E-2</v>
      </c>
      <c r="P6" s="6">
        <f t="shared" ref="P6:P44" si="6">O6-O5</f>
        <v>1.5189733963101526E-2</v>
      </c>
      <c r="Q6" s="5">
        <f t="shared" si="5"/>
        <v>3</v>
      </c>
      <c r="R6" s="6">
        <f>$T$7 /(1-$T$6^Q6)</f>
        <v>0.35905350229269173</v>
      </c>
      <c r="S6" s="3" t="s">
        <v>8</v>
      </c>
      <c r="T6" s="4">
        <f>(1+C4)/(1+T5)</f>
        <v>0.96329336714594438</v>
      </c>
      <c r="V6" s="12" t="s">
        <v>5</v>
      </c>
      <c r="W6" s="11">
        <v>10.5</v>
      </c>
      <c r="X6" s="11">
        <v>10</v>
      </c>
      <c r="Y6" s="51">
        <f t="shared" si="2"/>
        <v>4</v>
      </c>
      <c r="Z6" s="54">
        <f t="shared" ca="1" si="3"/>
        <v>-5.2128783409134488E-2</v>
      </c>
      <c r="AA6" s="52">
        <f t="shared" ca="1" si="4"/>
        <v>92.092010955709497</v>
      </c>
      <c r="AB6" s="52">
        <f t="shared" si="0"/>
        <v>-1</v>
      </c>
    </row>
    <row r="7" spans="2:29" ht="12" thickTop="1">
      <c r="M7" s="2"/>
      <c r="N7" s="5">
        <f t="shared" si="5"/>
        <v>68</v>
      </c>
      <c r="O7" s="6">
        <f t="shared" si="1"/>
        <v>5.844931290294586E-2</v>
      </c>
      <c r="P7" s="6">
        <f t="shared" si="6"/>
        <v>1.6511624248200962E-2</v>
      </c>
      <c r="Q7" s="5">
        <f t="shared" si="5"/>
        <v>4</v>
      </c>
      <c r="R7" s="6">
        <f>$T$7 /(1-$T$6^Q7)</f>
        <v>0.27426099249435915</v>
      </c>
      <c r="S7" s="3" t="s">
        <v>20</v>
      </c>
      <c r="T7" s="4">
        <f>(1-T6)/T6</f>
        <v>3.8105352020444627E-2</v>
      </c>
      <c r="V7" s="12" t="s">
        <v>39</v>
      </c>
      <c r="W7" s="11">
        <f>IF(G3="m",W5,X5)</f>
        <v>86</v>
      </c>
      <c r="X7" s="11">
        <f>IF(G3="m",W6,X6)</f>
        <v>10</v>
      </c>
      <c r="Y7" s="51">
        <f t="shared" si="2"/>
        <v>5</v>
      </c>
      <c r="Z7" s="54">
        <f t="shared" ca="1" si="3"/>
        <v>2.5662003736069888E-2</v>
      </c>
      <c r="AA7" s="52">
        <f t="shared" ca="1" si="4"/>
        <v>87.915485940627022</v>
      </c>
      <c r="AB7" s="52">
        <f t="shared" si="0"/>
        <v>-1</v>
      </c>
    </row>
    <row r="8" spans="2:29">
      <c r="M8" s="2"/>
      <c r="N8" s="5">
        <f t="shared" si="5"/>
        <v>69</v>
      </c>
      <c r="O8" s="6">
        <f t="shared" si="1"/>
        <v>7.636664657612835E-2</v>
      </c>
      <c r="P8" s="6">
        <f t="shared" si="6"/>
        <v>1.7917333673182489E-2</v>
      </c>
      <c r="Q8" s="5">
        <f t="shared" si="5"/>
        <v>5</v>
      </c>
      <c r="R8" s="6">
        <f>$T$7 /(1-$T$6^Q8)</f>
        <v>0.22343288057614583</v>
      </c>
      <c r="S8" s="8" t="str">
        <f>"Withdrawal rate approaches "&amp;TEXT(T7,"0.0%")</f>
        <v>Withdrawal rate approaches 3.8%</v>
      </c>
      <c r="T8" s="9"/>
      <c r="U8" s="9"/>
      <c r="V8" s="9"/>
      <c r="W8" s="9"/>
      <c r="X8" s="9"/>
      <c r="Y8" s="51">
        <f t="shared" si="2"/>
        <v>6</v>
      </c>
      <c r="Z8" s="54">
        <f t="shared" ca="1" si="3"/>
        <v>2.7094628421618833E-2</v>
      </c>
      <c r="AA8" s="52">
        <f t="shared" ca="1" si="4"/>
        <v>83.496141198632685</v>
      </c>
      <c r="AB8" s="52">
        <f t="shared" si="0"/>
        <v>-1</v>
      </c>
    </row>
    <row r="9" spans="2:29">
      <c r="M9" s="2"/>
      <c r="N9" s="5">
        <f t="shared" si="5"/>
        <v>70</v>
      </c>
      <c r="O9" s="6">
        <f t="shared" si="1"/>
        <v>9.5771994479389666E-2</v>
      </c>
      <c r="P9" s="6">
        <f t="shared" si="6"/>
        <v>1.9405347903261316E-2</v>
      </c>
      <c r="Q9" s="5">
        <f t="shared" si="5"/>
        <v>6</v>
      </c>
      <c r="R9" s="6">
        <f t="shared" ref="R9:R44" si="7">$T$7 /(1-$T$6^Q9)</f>
        <v>0.18958691794699203</v>
      </c>
      <c r="S9" s="9" t="str">
        <f>"Mean = "&amp;TEXT(C2,"0.0%")&amp;"  SD = "&amp;TEXT(C3,"0.0%")&amp;"   Inflation = "&amp;TEXT(C4,"0.0%")</f>
        <v>Mean = 9.0%  SD = 15.0%   Inflation = 4.0%</v>
      </c>
      <c r="T9" s="9"/>
      <c r="U9" s="9"/>
      <c r="V9" s="9"/>
      <c r="W9" s="9"/>
      <c r="X9" s="9"/>
      <c r="Y9" s="51">
        <f t="shared" si="2"/>
        <v>7</v>
      </c>
      <c r="Z9" s="54">
        <f t="shared" ca="1" si="3"/>
        <v>0.10380664116368279</v>
      </c>
      <c r="AA9" s="52">
        <f t="shared" ca="1" si="4"/>
        <v>85.090157713887194</v>
      </c>
      <c r="AB9" s="52">
        <f t="shared" si="0"/>
        <v>-1</v>
      </c>
    </row>
    <row r="10" spans="2:29">
      <c r="H10" s="13"/>
      <c r="I10" s="13"/>
      <c r="J10" s="13"/>
      <c r="K10" s="13"/>
      <c r="M10" s="2"/>
      <c r="N10" s="5">
        <f t="shared" si="5"/>
        <v>71</v>
      </c>
      <c r="O10" s="6">
        <f t="shared" si="1"/>
        <v>0.1167442967884138</v>
      </c>
      <c r="P10" s="6">
        <f t="shared" si="6"/>
        <v>2.0972302309024138E-2</v>
      </c>
      <c r="Q10" s="5">
        <f t="shared" si="5"/>
        <v>7</v>
      </c>
      <c r="R10" s="6">
        <f t="shared" si="7"/>
        <v>0.16544498869699506</v>
      </c>
      <c r="S10" s="9" t="s">
        <v>31</v>
      </c>
      <c r="T10" s="49">
        <f>100*K6</f>
        <v>5.3752311208805157</v>
      </c>
      <c r="U10" s="9"/>
      <c r="V10" s="16" t="s">
        <v>33</v>
      </c>
      <c r="W10" s="50">
        <f>1+C4</f>
        <v>1.04</v>
      </c>
      <c r="X10" s="9"/>
      <c r="Y10" s="51">
        <f t="shared" si="2"/>
        <v>8</v>
      </c>
      <c r="Z10" s="54">
        <f t="shared" ca="1" si="3"/>
        <v>0.23511067547573475</v>
      </c>
      <c r="AA10" s="52">
        <f t="shared" ca="1" si="4"/>
        <v>97.739387219523692</v>
      </c>
      <c r="AB10" s="52">
        <f t="shared" si="0"/>
        <v>-1</v>
      </c>
    </row>
    <row r="11" spans="2:29">
      <c r="E11" s="1"/>
      <c r="M11" s="2"/>
      <c r="N11" s="5">
        <f t="shared" si="5"/>
        <v>72</v>
      </c>
      <c r="O11" s="6">
        <f t="shared" si="1"/>
        <v>0.13935688819883207</v>
      </c>
      <c r="P11" s="6">
        <f t="shared" si="6"/>
        <v>2.261259141041827E-2</v>
      </c>
      <c r="Q11" s="5">
        <f t="shared" si="5"/>
        <v>8</v>
      </c>
      <c r="R11" s="6">
        <f t="shared" si="7"/>
        <v>0.14736802671684562</v>
      </c>
      <c r="S11" s="5" t="s">
        <v>9</v>
      </c>
      <c r="T11" s="14">
        <f>MAX(ROUNDUP((100-G2)/50,0),1)</f>
        <v>1</v>
      </c>
      <c r="U11" s="9"/>
      <c r="V11" s="9"/>
      <c r="W11" s="9"/>
      <c r="X11" s="9"/>
      <c r="Y11" s="51">
        <f t="shared" si="2"/>
        <v>9</v>
      </c>
      <c r="Z11" s="54">
        <f t="shared" ca="1" si="3"/>
        <v>2.6199685635074271E-2</v>
      </c>
      <c r="AA11" s="52">
        <f t="shared" ca="1" si="4"/>
        <v>92.649498489995196</v>
      </c>
      <c r="AB11" s="52">
        <f t="shared" si="0"/>
        <v>-1</v>
      </c>
    </row>
    <row r="12" spans="2:29">
      <c r="M12" s="2"/>
      <c r="N12" s="5">
        <f t="shared" si="5"/>
        <v>73</v>
      </c>
      <c r="O12" s="6">
        <f t="shared" si="1"/>
        <v>0.16367483122676985</v>
      </c>
      <c r="P12" s="6">
        <f t="shared" si="6"/>
        <v>2.4317943027937772E-2</v>
      </c>
      <c r="Q12" s="5">
        <f t="shared" si="5"/>
        <v>9</v>
      </c>
      <c r="R12" s="6">
        <f t="shared" si="7"/>
        <v>0.13333432141141885</v>
      </c>
      <c r="S12" s="9"/>
      <c r="T12" s="9"/>
      <c r="U12" s="9"/>
      <c r="V12" s="9"/>
      <c r="W12" s="9"/>
      <c r="X12" s="9"/>
      <c r="Y12" s="51">
        <f t="shared" si="2"/>
        <v>10</v>
      </c>
      <c r="Z12" s="54">
        <f t="shared" ca="1" si="3"/>
        <v>-6.2527718455530706E-2</v>
      </c>
      <c r="AA12" s="52">
        <f t="shared" ca="1" si="4"/>
        <v>78.89968158656805</v>
      </c>
      <c r="AB12" s="52">
        <f t="shared" si="0"/>
        <v>-1</v>
      </c>
    </row>
    <row r="13" spans="2:29">
      <c r="M13" s="2"/>
      <c r="N13" s="5">
        <f t="shared" si="5"/>
        <v>74</v>
      </c>
      <c r="O13" s="6">
        <f t="shared" si="1"/>
        <v>0.18975179752516724</v>
      </c>
      <c r="P13" s="6">
        <f t="shared" si="6"/>
        <v>2.6076966298397397E-2</v>
      </c>
      <c r="Q13" s="5">
        <f t="shared" si="5"/>
        <v>10</v>
      </c>
      <c r="R13" s="6">
        <f t="shared" si="7"/>
        <v>0.12213083999153078</v>
      </c>
      <c r="S13" s="16" t="s">
        <v>24</v>
      </c>
      <c r="T13" s="17">
        <f>SUM(P4:P44)</f>
        <v>0.99930151696734404</v>
      </c>
      <c r="U13" s="9"/>
      <c r="V13" s="9"/>
      <c r="W13" s="9"/>
      <c r="X13" s="9"/>
      <c r="Y13" s="51">
        <f t="shared" si="2"/>
        <v>11</v>
      </c>
      <c r="Z13" s="54">
        <f t="shared" ca="1" si="3"/>
        <v>0.14963357807559077</v>
      </c>
      <c r="AA13" s="52">
        <f t="shared" ca="1" si="4"/>
        <v>82.430801898720475</v>
      </c>
      <c r="AB13" s="52">
        <f t="shared" si="0"/>
        <v>-1</v>
      </c>
    </row>
    <row r="14" spans="2:29">
      <c r="M14" s="2"/>
      <c r="N14" s="5">
        <f t="shared" si="5"/>
        <v>75</v>
      </c>
      <c r="O14" s="6">
        <f t="shared" si="1"/>
        <v>0.21762648587047173</v>
      </c>
      <c r="P14" s="6">
        <f t="shared" si="6"/>
        <v>2.7874688345304488E-2</v>
      </c>
      <c r="Q14" s="5">
        <f t="shared" si="5"/>
        <v>11</v>
      </c>
      <c r="R14" s="6">
        <f t="shared" si="7"/>
        <v>0.112985646703122</v>
      </c>
      <c r="S14" s="16" t="s">
        <v>17</v>
      </c>
      <c r="T14" s="6">
        <f>SUMPRODUCT(P4:P44,R4:R44)</f>
        <v>0.11030671567374656</v>
      </c>
      <c r="U14" s="9"/>
      <c r="V14" s="9"/>
      <c r="W14" s="9"/>
      <c r="X14" s="9"/>
      <c r="Y14" s="51">
        <f t="shared" si="2"/>
        <v>12</v>
      </c>
      <c r="Z14" s="54">
        <f t="shared" ca="1" si="3"/>
        <v>-2.5457470657420378E-3</v>
      </c>
      <c r="AA14" s="52">
        <f t="shared" ca="1" si="4"/>
        <v>73.61503571988267</v>
      </c>
      <c r="AB14" s="52">
        <f t="shared" si="0"/>
        <v>-1</v>
      </c>
    </row>
    <row r="15" spans="2:29">
      <c r="M15" s="2"/>
      <c r="N15" s="5">
        <f t="shared" si="5"/>
        <v>76</v>
      </c>
      <c r="O15" s="6">
        <f t="shared" si="1"/>
        <v>0.24731858735524481</v>
      </c>
      <c r="P15" s="6">
        <f t="shared" si="6"/>
        <v>2.9692101484773081E-2</v>
      </c>
      <c r="Q15" s="5">
        <f t="shared" si="5"/>
        <v>12</v>
      </c>
      <c r="R15" s="6">
        <f t="shared" si="7"/>
        <v>0.10538411244694902</v>
      </c>
      <c r="S15" s="9" t="str">
        <f>"Weighted Average Withdrawal rate = "&amp;TEXT(T14,"0.0%")</f>
        <v>Weighted Average Withdrawal rate = 11.0%</v>
      </c>
      <c r="T15" s="9"/>
      <c r="U15" s="9"/>
      <c r="V15" s="9"/>
      <c r="W15" s="9"/>
      <c r="X15" s="9"/>
      <c r="Y15" s="51">
        <f t="shared" si="2"/>
        <v>13</v>
      </c>
      <c r="Z15" s="54">
        <f t="shared" ca="1" si="3"/>
        <v>4.9847116315359014E-2</v>
      </c>
      <c r="AA15" s="52">
        <f t="shared" ca="1" si="4"/>
        <v>68.334378032922501</v>
      </c>
      <c r="AB15" s="52">
        <f t="shared" si="0"/>
        <v>-1</v>
      </c>
    </row>
    <row r="16" spans="2:29">
      <c r="M16" s="2"/>
      <c r="N16" s="5">
        <f t="shared" si="5"/>
        <v>77</v>
      </c>
      <c r="O16" s="6">
        <f t="shared" si="1"/>
        <v>0.27882433879926638</v>
      </c>
      <c r="P16" s="6">
        <f t="shared" si="6"/>
        <v>3.1505751444021568E-2</v>
      </c>
      <c r="Q16" s="5">
        <f t="shared" si="5"/>
        <v>13</v>
      </c>
      <c r="R16" s="6">
        <f t="shared" si="7"/>
        <v>9.8969950732264181E-2</v>
      </c>
      <c r="S16" s="9"/>
      <c r="T16" s="9"/>
      <c r="U16" s="9"/>
      <c r="V16" s="9"/>
      <c r="W16" s="9"/>
      <c r="X16" s="9"/>
      <c r="Y16" s="51">
        <f t="shared" si="2"/>
        <v>14</v>
      </c>
      <c r="Z16" s="54">
        <f t="shared" ca="1" si="3"/>
        <v>1.3981363281200171E-2</v>
      </c>
      <c r="AA16" s="52">
        <f t="shared" ca="1" si="4"/>
        <v>59.98162466434524</v>
      </c>
      <c r="AB16" s="52">
        <f t="shared" si="0"/>
        <v>-1</v>
      </c>
    </row>
    <row r="17" spans="2:28">
      <c r="M17" s="2"/>
      <c r="N17" s="5">
        <f t="shared" si="5"/>
        <v>78</v>
      </c>
      <c r="O17" s="6">
        <f t="shared" si="1"/>
        <v>0.31211174585293233</v>
      </c>
      <c r="P17" s="6">
        <f t="shared" si="6"/>
        <v>3.3287407053665952E-2</v>
      </c>
      <c r="Q17" s="5">
        <f t="shared" si="5"/>
        <v>14</v>
      </c>
      <c r="R17" s="6">
        <f t="shared" si="7"/>
        <v>9.3488666797399506E-2</v>
      </c>
      <c r="S17" s="9" t="str">
        <f>"You are a "&amp;IF(G3="m","male","female")&amp;" aged "&amp;TEXT(G2,"0")&amp;". There is a "&amp;TEXT(K2,"0.0%")&amp;" probability that, with a withdrawal rate of "&amp;TEXT(K6,"0.0%")&amp;", your portfolio will survive you."</f>
        <v>You are a female aged 65. There is a 95.0% probability that, with a withdrawal rate of 5.4%, your portfolio will survive you.</v>
      </c>
      <c r="T17" s="9"/>
      <c r="U17" s="9"/>
      <c r="V17" s="9"/>
      <c r="W17" s="9"/>
      <c r="X17" s="9"/>
      <c r="Y17" s="51">
        <f t="shared" si="2"/>
        <v>15</v>
      </c>
      <c r="Z17" s="54">
        <f t="shared" ca="1" si="3"/>
        <v>0.30149025997146961</v>
      </c>
      <c r="AA17" s="52">
        <f t="shared" ca="1" si="4"/>
        <v>68.385012700161354</v>
      </c>
      <c r="AB17" s="52">
        <f t="shared" si="0"/>
        <v>-1</v>
      </c>
    </row>
    <row r="18" spans="2:28">
      <c r="M18" s="2"/>
      <c r="N18" s="5">
        <f t="shared" si="5"/>
        <v>79</v>
      </c>
      <c r="O18" s="6">
        <f t="shared" si="1"/>
        <v>0.34711560872734115</v>
      </c>
      <c r="P18" s="6">
        <f t="shared" si="6"/>
        <v>3.500386287440882E-2</v>
      </c>
      <c r="Q18" s="5">
        <f t="shared" si="5"/>
        <v>15</v>
      </c>
      <c r="R18" s="6">
        <f t="shared" si="7"/>
        <v>8.875362708593848E-2</v>
      </c>
      <c r="S18" s="9"/>
      <c r="T18" s="9"/>
      <c r="U18" s="9"/>
      <c r="V18" s="9"/>
      <c r="W18" s="9"/>
      <c r="X18" s="9"/>
      <c r="Y18" s="51">
        <f t="shared" si="2"/>
        <v>16</v>
      </c>
      <c r="Z18" s="54">
        <f t="shared" ca="1" si="3"/>
        <v>0.13016908405901631</v>
      </c>
      <c r="AA18" s="52">
        <f t="shared" ca="1" si="4"/>
        <v>67.218920085847188</v>
      </c>
      <c r="AB18" s="52">
        <f t="shared" si="0"/>
        <v>-1</v>
      </c>
    </row>
    <row r="19" spans="2:28">
      <c r="M19" s="2"/>
      <c r="N19" s="5">
        <f t="shared" si="5"/>
        <v>80</v>
      </c>
      <c r="O19" s="6">
        <f t="shared" si="1"/>
        <v>0.38373254621829456</v>
      </c>
      <c r="P19" s="6">
        <f t="shared" si="6"/>
        <v>3.6616937490953405E-2</v>
      </c>
      <c r="Q19" s="5">
        <f t="shared" si="5"/>
        <v>16</v>
      </c>
      <c r="R19" s="6">
        <f>$T$7 /(1-$T$6^Q19)</f>
        <v>8.4624852672814041E-2</v>
      </c>
      <c r="S19" s="9" t="s">
        <v>38</v>
      </c>
      <c r="T19" s="9"/>
      <c r="U19" s="9"/>
      <c r="V19" s="9"/>
      <c r="W19" s="9"/>
      <c r="X19" s="9"/>
      <c r="Y19" s="51">
        <f t="shared" si="2"/>
        <v>17</v>
      </c>
      <c r="Z19" s="54">
        <f t="shared" ca="1" si="3"/>
        <v>9.9527525435260028E-2</v>
      </c>
      <c r="AA19" s="52">
        <f t="shared" ca="1" si="4"/>
        <v>63.438637500329364</v>
      </c>
      <c r="AB19" s="52">
        <f t="shared" si="0"/>
        <v>-1</v>
      </c>
    </row>
    <row r="20" spans="2:28">
      <c r="M20" s="2"/>
      <c r="N20" s="5">
        <f t="shared" si="5"/>
        <v>81</v>
      </c>
      <c r="O20" s="6">
        <f t="shared" si="1"/>
        <v>0.42181628672952876</v>
      </c>
      <c r="P20" s="6">
        <f t="shared" si="6"/>
        <v>3.8083740511234199E-2</v>
      </c>
      <c r="Q20" s="5">
        <f t="shared" si="5"/>
        <v>17</v>
      </c>
      <c r="R20" s="6">
        <f t="shared" si="7"/>
        <v>8.0995297366738842E-2</v>
      </c>
      <c r="S20" s="9" t="s">
        <v>40</v>
      </c>
      <c r="T20" s="9"/>
      <c r="Y20" s="51">
        <f t="shared" si="2"/>
        <v>18</v>
      </c>
      <c r="Z20" s="54">
        <f t="shared" ca="1" si="3"/>
        <v>5.3323716656304893E-2</v>
      </c>
      <c r="AA20" s="52">
        <f t="shared" ca="1" si="4"/>
        <v>55.932189452802561</v>
      </c>
      <c r="AB20" s="52">
        <f t="shared" si="0"/>
        <v>-1</v>
      </c>
    </row>
    <row r="21" spans="2:28" ht="12" thickBot="1">
      <c r="M21" s="2"/>
      <c r="N21" s="5">
        <f t="shared" si="5"/>
        <v>82</v>
      </c>
      <c r="O21" s="6">
        <f t="shared" si="1"/>
        <v>0.46117357551318716</v>
      </c>
      <c r="P21" s="6">
        <f t="shared" si="6"/>
        <v>3.9357288783658406E-2</v>
      </c>
      <c r="Q21" s="5">
        <f t="shared" si="5"/>
        <v>18</v>
      </c>
      <c r="R21" s="6">
        <f t="shared" si="7"/>
        <v>7.7781699781413055E-2</v>
      </c>
      <c r="U21" s="18"/>
      <c r="Y21" s="51">
        <f t="shared" si="2"/>
        <v>19</v>
      </c>
      <c r="Z21" s="54">
        <f t="shared" ca="1" si="3"/>
        <v>-4.6217522594961341E-2</v>
      </c>
      <c r="AA21" s="52">
        <f t="shared" ca="1" si="4"/>
        <v>42.022340965179332</v>
      </c>
      <c r="AB21" s="52">
        <f t="shared" si="0"/>
        <v>-1</v>
      </c>
    </row>
    <row r="22" spans="2:28" ht="12.75" thickTop="1" thickBot="1">
      <c r="G22" s="48" t="s">
        <v>34</v>
      </c>
      <c r="H22" s="20"/>
      <c r="I22" s="20"/>
      <c r="J22" s="20"/>
      <c r="K22" s="47"/>
      <c r="M22" s="2"/>
      <c r="N22" s="5">
        <f t="shared" si="5"/>
        <v>83</v>
      </c>
      <c r="O22" s="6">
        <f t="shared" si="1"/>
        <v>0.5015611299210927</v>
      </c>
      <c r="P22" s="6">
        <f t="shared" si="6"/>
        <v>4.0387554407905535E-2</v>
      </c>
      <c r="Q22" s="5">
        <f t="shared" si="5"/>
        <v>19</v>
      </c>
      <c r="R22" s="6">
        <f t="shared" si="7"/>
        <v>7.491832422902385E-2</v>
      </c>
      <c r="Y22" s="51">
        <f t="shared" si="2"/>
        <v>20</v>
      </c>
      <c r="Z22" s="54">
        <f t="shared" ca="1" si="3"/>
        <v>0.18385917110193986</v>
      </c>
      <c r="AA22" s="52">
        <f t="shared" ca="1" si="4"/>
        <v>37.970740434685524</v>
      </c>
      <c r="AB22" s="52">
        <f t="shared" si="0"/>
        <v>-1</v>
      </c>
    </row>
    <row r="23" spans="2:28" ht="12" thickTop="1">
      <c r="M23" s="2"/>
      <c r="N23" s="5">
        <f t="shared" si="5"/>
        <v>84</v>
      </c>
      <c r="O23" s="6">
        <f t="shared" si="1"/>
        <v>0.54268415037721518</v>
      </c>
      <c r="P23" s="6">
        <f t="shared" si="6"/>
        <v>4.1123020456122483E-2</v>
      </c>
      <c r="Q23" s="5">
        <f t="shared" si="5"/>
        <v>20</v>
      </c>
      <c r="R23" s="6">
        <f t="shared" si="7"/>
        <v>7.2352579348142307E-2</v>
      </c>
      <c r="Y23" s="51">
        <f t="shared" si="2"/>
        <v>21</v>
      </c>
      <c r="Z23" s="54">
        <f t="shared" ca="1" si="3"/>
        <v>1.6550572126870972E-2</v>
      </c>
      <c r="AA23" s="52">
        <f t="shared" ca="1" si="4"/>
        <v>26.350272872521117</v>
      </c>
      <c r="AB23" s="52">
        <f t="shared" si="0"/>
        <v>-1</v>
      </c>
    </row>
    <row r="24" spans="2:28" ht="12" thickBot="1">
      <c r="G24" s="31" t="s">
        <v>27</v>
      </c>
      <c r="M24" s="2"/>
      <c r="N24" s="5">
        <f t="shared" si="5"/>
        <v>85</v>
      </c>
      <c r="O24" s="6">
        <f t="shared" si="1"/>
        <v>0.58419695142172468</v>
      </c>
      <c r="P24" s="6">
        <f t="shared" si="6"/>
        <v>4.1512801044509495E-2</v>
      </c>
      <c r="Q24" s="5">
        <f t="shared" si="5"/>
        <v>21</v>
      </c>
      <c r="R24" s="6">
        <f t="shared" si="7"/>
        <v>7.0041888554460113E-2</v>
      </c>
      <c r="Y24" s="51">
        <f t="shared" si="2"/>
        <v>22</v>
      </c>
      <c r="Z24" s="54">
        <f t="shared" ca="1" si="3"/>
        <v>-4.1113893075962554E-2</v>
      </c>
      <c r="AA24" s="52">
        <f t="shared" ca="1" si="4"/>
        <v>12.528049329060904</v>
      </c>
      <c r="AB24" s="52">
        <f t="shared" si="0"/>
        <v>-1</v>
      </c>
    </row>
    <row r="25" spans="2:28" ht="12.75" thickTop="1" thickBot="1">
      <c r="B25" s="22" t="s">
        <v>25</v>
      </c>
      <c r="C25" s="28" t="s">
        <v>26</v>
      </c>
      <c r="D25" s="29" t="s">
        <v>37</v>
      </c>
      <c r="G25" s="30" t="s">
        <v>28</v>
      </c>
      <c r="M25" s="2"/>
      <c r="N25" s="5">
        <f t="shared" si="5"/>
        <v>86</v>
      </c>
      <c r="O25" s="6">
        <f t="shared" si="1"/>
        <v>0.6257062978255834</v>
      </c>
      <c r="P25" s="6">
        <f t="shared" si="6"/>
        <v>4.1509346403858727E-2</v>
      </c>
      <c r="Q25" s="5">
        <f t="shared" si="5"/>
        <v>22</v>
      </c>
      <c r="R25" s="6">
        <f t="shared" si="7"/>
        <v>6.7951414007007743E-2</v>
      </c>
      <c r="Y25" s="51">
        <f t="shared" si="2"/>
        <v>23</v>
      </c>
      <c r="Z25" s="54">
        <f t="shared" ca="1" si="3"/>
        <v>3.4122009765123945E-2</v>
      </c>
      <c r="AA25" s="52">
        <f t="shared" ca="1" si="4"/>
        <v>0</v>
      </c>
      <c r="AB25" s="52">
        <f t="shared" si="0"/>
        <v>-1</v>
      </c>
    </row>
    <row r="26" spans="2:28" ht="12" thickTop="1">
      <c r="M26" s="2"/>
      <c r="N26" s="5">
        <f t="shared" si="5"/>
        <v>87</v>
      </c>
      <c r="O26" s="6">
        <f t="shared" si="1"/>
        <v>0.66677799515117164</v>
      </c>
      <c r="P26" s="6">
        <f t="shared" si="6"/>
        <v>4.1071697325588241E-2</v>
      </c>
      <c r="Q26" s="5">
        <f t="shared" si="5"/>
        <v>23</v>
      </c>
      <c r="R26" s="6">
        <f t="shared" si="7"/>
        <v>6.6052374324183316E-2</v>
      </c>
      <c r="Y26" s="51">
        <f t="shared" si="2"/>
        <v>24</v>
      </c>
      <c r="Z26" s="54">
        <f t="shared" ca="1" si="3"/>
        <v>-1.5008439277298752E-2</v>
      </c>
      <c r="AA26" s="52">
        <f t="shared" ca="1" si="4"/>
        <v>0</v>
      </c>
      <c r="AB26" s="52">
        <f t="shared" si="0"/>
        <v>-1</v>
      </c>
    </row>
    <row r="27" spans="2:28">
      <c r="M27" s="2"/>
      <c r="N27" s="5">
        <f t="shared" si="5"/>
        <v>88</v>
      </c>
      <c r="O27" s="6">
        <f t="shared" si="1"/>
        <v>0.7069471700796528</v>
      </c>
      <c r="P27" s="6">
        <f t="shared" si="6"/>
        <v>4.0169174928481155E-2</v>
      </c>
      <c r="Q27" s="5">
        <f t="shared" si="5"/>
        <v>24</v>
      </c>
      <c r="R27" s="6">
        <f t="shared" si="7"/>
        <v>6.4320782872475252E-2</v>
      </c>
      <c r="Y27" s="51">
        <f t="shared" si="2"/>
        <v>25</v>
      </c>
      <c r="Z27" s="54">
        <f t="shared" ca="1" si="3"/>
        <v>3.7910339415102495E-2</v>
      </c>
      <c r="AA27" s="52">
        <f t="shared" ca="1" si="4"/>
        <v>0</v>
      </c>
      <c r="AB27" s="52">
        <f t="shared" si="0"/>
        <v>-1</v>
      </c>
    </row>
    <row r="28" spans="2:28">
      <c r="M28" s="2"/>
      <c r="N28" s="5">
        <f t="shared" si="5"/>
        <v>89</v>
      </c>
      <c r="O28" s="6">
        <f t="shared" si="1"/>
        <v>0.74573246258656645</v>
      </c>
      <c r="P28" s="6">
        <f t="shared" si="6"/>
        <v>3.8785292506913649E-2</v>
      </c>
      <c r="Q28" s="5">
        <f t="shared" si="5"/>
        <v>25</v>
      </c>
      <c r="R28" s="6">
        <f t="shared" si="7"/>
        <v>6.2736488867437601E-2</v>
      </c>
      <c r="Y28" s="51">
        <f t="shared" si="2"/>
        <v>26</v>
      </c>
      <c r="Z28" s="54">
        <f t="shared" ca="1" si="3"/>
        <v>0.41244406611425799</v>
      </c>
      <c r="AA28" s="52">
        <f t="shared" ca="1" si="4"/>
        <v>0</v>
      </c>
      <c r="AB28" s="52">
        <f t="shared" si="0"/>
        <v>-1</v>
      </c>
    </row>
    <row r="29" spans="2:28">
      <c r="M29" s="2"/>
      <c r="N29" s="5">
        <f t="shared" si="5"/>
        <v>90</v>
      </c>
      <c r="O29" s="6">
        <f t="shared" si="1"/>
        <v>0.78265402548029595</v>
      </c>
      <c r="P29" s="6">
        <f t="shared" si="6"/>
        <v>3.6921562893729498E-2</v>
      </c>
      <c r="Q29" s="5">
        <f t="shared" si="5"/>
        <v>26</v>
      </c>
      <c r="R29" s="6">
        <f t="shared" si="7"/>
        <v>6.1282439760456706E-2</v>
      </c>
      <c r="Y29" s="51">
        <f t="shared" si="2"/>
        <v>27</v>
      </c>
      <c r="Z29" s="54">
        <f t="shared" ca="1" si="3"/>
        <v>-8.920240225066664E-2</v>
      </c>
      <c r="AA29" s="52">
        <f t="shared" ca="1" si="4"/>
        <v>0</v>
      </c>
      <c r="AB29" s="52">
        <f t="shared" si="0"/>
        <v>-1</v>
      </c>
    </row>
    <row r="30" spans="2:28">
      <c r="M30" s="2"/>
      <c r="N30" s="5">
        <f t="shared" si="5"/>
        <v>91</v>
      </c>
      <c r="O30" s="6">
        <f t="shared" si="1"/>
        <v>0.81725478648607597</v>
      </c>
      <c r="P30" s="6">
        <f t="shared" si="6"/>
        <v>3.4600761005780023E-2</v>
      </c>
      <c r="Q30" s="5">
        <f t="shared" si="5"/>
        <v>27</v>
      </c>
      <c r="R30" s="6">
        <f t="shared" si="7"/>
        <v>5.9944107540835026E-2</v>
      </c>
      <c r="Y30" s="51">
        <f t="shared" si="2"/>
        <v>28</v>
      </c>
      <c r="Z30" s="54">
        <f t="shared" ca="1" si="3"/>
        <v>8.4072368281194937E-2</v>
      </c>
      <c r="AA30" s="52">
        <f t="shared" ca="1" si="4"/>
        <v>0</v>
      </c>
      <c r="AB30" s="52">
        <f t="shared" si="0"/>
        <v>-1</v>
      </c>
    </row>
    <row r="31" spans="2:28">
      <c r="M31" s="2"/>
      <c r="N31" s="5">
        <f t="shared" si="5"/>
        <v>92</v>
      </c>
      <c r="O31" s="6">
        <f t="shared" si="1"/>
        <v>0.84912389553861178</v>
      </c>
      <c r="P31" s="6">
        <f t="shared" si="6"/>
        <v>3.1869109052535816E-2</v>
      </c>
      <c r="Q31" s="5">
        <f t="shared" si="5"/>
        <v>28</v>
      </c>
      <c r="R31" s="6">
        <f t="shared" si="7"/>
        <v>5.8709037974280703E-2</v>
      </c>
      <c r="Y31" s="51">
        <f t="shared" si="2"/>
        <v>29</v>
      </c>
      <c r="Z31" s="54">
        <f t="shared" ca="1" si="3"/>
        <v>0.30069081412861121</v>
      </c>
      <c r="AA31" s="52">
        <f t="shared" ca="1" si="4"/>
        <v>0</v>
      </c>
      <c r="AB31" s="52">
        <f t="shared" si="0"/>
        <v>-1</v>
      </c>
    </row>
    <row r="32" spans="2:28">
      <c r="M32" s="2"/>
      <c r="N32" s="5">
        <f t="shared" si="5"/>
        <v>93</v>
      </c>
      <c r="O32" s="6">
        <f t="shared" si="1"/>
        <v>0.87792070669386446</v>
      </c>
      <c r="P32" s="6">
        <f t="shared" si="6"/>
        <v>2.8796811155252677E-2</v>
      </c>
      <c r="Q32" s="5">
        <f t="shared" si="5"/>
        <v>29</v>
      </c>
      <c r="R32" s="6">
        <f t="shared" si="7"/>
        <v>5.7566493103417604E-2</v>
      </c>
      <c r="Y32" s="51">
        <f t="shared" si="2"/>
        <v>30</v>
      </c>
      <c r="Z32" s="54">
        <f t="shared" ca="1" si="3"/>
        <v>0.24519617591053247</v>
      </c>
      <c r="AA32" s="52">
        <f t="shared" ca="1" si="4"/>
        <v>0</v>
      </c>
      <c r="AB32" s="52">
        <f t="shared" si="0"/>
        <v>-1</v>
      </c>
    </row>
    <row r="33" spans="13:28">
      <c r="M33" s="2"/>
      <c r="N33" s="5">
        <f t="shared" si="5"/>
        <v>94</v>
      </c>
      <c r="O33" s="6">
        <f t="shared" si="1"/>
        <v>0.9033971159775025</v>
      </c>
      <c r="P33" s="6">
        <f t="shared" si="6"/>
        <v>2.5476409283638035E-2</v>
      </c>
      <c r="Q33" s="5">
        <f t="shared" si="5"/>
        <v>30</v>
      </c>
      <c r="R33" s="6">
        <f t="shared" si="7"/>
        <v>5.650716524909985E-2</v>
      </c>
      <c r="Y33" s="51">
        <f t="shared" si="2"/>
        <v>31</v>
      </c>
      <c r="Z33" s="54">
        <f t="shared" ca="1" si="3"/>
        <v>0.33925657271523957</v>
      </c>
      <c r="AA33" s="52">
        <f t="shared" ca="1" si="4"/>
        <v>0</v>
      </c>
      <c r="AB33" s="52">
        <f t="shared" si="0"/>
        <v>-1</v>
      </c>
    </row>
    <row r="34" spans="13:28">
      <c r="M34" s="2"/>
      <c r="N34" s="5">
        <f t="shared" si="5"/>
        <v>95</v>
      </c>
      <c r="O34" s="6">
        <f t="shared" si="1"/>
        <v>0.92541571122647603</v>
      </c>
      <c r="P34" s="6">
        <f t="shared" si="6"/>
        <v>2.2018595248973538E-2</v>
      </c>
      <c r="Q34" s="5">
        <f t="shared" si="5"/>
        <v>31</v>
      </c>
      <c r="R34" s="6">
        <f t="shared" si="7"/>
        <v>5.5522946367110977E-2</v>
      </c>
      <c r="Y34" s="51">
        <f t="shared" si="2"/>
        <v>32</v>
      </c>
      <c r="Z34" s="54">
        <f t="shared" ca="1" si="3"/>
        <v>-0.38041248762980107</v>
      </c>
      <c r="AA34" s="52">
        <f t="shared" ca="1" si="4"/>
        <v>0</v>
      </c>
      <c r="AB34" s="52">
        <f t="shared" si="0"/>
        <v>-1</v>
      </c>
    </row>
    <row r="35" spans="13:28">
      <c r="M35" s="2"/>
      <c r="N35" s="5">
        <f t="shared" si="5"/>
        <v>96</v>
      </c>
      <c r="O35" s="6">
        <f t="shared" si="1"/>
        <v>0.94396112292836321</v>
      </c>
      <c r="P35" s="6">
        <f t="shared" si="6"/>
        <v>1.8545411701887171E-2</v>
      </c>
      <c r="Q35" s="5">
        <f t="shared" si="5"/>
        <v>32</v>
      </c>
      <c r="R35" s="6">
        <f t="shared" si="7"/>
        <v>5.4606740651183601E-2</v>
      </c>
      <c r="Y35" s="51">
        <f t="shared" si="2"/>
        <v>33</v>
      </c>
      <c r="Z35" s="54">
        <f t="shared" ca="1" si="3"/>
        <v>0.13535559128271415</v>
      </c>
      <c r="AA35" s="52">
        <f t="shared" ca="1" si="4"/>
        <v>0</v>
      </c>
      <c r="AB35" s="52">
        <f t="shared" si="0"/>
        <v>-1</v>
      </c>
    </row>
    <row r="36" spans="13:28">
      <c r="M36" s="2"/>
      <c r="N36" s="5">
        <f t="shared" si="5"/>
        <v>97</v>
      </c>
      <c r="O36" s="6">
        <f t="shared" si="1"/>
        <v>0.95914232098192009</v>
      </c>
      <c r="P36" s="6">
        <f t="shared" si="6"/>
        <v>1.5181198053556888E-2</v>
      </c>
      <c r="Q36" s="5">
        <f t="shared" si="5"/>
        <v>33</v>
      </c>
      <c r="R36" s="6">
        <f t="shared" si="7"/>
        <v>5.3752311208805158E-2</v>
      </c>
      <c r="Y36" s="51">
        <f t="shared" si="2"/>
        <v>34</v>
      </c>
      <c r="Z36" s="54">
        <f t="shared" ca="1" si="3"/>
        <v>0.12630503897511516</v>
      </c>
      <c r="AA36" s="52">
        <f t="shared" ca="1" si="4"/>
        <v>0</v>
      </c>
      <c r="AB36" s="52">
        <f t="shared" si="0"/>
        <v>-1</v>
      </c>
    </row>
    <row r="37" spans="13:28">
      <c r="M37" s="2"/>
      <c r="N37" s="5">
        <f t="shared" si="5"/>
        <v>98</v>
      </c>
      <c r="O37" s="6">
        <f t="shared" si="1"/>
        <v>0.97118445381435803</v>
      </c>
      <c r="P37" s="6">
        <f t="shared" si="6"/>
        <v>1.2042132832437935E-2</v>
      </c>
      <c r="Q37" s="5">
        <f t="shared" si="5"/>
        <v>34</v>
      </c>
      <c r="R37" s="6">
        <f t="shared" si="7"/>
        <v>5.2954153794754585E-2</v>
      </c>
      <c r="Y37" s="51">
        <f t="shared" si="2"/>
        <v>35</v>
      </c>
      <c r="Z37" s="54">
        <f t="shared" ca="1" si="3"/>
        <v>0.22995895642437972</v>
      </c>
      <c r="AA37" s="52">
        <f t="shared" ca="1" si="4"/>
        <v>0</v>
      </c>
      <c r="AB37" s="52">
        <f t="shared" ca="1" si="0"/>
        <v>103.79075698520165</v>
      </c>
    </row>
    <row r="38" spans="13:28">
      <c r="M38" s="2"/>
      <c r="N38" s="5">
        <f t="shared" si="5"/>
        <v>99</v>
      </c>
      <c r="O38" s="6">
        <f t="shared" si="1"/>
        <v>0.98041014675922833</v>
      </c>
      <c r="P38" s="6">
        <f t="shared" si="6"/>
        <v>9.2256929448703007E-3</v>
      </c>
      <c r="Q38" s="5">
        <f t="shared" si="5"/>
        <v>35</v>
      </c>
      <c r="R38" s="6">
        <f t="shared" si="7"/>
        <v>5.2207392190756097E-2</v>
      </c>
      <c r="Y38" s="51">
        <f t="shared" si="2"/>
        <v>36</v>
      </c>
      <c r="Z38" s="54">
        <f t="shared" ca="1" si="3"/>
        <v>0.15365519311657408</v>
      </c>
      <c r="AA38" s="52">
        <f t="shared" ca="1" si="4"/>
        <v>0</v>
      </c>
      <c r="AB38" s="52">
        <f t="shared" si="0"/>
        <v>-1</v>
      </c>
    </row>
    <row r="39" spans="13:28">
      <c r="M39" s="2"/>
      <c r="N39" s="5">
        <f t="shared" si="5"/>
        <v>100</v>
      </c>
      <c r="O39" s="6">
        <f t="shared" si="1"/>
        <v>0.98721180299039779</v>
      </c>
      <c r="P39" s="6">
        <f t="shared" si="6"/>
        <v>6.8016562311694617E-3</v>
      </c>
      <c r="Q39" s="5">
        <f t="shared" si="5"/>
        <v>36</v>
      </c>
      <c r="R39" s="6">
        <f t="shared" si="7"/>
        <v>5.1507691022217097E-2</v>
      </c>
      <c r="Y39" s="51">
        <f t="shared" si="2"/>
        <v>37</v>
      </c>
      <c r="Z39" s="54">
        <f t="shared" ca="1" si="3"/>
        <v>0.21947714367328444</v>
      </c>
      <c r="AA39" s="52">
        <f t="shared" ca="1" si="4"/>
        <v>0</v>
      </c>
      <c r="AB39" s="52">
        <f t="shared" si="0"/>
        <v>-1</v>
      </c>
    </row>
    <row r="40" spans="13:28">
      <c r="M40" s="2"/>
      <c r="N40" s="5">
        <f t="shared" si="5"/>
        <v>101</v>
      </c>
      <c r="O40" s="6">
        <f t="shared" si="1"/>
        <v>0.99201807761488681</v>
      </c>
      <c r="P40" s="6">
        <f t="shared" si="6"/>
        <v>4.8062746244890153E-3</v>
      </c>
      <c r="Q40" s="5">
        <f t="shared" si="5"/>
        <v>37</v>
      </c>
      <c r="R40" s="6">
        <f t="shared" si="7"/>
        <v>5.0851182713079375E-2</v>
      </c>
      <c r="Y40" s="51">
        <f t="shared" si="2"/>
        <v>38</v>
      </c>
      <c r="Z40" s="54">
        <f t="shared" ca="1" si="3"/>
        <v>0.19140684025827795</v>
      </c>
      <c r="AA40" s="52">
        <f t="shared" ca="1" si="4"/>
        <v>0</v>
      </c>
      <c r="AB40" s="52">
        <f t="shared" si="0"/>
        <v>-1</v>
      </c>
    </row>
    <row r="41" spans="13:28">
      <c r="M41" s="2"/>
      <c r="N41" s="5">
        <f t="shared" si="5"/>
        <v>102</v>
      </c>
      <c r="O41" s="6">
        <f t="shared" si="1"/>
        <v>0.99525892304541708</v>
      </c>
      <c r="P41" s="6">
        <f t="shared" si="6"/>
        <v>3.2408454305302703E-3</v>
      </c>
      <c r="Q41" s="5">
        <f t="shared" si="5"/>
        <v>38</v>
      </c>
      <c r="R41" s="6">
        <f t="shared" si="7"/>
        <v>5.0234405974333388E-2</v>
      </c>
      <c r="Y41" s="51">
        <f t="shared" si="2"/>
        <v>39</v>
      </c>
      <c r="Z41" s="54">
        <f t="shared" ca="1" si="3"/>
        <v>0.22324518022272968</v>
      </c>
      <c r="AA41" s="52">
        <f t="shared" ca="1" si="4"/>
        <v>0</v>
      </c>
      <c r="AB41" s="52">
        <f t="shared" si="0"/>
        <v>-1</v>
      </c>
    </row>
    <row r="42" spans="13:28">
      <c r="M42" s="2"/>
      <c r="N42" s="5">
        <f t="shared" si="5"/>
        <v>103</v>
      </c>
      <c r="O42" s="6">
        <f t="shared" si="1"/>
        <v>0.99733403993353986</v>
      </c>
      <c r="P42" s="6">
        <f t="shared" si="6"/>
        <v>2.0751168881227855E-3</v>
      </c>
      <c r="Q42" s="5">
        <f t="shared" si="5"/>
        <v>39</v>
      </c>
      <c r="R42" s="6">
        <f t="shared" si="7"/>
        <v>4.9654253755992202E-2</v>
      </c>
      <c r="Y42" s="51">
        <f t="shared" si="2"/>
        <v>40</v>
      </c>
      <c r="Z42" s="54">
        <f t="shared" ca="1" si="3"/>
        <v>0.23169188489177031</v>
      </c>
      <c r="AA42" s="52">
        <f t="shared" ca="1" si="4"/>
        <v>0</v>
      </c>
      <c r="AB42" s="52">
        <f t="shared" si="0"/>
        <v>-1</v>
      </c>
    </row>
    <row r="43" spans="13:28">
      <c r="M43" s="2"/>
      <c r="N43" s="5">
        <f t="shared" si="5"/>
        <v>104</v>
      </c>
      <c r="O43" s="6">
        <f t="shared" si="1"/>
        <v>0.99858897376632394</v>
      </c>
      <c r="P43" s="6">
        <f t="shared" si="6"/>
        <v>1.2549338327840776E-3</v>
      </c>
      <c r="Q43" s="5">
        <f t="shared" si="5"/>
        <v>40</v>
      </c>
      <c r="R43" s="6">
        <f t="shared" si="7"/>
        <v>4.9107929006363543E-2</v>
      </c>
      <c r="Y43" s="51">
        <f t="shared" si="2"/>
        <v>41</v>
      </c>
      <c r="Z43" s="54">
        <f t="shared" ca="1" si="3"/>
        <v>0.21264877113921102</v>
      </c>
      <c r="AA43" s="52">
        <f t="shared" ca="1" si="4"/>
        <v>0</v>
      </c>
      <c r="AB43" s="52">
        <f t="shared" si="0"/>
        <v>-1</v>
      </c>
    </row>
    <row r="44" spans="13:28">
      <c r="M44" s="2"/>
      <c r="N44" s="5">
        <f t="shared" si="5"/>
        <v>105</v>
      </c>
      <c r="O44" s="6">
        <f t="shared" si="1"/>
        <v>0.99930151696734404</v>
      </c>
      <c r="P44" s="6">
        <f t="shared" si="6"/>
        <v>7.1254320102009938E-4</v>
      </c>
      <c r="Q44" s="5">
        <f t="shared" si="5"/>
        <v>41</v>
      </c>
      <c r="R44" s="6">
        <f t="shared" si="7"/>
        <v>4.8592906905612389E-2</v>
      </c>
      <c r="Y44" s="51">
        <f t="shared" si="2"/>
        <v>42</v>
      </c>
      <c r="Z44" s="54">
        <f t="shared" ca="1" si="3"/>
        <v>7.7099727150052783E-2</v>
      </c>
      <c r="AA44" s="52">
        <f t="shared" ca="1" si="4"/>
        <v>0</v>
      </c>
      <c r="AB44" s="52">
        <f t="shared" si="0"/>
        <v>-1</v>
      </c>
    </row>
  </sheetData>
  <pageMargins left="0.75" right="0.75" top="1" bottom="1" header="0.5" footer="0.5"/>
  <pageSetup orientation="portrait" horizontalDpi="200" verticalDpi="2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Withdrawals</vt:lpstr>
    </vt:vector>
  </TitlesOfParts>
  <Company>retired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Ponzo</dc:creator>
  <cp:lastModifiedBy>Matthew Green</cp:lastModifiedBy>
  <dcterms:created xsi:type="dcterms:W3CDTF">2003-03-02T14:26:59Z</dcterms:created>
  <dcterms:modified xsi:type="dcterms:W3CDTF">2014-08-08T16:38:04Z</dcterms:modified>
</cp:coreProperties>
</file>