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6300"/>
  </bookViews>
  <sheets>
    <sheet name="Sheet1" sheetId="1" r:id="rId1"/>
    <sheet name="Expliantion" sheetId="2" r:id="rId2"/>
    <sheet name="Units convertion" sheetId="3" r:id="rId3"/>
    <sheet name="RsUnits" sheetId="4" r:id="rId4"/>
    <sheet name="SoilClassfication" sheetId="5" r:id="rId5"/>
  </sheets>
  <definedNames>
    <definedName name="_xlnm._FilterDatabase" localSheetId="0" hidden="1">Sheet1!$F$1:$F$1667</definedName>
  </definedNames>
  <calcPr calcId="144525"/>
</workbook>
</file>

<file path=xl/calcChain.xml><?xml version="1.0" encoding="utf-8"?>
<calcChain xmlns="http://schemas.openxmlformats.org/spreadsheetml/2006/main">
  <c r="BF814" i="1" l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E814" i="1"/>
  <c r="BE813" i="1"/>
  <c r="BE812" i="1"/>
  <c r="BE811" i="1"/>
  <c r="BE810" i="1"/>
  <c r="BE809" i="1"/>
  <c r="BE808" i="1"/>
  <c r="BE807" i="1"/>
  <c r="BE806" i="1"/>
  <c r="BE805" i="1"/>
  <c r="BE804" i="1"/>
  <c r="BE803" i="1"/>
  <c r="BE802" i="1"/>
  <c r="BE801" i="1"/>
  <c r="BE800" i="1"/>
  <c r="BE799" i="1"/>
  <c r="BF798" i="1"/>
  <c r="BF797" i="1"/>
  <c r="BE798" i="1"/>
  <c r="BE797" i="1"/>
  <c r="BF1335" i="1" l="1"/>
  <c r="BF1334" i="1"/>
  <c r="BF1333" i="1"/>
  <c r="BE1335" i="1"/>
  <c r="BE1334" i="1"/>
  <c r="BE1333" i="1"/>
  <c r="BF1329" i="1"/>
  <c r="BF1328" i="1"/>
  <c r="BF1327" i="1"/>
  <c r="BF1326" i="1"/>
  <c r="BE1329" i="1"/>
  <c r="BE1328" i="1"/>
  <c r="BE1327" i="1"/>
  <c r="BE1326" i="1"/>
  <c r="CD1003" i="1" l="1"/>
  <c r="CD1002" i="1"/>
  <c r="CD1001" i="1"/>
  <c r="CC1003" i="1"/>
  <c r="CC1002" i="1"/>
  <c r="CC1001" i="1"/>
  <c r="CS1003" i="1"/>
  <c r="CR1003" i="1"/>
  <c r="CS1002" i="1"/>
  <c r="CR1002" i="1"/>
  <c r="CS1001" i="1"/>
  <c r="CR1001" i="1"/>
  <c r="EI788" i="1"/>
  <c r="EI787" i="1"/>
  <c r="EI786" i="1"/>
  <c r="EI785" i="1"/>
  <c r="EI784" i="1"/>
  <c r="EI783" i="1"/>
  <c r="EI782" i="1"/>
  <c r="EI781" i="1"/>
  <c r="EI780" i="1"/>
  <c r="EI779" i="1"/>
  <c r="EI778" i="1"/>
  <c r="EI777" i="1"/>
  <c r="EI776" i="1"/>
  <c r="EI775" i="1"/>
  <c r="EI774" i="1"/>
  <c r="EI773" i="1"/>
  <c r="EI772" i="1"/>
  <c r="EI771" i="1"/>
  <c r="EI770" i="1"/>
  <c r="EI769" i="1"/>
  <c r="EI768" i="1"/>
  <c r="EI767" i="1"/>
  <c r="EI766" i="1"/>
  <c r="EI765" i="1"/>
  <c r="EH788" i="1"/>
  <c r="EH787" i="1"/>
  <c r="EH786" i="1"/>
  <c r="EH785" i="1"/>
  <c r="EH784" i="1"/>
  <c r="EH783" i="1"/>
  <c r="EH782" i="1"/>
  <c r="EH781" i="1"/>
  <c r="EH780" i="1"/>
  <c r="EH779" i="1"/>
  <c r="EH778" i="1"/>
  <c r="EH777" i="1"/>
  <c r="EH776" i="1"/>
  <c r="EH775" i="1"/>
  <c r="EH774" i="1"/>
  <c r="EH773" i="1"/>
  <c r="EH772" i="1"/>
  <c r="EH771" i="1"/>
  <c r="EH770" i="1"/>
  <c r="EH769" i="1"/>
  <c r="EH768" i="1"/>
  <c r="EH767" i="1"/>
  <c r="EH766" i="1"/>
  <c r="EH765" i="1"/>
  <c r="C64" i="3"/>
  <c r="C36" i="3"/>
  <c r="EI168" i="1"/>
  <c r="EI169" i="1"/>
  <c r="EI170" i="1"/>
  <c r="EI171" i="1"/>
  <c r="EI167" i="1"/>
  <c r="EI163" i="1"/>
  <c r="EI164" i="1"/>
  <c r="EI165" i="1"/>
  <c r="EI166" i="1"/>
  <c r="EI162" i="1"/>
  <c r="EI158" i="1"/>
  <c r="EI159" i="1"/>
  <c r="EI160" i="1"/>
  <c r="EI161" i="1"/>
  <c r="EI157" i="1"/>
  <c r="EH152" i="1"/>
  <c r="EI153" i="1"/>
  <c r="EI154" i="1"/>
  <c r="EI155" i="1"/>
  <c r="EI156" i="1"/>
  <c r="EI152" i="1"/>
  <c r="EH156" i="1"/>
  <c r="EH155" i="1"/>
  <c r="EH154" i="1"/>
  <c r="EH153" i="1"/>
  <c r="EF152" i="1"/>
  <c r="BI1617" i="1" l="1"/>
  <c r="BI1616" i="1"/>
  <c r="BI1615" i="1"/>
  <c r="BI1614" i="1"/>
  <c r="BI1613" i="1"/>
  <c r="BI1612" i="1"/>
  <c r="BI1611" i="1"/>
  <c r="BI1610" i="1"/>
  <c r="BI1609" i="1"/>
  <c r="BI1608" i="1"/>
  <c r="BI1607" i="1"/>
  <c r="BI1606" i="1"/>
  <c r="BH1617" i="1"/>
  <c r="BH1616" i="1"/>
  <c r="BH1615" i="1"/>
  <c r="BH1614" i="1"/>
  <c r="BH1613" i="1"/>
  <c r="BH1612" i="1"/>
  <c r="BH1611" i="1"/>
  <c r="BH1610" i="1"/>
  <c r="BH1609" i="1"/>
  <c r="BH1608" i="1"/>
  <c r="BH1607" i="1"/>
  <c r="BH1606" i="1"/>
  <c r="BI1605" i="1"/>
  <c r="BI1604" i="1"/>
  <c r="BI1603" i="1"/>
  <c r="BI1602" i="1"/>
  <c r="BI1601" i="1"/>
  <c r="BI1600" i="1"/>
  <c r="BI1599" i="1"/>
  <c r="BI1598" i="1"/>
  <c r="BI1597" i="1"/>
  <c r="BI1596" i="1"/>
  <c r="BI1595" i="1"/>
  <c r="BI1594" i="1"/>
  <c r="BH1605" i="1"/>
  <c r="BH1604" i="1"/>
  <c r="BH1603" i="1"/>
  <c r="BH1602" i="1"/>
  <c r="BH1601" i="1"/>
  <c r="BH1600" i="1"/>
  <c r="BH1599" i="1"/>
  <c r="BH1598" i="1"/>
  <c r="BH1597" i="1"/>
  <c r="BH1596" i="1"/>
  <c r="BH1595" i="1"/>
  <c r="BH1594" i="1"/>
  <c r="BI1593" i="1"/>
  <c r="BI1592" i="1"/>
  <c r="BI1591" i="1"/>
  <c r="BI1590" i="1"/>
  <c r="BI1589" i="1"/>
  <c r="BI1588" i="1"/>
  <c r="BI1587" i="1"/>
  <c r="BI1586" i="1"/>
  <c r="BI1585" i="1"/>
  <c r="BI1584" i="1"/>
  <c r="BI1583" i="1"/>
  <c r="BI1582" i="1"/>
  <c r="BH1593" i="1"/>
  <c r="BH1592" i="1"/>
  <c r="BH1591" i="1"/>
  <c r="BH1590" i="1"/>
  <c r="BH1589" i="1"/>
  <c r="BH1588" i="1"/>
  <c r="BH1587" i="1"/>
  <c r="BH1586" i="1"/>
  <c r="BH1585" i="1"/>
  <c r="BH1584" i="1"/>
  <c r="BH1583" i="1"/>
  <c r="BH1582" i="1"/>
  <c r="BI1581" i="1"/>
  <c r="BI1580" i="1"/>
  <c r="BI1579" i="1"/>
  <c r="BI1578" i="1"/>
  <c r="BI1577" i="1"/>
  <c r="BI1576" i="1"/>
  <c r="BI1575" i="1"/>
  <c r="BI1574" i="1"/>
  <c r="BI1573" i="1"/>
  <c r="BI1572" i="1"/>
  <c r="BI1571" i="1"/>
  <c r="BI1570" i="1"/>
  <c r="BH1581" i="1"/>
  <c r="BH1580" i="1"/>
  <c r="BH1579" i="1"/>
  <c r="BH1578" i="1"/>
  <c r="BH1577" i="1"/>
  <c r="BH1576" i="1"/>
  <c r="BH1575" i="1"/>
  <c r="BH1574" i="1"/>
  <c r="BH1573" i="1"/>
  <c r="BH1572" i="1"/>
  <c r="BH1571" i="1"/>
  <c r="BH1570" i="1"/>
  <c r="BI1557" i="1"/>
  <c r="BI1556" i="1"/>
  <c r="BI1555" i="1"/>
  <c r="BI1554" i="1"/>
  <c r="BI1553" i="1"/>
  <c r="BI1552" i="1"/>
  <c r="BI1551" i="1"/>
  <c r="BI1550" i="1"/>
  <c r="BI1549" i="1"/>
  <c r="BI1548" i="1"/>
  <c r="BI1547" i="1"/>
  <c r="BI1546" i="1"/>
  <c r="BH1557" i="1"/>
  <c r="BH1556" i="1"/>
  <c r="BH1555" i="1"/>
  <c r="BH1554" i="1"/>
  <c r="BH1553" i="1"/>
  <c r="BH1552" i="1"/>
  <c r="BH1551" i="1"/>
  <c r="BH1550" i="1"/>
  <c r="BH1549" i="1"/>
  <c r="BH1548" i="1"/>
  <c r="BH1547" i="1"/>
  <c r="BH1546" i="1"/>
  <c r="C43" i="3"/>
  <c r="K43" i="3"/>
  <c r="T1547" i="1"/>
  <c r="T1548" i="1"/>
  <c r="T1549" i="1"/>
  <c r="T1550" i="1"/>
  <c r="T1551" i="1"/>
  <c r="T1552" i="1"/>
  <c r="T1553" i="1"/>
  <c r="T1554" i="1"/>
  <c r="T1555" i="1"/>
  <c r="T1556" i="1"/>
  <c r="T1557" i="1"/>
  <c r="T1546" i="1"/>
  <c r="U1545" i="1"/>
  <c r="U1544" i="1"/>
  <c r="BF153" i="1" l="1"/>
  <c r="BF152" i="1"/>
  <c r="C37" i="3"/>
  <c r="C35" i="3"/>
  <c r="E34" i="3"/>
  <c r="M35" i="3"/>
  <c r="E48" i="3"/>
  <c r="C48" i="3"/>
  <c r="G48" i="3"/>
  <c r="AS1539" i="1"/>
  <c r="AS1538" i="1"/>
  <c r="AS1537" i="1"/>
  <c r="AS1536" i="1"/>
  <c r="AS1535" i="1"/>
  <c r="AS1529" i="1"/>
  <c r="AS1528" i="1"/>
  <c r="AS1527" i="1"/>
  <c r="AS1526" i="1"/>
  <c r="AS1525" i="1"/>
  <c r="AS1534" i="1"/>
  <c r="AS1533" i="1"/>
  <c r="AS1532" i="1"/>
  <c r="AS1530" i="1"/>
  <c r="AS1531" i="1"/>
  <c r="AS1524" i="1"/>
  <c r="AS1523" i="1"/>
  <c r="AS1522" i="1"/>
  <c r="AS1521" i="1"/>
  <c r="AS1520" i="1"/>
  <c r="DE1514" i="1"/>
  <c r="DE1513" i="1"/>
  <c r="DE1512" i="1"/>
  <c r="DE1511" i="1"/>
  <c r="DD1512" i="1"/>
  <c r="DD1513" i="1"/>
  <c r="DD1514" i="1"/>
  <c r="DD1511" i="1"/>
  <c r="DE1518" i="1"/>
  <c r="DE1519" i="1"/>
  <c r="DE1517" i="1"/>
  <c r="DE1516" i="1"/>
  <c r="DE1515" i="1"/>
  <c r="DD1516" i="1"/>
  <c r="DD1517" i="1"/>
  <c r="DD1518" i="1"/>
  <c r="DD1519" i="1"/>
  <c r="DD1515" i="1"/>
  <c r="DE1510" i="1"/>
  <c r="DE1509" i="1"/>
  <c r="DE1508" i="1"/>
  <c r="DE1507" i="1"/>
  <c r="DD1508" i="1"/>
  <c r="DD1509" i="1"/>
  <c r="DD1510" i="1"/>
  <c r="DD1507" i="1"/>
  <c r="EF1500" i="1"/>
  <c r="EF1499" i="1"/>
  <c r="EF1498" i="1"/>
  <c r="EF1497" i="1"/>
  <c r="EF1496" i="1"/>
  <c r="EF1495" i="1"/>
  <c r="EE1502" i="1"/>
  <c r="EE1503" i="1"/>
  <c r="EE1504" i="1"/>
  <c r="EE1505" i="1"/>
  <c r="EE1506" i="1"/>
  <c r="EE1501" i="1"/>
  <c r="EE1496" i="1"/>
  <c r="EE1497" i="1"/>
  <c r="EE1498" i="1"/>
  <c r="EE1499" i="1"/>
  <c r="EE1500" i="1"/>
  <c r="EE1495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EE1490" i="1"/>
  <c r="EE1491" i="1"/>
  <c r="EE1492" i="1"/>
  <c r="EE1493" i="1"/>
  <c r="EE1494" i="1"/>
  <c r="EE1489" i="1"/>
  <c r="EF1494" i="1"/>
  <c r="I1494" i="1"/>
  <c r="H1494" i="1"/>
  <c r="EF1493" i="1"/>
  <c r="I1493" i="1"/>
  <c r="H1493" i="1"/>
  <c r="EF1492" i="1"/>
  <c r="I1492" i="1"/>
  <c r="H1492" i="1"/>
  <c r="EF1491" i="1"/>
  <c r="I1491" i="1"/>
  <c r="H1491" i="1"/>
  <c r="EF1490" i="1"/>
  <c r="I1490" i="1"/>
  <c r="H1490" i="1"/>
  <c r="EF1489" i="1"/>
  <c r="I1489" i="1"/>
  <c r="H1489" i="1"/>
  <c r="EF1488" i="1"/>
  <c r="EF1487" i="1"/>
  <c r="EF1486" i="1"/>
  <c r="EF1485" i="1"/>
  <c r="EF1484" i="1"/>
  <c r="EF1483" i="1"/>
  <c r="EE1484" i="1"/>
  <c r="EE1485" i="1"/>
  <c r="EE1486" i="1"/>
  <c r="EE1487" i="1"/>
  <c r="EE1488" i="1"/>
  <c r="EE1483" i="1"/>
  <c r="C72" i="3"/>
  <c r="I1488" i="1"/>
  <c r="H1488" i="1"/>
  <c r="I1487" i="1"/>
  <c r="H1487" i="1"/>
  <c r="I1486" i="1"/>
  <c r="H1486" i="1"/>
  <c r="I1485" i="1"/>
  <c r="H1485" i="1"/>
  <c r="I1484" i="1"/>
  <c r="H1484" i="1"/>
  <c r="I1483" i="1" l="1"/>
  <c r="H1483" i="1"/>
  <c r="E38" i="3"/>
  <c r="BF1457" i="1" l="1"/>
  <c r="BE1457" i="1"/>
  <c r="T1458" i="1"/>
  <c r="T1457" i="1"/>
  <c r="DT1455" i="1"/>
  <c r="DS1455" i="1"/>
  <c r="BI1455" i="1"/>
  <c r="BH1455" i="1"/>
  <c r="C62" i="3" l="1"/>
  <c r="Y1419" i="1"/>
  <c r="Y1420" i="1"/>
  <c r="Y1421" i="1"/>
  <c r="Y1422" i="1"/>
  <c r="Y1418" i="1"/>
  <c r="M37" i="3"/>
  <c r="U1419" i="1"/>
  <c r="V1419" i="1" s="1"/>
  <c r="U1420" i="1"/>
  <c r="V1420" i="1" s="1"/>
  <c r="U1421" i="1"/>
  <c r="V1421" i="1" s="1"/>
  <c r="U1422" i="1"/>
  <c r="V1422" i="1" s="1"/>
  <c r="U1418" i="1"/>
  <c r="V1418" i="1" s="1"/>
  <c r="J1419" i="1"/>
  <c r="J1420" i="1"/>
  <c r="J1421" i="1"/>
  <c r="J1422" i="1"/>
  <c r="J1418" i="1"/>
  <c r="I1423" i="1"/>
  <c r="H1423" i="1"/>
  <c r="I1418" i="1"/>
  <c r="H1418" i="1"/>
  <c r="BF1427" i="1"/>
  <c r="BE1427" i="1"/>
  <c r="I1427" i="1"/>
  <c r="H1427" i="1"/>
  <c r="BF1426" i="1"/>
  <c r="BE1426" i="1"/>
  <c r="I1426" i="1"/>
  <c r="H1426" i="1"/>
  <c r="BF1425" i="1"/>
  <c r="BE1425" i="1"/>
  <c r="I1425" i="1"/>
  <c r="H1425" i="1"/>
  <c r="I1419" i="1"/>
  <c r="H1419" i="1"/>
  <c r="BF1422" i="1"/>
  <c r="BF1421" i="1"/>
  <c r="BF1420" i="1"/>
  <c r="BE1422" i="1"/>
  <c r="BE1421" i="1"/>
  <c r="BE1420" i="1"/>
  <c r="I1424" i="1"/>
  <c r="H1424" i="1"/>
  <c r="O38" i="3"/>
  <c r="N38" i="3"/>
  <c r="M38" i="3"/>
  <c r="O37" i="3"/>
  <c r="N37" i="3"/>
  <c r="I1422" i="1"/>
  <c r="H1422" i="1"/>
  <c r="I1421" i="1"/>
  <c r="H1421" i="1"/>
  <c r="I1420" i="1"/>
  <c r="H1420" i="1"/>
  <c r="DA1395" i="1"/>
  <c r="DA1394" i="1"/>
  <c r="DB1395" i="1"/>
  <c r="DB1394" i="1"/>
  <c r="DB1393" i="1"/>
  <c r="DB1392" i="1"/>
  <c r="DA1393" i="1"/>
  <c r="DA1392" i="1"/>
  <c r="AS1385" i="1" l="1"/>
  <c r="AS1384" i="1"/>
  <c r="AS1391" i="1"/>
  <c r="AS1390" i="1"/>
  <c r="AS1389" i="1"/>
  <c r="AS1388" i="1"/>
  <c r="AS1387" i="1"/>
  <c r="AS1386" i="1"/>
  <c r="DE1383" i="1"/>
  <c r="DE1382" i="1"/>
  <c r="DE1381" i="1"/>
  <c r="DE1380" i="1"/>
  <c r="DE1379" i="1"/>
  <c r="DE1378" i="1"/>
  <c r="DE1377" i="1"/>
  <c r="DE1376" i="1"/>
  <c r="DD1383" i="1"/>
  <c r="DD1382" i="1"/>
  <c r="DD1381" i="1"/>
  <c r="DD1380" i="1"/>
  <c r="DD1379" i="1"/>
  <c r="DD1378" i="1"/>
  <c r="DD1377" i="1"/>
  <c r="DD1376" i="1"/>
  <c r="DE1375" i="1"/>
  <c r="DE1374" i="1"/>
  <c r="DE1373" i="1"/>
  <c r="DE1372" i="1"/>
  <c r="DE1371" i="1"/>
  <c r="DE1370" i="1"/>
  <c r="DE1369" i="1"/>
  <c r="DE1368" i="1"/>
  <c r="DD1375" i="1"/>
  <c r="DD1374" i="1"/>
  <c r="DD1373" i="1"/>
  <c r="DD1372" i="1"/>
  <c r="DD1371" i="1"/>
  <c r="DD1370" i="1"/>
  <c r="DD1369" i="1"/>
  <c r="DD1368" i="1"/>
  <c r="DE1367" i="1"/>
  <c r="DE1366" i="1"/>
  <c r="DE1365" i="1"/>
  <c r="DE1364" i="1"/>
  <c r="DE1363" i="1"/>
  <c r="DE1362" i="1"/>
  <c r="DE1361" i="1"/>
  <c r="DE1360" i="1"/>
  <c r="DD1367" i="1"/>
  <c r="DD1366" i="1"/>
  <c r="DD1363" i="1"/>
  <c r="DD1362" i="1"/>
  <c r="DD1365" i="1"/>
  <c r="DD1364" i="1"/>
  <c r="DD1361" i="1"/>
  <c r="DD1360" i="1"/>
  <c r="DE1359" i="1"/>
  <c r="DE1358" i="1"/>
  <c r="DE1357" i="1"/>
  <c r="DE1356" i="1"/>
  <c r="DD1359" i="1"/>
  <c r="DD1358" i="1"/>
  <c r="DD1357" i="1"/>
  <c r="DD1356" i="1"/>
  <c r="DE1351" i="1"/>
  <c r="DE1350" i="1"/>
  <c r="DE1349" i="1"/>
  <c r="DE1348" i="1"/>
  <c r="DE1347" i="1"/>
  <c r="DE1346" i="1"/>
  <c r="DE1345" i="1"/>
  <c r="DE1344" i="1"/>
  <c r="DD1351" i="1"/>
  <c r="DD1350" i="1"/>
  <c r="DD1349" i="1"/>
  <c r="DD1348" i="1"/>
  <c r="DD1347" i="1"/>
  <c r="DD1346" i="1"/>
  <c r="DD1345" i="1"/>
  <c r="DD1344" i="1"/>
  <c r="DE1343" i="1"/>
  <c r="DE1342" i="1"/>
  <c r="DE1341" i="1"/>
  <c r="DE1340" i="1"/>
  <c r="DD1343" i="1"/>
  <c r="DD1342" i="1"/>
  <c r="DD1341" i="1"/>
  <c r="DD1340" i="1"/>
  <c r="DE1339" i="1"/>
  <c r="DE1338" i="1"/>
  <c r="DE1337" i="1"/>
  <c r="DE1336" i="1"/>
  <c r="DD1339" i="1"/>
  <c r="DD1338" i="1"/>
  <c r="DD1337" i="1"/>
  <c r="DD1336" i="1"/>
  <c r="CP1331" i="1" l="1"/>
  <c r="CP1330" i="1"/>
  <c r="CP1328" i="1"/>
  <c r="CP1327" i="1"/>
  <c r="CP1326" i="1"/>
  <c r="CP1324" i="1"/>
  <c r="CP1323" i="1"/>
  <c r="CP1322" i="1"/>
  <c r="CO1331" i="1"/>
  <c r="CO1330" i="1"/>
  <c r="CO1328" i="1"/>
  <c r="CO1327" i="1"/>
  <c r="CO1326" i="1"/>
  <c r="CO1324" i="1"/>
  <c r="CO1323" i="1"/>
  <c r="CO1322" i="1"/>
  <c r="C80" i="3"/>
  <c r="E80" i="3" s="1"/>
  <c r="CM1331" i="1"/>
  <c r="CM1330" i="1"/>
  <c r="CM1328" i="1"/>
  <c r="CM1327" i="1"/>
  <c r="CM1326" i="1"/>
  <c r="CM1324" i="1"/>
  <c r="CM1323" i="1"/>
  <c r="CM1322" i="1"/>
  <c r="CL1331" i="1"/>
  <c r="CL1330" i="1"/>
  <c r="CL1328" i="1"/>
  <c r="CL1327" i="1"/>
  <c r="CL1324" i="1"/>
  <c r="CL1323" i="1"/>
  <c r="CL1322" i="1"/>
  <c r="E36" i="3"/>
  <c r="E37" i="3"/>
  <c r="N35" i="3"/>
  <c r="I1335" i="1"/>
  <c r="H1335" i="1"/>
  <c r="I1334" i="1"/>
  <c r="H1334" i="1"/>
  <c r="I1333" i="1"/>
  <c r="H1333" i="1"/>
  <c r="I1329" i="1"/>
  <c r="H1329" i="1"/>
  <c r="I1328" i="1"/>
  <c r="H1328" i="1"/>
  <c r="I1327" i="1"/>
  <c r="H1327" i="1"/>
  <c r="I1326" i="1"/>
  <c r="H1326" i="1"/>
  <c r="I1332" i="1"/>
  <c r="H1332" i="1"/>
  <c r="I1331" i="1"/>
  <c r="H1331" i="1"/>
  <c r="I1325" i="1"/>
  <c r="H1325" i="1"/>
  <c r="I1324" i="1"/>
  <c r="H1324" i="1"/>
  <c r="I1323" i="1"/>
  <c r="H1323" i="1"/>
  <c r="I1330" i="1"/>
  <c r="H1330" i="1"/>
  <c r="I1322" i="1"/>
  <c r="H1322" i="1"/>
  <c r="I43" i="3"/>
  <c r="AS1321" i="1"/>
  <c r="AS1319" i="1"/>
  <c r="AS1317" i="1"/>
  <c r="AS1315" i="1"/>
  <c r="AS1313" i="1"/>
  <c r="AS1309" i="1"/>
  <c r="AS1307" i="1"/>
  <c r="AS1305" i="1"/>
  <c r="AS1303" i="1"/>
  <c r="AS1301" i="1"/>
  <c r="AS1320" i="1"/>
  <c r="AS1318" i="1"/>
  <c r="AS1316" i="1"/>
  <c r="AS1314" i="1"/>
  <c r="AS1312" i="1"/>
  <c r="AS1308" i="1"/>
  <c r="AS1306" i="1"/>
  <c r="AS1304" i="1"/>
  <c r="AS1302" i="1"/>
  <c r="AS1300" i="1"/>
  <c r="AS1255" i="1"/>
  <c r="AS1254" i="1"/>
  <c r="AS1253" i="1"/>
  <c r="AS1252" i="1"/>
  <c r="AS1251" i="1"/>
  <c r="DG1216" i="1"/>
  <c r="DG1210" i="1"/>
  <c r="DH1216" i="1"/>
  <c r="DH1213" i="1"/>
  <c r="DH1210" i="1"/>
  <c r="DG1213" i="1"/>
  <c r="F112" i="2"/>
  <c r="E112" i="2"/>
  <c r="DW1193" i="1" l="1"/>
  <c r="DV1193" i="1"/>
  <c r="DW1192" i="1"/>
  <c r="DV1192" i="1"/>
  <c r="DW1191" i="1"/>
  <c r="DV1191" i="1"/>
  <c r="DW1190" i="1"/>
  <c r="DV1190" i="1"/>
  <c r="EB1190" i="1"/>
  <c r="V1160" i="1"/>
  <c r="U1160" i="1"/>
  <c r="N1160" i="1"/>
  <c r="V1159" i="1"/>
  <c r="U1159" i="1"/>
  <c r="N1159" i="1"/>
  <c r="V1158" i="1"/>
  <c r="U1158" i="1"/>
  <c r="N1158" i="1"/>
  <c r="V1157" i="1"/>
  <c r="U1157" i="1"/>
  <c r="N1157" i="1"/>
  <c r="V1156" i="1"/>
  <c r="U1156" i="1"/>
  <c r="N1156" i="1"/>
  <c r="V1155" i="1"/>
  <c r="U1155" i="1"/>
  <c r="N1155" i="1"/>
  <c r="V1154" i="1"/>
  <c r="U1154" i="1"/>
  <c r="N1154" i="1"/>
  <c r="V1153" i="1"/>
  <c r="U1153" i="1"/>
  <c r="N1153" i="1"/>
  <c r="V1152" i="1"/>
  <c r="U1152" i="1"/>
  <c r="N1152" i="1"/>
  <c r="V1151" i="1"/>
  <c r="U1151" i="1"/>
  <c r="N1151" i="1"/>
  <c r="V1150" i="1"/>
  <c r="U1150" i="1"/>
  <c r="N1150" i="1"/>
  <c r="V1149" i="1"/>
  <c r="U1149" i="1"/>
  <c r="N1149" i="1"/>
  <c r="V1148" i="1"/>
  <c r="U1148" i="1"/>
  <c r="N1148" i="1"/>
  <c r="M1148" i="1"/>
  <c r="V1147" i="1"/>
  <c r="U1147" i="1"/>
  <c r="N1147" i="1"/>
  <c r="M1147" i="1"/>
  <c r="V1146" i="1"/>
  <c r="U1146" i="1"/>
  <c r="N1146" i="1"/>
  <c r="M1146" i="1"/>
  <c r="V1145" i="1"/>
  <c r="U1145" i="1"/>
  <c r="N1145" i="1"/>
  <c r="M1145" i="1"/>
  <c r="V1144" i="1"/>
  <c r="U1144" i="1"/>
  <c r="N1144" i="1"/>
  <c r="M1144" i="1"/>
  <c r="AR1143" i="1"/>
  <c r="V1143" i="1"/>
  <c r="U1143" i="1"/>
  <c r="N1143" i="1"/>
  <c r="M1143" i="1"/>
  <c r="V1142" i="1"/>
  <c r="U1142" i="1"/>
  <c r="N1142" i="1"/>
  <c r="V1141" i="1"/>
  <c r="U1141" i="1"/>
  <c r="N1141" i="1"/>
  <c r="V1140" i="1"/>
  <c r="U1140" i="1"/>
  <c r="N1140" i="1"/>
  <c r="V1139" i="1"/>
  <c r="U1139" i="1"/>
  <c r="N1139" i="1"/>
  <c r="V1138" i="1"/>
  <c r="U1138" i="1"/>
  <c r="N1138" i="1"/>
  <c r="V1137" i="1"/>
  <c r="U1137" i="1"/>
  <c r="N1137" i="1"/>
  <c r="V1136" i="1"/>
  <c r="U1136" i="1"/>
  <c r="N1136" i="1"/>
  <c r="V1135" i="1"/>
  <c r="U1135" i="1"/>
  <c r="N1135" i="1"/>
  <c r="V1134" i="1"/>
  <c r="U1134" i="1"/>
  <c r="N1134" i="1"/>
  <c r="V1133" i="1"/>
  <c r="U1133" i="1"/>
  <c r="N1133" i="1"/>
  <c r="V1132" i="1"/>
  <c r="U1132" i="1"/>
  <c r="N1132" i="1"/>
  <c r="V1131" i="1"/>
  <c r="U1131" i="1"/>
  <c r="N1131" i="1"/>
  <c r="V1130" i="1"/>
  <c r="U1130" i="1"/>
  <c r="N1130" i="1"/>
  <c r="M1130" i="1"/>
  <c r="V1129" i="1"/>
  <c r="U1129" i="1"/>
  <c r="N1129" i="1"/>
  <c r="M1129" i="1"/>
  <c r="V1128" i="1"/>
  <c r="U1128" i="1"/>
  <c r="N1128" i="1"/>
  <c r="M1128" i="1"/>
  <c r="V1127" i="1"/>
  <c r="U1127" i="1"/>
  <c r="N1127" i="1"/>
  <c r="M1127" i="1"/>
  <c r="V1126" i="1"/>
  <c r="U1126" i="1"/>
  <c r="N1126" i="1"/>
  <c r="M1126" i="1"/>
  <c r="AR1125" i="1"/>
  <c r="V1125" i="1"/>
  <c r="U1125" i="1"/>
  <c r="N1125" i="1"/>
  <c r="M1125" i="1"/>
  <c r="BI1104" i="1"/>
  <c r="BI1101" i="1"/>
  <c r="BH1104" i="1"/>
  <c r="BH1101" i="1"/>
  <c r="BI1100" i="1"/>
  <c r="BI1099" i="1"/>
  <c r="BI1098" i="1"/>
  <c r="BI1097" i="1"/>
  <c r="BI1096" i="1"/>
  <c r="BI1095" i="1"/>
  <c r="BH1100" i="1"/>
  <c r="BH1099" i="1"/>
  <c r="BH1098" i="1"/>
  <c r="BI1094" i="1"/>
  <c r="BI1093" i="1"/>
  <c r="BI1092" i="1"/>
  <c r="BH1094" i="1"/>
  <c r="BH1093" i="1"/>
  <c r="BH1092" i="1"/>
  <c r="AR1099" i="1"/>
  <c r="AR1100" i="1"/>
  <c r="AR1101" i="1"/>
  <c r="AR1102" i="1"/>
  <c r="AR1103" i="1"/>
  <c r="AR1104" i="1"/>
  <c r="AR1105" i="1"/>
  <c r="AR1106" i="1"/>
  <c r="AR1098" i="1"/>
  <c r="AR1096" i="1"/>
  <c r="AR1097" i="1"/>
  <c r="AR1095" i="1"/>
  <c r="AR1093" i="1"/>
  <c r="AR1094" i="1"/>
  <c r="AR1092" i="1"/>
  <c r="M1108" i="1"/>
  <c r="M1109" i="1"/>
  <c r="M1110" i="1"/>
  <c r="M1111" i="1"/>
  <c r="M1112" i="1"/>
  <c r="M1113" i="1"/>
  <c r="M1114" i="1"/>
  <c r="M1115" i="1"/>
  <c r="M1107" i="1"/>
  <c r="V1115" i="1"/>
  <c r="U1115" i="1"/>
  <c r="N1115" i="1"/>
  <c r="V1114" i="1"/>
  <c r="U1114" i="1"/>
  <c r="N1114" i="1"/>
  <c r="V1113" i="1"/>
  <c r="U1113" i="1"/>
  <c r="N1113" i="1"/>
  <c r="V1112" i="1"/>
  <c r="U1112" i="1"/>
  <c r="N1112" i="1"/>
  <c r="V1111" i="1"/>
  <c r="U1111" i="1"/>
  <c r="N1111" i="1"/>
  <c r="V1110" i="1"/>
  <c r="U1110" i="1"/>
  <c r="N1110" i="1"/>
  <c r="V1109" i="1"/>
  <c r="U1109" i="1"/>
  <c r="N1109" i="1"/>
  <c r="V1108" i="1"/>
  <c r="U1108" i="1"/>
  <c r="N1108" i="1"/>
  <c r="V1107" i="1"/>
  <c r="U1107" i="1"/>
  <c r="N1107" i="1"/>
  <c r="V1124" i="1"/>
  <c r="U1124" i="1"/>
  <c r="N1124" i="1"/>
  <c r="V1123" i="1"/>
  <c r="U1123" i="1"/>
  <c r="N1123" i="1"/>
  <c r="V1122" i="1"/>
  <c r="U1122" i="1"/>
  <c r="N1122" i="1"/>
  <c r="V1121" i="1"/>
  <c r="U1121" i="1"/>
  <c r="N1121" i="1"/>
  <c r="V1120" i="1"/>
  <c r="U1120" i="1"/>
  <c r="N1120" i="1"/>
  <c r="V1119" i="1"/>
  <c r="U1119" i="1"/>
  <c r="N1119" i="1"/>
  <c r="V1118" i="1"/>
  <c r="U1118" i="1"/>
  <c r="N1118" i="1"/>
  <c r="V1117" i="1"/>
  <c r="U1117" i="1"/>
  <c r="N1117" i="1"/>
  <c r="V1116" i="1"/>
  <c r="U1116" i="1"/>
  <c r="N1116" i="1"/>
  <c r="V1106" i="1"/>
  <c r="U1106" i="1"/>
  <c r="N1106" i="1"/>
  <c r="M1106" i="1"/>
  <c r="V1105" i="1"/>
  <c r="U1105" i="1"/>
  <c r="N1105" i="1"/>
  <c r="M1105" i="1"/>
  <c r="V1104" i="1"/>
  <c r="U1104" i="1"/>
  <c r="N1104" i="1"/>
  <c r="M1104" i="1"/>
  <c r="V1103" i="1"/>
  <c r="U1103" i="1"/>
  <c r="N1103" i="1"/>
  <c r="M1103" i="1"/>
  <c r="V1102" i="1"/>
  <c r="U1102" i="1"/>
  <c r="N1102" i="1"/>
  <c r="M1102" i="1"/>
  <c r="V1101" i="1"/>
  <c r="U1101" i="1"/>
  <c r="N1101" i="1"/>
  <c r="M1101" i="1"/>
  <c r="V1100" i="1"/>
  <c r="U1100" i="1"/>
  <c r="N1100" i="1"/>
  <c r="M1100" i="1"/>
  <c r="V1099" i="1"/>
  <c r="U1099" i="1"/>
  <c r="N1099" i="1"/>
  <c r="M1099" i="1"/>
  <c r="V1098" i="1"/>
  <c r="U1098" i="1"/>
  <c r="N1098" i="1"/>
  <c r="M1098" i="1"/>
  <c r="N1093" i="1"/>
  <c r="N1094" i="1"/>
  <c r="N1095" i="1"/>
  <c r="N1096" i="1"/>
  <c r="N1097" i="1"/>
  <c r="N1092" i="1"/>
  <c r="M1093" i="1"/>
  <c r="M1094" i="1"/>
  <c r="M1095" i="1"/>
  <c r="M1096" i="1"/>
  <c r="M1097" i="1"/>
  <c r="M1092" i="1"/>
  <c r="V1097" i="1"/>
  <c r="U1097" i="1"/>
  <c r="V1096" i="1"/>
  <c r="U1096" i="1"/>
  <c r="V1095" i="1"/>
  <c r="U1095" i="1"/>
  <c r="V1094" i="1"/>
  <c r="U1094" i="1"/>
  <c r="V1093" i="1"/>
  <c r="U1093" i="1"/>
  <c r="V1092" i="1"/>
  <c r="U1092" i="1"/>
  <c r="CX975" i="1" l="1"/>
  <c r="CX974" i="1"/>
  <c r="CX973" i="1"/>
  <c r="CX972" i="1"/>
  <c r="CX971" i="1"/>
  <c r="CY975" i="1"/>
  <c r="CY974" i="1"/>
  <c r="CY973" i="1"/>
  <c r="CY972" i="1"/>
  <c r="CY971" i="1"/>
  <c r="BI1070" i="1"/>
  <c r="BH1078" i="1"/>
  <c r="BI1089" i="1"/>
  <c r="BH1089" i="1"/>
  <c r="BI1086" i="1"/>
  <c r="BH1086" i="1"/>
  <c r="BI1082" i="1"/>
  <c r="BH1082" i="1"/>
  <c r="BI1078" i="1"/>
  <c r="BI1075" i="1"/>
  <c r="BH1075" i="1"/>
  <c r="BI1071" i="1"/>
  <c r="BH1071" i="1"/>
  <c r="BI1074" i="1"/>
  <c r="BH1074" i="1"/>
  <c r="BH1070" i="1"/>
  <c r="AS1067" i="1"/>
  <c r="AS1066" i="1"/>
  <c r="AS1065" i="1"/>
  <c r="AS1064" i="1"/>
  <c r="AS1061" i="1"/>
  <c r="AS1060" i="1"/>
  <c r="AS1059" i="1"/>
  <c r="AS1058" i="1"/>
  <c r="AS1055" i="1"/>
  <c r="AS1054" i="1"/>
  <c r="AS1053" i="1"/>
  <c r="AS1052" i="1"/>
  <c r="AS1049" i="1"/>
  <c r="AS1048" i="1"/>
  <c r="AS1047" i="1"/>
  <c r="AS1046" i="1"/>
  <c r="DQ91" i="1"/>
  <c r="DQ90" i="1"/>
  <c r="DP91" i="1"/>
  <c r="DP90" i="1"/>
  <c r="DM90" i="1"/>
  <c r="DM91" i="1"/>
  <c r="DN91" i="1"/>
  <c r="DN90" i="1"/>
  <c r="DE1000" i="1"/>
  <c r="DE999" i="1"/>
  <c r="DE998" i="1"/>
  <c r="DE997" i="1"/>
  <c r="DE996" i="1"/>
  <c r="DE995" i="1"/>
  <c r="DE994" i="1"/>
  <c r="DE993" i="1"/>
  <c r="DE992" i="1"/>
  <c r="DE991" i="1"/>
  <c r="DE990" i="1"/>
  <c r="DE989" i="1"/>
  <c r="DE988" i="1"/>
  <c r="DE987" i="1"/>
  <c r="DE986" i="1"/>
  <c r="DE985" i="1"/>
  <c r="DE984" i="1"/>
  <c r="DE983" i="1"/>
  <c r="DE982" i="1"/>
  <c r="DE981" i="1"/>
  <c r="DE980" i="1"/>
  <c r="DE979" i="1"/>
  <c r="DE978" i="1"/>
  <c r="DE977" i="1"/>
  <c r="DE976" i="1"/>
  <c r="DE975" i="1"/>
  <c r="DE974" i="1"/>
  <c r="DE973" i="1"/>
  <c r="DE972" i="1"/>
  <c r="DE971" i="1"/>
  <c r="DD1000" i="1"/>
  <c r="DD999" i="1"/>
  <c r="DD998" i="1"/>
  <c r="DD997" i="1"/>
  <c r="DD996" i="1"/>
  <c r="DD995" i="1"/>
  <c r="DD994" i="1"/>
  <c r="DD993" i="1"/>
  <c r="DD992" i="1"/>
  <c r="DD991" i="1"/>
  <c r="DD990" i="1"/>
  <c r="DD989" i="1"/>
  <c r="DD988" i="1"/>
  <c r="DD987" i="1"/>
  <c r="DD986" i="1"/>
  <c r="DD985" i="1"/>
  <c r="DD984" i="1"/>
  <c r="DD983" i="1"/>
  <c r="DD982" i="1"/>
  <c r="DD981" i="1"/>
  <c r="DD980" i="1"/>
  <c r="DD979" i="1"/>
  <c r="DD978" i="1"/>
  <c r="DD977" i="1"/>
  <c r="DD976" i="1"/>
  <c r="DD975" i="1"/>
  <c r="DD974" i="1"/>
  <c r="DD973" i="1"/>
  <c r="DD972" i="1"/>
  <c r="DD971" i="1"/>
  <c r="C7" i="3"/>
  <c r="BE65" i="1" l="1"/>
  <c r="DQ1004" i="1"/>
  <c r="DQ1019" i="1"/>
  <c r="DP1019" i="1"/>
  <c r="DQ1018" i="1"/>
  <c r="DP1018" i="1"/>
  <c r="DQ1011" i="1"/>
  <c r="DP1011" i="1"/>
  <c r="DQ1010" i="1"/>
  <c r="DP1010" i="1"/>
  <c r="DQ1017" i="1"/>
  <c r="DP1017" i="1"/>
  <c r="DQ1016" i="1"/>
  <c r="DP1016" i="1"/>
  <c r="DQ1009" i="1"/>
  <c r="DQ1005" i="1"/>
  <c r="DQ1006" i="1"/>
  <c r="DQ1007" i="1"/>
  <c r="DQ1008" i="1"/>
  <c r="DQ1012" i="1"/>
  <c r="DQ1013" i="1"/>
  <c r="DQ1014" i="1"/>
  <c r="DQ1015" i="1"/>
  <c r="DP1004" i="1"/>
  <c r="DP1005" i="1"/>
  <c r="DP1006" i="1"/>
  <c r="DP1007" i="1"/>
  <c r="DP1008" i="1"/>
  <c r="DP1009" i="1"/>
  <c r="DP1012" i="1"/>
  <c r="DP1013" i="1"/>
  <c r="DP1014" i="1"/>
  <c r="DP1015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BF1003" i="1"/>
  <c r="BF1002" i="1"/>
  <c r="BF1001" i="1"/>
  <c r="BE1003" i="1"/>
  <c r="BE1002" i="1"/>
  <c r="BE1001" i="1"/>
  <c r="BI979" i="1"/>
  <c r="BI978" i="1"/>
  <c r="BI977" i="1"/>
  <c r="BI976" i="1"/>
  <c r="BI975" i="1"/>
  <c r="BI974" i="1"/>
  <c r="BI973" i="1"/>
  <c r="BI972" i="1"/>
  <c r="BI971" i="1"/>
  <c r="BH980" i="1"/>
  <c r="BH979" i="1"/>
  <c r="BH978" i="1"/>
  <c r="BH977" i="1"/>
  <c r="BH976" i="1"/>
  <c r="BH975" i="1"/>
  <c r="BH974" i="1"/>
  <c r="BH973" i="1"/>
  <c r="BH972" i="1"/>
  <c r="BH971" i="1"/>
  <c r="AS1000" i="1"/>
  <c r="I1000" i="1"/>
  <c r="H1000" i="1"/>
  <c r="AS999" i="1"/>
  <c r="I999" i="1"/>
  <c r="H999" i="1"/>
  <c r="AR998" i="1"/>
  <c r="AS998" i="1" s="1"/>
  <c r="I998" i="1"/>
  <c r="H998" i="1"/>
  <c r="AS997" i="1"/>
  <c r="I997" i="1"/>
  <c r="H997" i="1"/>
  <c r="AR996" i="1"/>
  <c r="AS996" i="1" s="1"/>
  <c r="I996" i="1"/>
  <c r="H996" i="1"/>
  <c r="AS995" i="1"/>
  <c r="I995" i="1"/>
  <c r="H995" i="1"/>
  <c r="AS994" i="1"/>
  <c r="I994" i="1"/>
  <c r="H994" i="1"/>
  <c r="AR993" i="1"/>
  <c r="AS993" i="1" s="1"/>
  <c r="I993" i="1"/>
  <c r="H993" i="1"/>
  <c r="AS992" i="1"/>
  <c r="I992" i="1"/>
  <c r="H992" i="1"/>
  <c r="AR991" i="1"/>
  <c r="AS991" i="1" s="1"/>
  <c r="I991" i="1"/>
  <c r="H991" i="1"/>
  <c r="AS990" i="1"/>
  <c r="I990" i="1"/>
  <c r="H990" i="1"/>
  <c r="AS989" i="1"/>
  <c r="I989" i="1"/>
  <c r="H989" i="1"/>
  <c r="AR988" i="1"/>
  <c r="AS988" i="1" s="1"/>
  <c r="I988" i="1"/>
  <c r="H988" i="1"/>
  <c r="AS987" i="1"/>
  <c r="I987" i="1"/>
  <c r="H987" i="1"/>
  <c r="AR986" i="1"/>
  <c r="AS986" i="1" s="1"/>
  <c r="I986" i="1"/>
  <c r="H986" i="1"/>
  <c r="AS985" i="1"/>
  <c r="I985" i="1"/>
  <c r="H985" i="1"/>
  <c r="AS984" i="1"/>
  <c r="I984" i="1"/>
  <c r="H984" i="1"/>
  <c r="AR983" i="1"/>
  <c r="AS983" i="1" s="1"/>
  <c r="I983" i="1"/>
  <c r="H983" i="1"/>
  <c r="AS982" i="1"/>
  <c r="I982" i="1"/>
  <c r="H982" i="1"/>
  <c r="AR981" i="1"/>
  <c r="AS981" i="1" s="1"/>
  <c r="I981" i="1"/>
  <c r="H981" i="1"/>
  <c r="AS980" i="1"/>
  <c r="I980" i="1"/>
  <c r="H980" i="1"/>
  <c r="AS979" i="1"/>
  <c r="I979" i="1"/>
  <c r="H979" i="1"/>
  <c r="AR978" i="1"/>
  <c r="AS978" i="1" s="1"/>
  <c r="I978" i="1"/>
  <c r="H978" i="1"/>
  <c r="AS977" i="1"/>
  <c r="I977" i="1"/>
  <c r="H977" i="1"/>
  <c r="AR976" i="1"/>
  <c r="AS976" i="1" s="1"/>
  <c r="I976" i="1"/>
  <c r="H976" i="1"/>
  <c r="AS974" i="1"/>
  <c r="AS975" i="1"/>
  <c r="AS972" i="1"/>
  <c r="AR973" i="1"/>
  <c r="AS973" i="1" s="1"/>
  <c r="AR971" i="1"/>
  <c r="AS971" i="1" s="1"/>
  <c r="J43" i="3"/>
  <c r="I975" i="1"/>
  <c r="H975" i="1"/>
  <c r="I974" i="1"/>
  <c r="H974" i="1"/>
  <c r="I973" i="1"/>
  <c r="H973" i="1"/>
  <c r="I972" i="1"/>
  <c r="H972" i="1"/>
  <c r="I971" i="1"/>
  <c r="H971" i="1"/>
  <c r="BI970" i="1"/>
  <c r="BI968" i="1"/>
  <c r="BI967" i="1"/>
  <c r="BI966" i="1"/>
  <c r="BI964" i="1"/>
  <c r="BI963" i="1"/>
  <c r="BI962" i="1"/>
  <c r="BI960" i="1"/>
  <c r="BI959" i="1"/>
  <c r="BI957" i="1"/>
  <c r="BI956" i="1"/>
  <c r="BI955" i="1"/>
  <c r="BI953" i="1"/>
  <c r="BI952" i="1"/>
  <c r="BI951" i="1"/>
  <c r="BI949" i="1"/>
  <c r="BI948" i="1"/>
  <c r="BI947" i="1"/>
  <c r="BH968" i="1"/>
  <c r="BH970" i="1"/>
  <c r="BH967" i="1"/>
  <c r="BH964" i="1"/>
  <c r="BH966" i="1"/>
  <c r="BH963" i="1"/>
  <c r="BH960" i="1"/>
  <c r="BH962" i="1"/>
  <c r="BH959" i="1"/>
  <c r="BH952" i="1"/>
  <c r="BH953" i="1"/>
  <c r="BH956" i="1"/>
  <c r="BH957" i="1"/>
  <c r="BH955" i="1"/>
  <c r="BH951" i="1"/>
  <c r="BH948" i="1"/>
  <c r="BH949" i="1"/>
  <c r="BH947" i="1"/>
  <c r="DP737" i="1" l="1"/>
  <c r="C71" i="3"/>
  <c r="G71" i="3"/>
  <c r="E71" i="3"/>
  <c r="EF553" i="1"/>
  <c r="EF552" i="1"/>
  <c r="EF551" i="1"/>
  <c r="EF550" i="1"/>
  <c r="EF549" i="1"/>
  <c r="EF548" i="1"/>
  <c r="EF547" i="1"/>
  <c r="EF546" i="1"/>
  <c r="EF545" i="1"/>
  <c r="EF544" i="1"/>
  <c r="EF543" i="1"/>
  <c r="EF542" i="1"/>
  <c r="EF541" i="1"/>
  <c r="EF540" i="1"/>
  <c r="EF539" i="1"/>
  <c r="EF538" i="1"/>
  <c r="EF537" i="1"/>
  <c r="EF536" i="1"/>
  <c r="EF535" i="1"/>
  <c r="EF534" i="1"/>
  <c r="EF533" i="1"/>
  <c r="EF532" i="1"/>
  <c r="EF531" i="1"/>
  <c r="EF530" i="1"/>
  <c r="EE549" i="1"/>
  <c r="EE550" i="1"/>
  <c r="EE551" i="1"/>
  <c r="EE552" i="1"/>
  <c r="EE553" i="1"/>
  <c r="EE548" i="1"/>
  <c r="EE543" i="1"/>
  <c r="EE544" i="1"/>
  <c r="EE545" i="1"/>
  <c r="EE546" i="1"/>
  <c r="EE547" i="1"/>
  <c r="EE542" i="1"/>
  <c r="EE537" i="1"/>
  <c r="EE538" i="1"/>
  <c r="EE539" i="1"/>
  <c r="EE540" i="1"/>
  <c r="EE541" i="1"/>
  <c r="EE536" i="1"/>
  <c r="EE531" i="1"/>
  <c r="EE532" i="1"/>
  <c r="EE533" i="1"/>
  <c r="EE534" i="1"/>
  <c r="EE535" i="1"/>
  <c r="EE530" i="1"/>
  <c r="E56" i="3"/>
  <c r="C56" i="3"/>
  <c r="E54" i="3"/>
  <c r="E55" i="3"/>
  <c r="I54" i="3"/>
  <c r="C53" i="3"/>
  <c r="I53" i="3"/>
  <c r="EE765" i="1"/>
  <c r="H64" i="3"/>
  <c r="E63" i="3"/>
  <c r="BO918" i="1"/>
  <c r="BO917" i="1"/>
  <c r="BN918" i="1"/>
  <c r="BN917" i="1"/>
  <c r="BN914" i="1"/>
  <c r="BN915" i="1"/>
  <c r="BN916" i="1"/>
  <c r="BN913" i="1"/>
  <c r="BO914" i="1"/>
  <c r="BO915" i="1"/>
  <c r="BO916" i="1"/>
  <c r="BO913" i="1"/>
  <c r="C63" i="3"/>
  <c r="E62" i="3"/>
  <c r="H15" i="4"/>
  <c r="BH914" i="1"/>
  <c r="BH915" i="1"/>
  <c r="BH916" i="1"/>
  <c r="BH913" i="1"/>
  <c r="AS897" i="1"/>
  <c r="AS896" i="1"/>
  <c r="AS895" i="1"/>
  <c r="AS894" i="1"/>
  <c r="AS893" i="1"/>
  <c r="AS892" i="1"/>
  <c r="AS891" i="1"/>
  <c r="AS890" i="1"/>
  <c r="AS889" i="1"/>
  <c r="BE908" i="1"/>
  <c r="BE907" i="1"/>
  <c r="Y890" i="1"/>
  <c r="Y891" i="1"/>
  <c r="Y892" i="1"/>
  <c r="Y893" i="1"/>
  <c r="Y894" i="1"/>
  <c r="Y895" i="1"/>
  <c r="Y896" i="1"/>
  <c r="Y897" i="1"/>
  <c r="Y889" i="1"/>
  <c r="BI898" i="1"/>
  <c r="BH899" i="1"/>
  <c r="BH900" i="1"/>
  <c r="BH898" i="1"/>
  <c r="BE902" i="1"/>
  <c r="BE903" i="1"/>
  <c r="BE901" i="1"/>
  <c r="BE899" i="1"/>
  <c r="BE900" i="1"/>
  <c r="BE898" i="1"/>
  <c r="T803" i="1" l="1"/>
  <c r="T804" i="1"/>
  <c r="T805" i="1"/>
  <c r="T806" i="1"/>
  <c r="T807" i="1"/>
  <c r="T808" i="1"/>
  <c r="T809" i="1"/>
  <c r="T810" i="1"/>
  <c r="T811" i="1"/>
  <c r="T812" i="1"/>
  <c r="T813" i="1"/>
  <c r="T814" i="1"/>
  <c r="T802" i="1"/>
  <c r="T801" i="1"/>
  <c r="T800" i="1"/>
  <c r="T799" i="1"/>
  <c r="T798" i="1"/>
  <c r="T797" i="1"/>
  <c r="EC798" i="1"/>
  <c r="EC797" i="1"/>
  <c r="EB798" i="1"/>
  <c r="EB797" i="1"/>
  <c r="I796" i="1" l="1"/>
  <c r="H796" i="1"/>
  <c r="I795" i="1"/>
  <c r="H795" i="1"/>
  <c r="I794" i="1"/>
  <c r="H794" i="1"/>
  <c r="I793" i="1"/>
  <c r="H793" i="1"/>
  <c r="I792" i="1"/>
  <c r="H792" i="1"/>
  <c r="I791" i="1"/>
  <c r="H791" i="1"/>
  <c r="DT790" i="1"/>
  <c r="DT789" i="1"/>
  <c r="DS790" i="1"/>
  <c r="DS789" i="1"/>
  <c r="I790" i="1"/>
  <c r="H790" i="1"/>
  <c r="H789" i="1"/>
  <c r="I789" i="1"/>
  <c r="EB769" i="1"/>
  <c r="EB768" i="1"/>
  <c r="EB767" i="1"/>
  <c r="EB766" i="1"/>
  <c r="EB765" i="1"/>
  <c r="EE788" i="1"/>
  <c r="EE787" i="1"/>
  <c r="EE786" i="1"/>
  <c r="EE785" i="1"/>
  <c r="EE784" i="1"/>
  <c r="EE782" i="1"/>
  <c r="EE781" i="1"/>
  <c r="EE780" i="1"/>
  <c r="EE779" i="1"/>
  <c r="EE778" i="1"/>
  <c r="EE777" i="1"/>
  <c r="EE776" i="1"/>
  <c r="EE775" i="1"/>
  <c r="EE774" i="1"/>
  <c r="EE773" i="1"/>
  <c r="EE772" i="1"/>
  <c r="EE771" i="1"/>
  <c r="EF788" i="1"/>
  <c r="EF787" i="1"/>
  <c r="EF786" i="1"/>
  <c r="EF785" i="1"/>
  <c r="EF784" i="1"/>
  <c r="EF782" i="1"/>
  <c r="EF781" i="1"/>
  <c r="EF780" i="1"/>
  <c r="EF779" i="1"/>
  <c r="EF778" i="1"/>
  <c r="EF777" i="1"/>
  <c r="EF776" i="1"/>
  <c r="EF775" i="1"/>
  <c r="EF774" i="1"/>
  <c r="EF773" i="1"/>
  <c r="EF772" i="1"/>
  <c r="EF771" i="1"/>
  <c r="EE770" i="1"/>
  <c r="EE769" i="1"/>
  <c r="EE768" i="1"/>
  <c r="EF770" i="1"/>
  <c r="EF769" i="1"/>
  <c r="EF768" i="1"/>
  <c r="EF767" i="1"/>
  <c r="EF766" i="1"/>
  <c r="EE767" i="1"/>
  <c r="EE766" i="1"/>
  <c r="EF765" i="1"/>
  <c r="V764" i="1" l="1"/>
  <c r="I764" i="1"/>
  <c r="H764" i="1"/>
  <c r="V763" i="1"/>
  <c r="I763" i="1"/>
  <c r="H763" i="1"/>
  <c r="V762" i="1"/>
  <c r="I762" i="1"/>
  <c r="H762" i="1"/>
  <c r="V761" i="1"/>
  <c r="I761" i="1"/>
  <c r="H761" i="1"/>
  <c r="V760" i="1"/>
  <c r="I760" i="1"/>
  <c r="H760" i="1"/>
  <c r="V759" i="1"/>
  <c r="I759" i="1"/>
  <c r="H759" i="1"/>
  <c r="V758" i="1"/>
  <c r="I758" i="1"/>
  <c r="H758" i="1"/>
  <c r="V757" i="1"/>
  <c r="I757" i="1"/>
  <c r="H757" i="1"/>
  <c r="V756" i="1"/>
  <c r="I756" i="1"/>
  <c r="H756" i="1"/>
  <c r="V755" i="1"/>
  <c r="I755" i="1"/>
  <c r="H755" i="1"/>
  <c r="V754" i="1"/>
  <c r="I754" i="1"/>
  <c r="H754" i="1"/>
  <c r="V753" i="1"/>
  <c r="I753" i="1"/>
  <c r="H753" i="1"/>
  <c r="V752" i="1"/>
  <c r="I752" i="1"/>
  <c r="H752" i="1"/>
  <c r="V751" i="1"/>
  <c r="I751" i="1"/>
  <c r="H751" i="1"/>
  <c r="CD748" i="1"/>
  <c r="CD747" i="1"/>
  <c r="CD746" i="1"/>
  <c r="CD745" i="1"/>
  <c r="CC750" i="1"/>
  <c r="CC749" i="1"/>
  <c r="CC748" i="1"/>
  <c r="CC747" i="1"/>
  <c r="CC746" i="1"/>
  <c r="CC745" i="1"/>
  <c r="BH748" i="1"/>
  <c r="BH745" i="1"/>
  <c r="AZ750" i="1"/>
  <c r="AZ749" i="1"/>
  <c r="AZ748" i="1"/>
  <c r="AZ747" i="1"/>
  <c r="AZ746" i="1"/>
  <c r="AZ745" i="1"/>
  <c r="AY750" i="1"/>
  <c r="AY749" i="1"/>
  <c r="AY748" i="1"/>
  <c r="AY747" i="1"/>
  <c r="AY746" i="1"/>
  <c r="AY745" i="1"/>
  <c r="I750" i="1"/>
  <c r="H750" i="1"/>
  <c r="I749" i="1"/>
  <c r="H749" i="1"/>
  <c r="I747" i="1"/>
  <c r="H747" i="1"/>
  <c r="I746" i="1"/>
  <c r="H746" i="1"/>
  <c r="I748" i="1"/>
  <c r="H748" i="1"/>
  <c r="I745" i="1"/>
  <c r="H745" i="1"/>
  <c r="DQ740" i="1"/>
  <c r="DQ739" i="1"/>
  <c r="DP740" i="1"/>
  <c r="DP739" i="1"/>
  <c r="DQ738" i="1"/>
  <c r="DQ737" i="1"/>
  <c r="DP738" i="1"/>
  <c r="EC744" i="1"/>
  <c r="EC742" i="1"/>
  <c r="EC741" i="1"/>
  <c r="EB744" i="1"/>
  <c r="I744" i="1"/>
  <c r="H744" i="1"/>
  <c r="I743" i="1"/>
  <c r="H743" i="1"/>
  <c r="EB742" i="1"/>
  <c r="I742" i="1"/>
  <c r="H742" i="1"/>
  <c r="EB741" i="1"/>
  <c r="I741" i="1"/>
  <c r="H741" i="1"/>
  <c r="EC740" i="1"/>
  <c r="EC739" i="1"/>
  <c r="EC738" i="1"/>
  <c r="EC737" i="1"/>
  <c r="EB740" i="1"/>
  <c r="EB739" i="1"/>
  <c r="EB738" i="1"/>
  <c r="EB737" i="1"/>
  <c r="C55" i="3"/>
  <c r="I740" i="1"/>
  <c r="H740" i="1"/>
  <c r="I739" i="1"/>
  <c r="H739" i="1"/>
  <c r="I738" i="1"/>
  <c r="H738" i="1"/>
  <c r="AY288" i="1"/>
  <c r="U92" i="1"/>
  <c r="I737" i="1"/>
  <c r="H737" i="1"/>
  <c r="CV736" i="1"/>
  <c r="CV735" i="1"/>
  <c r="CV734" i="1"/>
  <c r="CU736" i="1"/>
  <c r="CU735" i="1"/>
  <c r="CU734" i="1"/>
  <c r="AZ736" i="1"/>
  <c r="AY736" i="1"/>
  <c r="AY735" i="1"/>
  <c r="AY734" i="1"/>
  <c r="AZ735" i="1"/>
  <c r="AZ734" i="1"/>
  <c r="I736" i="1"/>
  <c r="H736" i="1"/>
  <c r="I735" i="1"/>
  <c r="H735" i="1"/>
  <c r="I734" i="1"/>
  <c r="H734" i="1"/>
  <c r="AZ729" i="1" l="1"/>
  <c r="AZ727" i="1"/>
  <c r="AZ726" i="1"/>
  <c r="AZ725" i="1"/>
  <c r="AZ724" i="1"/>
  <c r="AZ723" i="1"/>
  <c r="AZ722" i="1"/>
  <c r="AY729" i="1"/>
  <c r="AY727" i="1"/>
  <c r="AY726" i="1"/>
  <c r="AY725" i="1"/>
  <c r="AY724" i="1"/>
  <c r="AY723" i="1"/>
  <c r="AY722" i="1"/>
  <c r="AZ721" i="1" l="1"/>
  <c r="AZ720" i="1"/>
  <c r="AZ719" i="1"/>
  <c r="AZ718" i="1"/>
  <c r="AZ717" i="1"/>
  <c r="AZ716" i="1"/>
  <c r="AZ715" i="1"/>
  <c r="AZ714" i="1"/>
  <c r="AZ713" i="1"/>
  <c r="AZ712" i="1"/>
  <c r="AZ711" i="1"/>
  <c r="AZ710" i="1"/>
  <c r="AY721" i="1"/>
  <c r="AY720" i="1"/>
  <c r="AY719" i="1"/>
  <c r="AY718" i="1"/>
  <c r="AY717" i="1"/>
  <c r="AY716" i="1"/>
  <c r="AY715" i="1"/>
  <c r="AY714" i="1"/>
  <c r="AY713" i="1"/>
  <c r="AY712" i="1"/>
  <c r="AY711" i="1"/>
  <c r="AY710" i="1"/>
  <c r="AR709" i="1"/>
  <c r="AS709" i="1" s="1"/>
  <c r="AR708" i="1"/>
  <c r="AS708" i="1" s="1"/>
  <c r="AR707" i="1"/>
  <c r="AS707" i="1" s="1"/>
  <c r="AR706" i="1"/>
  <c r="AS706" i="1" s="1"/>
  <c r="AR705" i="1"/>
  <c r="AS705" i="1" s="1"/>
  <c r="AR704" i="1"/>
  <c r="AS704" i="1" s="1"/>
  <c r="AR703" i="1"/>
  <c r="AS703" i="1" s="1"/>
  <c r="AZ709" i="1"/>
  <c r="AZ708" i="1"/>
  <c r="AZ707" i="1"/>
  <c r="AZ706" i="1"/>
  <c r="AZ705" i="1"/>
  <c r="AZ703" i="1"/>
  <c r="AZ704" i="1"/>
  <c r="AZ702" i="1"/>
  <c r="AY709" i="1"/>
  <c r="AY708" i="1"/>
  <c r="AY707" i="1"/>
  <c r="AY706" i="1"/>
  <c r="AY705" i="1"/>
  <c r="AY704" i="1"/>
  <c r="AY703" i="1"/>
  <c r="AY702" i="1"/>
  <c r="BI702" i="1"/>
  <c r="BI709" i="1"/>
  <c r="BI708" i="1"/>
  <c r="BI707" i="1"/>
  <c r="BI706" i="1"/>
  <c r="BI705" i="1"/>
  <c r="BI703" i="1"/>
  <c r="BI704" i="1"/>
  <c r="BI701" i="1"/>
  <c r="BI700" i="1"/>
  <c r="BH709" i="1"/>
  <c r="BH708" i="1"/>
  <c r="BH707" i="1"/>
  <c r="BH706" i="1"/>
  <c r="BH705" i="1"/>
  <c r="BH704" i="1"/>
  <c r="BH703" i="1"/>
  <c r="BH702" i="1"/>
  <c r="BH701" i="1"/>
  <c r="BH70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AZ694" i="1"/>
  <c r="AZ695" i="1"/>
  <c r="AY695" i="1"/>
  <c r="AY694" i="1"/>
  <c r="CV607" i="1"/>
  <c r="CV605" i="1"/>
  <c r="CV603" i="1"/>
  <c r="CV601" i="1"/>
  <c r="CV599" i="1"/>
  <c r="CV597" i="1"/>
  <c r="CV595" i="1"/>
  <c r="CV593" i="1"/>
  <c r="CV591" i="1"/>
  <c r="CV589" i="1"/>
  <c r="CV587" i="1"/>
  <c r="CV585" i="1"/>
  <c r="CU607" i="1"/>
  <c r="CU605" i="1"/>
  <c r="CU603" i="1"/>
  <c r="CU601" i="1"/>
  <c r="CU599" i="1"/>
  <c r="CU597" i="1"/>
  <c r="CU595" i="1"/>
  <c r="CU593" i="1"/>
  <c r="CU591" i="1"/>
  <c r="CU589" i="1"/>
  <c r="CU587" i="1"/>
  <c r="CU585" i="1"/>
  <c r="CV606" i="1"/>
  <c r="CV604" i="1"/>
  <c r="CV602" i="1"/>
  <c r="CV600" i="1"/>
  <c r="CV598" i="1"/>
  <c r="CV596" i="1"/>
  <c r="CV594" i="1"/>
  <c r="CV590" i="1"/>
  <c r="CV588" i="1"/>
  <c r="CV586" i="1"/>
  <c r="CV584" i="1"/>
  <c r="CV592" i="1"/>
  <c r="CU598" i="1"/>
  <c r="CU606" i="1"/>
  <c r="CU604" i="1"/>
  <c r="CU602" i="1"/>
  <c r="CU600" i="1"/>
  <c r="CU596" i="1"/>
  <c r="CU594" i="1"/>
  <c r="CU592" i="1"/>
  <c r="CU590" i="1"/>
  <c r="CU588" i="1"/>
  <c r="CU586" i="1"/>
  <c r="CU584" i="1"/>
  <c r="CV583" i="1"/>
  <c r="CV581" i="1"/>
  <c r="CV579" i="1"/>
  <c r="CV575" i="1"/>
  <c r="CV573" i="1"/>
  <c r="CV571" i="1"/>
  <c r="CV569" i="1"/>
  <c r="CV567" i="1"/>
  <c r="CU583" i="1"/>
  <c r="CU581" i="1"/>
  <c r="CU579" i="1"/>
  <c r="CU575" i="1"/>
  <c r="CU573" i="1"/>
  <c r="CU569" i="1"/>
  <c r="CU567" i="1"/>
  <c r="CV582" i="1"/>
  <c r="CV580" i="1"/>
  <c r="CV578" i="1"/>
  <c r="CV574" i="1"/>
  <c r="CV572" i="1"/>
  <c r="CV570" i="1"/>
  <c r="CV568" i="1"/>
  <c r="CV566" i="1"/>
  <c r="CU582" i="1"/>
  <c r="CU580" i="1"/>
  <c r="CU578" i="1"/>
  <c r="CU574" i="1"/>
  <c r="CU572" i="1"/>
  <c r="CU568" i="1"/>
  <c r="CU566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 l="1"/>
  <c r="H566" i="1"/>
  <c r="CC65" i="1"/>
  <c r="CD97" i="1"/>
  <c r="CD96" i="1"/>
  <c r="CD95" i="1"/>
  <c r="CD94" i="1"/>
  <c r="CD93" i="1"/>
  <c r="CD92" i="1"/>
  <c r="CC97" i="1"/>
  <c r="CC96" i="1"/>
  <c r="CC95" i="1"/>
  <c r="CC94" i="1"/>
  <c r="CC93" i="1"/>
  <c r="CC92" i="1"/>
  <c r="CC436" i="1"/>
  <c r="CC435" i="1"/>
  <c r="CC434" i="1"/>
  <c r="CC433" i="1"/>
  <c r="DE225" i="1"/>
  <c r="DE224" i="1"/>
  <c r="DE223" i="1"/>
  <c r="DD224" i="1"/>
  <c r="DD225" i="1"/>
  <c r="DD223" i="1"/>
  <c r="DE128" i="1"/>
  <c r="DD128" i="1"/>
  <c r="X565" i="1"/>
  <c r="T565" i="1"/>
  <c r="I565" i="1"/>
  <c r="H565" i="1"/>
  <c r="X564" i="1"/>
  <c r="T564" i="1"/>
  <c r="I564" i="1"/>
  <c r="H564" i="1"/>
  <c r="X563" i="1"/>
  <c r="T563" i="1"/>
  <c r="I563" i="1"/>
  <c r="H563" i="1"/>
  <c r="X562" i="1"/>
  <c r="T562" i="1"/>
  <c r="I562" i="1"/>
  <c r="H562" i="1"/>
  <c r="X561" i="1"/>
  <c r="T561" i="1"/>
  <c r="I561" i="1"/>
  <c r="H561" i="1"/>
  <c r="X560" i="1"/>
  <c r="T560" i="1"/>
  <c r="I560" i="1"/>
  <c r="H560" i="1"/>
  <c r="X559" i="1"/>
  <c r="T559" i="1"/>
  <c r="I559" i="1"/>
  <c r="H559" i="1"/>
  <c r="X558" i="1"/>
  <c r="T558" i="1"/>
  <c r="I558" i="1"/>
  <c r="H558" i="1"/>
  <c r="X557" i="1"/>
  <c r="T557" i="1"/>
  <c r="I557" i="1"/>
  <c r="H557" i="1"/>
  <c r="X556" i="1"/>
  <c r="T556" i="1"/>
  <c r="I556" i="1"/>
  <c r="H556" i="1"/>
  <c r="X555" i="1"/>
  <c r="T555" i="1"/>
  <c r="I555" i="1"/>
  <c r="H555" i="1"/>
  <c r="X554" i="1"/>
  <c r="T554" i="1"/>
  <c r="I554" i="1"/>
  <c r="H554" i="1"/>
  <c r="X553" i="1"/>
  <c r="T553" i="1"/>
  <c r="I553" i="1"/>
  <c r="H553" i="1"/>
  <c r="X552" i="1"/>
  <c r="T552" i="1"/>
  <c r="I552" i="1"/>
  <c r="H552" i="1"/>
  <c r="X551" i="1"/>
  <c r="T551" i="1"/>
  <c r="I551" i="1"/>
  <c r="H551" i="1"/>
  <c r="X550" i="1"/>
  <c r="T550" i="1"/>
  <c r="I550" i="1"/>
  <c r="H550" i="1"/>
  <c r="X549" i="1"/>
  <c r="T549" i="1"/>
  <c r="I549" i="1"/>
  <c r="H549" i="1"/>
  <c r="X548" i="1"/>
  <c r="T548" i="1"/>
  <c r="I548" i="1"/>
  <c r="H548" i="1"/>
  <c r="X547" i="1"/>
  <c r="T547" i="1"/>
  <c r="I547" i="1"/>
  <c r="H547" i="1"/>
  <c r="X546" i="1"/>
  <c r="T546" i="1"/>
  <c r="I546" i="1"/>
  <c r="H546" i="1"/>
  <c r="X545" i="1"/>
  <c r="T545" i="1"/>
  <c r="I545" i="1"/>
  <c r="H545" i="1"/>
  <c r="X544" i="1"/>
  <c r="T544" i="1"/>
  <c r="I544" i="1"/>
  <c r="H544" i="1"/>
  <c r="X543" i="1"/>
  <c r="T543" i="1"/>
  <c r="I543" i="1"/>
  <c r="H543" i="1"/>
  <c r="X542" i="1"/>
  <c r="T542" i="1"/>
  <c r="I542" i="1"/>
  <c r="H542" i="1"/>
  <c r="X541" i="1"/>
  <c r="T541" i="1"/>
  <c r="I541" i="1"/>
  <c r="H541" i="1"/>
  <c r="X540" i="1"/>
  <c r="T540" i="1"/>
  <c r="I540" i="1"/>
  <c r="H540" i="1"/>
  <c r="X539" i="1"/>
  <c r="T539" i="1"/>
  <c r="I539" i="1"/>
  <c r="H539" i="1"/>
  <c r="X538" i="1"/>
  <c r="T538" i="1"/>
  <c r="I538" i="1"/>
  <c r="H538" i="1"/>
  <c r="X537" i="1"/>
  <c r="T537" i="1"/>
  <c r="I537" i="1"/>
  <c r="H537" i="1"/>
  <c r="X536" i="1"/>
  <c r="T536" i="1"/>
  <c r="I536" i="1"/>
  <c r="H536" i="1"/>
  <c r="X535" i="1"/>
  <c r="T535" i="1"/>
  <c r="I535" i="1"/>
  <c r="H535" i="1"/>
  <c r="X534" i="1"/>
  <c r="T534" i="1"/>
  <c r="I534" i="1"/>
  <c r="H534" i="1"/>
  <c r="X533" i="1"/>
  <c r="T533" i="1"/>
  <c r="I533" i="1"/>
  <c r="H533" i="1"/>
  <c r="X532" i="1"/>
  <c r="T532" i="1"/>
  <c r="I532" i="1"/>
  <c r="H532" i="1"/>
  <c r="X531" i="1"/>
  <c r="T531" i="1"/>
  <c r="I531" i="1"/>
  <c r="H531" i="1"/>
  <c r="X530" i="1"/>
  <c r="T530" i="1"/>
  <c r="I530" i="1"/>
  <c r="H530" i="1"/>
  <c r="CP529" i="1"/>
  <c r="CP528" i="1"/>
  <c r="CP527" i="1"/>
  <c r="CO529" i="1"/>
  <c r="CO528" i="1"/>
  <c r="CO527" i="1"/>
  <c r="T10" i="4"/>
  <c r="T11" i="4"/>
  <c r="T12" i="4"/>
  <c r="T13" i="4"/>
  <c r="T9" i="4"/>
  <c r="Y528" i="1"/>
  <c r="Y529" i="1"/>
  <c r="Y527" i="1"/>
  <c r="X529" i="1"/>
  <c r="V529" i="1"/>
  <c r="U529" i="1" s="1"/>
  <c r="I529" i="1"/>
  <c r="H529" i="1"/>
  <c r="X528" i="1"/>
  <c r="V528" i="1"/>
  <c r="U528" i="1" s="1"/>
  <c r="I528" i="1"/>
  <c r="H528" i="1"/>
  <c r="X527" i="1"/>
  <c r="V527" i="1"/>
  <c r="U527" i="1" s="1"/>
  <c r="I527" i="1"/>
  <c r="H527" i="1"/>
  <c r="I526" i="1"/>
  <c r="H526" i="1"/>
  <c r="I525" i="1"/>
  <c r="H525" i="1"/>
  <c r="I524" i="1"/>
  <c r="H524" i="1"/>
  <c r="DJ522" i="1"/>
  <c r="DJ523" i="1"/>
  <c r="DJ521" i="1"/>
  <c r="I523" i="1"/>
  <c r="H523" i="1"/>
  <c r="I522" i="1"/>
  <c r="H522" i="1"/>
  <c r="I521" i="1"/>
  <c r="H521" i="1"/>
  <c r="AR479" i="1"/>
  <c r="AS479" i="1" s="1"/>
  <c r="AR482" i="1"/>
  <c r="AS482" i="1" s="1"/>
  <c r="AR483" i="1"/>
  <c r="AS483" i="1" s="1"/>
  <c r="AR484" i="1"/>
  <c r="AS484" i="1" s="1"/>
  <c r="AR485" i="1"/>
  <c r="AS485" i="1" s="1"/>
  <c r="AR486" i="1"/>
  <c r="AS486" i="1" s="1"/>
  <c r="AR487" i="1"/>
  <c r="AS487" i="1" s="1"/>
  <c r="AR488" i="1"/>
  <c r="AS488" i="1" s="1"/>
  <c r="AR489" i="1"/>
  <c r="AS489" i="1" s="1"/>
  <c r="AR490" i="1"/>
  <c r="AS490" i="1" s="1"/>
  <c r="AR491" i="1"/>
  <c r="AS491" i="1" s="1"/>
  <c r="AR492" i="1"/>
  <c r="AS492" i="1" s="1"/>
  <c r="AR493" i="1"/>
  <c r="AS493" i="1" s="1"/>
  <c r="AR494" i="1"/>
  <c r="AS494" i="1" s="1"/>
  <c r="AR495" i="1"/>
  <c r="AS495" i="1" s="1"/>
  <c r="AR496" i="1"/>
  <c r="AS496" i="1" s="1"/>
  <c r="AR497" i="1"/>
  <c r="AS497" i="1" s="1"/>
  <c r="AR498" i="1"/>
  <c r="AS498" i="1" s="1"/>
  <c r="AR499" i="1"/>
  <c r="AS499" i="1" s="1"/>
  <c r="AR500" i="1"/>
  <c r="AS500" i="1" s="1"/>
  <c r="AR501" i="1"/>
  <c r="AS501" i="1" s="1"/>
  <c r="AR502" i="1"/>
  <c r="AS502" i="1" s="1"/>
  <c r="AR503" i="1"/>
  <c r="AS503" i="1" s="1"/>
  <c r="AR504" i="1"/>
  <c r="AS504" i="1" s="1"/>
  <c r="AR505" i="1"/>
  <c r="AS505" i="1" s="1"/>
  <c r="AR506" i="1"/>
  <c r="AS506" i="1" s="1"/>
  <c r="AR507" i="1"/>
  <c r="AS507" i="1" s="1"/>
  <c r="AR508" i="1"/>
  <c r="AS508" i="1" s="1"/>
  <c r="AR509" i="1"/>
  <c r="AS509" i="1" s="1"/>
  <c r="AR510" i="1"/>
  <c r="AS510" i="1" s="1"/>
  <c r="AR511" i="1"/>
  <c r="AS511" i="1" s="1"/>
  <c r="AR512" i="1"/>
  <c r="AS512" i="1" s="1"/>
  <c r="AR513" i="1"/>
  <c r="AS513" i="1" s="1"/>
  <c r="AR514" i="1"/>
  <c r="AS514" i="1" s="1"/>
  <c r="AR515" i="1"/>
  <c r="AS515" i="1" s="1"/>
  <c r="AR516" i="1"/>
  <c r="AS516" i="1" s="1"/>
  <c r="AR517" i="1"/>
  <c r="AS517" i="1" s="1"/>
  <c r="AR518" i="1"/>
  <c r="AS518" i="1" s="1"/>
  <c r="AR519" i="1"/>
  <c r="AS519" i="1" s="1"/>
  <c r="AR520" i="1"/>
  <c r="AS520" i="1" s="1"/>
  <c r="AR481" i="1"/>
  <c r="AS481" i="1" s="1"/>
  <c r="AR480" i="1"/>
  <c r="AS480" i="1" s="1"/>
  <c r="AR478" i="1"/>
  <c r="AS478" i="1" s="1"/>
  <c r="AR477" i="1"/>
  <c r="AS477" i="1" s="1"/>
  <c r="AR476" i="1"/>
  <c r="AS476" i="1" s="1"/>
  <c r="AR475" i="1"/>
  <c r="AS475" i="1" s="1"/>
  <c r="AR474" i="1"/>
  <c r="AS474" i="1" s="1"/>
  <c r="AR473" i="1"/>
  <c r="AS473" i="1" s="1"/>
  <c r="AR472" i="1"/>
  <c r="AS472" i="1" s="1"/>
  <c r="AR471" i="1"/>
  <c r="AS471" i="1" s="1"/>
  <c r="AR470" i="1"/>
  <c r="AS470" i="1" s="1"/>
  <c r="AR469" i="1"/>
  <c r="AS469" i="1" s="1"/>
  <c r="AR468" i="1"/>
  <c r="AS468" i="1" s="1"/>
  <c r="AR467" i="1"/>
  <c r="AS467" i="1" s="1"/>
  <c r="AR466" i="1"/>
  <c r="AS466" i="1" s="1"/>
  <c r="AR465" i="1"/>
  <c r="AS465" i="1" s="1"/>
  <c r="AR464" i="1"/>
  <c r="AS464" i="1" s="1"/>
  <c r="AR463" i="1"/>
  <c r="AS463" i="1" s="1"/>
  <c r="AR462" i="1"/>
  <c r="AS462" i="1" s="1"/>
  <c r="AR461" i="1"/>
  <c r="AS461" i="1" s="1"/>
  <c r="AR460" i="1"/>
  <c r="AS460" i="1" s="1"/>
  <c r="AR459" i="1"/>
  <c r="AS459" i="1" s="1"/>
  <c r="AR458" i="1"/>
  <c r="AS458" i="1" s="1"/>
  <c r="AR457" i="1"/>
  <c r="AS457" i="1" s="1"/>
  <c r="AR456" i="1"/>
  <c r="AS456" i="1" s="1"/>
  <c r="AR455" i="1"/>
  <c r="AS455" i="1" s="1"/>
  <c r="AR454" i="1"/>
  <c r="AS454" i="1" s="1"/>
  <c r="AR453" i="1"/>
  <c r="AS453" i="1" s="1"/>
  <c r="AR452" i="1"/>
  <c r="AS452" i="1" s="1"/>
  <c r="AR451" i="1"/>
  <c r="AS451" i="1" s="1"/>
  <c r="AR450" i="1"/>
  <c r="AS450" i="1" s="1"/>
  <c r="AR449" i="1"/>
  <c r="AS449" i="1" s="1"/>
  <c r="AR448" i="1"/>
  <c r="AS448" i="1" s="1"/>
  <c r="AR447" i="1"/>
  <c r="AS447" i="1" s="1"/>
  <c r="AR446" i="1"/>
  <c r="AS446" i="1" s="1"/>
  <c r="AR445" i="1"/>
  <c r="AS445" i="1" s="1"/>
  <c r="AR444" i="1"/>
  <c r="AS444" i="1" s="1"/>
  <c r="AR443" i="1"/>
  <c r="AS443" i="1" s="1"/>
  <c r="AR442" i="1"/>
  <c r="AS442" i="1" s="1"/>
  <c r="AR441" i="1"/>
  <c r="AS441" i="1" s="1"/>
  <c r="AR440" i="1"/>
  <c r="AS440" i="1" s="1"/>
  <c r="AR439" i="1"/>
  <c r="AS439" i="1" s="1"/>
  <c r="AR438" i="1"/>
  <c r="AS438" i="1" s="1"/>
  <c r="AR437" i="1"/>
  <c r="AS437" i="1" s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I480" i="1"/>
  <c r="H480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I438" i="1"/>
  <c r="H438" i="1"/>
  <c r="I437" i="1"/>
  <c r="H437" i="1"/>
  <c r="I479" i="1"/>
  <c r="H479" i="1"/>
  <c r="BE433" i="1" l="1"/>
  <c r="V436" i="1"/>
  <c r="U436" i="1"/>
  <c r="I436" i="1"/>
  <c r="H436" i="1"/>
  <c r="V435" i="1"/>
  <c r="U435" i="1"/>
  <c r="I435" i="1"/>
  <c r="H435" i="1"/>
  <c r="V434" i="1"/>
  <c r="U434" i="1"/>
  <c r="I434" i="1"/>
  <c r="H434" i="1"/>
  <c r="V433" i="1"/>
  <c r="U433" i="1"/>
  <c r="H433" i="1"/>
  <c r="I433" i="1"/>
  <c r="E47" i="3"/>
  <c r="BE425" i="1"/>
  <c r="BE426" i="1"/>
  <c r="BE424" i="1"/>
  <c r="CP430" i="1"/>
  <c r="CP427" i="1"/>
  <c r="CP424" i="1"/>
  <c r="CO430" i="1"/>
  <c r="CO427" i="1"/>
  <c r="CO424" i="1"/>
  <c r="BC424" i="1"/>
  <c r="BB424" i="1"/>
  <c r="AR432" i="1"/>
  <c r="AS432" i="1" s="1"/>
  <c r="AR431" i="1"/>
  <c r="AS431" i="1" s="1"/>
  <c r="AR430" i="1"/>
  <c r="AS430" i="1" s="1"/>
  <c r="AR429" i="1"/>
  <c r="AS429" i="1" s="1"/>
  <c r="AR428" i="1"/>
  <c r="AS428" i="1" s="1"/>
  <c r="AR427" i="1"/>
  <c r="AS427" i="1" s="1"/>
  <c r="AR426" i="1"/>
  <c r="AS426" i="1" s="1"/>
  <c r="AR425" i="1"/>
  <c r="AS425" i="1" s="1"/>
  <c r="AR424" i="1"/>
  <c r="AS424" i="1" s="1"/>
  <c r="AZ432" i="1"/>
  <c r="AZ431" i="1"/>
  <c r="AZ430" i="1"/>
  <c r="AZ429" i="1"/>
  <c r="AZ428" i="1"/>
  <c r="AZ427" i="1"/>
  <c r="AZ426" i="1"/>
  <c r="AZ425" i="1"/>
  <c r="AZ424" i="1"/>
  <c r="AY431" i="1"/>
  <c r="AY432" i="1"/>
  <c r="AY430" i="1"/>
  <c r="AY428" i="1"/>
  <c r="AY429" i="1"/>
  <c r="AY427" i="1"/>
  <c r="AY425" i="1"/>
  <c r="AY426" i="1"/>
  <c r="AY424" i="1"/>
  <c r="T432" i="1"/>
  <c r="T431" i="1"/>
  <c r="T430" i="1"/>
  <c r="T429" i="1"/>
  <c r="T428" i="1"/>
  <c r="T427" i="1"/>
  <c r="T426" i="1"/>
  <c r="T425" i="1"/>
  <c r="T424" i="1"/>
  <c r="I331" i="1" l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E46" i="3"/>
  <c r="BH226" i="1"/>
  <c r="BH299" i="1"/>
  <c r="BH300" i="1"/>
  <c r="BH301" i="1"/>
  <c r="BH302" i="1"/>
  <c r="BH298" i="1"/>
  <c r="BH294" i="1"/>
  <c r="BH295" i="1"/>
  <c r="BH296" i="1"/>
  <c r="BH297" i="1"/>
  <c r="BH293" i="1"/>
  <c r="BH289" i="1"/>
  <c r="BH290" i="1"/>
  <c r="BH291" i="1"/>
  <c r="BH292" i="1"/>
  <c r="BH288" i="1"/>
  <c r="E44" i="3"/>
  <c r="E45" i="3"/>
  <c r="BE66" i="1"/>
  <c r="BE67" i="1"/>
  <c r="BE68" i="1"/>
  <c r="BE69" i="1"/>
  <c r="BE70" i="1"/>
  <c r="BE71" i="1"/>
  <c r="BE72" i="1"/>
  <c r="BE74" i="1"/>
  <c r="BE75" i="1"/>
  <c r="BE76" i="1"/>
  <c r="BE77" i="1"/>
  <c r="BE78" i="1"/>
  <c r="BE79" i="1"/>
  <c r="BE80" i="1"/>
  <c r="BE73" i="1"/>
  <c r="BE289" i="1"/>
  <c r="BE290" i="1"/>
  <c r="BE291" i="1"/>
  <c r="BE292" i="1"/>
  <c r="BE28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Y314" i="1"/>
  <c r="AY315" i="1"/>
  <c r="AY316" i="1"/>
  <c r="AY317" i="1"/>
  <c r="AY313" i="1"/>
  <c r="AY309" i="1"/>
  <c r="AY310" i="1"/>
  <c r="AY311" i="1"/>
  <c r="AY312" i="1"/>
  <c r="AY308" i="1"/>
  <c r="AY304" i="1"/>
  <c r="AY305" i="1"/>
  <c r="AY306" i="1"/>
  <c r="AY307" i="1"/>
  <c r="AY303" i="1"/>
  <c r="AY299" i="1"/>
  <c r="AY300" i="1"/>
  <c r="AY301" i="1"/>
  <c r="AY302" i="1"/>
  <c r="AY298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Y294" i="1"/>
  <c r="AY295" i="1"/>
  <c r="AY296" i="1"/>
  <c r="AY297" i="1"/>
  <c r="AY293" i="1"/>
  <c r="AY289" i="1"/>
  <c r="AY290" i="1"/>
  <c r="AY291" i="1"/>
  <c r="AY292" i="1"/>
  <c r="EF168" i="1"/>
  <c r="EF169" i="1"/>
  <c r="EF170" i="1"/>
  <c r="EF171" i="1"/>
  <c r="EF167" i="1"/>
  <c r="EF163" i="1"/>
  <c r="EF164" i="1"/>
  <c r="EF165" i="1"/>
  <c r="EF166" i="1"/>
  <c r="EF162" i="1"/>
  <c r="EF158" i="1"/>
  <c r="EF159" i="1"/>
  <c r="EF160" i="1"/>
  <c r="EF161" i="1"/>
  <c r="EF157" i="1"/>
  <c r="EF153" i="1"/>
  <c r="EF154" i="1"/>
  <c r="EF155" i="1"/>
  <c r="EF156" i="1"/>
  <c r="EE171" i="1"/>
  <c r="EE170" i="1"/>
  <c r="EE169" i="1"/>
  <c r="EE168" i="1"/>
  <c r="EE167" i="1"/>
  <c r="EE166" i="1"/>
  <c r="EE165" i="1"/>
  <c r="EE164" i="1"/>
  <c r="EE163" i="1"/>
  <c r="EE162" i="1"/>
  <c r="EE161" i="1"/>
  <c r="EE160" i="1"/>
  <c r="EE159" i="1"/>
  <c r="EE158" i="1"/>
  <c r="EE157" i="1"/>
  <c r="EE156" i="1"/>
  <c r="EE155" i="1"/>
  <c r="EE154" i="1"/>
  <c r="EE153" i="1"/>
  <c r="EE152" i="1"/>
  <c r="E64" i="3"/>
  <c r="L55" i="3"/>
  <c r="DL241" i="1" l="1"/>
  <c r="DL242" i="1"/>
  <c r="DL258" i="1"/>
  <c r="DL259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43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E43" i="3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43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26" i="1"/>
  <c r="DK222" i="1"/>
  <c r="DK221" i="1"/>
  <c r="DK220" i="1"/>
  <c r="DK219" i="1"/>
  <c r="DK218" i="1"/>
  <c r="DK217" i="1"/>
  <c r="DJ222" i="1"/>
  <c r="DJ221" i="1"/>
  <c r="DJ220" i="1"/>
  <c r="DJ219" i="1"/>
  <c r="DJ218" i="1"/>
  <c r="DJ217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T224" i="1"/>
  <c r="T225" i="1"/>
  <c r="T223" i="1"/>
  <c r="CP225" i="1"/>
  <c r="CP224" i="1"/>
  <c r="CP223" i="1"/>
  <c r="CO224" i="1"/>
  <c r="CO225" i="1"/>
  <c r="CO223" i="1"/>
  <c r="CG225" i="1"/>
  <c r="CG224" i="1"/>
  <c r="CG223" i="1"/>
  <c r="CF224" i="1"/>
  <c r="CF225" i="1"/>
  <c r="CF223" i="1"/>
  <c r="CJ225" i="1"/>
  <c r="CJ224" i="1"/>
  <c r="CJ223" i="1"/>
  <c r="CI225" i="1"/>
  <c r="CI224" i="1"/>
  <c r="CI223" i="1"/>
  <c r="BC225" i="1"/>
  <c r="BC224" i="1"/>
  <c r="BC223" i="1"/>
  <c r="BB224" i="1"/>
  <c r="BB225" i="1"/>
  <c r="BB223" i="1"/>
  <c r="AR217" i="1"/>
  <c r="AZ222" i="1"/>
  <c r="AZ221" i="1"/>
  <c r="AZ220" i="1"/>
  <c r="AZ219" i="1"/>
  <c r="AY222" i="1"/>
  <c r="AY221" i="1"/>
  <c r="AY220" i="1"/>
  <c r="AY219" i="1"/>
  <c r="I222" i="1"/>
  <c r="H222" i="1"/>
  <c r="I221" i="1"/>
  <c r="H221" i="1"/>
  <c r="AZ218" i="1"/>
  <c r="AZ217" i="1"/>
  <c r="AY218" i="1"/>
  <c r="AY217" i="1"/>
  <c r="I218" i="1"/>
  <c r="H218" i="1"/>
  <c r="I217" i="1"/>
  <c r="H217" i="1"/>
  <c r="AS163" i="1"/>
  <c r="AS164" i="1"/>
  <c r="AS165" i="1"/>
  <c r="AS166" i="1"/>
  <c r="AS167" i="1"/>
  <c r="AS168" i="1"/>
  <c r="AS169" i="1"/>
  <c r="AS170" i="1"/>
  <c r="AS171" i="1"/>
  <c r="AS162" i="1"/>
  <c r="AS153" i="1"/>
  <c r="AS154" i="1"/>
  <c r="AS155" i="1"/>
  <c r="AS156" i="1"/>
  <c r="AS157" i="1"/>
  <c r="AS158" i="1"/>
  <c r="AS159" i="1"/>
  <c r="AS160" i="1"/>
  <c r="AS161" i="1"/>
  <c r="AS152" i="1"/>
  <c r="AQ163" i="1"/>
  <c r="AQ164" i="1"/>
  <c r="AQ165" i="1"/>
  <c r="AQ166" i="1"/>
  <c r="AQ167" i="1"/>
  <c r="AQ168" i="1"/>
  <c r="AQ169" i="1"/>
  <c r="AQ170" i="1"/>
  <c r="AQ171" i="1"/>
  <c r="AQ162" i="1"/>
  <c r="AQ153" i="1"/>
  <c r="AQ154" i="1"/>
  <c r="AQ155" i="1"/>
  <c r="AQ156" i="1"/>
  <c r="AQ157" i="1"/>
  <c r="AQ158" i="1"/>
  <c r="AQ159" i="1"/>
  <c r="AQ160" i="1"/>
  <c r="AQ161" i="1"/>
  <c r="AQ152" i="1"/>
  <c r="EC168" i="1"/>
  <c r="EC169" i="1"/>
  <c r="EC170" i="1"/>
  <c r="EC171" i="1"/>
  <c r="EC167" i="1"/>
  <c r="EC163" i="1"/>
  <c r="EC164" i="1"/>
  <c r="EC165" i="1"/>
  <c r="EC166" i="1"/>
  <c r="EC162" i="1"/>
  <c r="BF168" i="1"/>
  <c r="BI168" i="1" s="1"/>
  <c r="BF169" i="1"/>
  <c r="BI169" i="1" s="1"/>
  <c r="BF170" i="1"/>
  <c r="BI170" i="1" s="1"/>
  <c r="BF171" i="1"/>
  <c r="BI171" i="1" s="1"/>
  <c r="BF167" i="1"/>
  <c r="BI167" i="1" s="1"/>
  <c r="BF163" i="1"/>
  <c r="BI163" i="1" s="1"/>
  <c r="BF164" i="1"/>
  <c r="BI164" i="1" s="1"/>
  <c r="BF165" i="1"/>
  <c r="BI165" i="1" s="1"/>
  <c r="BF166" i="1"/>
  <c r="BI166" i="1" s="1"/>
  <c r="BF162" i="1"/>
  <c r="BI162" i="1" s="1"/>
  <c r="EB171" i="1"/>
  <c r="BE171" i="1"/>
  <c r="BH171" i="1" s="1"/>
  <c r="T171" i="1"/>
  <c r="I171" i="1"/>
  <c r="EB170" i="1"/>
  <c r="BE170" i="1"/>
  <c r="BH170" i="1" s="1"/>
  <c r="T170" i="1"/>
  <c r="I170" i="1"/>
  <c r="EB169" i="1"/>
  <c r="BE169" i="1"/>
  <c r="BH169" i="1" s="1"/>
  <c r="T169" i="1"/>
  <c r="I169" i="1"/>
  <c r="EB168" i="1"/>
  <c r="BE168" i="1"/>
  <c r="BH168" i="1" s="1"/>
  <c r="T168" i="1"/>
  <c r="I168" i="1"/>
  <c r="EB167" i="1"/>
  <c r="BE167" i="1"/>
  <c r="BH167" i="1" s="1"/>
  <c r="T167" i="1"/>
  <c r="I167" i="1"/>
  <c r="EB166" i="1"/>
  <c r="BE166" i="1"/>
  <c r="BH166" i="1" s="1"/>
  <c r="T166" i="1"/>
  <c r="I166" i="1"/>
  <c r="EB165" i="1"/>
  <c r="BE165" i="1"/>
  <c r="BH165" i="1" s="1"/>
  <c r="T165" i="1"/>
  <c r="I165" i="1"/>
  <c r="EB164" i="1"/>
  <c r="BE164" i="1"/>
  <c r="BH164" i="1" s="1"/>
  <c r="T164" i="1"/>
  <c r="I164" i="1"/>
  <c r="EB163" i="1"/>
  <c r="BE163" i="1"/>
  <c r="BH163" i="1" s="1"/>
  <c r="T163" i="1"/>
  <c r="I163" i="1"/>
  <c r="EB162" i="1"/>
  <c r="BE162" i="1"/>
  <c r="BH162" i="1" s="1"/>
  <c r="T162" i="1"/>
  <c r="I162" i="1"/>
  <c r="EC158" i="1"/>
  <c r="EC159" i="1"/>
  <c r="EC160" i="1"/>
  <c r="EC161" i="1"/>
  <c r="EC157" i="1"/>
  <c r="EB157" i="1"/>
  <c r="EB161" i="1"/>
  <c r="EB160" i="1"/>
  <c r="EB159" i="1"/>
  <c r="EB158" i="1"/>
  <c r="BF158" i="1"/>
  <c r="BI158" i="1" s="1"/>
  <c r="BF159" i="1"/>
  <c r="BI159" i="1" s="1"/>
  <c r="BF160" i="1"/>
  <c r="BI160" i="1" s="1"/>
  <c r="BF161" i="1"/>
  <c r="BI161" i="1" s="1"/>
  <c r="BF157" i="1"/>
  <c r="BI157" i="1" s="1"/>
  <c r="BE161" i="1"/>
  <c r="BH161" i="1" s="1"/>
  <c r="T161" i="1"/>
  <c r="I161" i="1"/>
  <c r="BE160" i="1"/>
  <c r="BH160" i="1" s="1"/>
  <c r="T160" i="1"/>
  <c r="I160" i="1"/>
  <c r="BE159" i="1"/>
  <c r="BH159" i="1" s="1"/>
  <c r="T159" i="1"/>
  <c r="I159" i="1"/>
  <c r="BE158" i="1"/>
  <c r="BH158" i="1" s="1"/>
  <c r="T158" i="1"/>
  <c r="I158" i="1"/>
  <c r="BE157" i="1"/>
  <c r="BH157" i="1" s="1"/>
  <c r="T157" i="1"/>
  <c r="I157" i="1"/>
  <c r="BI153" i="1"/>
  <c r="BF154" i="1"/>
  <c r="BI154" i="1" s="1"/>
  <c r="BF155" i="1"/>
  <c r="BI155" i="1" s="1"/>
  <c r="BF156" i="1"/>
  <c r="BI156" i="1" s="1"/>
  <c r="BI152" i="1"/>
  <c r="BE156" i="1"/>
  <c r="BH156" i="1" s="1"/>
  <c r="BE155" i="1"/>
  <c r="BH155" i="1" s="1"/>
  <c r="BE154" i="1"/>
  <c r="BH154" i="1" s="1"/>
  <c r="BE153" i="1"/>
  <c r="BH153" i="1" s="1"/>
  <c r="BE152" i="1"/>
  <c r="BH152" i="1" s="1"/>
  <c r="E35" i="3"/>
  <c r="EC153" i="1"/>
  <c r="EC154" i="1"/>
  <c r="EC155" i="1"/>
  <c r="EC156" i="1"/>
  <c r="EC152" i="1"/>
  <c r="EB156" i="1"/>
  <c r="EB155" i="1"/>
  <c r="EB154" i="1"/>
  <c r="EB153" i="1"/>
  <c r="EB152" i="1"/>
  <c r="T153" i="1"/>
  <c r="T154" i="1"/>
  <c r="T155" i="1"/>
  <c r="T156" i="1"/>
  <c r="T152" i="1"/>
  <c r="I156" i="1"/>
  <c r="I155" i="1"/>
  <c r="I154" i="1"/>
  <c r="I153" i="1"/>
  <c r="I152" i="1"/>
  <c r="AZ151" i="1"/>
  <c r="AZ150" i="1"/>
  <c r="AZ149" i="1"/>
  <c r="AZ148" i="1"/>
  <c r="AZ147" i="1"/>
  <c r="AZ146" i="1"/>
  <c r="AY151" i="1"/>
  <c r="AY150" i="1"/>
  <c r="AY149" i="1"/>
  <c r="AY148" i="1"/>
  <c r="AY147" i="1"/>
  <c r="AY146" i="1"/>
  <c r="AZ145" i="1"/>
  <c r="AZ144" i="1"/>
  <c r="AZ143" i="1"/>
  <c r="AZ142" i="1"/>
  <c r="AZ140" i="1"/>
  <c r="AY145" i="1"/>
  <c r="AY144" i="1"/>
  <c r="AY143" i="1"/>
  <c r="AY142" i="1"/>
  <c r="AY140" i="1"/>
  <c r="AZ138" i="1"/>
  <c r="AZ139" i="1"/>
  <c r="AZ137" i="1"/>
  <c r="AZ136" i="1"/>
  <c r="AZ135" i="1"/>
  <c r="AZ134" i="1"/>
  <c r="AY139" i="1"/>
  <c r="AY138" i="1"/>
  <c r="AY137" i="1"/>
  <c r="AY136" i="1"/>
  <c r="AY135" i="1"/>
  <c r="AY134" i="1"/>
  <c r="AZ133" i="1"/>
  <c r="AZ132" i="1"/>
  <c r="AZ131" i="1"/>
  <c r="AY133" i="1"/>
  <c r="AY132" i="1"/>
  <c r="AY131" i="1"/>
  <c r="AZ130" i="1"/>
  <c r="AZ129" i="1"/>
  <c r="AZ128" i="1"/>
  <c r="AY130" i="1"/>
  <c r="AY129" i="1"/>
  <c r="AY128" i="1"/>
  <c r="DQ115" i="1" l="1"/>
  <c r="DQ114" i="1"/>
  <c r="DQ113" i="1"/>
  <c r="DQ112" i="1"/>
  <c r="DQ111" i="1"/>
  <c r="DQ110" i="1"/>
  <c r="DP110" i="1"/>
  <c r="DP111" i="1"/>
  <c r="DP112" i="1"/>
  <c r="DP113" i="1"/>
  <c r="DP114" i="1"/>
  <c r="DP115" i="1"/>
  <c r="E20" i="4"/>
  <c r="C19" i="4"/>
  <c r="E19" i="4" s="1"/>
  <c r="C18" i="4"/>
  <c r="E18" i="4" s="1"/>
  <c r="C17" i="4"/>
  <c r="E17" i="4" s="1"/>
  <c r="C16" i="4"/>
  <c r="E16" i="4" s="1"/>
  <c r="C15" i="4"/>
  <c r="E15" i="4" s="1"/>
  <c r="C14" i="4"/>
  <c r="E14" i="4" s="1"/>
  <c r="C13" i="4"/>
  <c r="E13" i="4" s="1"/>
  <c r="C12" i="4"/>
  <c r="E12" i="4" s="1"/>
  <c r="C11" i="4"/>
  <c r="E11" i="4" s="1"/>
  <c r="C10" i="4"/>
  <c r="E10" i="4" s="1"/>
  <c r="C9" i="4"/>
  <c r="E9" i="4" s="1"/>
  <c r="C8" i="4"/>
  <c r="E8" i="4" s="1"/>
  <c r="C7" i="4"/>
  <c r="E7" i="4" s="1"/>
  <c r="C6" i="4"/>
  <c r="E6" i="4" s="1"/>
  <c r="V127" i="1" l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AZ104" i="1"/>
  <c r="AZ107" i="1"/>
  <c r="AZ101" i="1"/>
  <c r="AZ98" i="1"/>
  <c r="AY101" i="1"/>
  <c r="AY104" i="1"/>
  <c r="AY107" i="1"/>
  <c r="AY98" i="1"/>
  <c r="Y89" i="1"/>
  <c r="Y88" i="1"/>
  <c r="Y87" i="1"/>
  <c r="Y86" i="1"/>
  <c r="Y85" i="1"/>
  <c r="CM97" i="1"/>
  <c r="CM96" i="1"/>
  <c r="CM95" i="1"/>
  <c r="CM94" i="1"/>
  <c r="CM93" i="1"/>
  <c r="CM92" i="1"/>
  <c r="CL97" i="1"/>
  <c r="CL96" i="1"/>
  <c r="CL95" i="1"/>
  <c r="CL94" i="1"/>
  <c r="CL93" i="1"/>
  <c r="CL92" i="1"/>
  <c r="V97" i="1"/>
  <c r="U97" i="1"/>
  <c r="I97" i="1"/>
  <c r="H97" i="1"/>
  <c r="V96" i="1"/>
  <c r="U96" i="1"/>
  <c r="I96" i="1"/>
  <c r="H96" i="1"/>
  <c r="V95" i="1"/>
  <c r="U95" i="1"/>
  <c r="I95" i="1"/>
  <c r="H95" i="1"/>
  <c r="V94" i="1"/>
  <c r="V93" i="1"/>
  <c r="V92" i="1"/>
  <c r="U94" i="1"/>
  <c r="U93" i="1"/>
  <c r="I94" i="1"/>
  <c r="H94" i="1"/>
  <c r="I93" i="1"/>
  <c r="H93" i="1"/>
  <c r="I92" i="1"/>
  <c r="H92" i="1"/>
  <c r="AZ91" i="1"/>
  <c r="AZ90" i="1"/>
  <c r="AY91" i="1"/>
  <c r="AY90" i="1"/>
  <c r="E25" i="3"/>
  <c r="AR91" i="1"/>
  <c r="AR90" i="1"/>
  <c r="DK91" i="1"/>
  <c r="DK90" i="1"/>
  <c r="DJ91" i="1"/>
  <c r="DJ90" i="1"/>
  <c r="I91" i="1"/>
  <c r="I90" i="1"/>
  <c r="H91" i="1"/>
  <c r="H90" i="1"/>
  <c r="ED85" i="1"/>
  <c r="EC89" i="1"/>
  <c r="EC88" i="1"/>
  <c r="EC87" i="1"/>
  <c r="EC86" i="1"/>
  <c r="EC85" i="1"/>
  <c r="ED89" i="1"/>
  <c r="ED88" i="1"/>
  <c r="ED87" i="1"/>
  <c r="ED86" i="1"/>
  <c r="EB89" i="1"/>
  <c r="EB88" i="1"/>
  <c r="EB87" i="1"/>
  <c r="EB86" i="1"/>
  <c r="EB85" i="1"/>
  <c r="E53" i="3" l="1"/>
  <c r="V89" i="1"/>
  <c r="U89" i="1"/>
  <c r="V88" i="1"/>
  <c r="U88" i="1"/>
  <c r="V87" i="1"/>
  <c r="U87" i="1"/>
  <c r="U86" i="1"/>
  <c r="V86" i="1"/>
  <c r="V85" i="1"/>
  <c r="U85" i="1"/>
  <c r="E59" i="1" l="1"/>
  <c r="E60" i="1"/>
  <c r="E61" i="1"/>
  <c r="E62" i="1"/>
  <c r="E63" i="1"/>
  <c r="E64" i="1"/>
  <c r="E58" i="1"/>
  <c r="E57" i="1"/>
  <c r="AR84" i="1"/>
  <c r="AR83" i="1"/>
  <c r="AR82" i="1"/>
  <c r="AR81" i="1"/>
  <c r="AZ4" i="1"/>
  <c r="E24" i="3"/>
  <c r="E23" i="3"/>
  <c r="H63" i="2"/>
  <c r="V84" i="1"/>
  <c r="U84" i="1"/>
  <c r="V83" i="1"/>
  <c r="U83" i="1"/>
  <c r="V82" i="1"/>
  <c r="U82" i="1"/>
  <c r="V81" i="1"/>
  <c r="U81" i="1"/>
  <c r="CD72" i="1" l="1"/>
  <c r="CD71" i="1"/>
  <c r="CD70" i="1"/>
  <c r="CD69" i="1"/>
  <c r="CD68" i="1"/>
  <c r="CD67" i="1"/>
  <c r="CD66" i="1"/>
  <c r="CD65" i="1"/>
  <c r="CC66" i="1"/>
  <c r="CC67" i="1"/>
  <c r="CC68" i="1"/>
  <c r="CC69" i="1"/>
  <c r="CC70" i="1"/>
  <c r="CC71" i="1"/>
  <c r="CC72" i="1"/>
  <c r="BF64" i="1"/>
  <c r="BF63" i="1"/>
  <c r="BF62" i="1"/>
  <c r="BF61" i="1"/>
  <c r="BF60" i="1"/>
  <c r="BF59" i="1"/>
  <c r="BF58" i="1"/>
  <c r="BF57" i="1"/>
  <c r="BE64" i="1"/>
  <c r="BE63" i="1"/>
  <c r="BE62" i="1"/>
  <c r="BE61" i="1"/>
  <c r="BE60" i="1"/>
  <c r="BE59" i="1"/>
  <c r="BE58" i="1"/>
  <c r="BE57" i="1"/>
  <c r="CM59" i="1"/>
  <c r="CM57" i="1"/>
  <c r="CL59" i="1"/>
  <c r="CL57" i="1"/>
</calcChain>
</file>

<file path=xl/sharedStrings.xml><?xml version="1.0" encoding="utf-8"?>
<sst xmlns="http://schemas.openxmlformats.org/spreadsheetml/2006/main" count="33198" uniqueCount="1743">
  <si>
    <t>CoverCrop</t>
  </si>
  <si>
    <t>GrainCrop</t>
  </si>
  <si>
    <t>Longitude</t>
  </si>
  <si>
    <t>Latitude</t>
  </si>
  <si>
    <t>SiteInfor</t>
  </si>
  <si>
    <t>Meta information</t>
  </si>
  <si>
    <t>YearPublication</t>
  </si>
  <si>
    <t>SoilDepthOfSample</t>
  </si>
  <si>
    <t>YearsAfterCoverCrop</t>
  </si>
  <si>
    <t>OC_T</t>
  </si>
  <si>
    <t>OC_C</t>
  </si>
  <si>
    <t>pH_T</t>
  </si>
  <si>
    <t>pH_C</t>
  </si>
  <si>
    <t>yield_T</t>
  </si>
  <si>
    <t>yield_C</t>
  </si>
  <si>
    <t>Texture</t>
  </si>
  <si>
    <t>MAT</t>
  </si>
  <si>
    <t>MAP</t>
  </si>
  <si>
    <t>ClimateType</t>
  </si>
  <si>
    <t>P_T</t>
  </si>
  <si>
    <t>P_C</t>
  </si>
  <si>
    <t>K_T</t>
  </si>
  <si>
    <t>K_C</t>
  </si>
  <si>
    <t>BD_T</t>
  </si>
  <si>
    <t>BD_C</t>
  </si>
  <si>
    <t>NoT</t>
  </si>
  <si>
    <t>NoC</t>
  </si>
  <si>
    <t>Aggre_T</t>
  </si>
  <si>
    <t>Aggre_C</t>
  </si>
  <si>
    <t>Penetration_T</t>
  </si>
  <si>
    <t>Penetration_C</t>
  </si>
  <si>
    <t>CEC_T</t>
  </si>
  <si>
    <t>CEC_C</t>
  </si>
  <si>
    <t>EC_T</t>
  </si>
  <si>
    <t>EC_C</t>
  </si>
  <si>
    <t>BS_T</t>
  </si>
  <si>
    <t>BS_C</t>
  </si>
  <si>
    <t>Tannual</t>
  </si>
  <si>
    <t>Pannual</t>
  </si>
  <si>
    <t>AWHC_T</t>
  </si>
  <si>
    <t>AWHC_C</t>
  </si>
  <si>
    <t>Infiltration_T</t>
  </si>
  <si>
    <t>Infiltration_C</t>
  </si>
  <si>
    <t>Notes</t>
  </si>
  <si>
    <t>Target data</t>
  </si>
  <si>
    <t>Author_F</t>
  </si>
  <si>
    <t>Author_G</t>
  </si>
  <si>
    <t>First author's Given name</t>
  </si>
  <si>
    <t>Paper publication year</t>
  </si>
  <si>
    <t>Site information</t>
  </si>
  <si>
    <t>Annual average temperature</t>
  </si>
  <si>
    <t>Mean annual temperature within study period (1960-2018?)</t>
  </si>
  <si>
    <t>Annual average precipitation</t>
  </si>
  <si>
    <t>Mean annual precipitation within study period (1960-2018?)</t>
  </si>
  <si>
    <t>Study site's climate type</t>
  </si>
  <si>
    <t>How many tears cover crop last</t>
  </si>
  <si>
    <t>Soil texture</t>
  </si>
  <si>
    <t>Cover crop type</t>
  </si>
  <si>
    <t>Grain crop type</t>
  </si>
  <si>
    <t>Applied fertilization information</t>
  </si>
  <si>
    <t>Replication number of treatment</t>
  </si>
  <si>
    <t>Replication number of control</t>
  </si>
  <si>
    <t>Yield of treatment (mean value)</t>
  </si>
  <si>
    <t>Yield of control (mean value)</t>
  </si>
  <si>
    <t>Bulk density of treatment (mean value)</t>
  </si>
  <si>
    <t>Bulk density of control (mean value)</t>
  </si>
  <si>
    <t>Organic carbon of treatment (mean value)</t>
  </si>
  <si>
    <t>Organic carbon of control (mean value)</t>
  </si>
  <si>
    <t>Nitrogen of treatment (mean value)</t>
  </si>
  <si>
    <t>Nitrogen of control (mean value)</t>
  </si>
  <si>
    <t>Phosphorus of treatment (mean value)</t>
  </si>
  <si>
    <t>Phosphorus of control (mean value)</t>
  </si>
  <si>
    <t>Potassium of treatment (mean value)</t>
  </si>
  <si>
    <t>Potassium of control (mean value)</t>
  </si>
  <si>
    <t>pH of treatment (mean value)</t>
  </si>
  <si>
    <t>pH of control (mean value)</t>
  </si>
  <si>
    <t>Soil aggregation of treatment (mean value)</t>
  </si>
  <si>
    <t>Soil aggregation of control (mean value)</t>
  </si>
  <si>
    <t>CEC of treatment (mean value)</t>
  </si>
  <si>
    <t>CEC of control (mean value)</t>
  </si>
  <si>
    <t>Available water hold capacity of treatment (mean value)</t>
  </si>
  <si>
    <t>Available water hold capacity of control (mean value)</t>
  </si>
  <si>
    <t>ST_C</t>
  </si>
  <si>
    <t>ST_T</t>
  </si>
  <si>
    <t>SWC_C</t>
  </si>
  <si>
    <t>SWC_T</t>
  </si>
  <si>
    <t>Soil temperature of control (mean value)</t>
  </si>
  <si>
    <t>Soil temperature of treatment (mean value)</t>
  </si>
  <si>
    <t>Soil water content of treatment (mean value)</t>
  </si>
  <si>
    <t>Soil water content of control (mean value)</t>
  </si>
  <si>
    <t>Soil group</t>
  </si>
  <si>
    <t>Units: kg/hm2</t>
  </si>
  <si>
    <t>ControlDescription</t>
  </si>
  <si>
    <t>Control description</t>
  </si>
  <si>
    <t>Units: %</t>
  </si>
  <si>
    <t>CCDryBiomass</t>
  </si>
  <si>
    <t>CCFreshBiomass</t>
  </si>
  <si>
    <t xml:space="preserve">Fresh biomass (and to be manure) of cover crop </t>
  </si>
  <si>
    <t xml:space="preserve">Dry biomass (and to be manure) of cover crop </t>
  </si>
  <si>
    <t>Conversion_factor</t>
  </si>
  <si>
    <t>Sample_土壤含水量</t>
  </si>
  <si>
    <t>cm3/cm3</t>
  </si>
  <si>
    <t>g/cm3</t>
  </si>
  <si>
    <t>BD</t>
  </si>
  <si>
    <t>1*BD</t>
  </si>
  <si>
    <t>g/g</t>
  </si>
  <si>
    <t>Sample_土壤容重</t>
  </si>
  <si>
    <t>Unit</t>
    <phoneticPr fontId="0" type="noConversion"/>
  </si>
  <si>
    <t>Mg/m3</t>
  </si>
  <si>
    <t>1 Mg/m3 = 1 g/cm3 (1Mg = 1 million g = 10^6 g)</t>
  </si>
  <si>
    <t>Soil water content (SWC) units conversion</t>
  </si>
  <si>
    <t>Soil bulk density units conversion</t>
  </si>
  <si>
    <t>VWC=GWC*BD</t>
  </si>
  <si>
    <t>need update</t>
  </si>
  <si>
    <t>Elevation</t>
  </si>
  <si>
    <t>Journal</t>
  </si>
  <si>
    <t>Journal name of paper</t>
  </si>
  <si>
    <t>Soil depth of samling(different rows or separate by ,?)</t>
  </si>
  <si>
    <t>Base Satuation of treatment (mean value)</t>
  </si>
  <si>
    <t>g/g=cm3/cm3 * BD</t>
  </si>
  <si>
    <t>Family author's Family name</t>
  </si>
  <si>
    <t>Ks_T</t>
  </si>
  <si>
    <t>Ks_C</t>
  </si>
  <si>
    <t>Cmina_T</t>
  </si>
  <si>
    <t>Cmina_C</t>
  </si>
  <si>
    <t>Carbon minierazation of treatment (mean value)</t>
  </si>
  <si>
    <t>Carbon minierazation of control (mean value)</t>
  </si>
  <si>
    <t>Nmina_T</t>
  </si>
  <si>
    <t>Nmina_C</t>
  </si>
  <si>
    <t>Nitrogen minierazation of treatment (mean value)</t>
  </si>
  <si>
    <t>Nitrogen minierazation of control (mean value)</t>
  </si>
  <si>
    <t>SIR_T</t>
  </si>
  <si>
    <t>SIR_C</t>
  </si>
  <si>
    <t>CO2BTest_T</t>
  </si>
  <si>
    <t>CO2BTest_C</t>
  </si>
  <si>
    <t>MBC_T</t>
  </si>
  <si>
    <t>Substract induced respiration of treatment (mean value)</t>
  </si>
  <si>
    <t>Substract induced respiration of treatment (Standard diviation)</t>
  </si>
  <si>
    <t>Substract induced respiration of control (mean value)</t>
  </si>
  <si>
    <t>CO2 burst test respiration of treatment (mean value)</t>
  </si>
  <si>
    <t>CO2 burst test respiration respiration of control (mean value)</t>
  </si>
  <si>
    <t>Microbe Biomass Carbon of treatment (mean value)</t>
  </si>
  <si>
    <t>Microbe Biomass Carbon of control (mean value)</t>
  </si>
  <si>
    <t>Field satuted hydrolic conductivity of treatment (mean value)</t>
  </si>
  <si>
    <t>Field satuted hydrolic conductivity of control (mean value)</t>
  </si>
  <si>
    <t>StudyID</t>
  </si>
  <si>
    <t>Abawi</t>
  </si>
  <si>
    <t>G.S.</t>
  </si>
  <si>
    <t>Applied Soil Ecology</t>
  </si>
  <si>
    <t>New York</t>
  </si>
  <si>
    <t>White clover</t>
  </si>
  <si>
    <t>White mustard</t>
  </si>
  <si>
    <t>Alfalfa</t>
  </si>
  <si>
    <t>Ryegrass</t>
  </si>
  <si>
    <t>Trudan 8</t>
  </si>
  <si>
    <t>Rye grain</t>
  </si>
  <si>
    <t>Wheat</t>
  </si>
  <si>
    <t>Rapeseed</t>
  </si>
  <si>
    <t>TimeAfterCoverCrop</t>
  </si>
  <si>
    <t>8 weeks</t>
  </si>
  <si>
    <t>Fallow</t>
  </si>
  <si>
    <t>Root diseases determined by root rot, ranged from 1(no root rot observed) to 9 (80% roots infected)</t>
  </si>
  <si>
    <t>SandPerc</t>
  </si>
  <si>
    <t>SiltPerc</t>
  </si>
  <si>
    <t>Percentage of sand</t>
  </si>
  <si>
    <t>Percentage of silt</t>
  </si>
  <si>
    <t>Bandic</t>
  </si>
  <si>
    <t>Anna</t>
  </si>
  <si>
    <t>Soil Biology and Biochemistry</t>
  </si>
  <si>
    <t xml:space="preserve">North  Willamette  Research  and Extension  Center,  Aurora,  Oregon </t>
  </si>
  <si>
    <t>Units: m</t>
  </si>
  <si>
    <t>Vegetable crop rotation</t>
  </si>
  <si>
    <t>Red clover</t>
  </si>
  <si>
    <t>Rye</t>
  </si>
  <si>
    <t>Corn</t>
  </si>
  <si>
    <t>Silt loam</t>
  </si>
  <si>
    <t xml:space="preserve"> Mediterranean</t>
  </si>
  <si>
    <t>Units: mm</t>
  </si>
  <si>
    <t>Blackshaw</t>
  </si>
  <si>
    <t>R.E.</t>
  </si>
  <si>
    <t xml:space="preserve">Crop Protection </t>
  </si>
  <si>
    <t>Lethbridge, AB, Canada</t>
  </si>
  <si>
    <t>Loam</t>
  </si>
  <si>
    <t>ExperimentDesign</t>
  </si>
  <si>
    <t>RCBD</t>
  </si>
  <si>
    <t>CRD,RCBD etc.</t>
  </si>
  <si>
    <t>1 year</t>
  </si>
  <si>
    <t>2 year</t>
  </si>
  <si>
    <t>3 year</t>
  </si>
  <si>
    <t>4 year</t>
  </si>
  <si>
    <t>5 year</t>
  </si>
  <si>
    <t>Others</t>
  </si>
  <si>
    <t>No herbicide</t>
  </si>
  <si>
    <t>With herbicide</t>
  </si>
  <si>
    <t>Weed_T</t>
  </si>
  <si>
    <t>Weed_C</t>
  </si>
  <si>
    <t>Weed of treatment (mean value)</t>
  </si>
  <si>
    <t>Weed of control (mean value)</t>
  </si>
  <si>
    <t>Blanco-Canqui</t>
  </si>
  <si>
    <t>Humberto</t>
  </si>
  <si>
    <t>Soil and Water Management and Conservation</t>
  </si>
  <si>
    <t>Hesston,  KS</t>
  </si>
  <si>
    <t xml:space="preserve"> Silt loam</t>
  </si>
  <si>
    <t>MBC_C</t>
  </si>
  <si>
    <t>Units: mg kg-1 soil</t>
  </si>
  <si>
    <t>Organic Matter</t>
  </si>
  <si>
    <t>Units: cmolc kg-1</t>
  </si>
  <si>
    <t>6 year</t>
  </si>
  <si>
    <t>Fall, before planting of cover crop</t>
  </si>
  <si>
    <t>cm</t>
  </si>
  <si>
    <t>Rye, Fall-seeded winter</t>
  </si>
  <si>
    <t xml:space="preserve">Barley, Fall-seeded </t>
  </si>
  <si>
    <t xml:space="preserve">Oat, Fall-seeded </t>
  </si>
  <si>
    <t xml:space="preserve">Rye, Fall-seeded spring </t>
  </si>
  <si>
    <t xml:space="preserve">Barley, Spring-seeded </t>
  </si>
  <si>
    <t xml:space="preserve">Oat, Spring-seeded </t>
  </si>
  <si>
    <t xml:space="preserve">rye, Spring-seeded spring </t>
  </si>
  <si>
    <t>No tillage</t>
  </si>
  <si>
    <t>Wheat-grain sorghum rotation</t>
  </si>
  <si>
    <t>Soybean</t>
  </si>
  <si>
    <t>Hemp</t>
  </si>
  <si>
    <t>15 year</t>
  </si>
  <si>
    <t>No cover crop</t>
  </si>
  <si>
    <t>0 kg N per ha</t>
  </si>
  <si>
    <t>66 kg N per ha</t>
  </si>
  <si>
    <t>SOC</t>
  </si>
  <si>
    <t>%</t>
  </si>
  <si>
    <t>g/kg</t>
  </si>
  <si>
    <t>Cummulative water infiltration (cm)</t>
  </si>
  <si>
    <t xml:space="preserve"> Garden City, KS</t>
  </si>
  <si>
    <t xml:space="preserve"> Silt  loam</t>
  </si>
  <si>
    <t>Pea, Spring</t>
  </si>
  <si>
    <t>Lentil, Spring</t>
  </si>
  <si>
    <t>Lentil, Winter</t>
  </si>
  <si>
    <t>Triticale, Winter</t>
  </si>
  <si>
    <t>Triticale, Sping</t>
  </si>
  <si>
    <t>Continus wheat</t>
  </si>
  <si>
    <t>Subplot, Cover</t>
  </si>
  <si>
    <t>Subplot, Hayed</t>
  </si>
  <si>
    <t>Sometimes, SD column acts like comments</t>
  </si>
  <si>
    <t>1 g/kg = 0.1 %</t>
  </si>
  <si>
    <t>Units: Mg per ha</t>
  </si>
  <si>
    <t>Sediment loess</t>
  </si>
  <si>
    <t>Unites: kg per kg (gravimetric water content)</t>
  </si>
  <si>
    <t>Bloszies</t>
  </si>
  <si>
    <t>Sean Alaric</t>
  </si>
  <si>
    <t>PhD Dissertation</t>
  </si>
  <si>
    <t xml:space="preserve"> Split-split-plot RCBD</t>
  </si>
  <si>
    <t>Loamy sand</t>
  </si>
  <si>
    <t>Cherry</t>
  </si>
  <si>
    <t>Crimson clover</t>
  </si>
  <si>
    <t>Conventional disk tillage</t>
  </si>
  <si>
    <t>No</t>
  </si>
  <si>
    <t>g/m2</t>
  </si>
  <si>
    <t>kg/ha</t>
  </si>
  <si>
    <t>1 g/m² x 1 kg/1000 g x 10000 m²/ha = 10 kg/ha = 10 kg/hm2</t>
  </si>
  <si>
    <t>Mg / ha</t>
  </si>
  <si>
    <t>1 Mg = 1000000 g = 1000 kg/ha</t>
  </si>
  <si>
    <t>more</t>
  </si>
  <si>
    <t>Aggregate mean weight diameter (mm)</t>
  </si>
  <si>
    <t>Units:  mg CO2 kg−1 soil d−1</t>
  </si>
  <si>
    <t>SamplingYear</t>
  </si>
  <si>
    <t>Bottomley</t>
  </si>
  <si>
    <t>P.J.</t>
  </si>
  <si>
    <t>Aurora, OR</t>
  </si>
  <si>
    <t>Year table samples</t>
  </si>
  <si>
    <t>SoilpH</t>
  </si>
  <si>
    <t>SoilTC</t>
  </si>
  <si>
    <t>SoilKsat</t>
  </si>
  <si>
    <t>Soil pH</t>
  </si>
  <si>
    <t>Soil total C</t>
  </si>
  <si>
    <t>Soil Ksat</t>
  </si>
  <si>
    <t>Unit</t>
  </si>
  <si>
    <t>mg CO2 kg−1 soil d−1</t>
  </si>
  <si>
    <t>1 mg = 22.7273 mu mol</t>
  </si>
  <si>
    <t>Brainard</t>
  </si>
  <si>
    <t>D.C.</t>
  </si>
  <si>
    <t>Agriculture, Ecosystems and Environment</t>
  </si>
  <si>
    <t>Benton Harbor MI USA</t>
  </si>
  <si>
    <t>May</t>
  </si>
  <si>
    <t>Sand</t>
  </si>
  <si>
    <t>Sweet corn ratation with broccoli</t>
  </si>
  <si>
    <t>NPK fertilization</t>
  </si>
  <si>
    <t>Hiniker1 Model 6000 two-row strip-tiller tillage</t>
  </si>
  <si>
    <t>Rotation with sweet corn</t>
  </si>
  <si>
    <t>t/ha</t>
  </si>
  <si>
    <t>Bruce</t>
  </si>
  <si>
    <t>R.R.</t>
  </si>
  <si>
    <t>Watkinsville, GA</t>
  </si>
  <si>
    <r>
      <t>Soil Science Society of America Journal</t>
    </r>
    <r>
      <rPr>
        <sz val="10"/>
        <color rgb="FFFF0000"/>
        <rFont val="Arial"/>
        <family val="2"/>
      </rPr>
      <t> </t>
    </r>
  </si>
  <si>
    <t>Clayey</t>
  </si>
  <si>
    <t>March</t>
  </si>
  <si>
    <t>E1, slightly erosion</t>
  </si>
  <si>
    <t>E2, Moderately erosion</t>
  </si>
  <si>
    <t>E3, Severely erosion</t>
  </si>
  <si>
    <t>Fertilization_T</t>
  </si>
  <si>
    <t>Fertilization_C</t>
  </si>
  <si>
    <t>No-tillage</t>
  </si>
  <si>
    <t xml:space="preserve"> Disk-harrowed seedbed</t>
  </si>
  <si>
    <t>Sorghum</t>
  </si>
  <si>
    <t>Rate (%) of rainfull</t>
  </si>
  <si>
    <t>Bulan</t>
  </si>
  <si>
    <t>Mary T. Saunders</t>
  </si>
  <si>
    <t>Weed Science</t>
  </si>
  <si>
    <t xml:space="preserve"> University of Wisconsin West Madison Agricultural Research Station</t>
  </si>
  <si>
    <t xml:space="preserve"> University of Wisconsin Arlington Agricultural Research Station</t>
  </si>
  <si>
    <t>July</t>
  </si>
  <si>
    <t>August</t>
  </si>
  <si>
    <t>September</t>
  </si>
  <si>
    <t>Vegetable</t>
  </si>
  <si>
    <t>Buckwheat</t>
  </si>
  <si>
    <t>Tartary Buckwheat</t>
  </si>
  <si>
    <t>Conventional tillage</t>
  </si>
  <si>
    <t>N_C</t>
  </si>
  <si>
    <t>N_T</t>
  </si>
  <si>
    <t>TN</t>
  </si>
  <si>
    <t>Weed-free and weedy aggregated</t>
  </si>
  <si>
    <t>Buyer</t>
  </si>
  <si>
    <t>Jeffrey S.</t>
  </si>
  <si>
    <t>Bare</t>
  </si>
  <si>
    <t xml:space="preserve"> Beltsville, Maryland</t>
  </si>
  <si>
    <t>Sandy loam</t>
  </si>
  <si>
    <t>Lime and nutrients were applied</t>
  </si>
  <si>
    <t>Tomato</t>
  </si>
  <si>
    <t>Rye roots</t>
  </si>
  <si>
    <t>Rye shoots</t>
  </si>
  <si>
    <t>Vetch</t>
  </si>
  <si>
    <t>Vetch roots</t>
  </si>
  <si>
    <t>Vetch shoots</t>
  </si>
  <si>
    <t>n mol / g</t>
  </si>
  <si>
    <t xml:space="preserve">SIR or CO2 Burst Test </t>
  </si>
  <si>
    <t>mg kg-1 soil</t>
  </si>
  <si>
    <t>Conversions from these units to umol CO2/m2/s:</t>
  </si>
  <si>
    <t>Conversion_factor</t>
    <phoneticPr fontId="0" type="noConversion"/>
  </si>
  <si>
    <t>Sample_flux</t>
    <phoneticPr fontId="0" type="noConversion"/>
  </si>
  <si>
    <t>Flux_umol CO2/m2/s</t>
  </si>
  <si>
    <t>g C/m2/day</t>
    <phoneticPr fontId="0" type="noConversion"/>
  </si>
  <si>
    <t>g C/m2/hr</t>
    <phoneticPr fontId="0" type="noConversion"/>
  </si>
  <si>
    <t>g C/m2/yr</t>
    <phoneticPr fontId="0" type="noConversion"/>
  </si>
  <si>
    <t>g CO2/m2/day</t>
    <phoneticPr fontId="0" type="noConversion"/>
  </si>
  <si>
    <t>g CO2/m2/hr</t>
    <phoneticPr fontId="0" type="noConversion"/>
  </si>
  <si>
    <t>mg C/m2/day</t>
    <phoneticPr fontId="0" type="noConversion"/>
  </si>
  <si>
    <t>mg C/m2/hr</t>
    <phoneticPr fontId="0" type="noConversion"/>
  </si>
  <si>
    <t>mg CO2/m2/day</t>
    <phoneticPr fontId="0" type="noConversion"/>
  </si>
  <si>
    <t>mg CO2/m2/hr</t>
    <phoneticPr fontId="0" type="noConversion"/>
  </si>
  <si>
    <t>mmol CO2/m2/day</t>
    <phoneticPr fontId="0" type="noConversion"/>
  </si>
  <si>
    <t>mmol CO2/m2/hr</t>
    <phoneticPr fontId="0" type="noConversion"/>
  </si>
  <si>
    <t>mmol CO2/m2/s</t>
    <phoneticPr fontId="0" type="noConversion"/>
  </si>
  <si>
    <t>mol C/m2/yr</t>
    <phoneticPr fontId="0" type="noConversion"/>
  </si>
  <si>
    <t>umol CO2/m2/s</t>
    <phoneticPr fontId="0" type="noConversion"/>
  </si>
  <si>
    <t>PLFA</t>
  </si>
  <si>
    <t>Campbell</t>
  </si>
  <si>
    <t xml:space="preserve">Rye </t>
  </si>
  <si>
    <t>R.B.</t>
  </si>
  <si>
    <t>Soil and tillage research</t>
  </si>
  <si>
    <t xml:space="preserve">Standing residues </t>
  </si>
  <si>
    <t>76-cm row spacing</t>
  </si>
  <si>
    <t>97-cm row spacing</t>
  </si>
  <si>
    <t>DE vs HE</t>
  </si>
  <si>
    <t>DL vs HL</t>
  </si>
  <si>
    <t>Darlington  County  South  Carolina</t>
  </si>
  <si>
    <t>Florence  of  South  Carolina</t>
  </si>
  <si>
    <t>C.A.</t>
  </si>
  <si>
    <t>Canadian  Journal Of Soil Science</t>
  </si>
  <si>
    <t>Indian Head,  Saskatchewan</t>
  </si>
  <si>
    <t>Sweetclover</t>
  </si>
  <si>
    <t>6 kg N per ha</t>
  </si>
  <si>
    <t>Fallow-Weat at spring-Wheat at spring</t>
  </si>
  <si>
    <t>Fallow-Wheat at spring</t>
  </si>
  <si>
    <t>24 kg N per ha</t>
  </si>
  <si>
    <t>kg/ha/day</t>
  </si>
  <si>
    <t>SoilBD</t>
  </si>
  <si>
    <t>Bulk density</t>
  </si>
  <si>
    <t>1 kg=10^6 mg</t>
  </si>
  <si>
    <t>1627500 Kg when BD = 1.085 (Study No. 13)</t>
  </si>
  <si>
    <t>GM-(W)-W</t>
  </si>
  <si>
    <t>(GM)-W-W</t>
  </si>
  <si>
    <t>Alfalfa,  bromegrass</t>
  </si>
  <si>
    <t>(F)-W-W-H-H-H</t>
  </si>
  <si>
    <t>F-W-W-(H)-H-H</t>
  </si>
  <si>
    <t>1 ha = 100*100*0.15*BD*1000 kg</t>
  </si>
  <si>
    <t>Microbial biomass N available</t>
  </si>
  <si>
    <t>CNOfManure</t>
  </si>
  <si>
    <t>Carbon to nitrogen ratio from the dry biomass of cover crop (related to manure quality)</t>
  </si>
  <si>
    <t>Carr</t>
  </si>
  <si>
    <t>Patrick M.</t>
  </si>
  <si>
    <t>Dickinson, North Dakota</t>
  </si>
  <si>
    <t>Renewable Agriculture and Food Systems</t>
  </si>
  <si>
    <t>Disk</t>
  </si>
  <si>
    <t>Sweep</t>
  </si>
  <si>
    <t>Roller</t>
  </si>
  <si>
    <t>Rye, winter</t>
  </si>
  <si>
    <t>Duiker</t>
  </si>
  <si>
    <t>Sjoerd</t>
  </si>
  <si>
    <t>Agronomy Journal</t>
  </si>
  <si>
    <t>Rock Springs, Center County, PA</t>
  </si>
  <si>
    <t>71 kg N per ha</t>
  </si>
  <si>
    <t>Early plant</t>
  </si>
  <si>
    <t>Late plant</t>
  </si>
  <si>
    <t>Ess</t>
  </si>
  <si>
    <t>D.R.</t>
  </si>
  <si>
    <t>American Society of Agricultural Engineers</t>
  </si>
  <si>
    <t xml:space="preserve">Virginia Tech Whitethorne Research Farm </t>
  </si>
  <si>
    <t>Tilled to 0.3m</t>
  </si>
  <si>
    <t>Fertilized</t>
  </si>
  <si>
    <t>Fallow with herbicide</t>
  </si>
  <si>
    <t>Rye, Desiccated</t>
  </si>
  <si>
    <t>Rye, Live crop</t>
  </si>
  <si>
    <t>Rye, Residue removed</t>
  </si>
  <si>
    <t>Capillary porosity (%)</t>
  </si>
  <si>
    <t>Noncapillary porosity (%)</t>
  </si>
  <si>
    <t>Units: cm/h</t>
  </si>
  <si>
    <t>Maximum dry density</t>
  </si>
  <si>
    <t>Finney</t>
  </si>
  <si>
    <t>Denise M.</t>
  </si>
  <si>
    <t>Larson Agricultural Research Center, Rock Springs, PA</t>
  </si>
  <si>
    <t>Oat–corn</t>
  </si>
  <si>
    <t xml:space="preserve">Silt loam </t>
  </si>
  <si>
    <t xml:space="preserve"> 150 kg N per ha</t>
  </si>
  <si>
    <t>Forage rasidh, FR</t>
  </si>
  <si>
    <t>Oat, OA</t>
  </si>
  <si>
    <t>FR,OA,FM,SS</t>
  </si>
  <si>
    <t>CA,CR,BA,RG</t>
  </si>
  <si>
    <t>FR,OA,CA,CR</t>
  </si>
  <si>
    <t>SH,SB,FR,OA</t>
  </si>
  <si>
    <t>RC,HV,CA,CR</t>
  </si>
  <si>
    <t>SH,SB,CA,CR</t>
  </si>
  <si>
    <t>RC,HV,FR,OA</t>
  </si>
  <si>
    <t>8CCa</t>
  </si>
  <si>
    <t>8CCb</t>
  </si>
  <si>
    <t>Yield/weed/biomass</t>
  </si>
  <si>
    <t>Dry biomass, Post</t>
  </si>
  <si>
    <t>Potential leachable nitrate: kg No3-n per ha</t>
  </si>
  <si>
    <t>Sometimes, Leaching nutrient</t>
  </si>
  <si>
    <t>1 ha = Mg</t>
  </si>
  <si>
    <t>1 ha = Kg</t>
  </si>
  <si>
    <t>Chloroform fumigation±extraction method</t>
  </si>
  <si>
    <t>Sno.13</t>
  </si>
  <si>
    <t>Potentially mineralizable C</t>
  </si>
  <si>
    <t>Journal Of Soil And Water Conservation</t>
  </si>
  <si>
    <t>Fall, two months after cover crop</t>
  </si>
  <si>
    <t>Spring, eight months after cover crop</t>
  </si>
  <si>
    <t>Other 6 microbial indicators available, fungal to bacterial available</t>
  </si>
  <si>
    <t>mu g C per g per day</t>
  </si>
  <si>
    <t>Hargrove</t>
  </si>
  <si>
    <t>W.L.</t>
  </si>
  <si>
    <t>Bledsoe Research Farm near Griffin, GA</t>
  </si>
  <si>
    <t>Sandy  loam</t>
  </si>
  <si>
    <t>Split-split-plot RCBD</t>
  </si>
  <si>
    <t>Subterranean clover</t>
  </si>
  <si>
    <t>0 N fertilization</t>
  </si>
  <si>
    <t>112 N fertilization</t>
  </si>
  <si>
    <t>0 Kg N per ha</t>
  </si>
  <si>
    <t>112 Kg N per ha</t>
  </si>
  <si>
    <t>Year and soil depth interaction not valid</t>
  </si>
  <si>
    <t>1 dag = 0.1 g</t>
  </si>
  <si>
    <t>%=0.01g/g</t>
  </si>
  <si>
    <t>10mg/g</t>
  </si>
  <si>
    <t>10000 mg / kg</t>
  </si>
  <si>
    <t>Nitrate-nitrogen in ppm</t>
  </si>
  <si>
    <t>PPM</t>
  </si>
  <si>
    <t>ppm=0.0001%</t>
  </si>
  <si>
    <t>Soil inorganic N</t>
  </si>
  <si>
    <t>Units of N need check</t>
  </si>
  <si>
    <t>Inorganic N available</t>
  </si>
  <si>
    <t>Michigan State University Horticulture Teaching and Research Center in Holt, MI</t>
  </si>
  <si>
    <t>Hayden</t>
  </si>
  <si>
    <t>Zachary</t>
  </si>
  <si>
    <t>Crop Ecology and Physiology</t>
  </si>
  <si>
    <t>HV83+Rye17</t>
  </si>
  <si>
    <t>HV67+Rye33</t>
  </si>
  <si>
    <t>HV50+Rye50</t>
  </si>
  <si>
    <t>HV33+Rye67</t>
  </si>
  <si>
    <t>HV17+Rye83</t>
  </si>
  <si>
    <t>Control set as 100, no units</t>
  </si>
  <si>
    <t>Hinds</t>
  </si>
  <si>
    <t>Jermaine</t>
  </si>
  <si>
    <t>Crop Protection</t>
  </si>
  <si>
    <t>5-10-10(N-P-K)</t>
  </si>
  <si>
    <t>Sunn hemp</t>
  </si>
  <si>
    <t>UM, Research and Education Center in Upper Marlboro, MD</t>
  </si>
  <si>
    <t>QT, Research and Education Center in Upper Marlboro, MD</t>
  </si>
  <si>
    <t>Diseases_T</t>
  </si>
  <si>
    <t>Diseases_C</t>
  </si>
  <si>
    <t>Beetles per plant</t>
  </si>
  <si>
    <t>14 Days</t>
  </si>
  <si>
    <t>21 Days</t>
  </si>
  <si>
    <t>28 Days</t>
  </si>
  <si>
    <t>35 Days</t>
  </si>
  <si>
    <t>42 Days</t>
  </si>
  <si>
    <t>49 Days</t>
  </si>
  <si>
    <t>Spots cucumber beetles, spider number available</t>
  </si>
  <si>
    <t>Zucchini</t>
  </si>
  <si>
    <t>Organic fertilizer</t>
  </si>
  <si>
    <t>Synthetic fertilizer</t>
  </si>
  <si>
    <t>Nematode enrichment</t>
  </si>
  <si>
    <t>September 1ST</t>
  </si>
  <si>
    <t>September 21ST</t>
  </si>
  <si>
    <t>Other nematode indicators available</t>
  </si>
  <si>
    <t>Biological Agriculture and Horticulture</t>
  </si>
  <si>
    <t>26 days</t>
  </si>
  <si>
    <t>28 days</t>
  </si>
  <si>
    <t>30 days</t>
  </si>
  <si>
    <t>31 days</t>
  </si>
  <si>
    <t>33 days</t>
  </si>
  <si>
    <t>35 days</t>
  </si>
  <si>
    <t>37 days</t>
  </si>
  <si>
    <t>39 days</t>
  </si>
  <si>
    <t>41 days</t>
  </si>
  <si>
    <t>43 days</t>
  </si>
  <si>
    <t>45 days</t>
  </si>
  <si>
    <t>47 days</t>
  </si>
  <si>
    <t>46 days</t>
  </si>
  <si>
    <t>34 days</t>
  </si>
  <si>
    <t>36 days</t>
  </si>
  <si>
    <t>40 days</t>
  </si>
  <si>
    <t>48 days</t>
  </si>
  <si>
    <t>51 days</t>
  </si>
  <si>
    <t>29 days</t>
  </si>
  <si>
    <t>32 days</t>
  </si>
  <si>
    <t>38 days</t>
  </si>
  <si>
    <t>42 days</t>
  </si>
  <si>
    <t>44 days</t>
  </si>
  <si>
    <t>49 days</t>
  </si>
  <si>
    <t>50 days</t>
  </si>
  <si>
    <t>Journal of Nematology</t>
  </si>
  <si>
    <t>Hubbard</t>
  </si>
  <si>
    <t>Robert K.</t>
  </si>
  <si>
    <t>Tifton, GA</t>
  </si>
  <si>
    <t>Conservation tillage</t>
  </si>
  <si>
    <t>Rotation with cover crop</t>
  </si>
  <si>
    <t>133 Kg N per ha</t>
  </si>
  <si>
    <t>67 Kg N per ha</t>
  </si>
  <si>
    <t>mg/g</t>
  </si>
  <si>
    <t>Idowu</t>
  </si>
  <si>
    <t>Q.J.</t>
  </si>
  <si>
    <t>Bean–beet–sweet corn–cabbage–bean</t>
  </si>
  <si>
    <t>Bean–ﬁeld corn–clover/grain–sweet corn–bean</t>
  </si>
  <si>
    <t>Four sites averaged</t>
  </si>
  <si>
    <t>No tillage, plow-till, and zone tillage</t>
  </si>
  <si>
    <t>Units: g/g</t>
  </si>
  <si>
    <t>AWC</t>
  </si>
  <si>
    <t>Units: mg/kg</t>
  </si>
  <si>
    <t>Active carbon</t>
  </si>
  <si>
    <t>Root health 1-9</t>
  </si>
  <si>
    <t>Mg, Fe, Zn, CSHI available</t>
  </si>
  <si>
    <t>Jani</t>
  </si>
  <si>
    <t>Arun D.</t>
  </si>
  <si>
    <t>Goldsboro</t>
  </si>
  <si>
    <t xml:space="preserve">Kinston </t>
  </si>
  <si>
    <t>Conventional tillage,Disked</t>
  </si>
  <si>
    <t>Pea</t>
  </si>
  <si>
    <t>Clover</t>
  </si>
  <si>
    <t>0 week</t>
  </si>
  <si>
    <t>2 week</t>
  </si>
  <si>
    <t>4 week</t>
  </si>
  <si>
    <t>6 week</t>
  </si>
  <si>
    <t>8 week</t>
  </si>
  <si>
    <t>12 week</t>
  </si>
  <si>
    <t>16 week</t>
  </si>
  <si>
    <t>Conventional tillage,Roller Crimped</t>
  </si>
  <si>
    <t>NH4-NO3</t>
  </si>
  <si>
    <t>Disked</t>
  </si>
  <si>
    <t>Roller Crimping</t>
  </si>
  <si>
    <t>N release dynamic indicator available</t>
  </si>
  <si>
    <t>Other meta information</t>
  </si>
  <si>
    <t>Jernigan</t>
  </si>
  <si>
    <t>Ashley B.</t>
  </si>
  <si>
    <t>Weed Science Society of America</t>
  </si>
  <si>
    <t>Freeville, NY</t>
  </si>
  <si>
    <t>April</t>
  </si>
  <si>
    <t>Rotated with 6 cash crops</t>
  </si>
  <si>
    <t>Compost</t>
  </si>
  <si>
    <t>Jiang</t>
  </si>
  <si>
    <t>P.</t>
  </si>
  <si>
    <t>SSSA</t>
  </si>
  <si>
    <t>Centrralia in Missouri</t>
  </si>
  <si>
    <t>Silt</t>
  </si>
  <si>
    <t>Corn-soybean-wheat rotation</t>
  </si>
  <si>
    <t>Red colver</t>
  </si>
  <si>
    <t>multch tillage</t>
  </si>
  <si>
    <t>150 kg N per ha</t>
  </si>
  <si>
    <t>190 kg N per ha</t>
  </si>
  <si>
    <t>0.01  Kpa</t>
  </si>
  <si>
    <t>Macro porse</t>
  </si>
  <si>
    <t>Micro porse</t>
  </si>
  <si>
    <t>William E.</t>
  </si>
  <si>
    <t>Prairie du Sac, WI</t>
  </si>
  <si>
    <t xml:space="preserve">Kura clover </t>
  </si>
  <si>
    <t>Forage</t>
  </si>
  <si>
    <t>No-cover, manured</t>
  </si>
  <si>
    <t>No-cover, N ferterlized</t>
  </si>
  <si>
    <t>Active C</t>
  </si>
  <si>
    <t>Water-stable macroaggregates</t>
  </si>
  <si>
    <t>Units: g/kg and many others</t>
  </si>
  <si>
    <t>SQI available</t>
  </si>
  <si>
    <t>Total microbial Biomass</t>
  </si>
  <si>
    <t>Diff</t>
  </si>
  <si>
    <t>Joyce</t>
  </si>
  <si>
    <t>B.A.</t>
  </si>
  <si>
    <t xml:space="preserve">American Society of Agricultural Engineers </t>
  </si>
  <si>
    <t>Agronomy Farm at the University of California</t>
  </si>
  <si>
    <t>Tomato-Safflower-Corn-Bean Rotation</t>
  </si>
  <si>
    <t>Low input</t>
  </si>
  <si>
    <t>Organic</t>
  </si>
  <si>
    <t>VMW</t>
  </si>
  <si>
    <t>Runoff of precipitation (%)</t>
  </si>
  <si>
    <t>Hydrolic conductivity</t>
  </si>
  <si>
    <t>Kabir</t>
  </si>
  <si>
    <t>Z.</t>
  </si>
  <si>
    <t xml:space="preserve">Agriculture, Ecosystems and Environment </t>
  </si>
  <si>
    <t>Silty loam</t>
  </si>
  <si>
    <t>Maize</t>
  </si>
  <si>
    <t>Winter wheat</t>
  </si>
  <si>
    <t>Dandelion</t>
  </si>
  <si>
    <t>8 days</t>
  </si>
  <si>
    <t>25 days</t>
  </si>
  <si>
    <t>54 days</t>
  </si>
  <si>
    <t>% root affected by Mycorrhizal</t>
  </si>
  <si>
    <t>Shoot biomass:g per plant</t>
  </si>
  <si>
    <t>450 kg N per ha</t>
  </si>
  <si>
    <t>Kaspar</t>
  </si>
  <si>
    <t>T.C.</t>
  </si>
  <si>
    <t>Boone County, IA</t>
  </si>
  <si>
    <t>Loamy</t>
  </si>
  <si>
    <t>Corn, Soy bean Rotation</t>
  </si>
  <si>
    <t>Light tillage</t>
  </si>
  <si>
    <t>Gamagrass</t>
  </si>
  <si>
    <t>Plant N indicator available</t>
  </si>
  <si>
    <t>Inorganic N</t>
  </si>
  <si>
    <t>N concentration in runoff (mg N per L)</t>
  </si>
  <si>
    <t>Keene</t>
  </si>
  <si>
    <t>C.L.</t>
  </si>
  <si>
    <t>Crop Economics, Production and Management</t>
  </si>
  <si>
    <t>Reduced or no tillage</t>
  </si>
  <si>
    <t>4 wap</t>
  </si>
  <si>
    <t>5 wap</t>
  </si>
  <si>
    <t>6 wap</t>
  </si>
  <si>
    <t>4+5+6 wap</t>
  </si>
  <si>
    <t>Kladivko</t>
  </si>
  <si>
    <t>E.J.</t>
  </si>
  <si>
    <t>Journal of environmental quality</t>
  </si>
  <si>
    <t>SouthEastern Purdue Agricultural, Indiana</t>
  </si>
  <si>
    <t>285 kg N per ha</t>
  </si>
  <si>
    <t>177 kg N per ha</t>
  </si>
  <si>
    <t>Chisel</t>
  </si>
  <si>
    <t>5 m drain space</t>
  </si>
  <si>
    <t>10 m drain space</t>
  </si>
  <si>
    <t>20 m drain space</t>
  </si>
  <si>
    <t>Kong</t>
  </si>
  <si>
    <t xml:space="preserve">Angela Y.Y. </t>
  </si>
  <si>
    <t>Long-term Research on Agricultural Systems</t>
  </si>
  <si>
    <t>Mediterranean</t>
  </si>
  <si>
    <t>Silt loam or silt clay</t>
  </si>
  <si>
    <t>CRD</t>
  </si>
  <si>
    <t>170 kg N, 51 kg N-P-K per ha</t>
  </si>
  <si>
    <t>Conventional</t>
  </si>
  <si>
    <t>0-15</t>
  </si>
  <si>
    <t>0-20</t>
  </si>
  <si>
    <t>0-7.5</t>
  </si>
  <si>
    <t>7.5-15</t>
  </si>
  <si>
    <t>0-7.6</t>
  </si>
  <si>
    <t>20-40</t>
  </si>
  <si>
    <t>40-60</t>
  </si>
  <si>
    <t>60-80</t>
  </si>
  <si>
    <t>80-100</t>
  </si>
  <si>
    <t>0-1.5</t>
  </si>
  <si>
    <t>0-10</t>
  </si>
  <si>
    <t>0-30</t>
  </si>
  <si>
    <t>15-30</t>
  </si>
  <si>
    <t>0-18</t>
  </si>
  <si>
    <t>0-5</t>
  </si>
  <si>
    <t>0-45</t>
  </si>
  <si>
    <t>45-105</t>
  </si>
  <si>
    <t>105-195</t>
  </si>
  <si>
    <t>195-285</t>
  </si>
  <si>
    <t>0-120</t>
  </si>
  <si>
    <t>Root C release</t>
  </si>
  <si>
    <t>373 kg composed N per ha</t>
  </si>
  <si>
    <t>69 days</t>
  </si>
  <si>
    <t>100 days</t>
  </si>
  <si>
    <t>154 days</t>
  </si>
  <si>
    <t>PFLA,Microaggregate, sum of four</t>
  </si>
  <si>
    <t>PFLA,Silt and clay</t>
  </si>
  <si>
    <t>Langdale</t>
  </si>
  <si>
    <t>G.W.</t>
  </si>
  <si>
    <t>Soil Technology</t>
  </si>
  <si>
    <t xml:space="preserve"> Watkinsville, Georgia</t>
  </si>
  <si>
    <t>No-tilling</t>
  </si>
  <si>
    <t>70 Kg N per ha</t>
  </si>
  <si>
    <t>115 Kg N per ha</t>
  </si>
  <si>
    <t>45 Kg N per ha</t>
  </si>
  <si>
    <t>Fert_Diff</t>
  </si>
  <si>
    <t>Yes</t>
  </si>
  <si>
    <t>Whether control and cover crop applied fifferent fertilizer level?</t>
  </si>
  <si>
    <t>Rainfed, sligh erosion level</t>
  </si>
  <si>
    <t>Rainfed, moderate erosion level</t>
  </si>
  <si>
    <t>Rainfed, severe erosion level</t>
  </si>
  <si>
    <t>Irrigated, sligh erosion level</t>
  </si>
  <si>
    <t>Irrigated, moderate erosion level</t>
  </si>
  <si>
    <t>Irrigated, severe erosion level</t>
  </si>
  <si>
    <t>Sligh erosion level</t>
  </si>
  <si>
    <t>Moderate erosion level</t>
  </si>
  <si>
    <t>Severe erosion level</t>
  </si>
  <si>
    <t>Total Kjeldahl Nitrogen</t>
  </si>
  <si>
    <t>Air dry soil pass sieve</t>
  </si>
  <si>
    <t>Runoff(%)</t>
  </si>
  <si>
    <t>Lehman</t>
  </si>
  <si>
    <t>R.Michael</t>
  </si>
  <si>
    <t>Brookings, South Dakota</t>
  </si>
  <si>
    <t>Sandy clay loam</t>
  </si>
  <si>
    <t>Units: 10-6/s (mS)</t>
  </si>
  <si>
    <t>November</t>
  </si>
  <si>
    <t>Oat</t>
  </si>
  <si>
    <t>Slit tillage</t>
  </si>
  <si>
    <t>Arbuscular mycorrrhizal fungi (AMF)</t>
  </si>
  <si>
    <t>Canola</t>
  </si>
  <si>
    <t>Oat-canola</t>
  </si>
  <si>
    <t>Liebig</t>
  </si>
  <si>
    <t>M.</t>
  </si>
  <si>
    <t>Akron, CO</t>
  </si>
  <si>
    <t>Millet</t>
  </si>
  <si>
    <t>Varied N</t>
  </si>
  <si>
    <t>Brookings, SD</t>
  </si>
  <si>
    <t>Chisel plow and disk</t>
  </si>
  <si>
    <t>Rotation_T</t>
  </si>
  <si>
    <t>Rotation_C</t>
  </si>
  <si>
    <t>Rotation_Diff</t>
  </si>
  <si>
    <t>Whether type of tillage differ between control and cover crop</t>
  </si>
  <si>
    <t>Tillage_T</t>
  </si>
  <si>
    <t>Tillage_C</t>
  </si>
  <si>
    <t>Tillage_Diff</t>
  </si>
  <si>
    <t>Type of tillage for cover crop</t>
  </si>
  <si>
    <t>Type of tillage for control</t>
  </si>
  <si>
    <t>High N</t>
  </si>
  <si>
    <t>Bushland, TX</t>
  </si>
  <si>
    <t>WW-C-M</t>
  </si>
  <si>
    <t>C-SB-SW</t>
  </si>
  <si>
    <t>C-C</t>
  </si>
  <si>
    <t>WW-SO-F</t>
  </si>
  <si>
    <t>WW-WW</t>
  </si>
  <si>
    <t>Fargo, ND</t>
  </si>
  <si>
    <t>Silty clay</t>
  </si>
  <si>
    <t>DW-P</t>
  </si>
  <si>
    <t>Fall plow</t>
  </si>
  <si>
    <t>Mandan, ND</t>
  </si>
  <si>
    <t>Spring wheat</t>
  </si>
  <si>
    <t>Sunflower</t>
  </si>
  <si>
    <t>SW-F</t>
  </si>
  <si>
    <t>SW-WW-SU</t>
  </si>
  <si>
    <t>Medium</t>
  </si>
  <si>
    <t>Mead, NE</t>
  </si>
  <si>
    <t>Silt clay loam</t>
  </si>
  <si>
    <t>Oat, clover</t>
  </si>
  <si>
    <t>C-SB-SO-OCL</t>
  </si>
  <si>
    <t>High</t>
  </si>
  <si>
    <t>Sidney, MT</t>
  </si>
  <si>
    <t>SW-SW</t>
  </si>
  <si>
    <t>Tandem disk</t>
  </si>
  <si>
    <t>Swift Current, SK</t>
  </si>
  <si>
    <t>Lentil</t>
  </si>
  <si>
    <t>SW-L</t>
  </si>
  <si>
    <t>Chisel plow and harrow</t>
  </si>
  <si>
    <t>Type of rotation/crop sequence for cover crop treatment</t>
  </si>
  <si>
    <t>Type of rotation/crop sequence for control</t>
  </si>
  <si>
    <t>Whether type of rotation/crop sequence differ between control and cover crop</t>
  </si>
  <si>
    <t>WW-F</t>
  </si>
  <si>
    <t>qCO2,mg CO2 per mg MBC</t>
  </si>
  <si>
    <t>kg per ha</t>
  </si>
  <si>
    <t>Marriott</t>
  </si>
  <si>
    <t xml:space="preserve">Emily E. </t>
  </si>
  <si>
    <t>0-25</t>
  </si>
  <si>
    <t>Composed mannure 4480 kg per ha</t>
  </si>
  <si>
    <t>170 Kg N per ha</t>
  </si>
  <si>
    <t>Chisel plow</t>
  </si>
  <si>
    <t>C-CC-C-AR-SB-W-RC</t>
  </si>
  <si>
    <t>CC-SB-W</t>
  </si>
  <si>
    <t>Legume</t>
  </si>
  <si>
    <t>Control vs M</t>
  </si>
  <si>
    <t>Control vs L</t>
  </si>
  <si>
    <t>CF</t>
  </si>
  <si>
    <t>OPOM</t>
  </si>
  <si>
    <t>FPOM</t>
  </si>
  <si>
    <t>CHF</t>
  </si>
  <si>
    <t>Paper's ID number</t>
  </si>
  <si>
    <t>Mbuthia</t>
  </si>
  <si>
    <t>Lilian Wanjiru</t>
  </si>
  <si>
    <t>Everage of 31 years data</t>
  </si>
  <si>
    <t>Cotton</t>
  </si>
  <si>
    <t>Total bacterial</t>
  </si>
  <si>
    <t>Units: nmol per g soil</t>
  </si>
  <si>
    <t>Enzyme activity</t>
  </si>
  <si>
    <t>Tillage</t>
  </si>
  <si>
    <t>1 ha = 100*100*0.075*1.4Mg</t>
  </si>
  <si>
    <t>No40</t>
  </si>
  <si>
    <t>MG</t>
  </si>
  <si>
    <t>kg</t>
  </si>
  <si>
    <t>McCracken</t>
  </si>
  <si>
    <t xml:space="preserve">Daniel V.  </t>
  </si>
  <si>
    <t xml:space="preserve">West Tennessee Research and Education Center </t>
  </si>
  <si>
    <t>Kentucky Agricultural Experiment  Station  Farm near Lexington</t>
  </si>
  <si>
    <t>NH4-N discharge (%)</t>
  </si>
  <si>
    <t>June</t>
  </si>
  <si>
    <t>Augest</t>
  </si>
  <si>
    <t>October</t>
  </si>
  <si>
    <t>December</t>
  </si>
  <si>
    <t xml:space="preserve">April </t>
  </si>
  <si>
    <t>Suptember</t>
  </si>
  <si>
    <t>January</t>
  </si>
  <si>
    <t>February</t>
  </si>
  <si>
    <t>N Concentration</t>
  </si>
  <si>
    <t>McVay</t>
  </si>
  <si>
    <t xml:space="preserve">K. A. </t>
  </si>
  <si>
    <t>Sandy  clay  loam</t>
  </si>
  <si>
    <t>Clay Loam</t>
  </si>
  <si>
    <t>Valley  location, Georgia</t>
  </si>
  <si>
    <t>Coastal  Plain, Altamaha, upper Coastal  Plain of Georgia</t>
  </si>
  <si>
    <t>5-10</t>
  </si>
  <si>
    <t>10-20</t>
  </si>
  <si>
    <t>&gt;250 mum (%)</t>
  </si>
  <si>
    <t>Units: mm/h</t>
  </si>
  <si>
    <t>Units in Mg per Ha available</t>
  </si>
  <si>
    <t>SQI, Ca, Mg, MBN and MBC/N indicators available</t>
  </si>
  <si>
    <t>Ca,Mg,Al,Mn available</t>
  </si>
  <si>
    <t>Varied</t>
  </si>
  <si>
    <t>Wheat-Cron-Fallow</t>
  </si>
  <si>
    <t>CCTermination</t>
  </si>
  <si>
    <t>Way of kinnling cover crop</t>
  </si>
  <si>
    <t>Mendes</t>
  </si>
  <si>
    <t xml:space="preserve">I. C. </t>
  </si>
  <si>
    <t>Sweet corn and broccoli</t>
  </si>
  <si>
    <t>Cereal</t>
  </si>
  <si>
    <t>TC</t>
  </si>
  <si>
    <t>Kjeldahl N (TKN)</t>
  </si>
  <si>
    <t>SMBC</t>
  </si>
  <si>
    <t>mu g n gdw soil per week?</t>
  </si>
  <si>
    <t>mg NO3-N / kg soil</t>
  </si>
  <si>
    <t>beta-Glucoside activity</t>
  </si>
  <si>
    <t>Fluorescein diacetate hydrolysis (FDA),distribution of TOC,TNC,and emzyme activity indicator available</t>
  </si>
  <si>
    <t>Ndiaye</t>
  </si>
  <si>
    <t xml:space="preserve">E.L. </t>
  </si>
  <si>
    <t>American Journal of Alternative Agriculture</t>
  </si>
  <si>
    <t>Silverton(OF), Oregon</t>
  </si>
  <si>
    <t>Salem(OF), Oregon</t>
  </si>
  <si>
    <t>Gervais(OF), Oregon</t>
  </si>
  <si>
    <t>Molalla(OF), Oregon-122.577</t>
  </si>
  <si>
    <t>Silt clay</t>
  </si>
  <si>
    <t>NWREC(R), Oregon</t>
  </si>
  <si>
    <t>Southern Willamette Valley, VF(R), Oregon</t>
  </si>
  <si>
    <t>Cauliflower</t>
  </si>
  <si>
    <t>Broccoli</t>
  </si>
  <si>
    <t>Mixed</t>
  </si>
  <si>
    <t>Mixted</t>
  </si>
  <si>
    <t>NSF-Living Field Lab, Hickory Corners, MI chosed, Mixted of nine</t>
  </si>
  <si>
    <t>Corn-Cauliflower</t>
  </si>
  <si>
    <t>Corn-corn</t>
  </si>
  <si>
    <t>Corn-grass</t>
  </si>
  <si>
    <t>Broccoli-Corn</t>
  </si>
  <si>
    <t>Corn-Bean</t>
  </si>
  <si>
    <t>Ca</t>
  </si>
  <si>
    <t>c mol / kg</t>
  </si>
  <si>
    <t>mg CO2/m2/s</t>
  </si>
  <si>
    <t>1mg=0.001 g</t>
  </si>
  <si>
    <t>1 mu mol = 1/1000000 mol</t>
  </si>
  <si>
    <t>K need *39</t>
  </si>
  <si>
    <t>1 nmol = 1/1000000000 mol</t>
  </si>
  <si>
    <t>1mol=12g</t>
  </si>
  <si>
    <t>1 cmol = 0.01 mol</t>
  </si>
  <si>
    <t>No29</t>
  </si>
  <si>
    <t>1 ha = 1627.5Mg</t>
  </si>
  <si>
    <t>mu mol CO2 /kg soil/ d</t>
  </si>
  <si>
    <t>1 mu mol=1/1000000 mol</t>
  </si>
  <si>
    <t>1 nmol=1/1000000000 mol * 44 g/mol</t>
  </si>
  <si>
    <t>Mixted of four OF sites</t>
  </si>
  <si>
    <t>Canopy closure</t>
  </si>
  <si>
    <t>Spring</t>
  </si>
  <si>
    <t>Harvest</t>
  </si>
  <si>
    <t xml:space="preserve">Triticale </t>
  </si>
  <si>
    <t>Triticale and Austrian winter pea</t>
  </si>
  <si>
    <t>mu g g-1 soil</t>
  </si>
  <si>
    <t>Cotton stip decomposition indicator available</t>
  </si>
  <si>
    <t>Nielsen</t>
  </si>
  <si>
    <t>David C.</t>
  </si>
  <si>
    <t>Sweep tillage</t>
  </si>
  <si>
    <t>1.1 Kg N-P per ha</t>
  </si>
  <si>
    <t>Austrian winter pea</t>
  </si>
  <si>
    <t>Field pea</t>
  </si>
  <si>
    <t>mm</t>
  </si>
  <si>
    <t>J.K.</t>
  </si>
  <si>
    <t>ODea</t>
  </si>
  <si>
    <t>Big Sandy site, north-central Montan</t>
  </si>
  <si>
    <t>Box elder site, north-central Montan</t>
  </si>
  <si>
    <t>Joplin, north-central Montan</t>
  </si>
  <si>
    <t>Sunburst site, north-central Montan</t>
  </si>
  <si>
    <t>Oilmont site, north-central Montan</t>
  </si>
  <si>
    <t>Clay loam</t>
  </si>
  <si>
    <t>Semileafless pea</t>
  </si>
  <si>
    <t>Forage pea</t>
  </si>
  <si>
    <t>Herbicide, June_18</t>
  </si>
  <si>
    <t>Herbicide, June_23</t>
  </si>
  <si>
    <t>Herbicide, June_26</t>
  </si>
  <si>
    <t>Herbicide, June_27</t>
  </si>
  <si>
    <t>Herbicide, July_9</t>
  </si>
  <si>
    <t>30-60</t>
  </si>
  <si>
    <t>60-90</t>
  </si>
  <si>
    <t>At GLM termination</t>
  </si>
  <si>
    <t>At wheat seeding</t>
  </si>
  <si>
    <t>NO3-N+NH4-N, kg/ha</t>
  </si>
  <si>
    <t>NO3-N, kg/ha</t>
  </si>
  <si>
    <t>1/(Available Nitrogen Use Efficiency)</t>
  </si>
  <si>
    <t>Residue C, N returned available</t>
  </si>
  <si>
    <t>Osborne</t>
  </si>
  <si>
    <t xml:space="preserve">Shannon L. </t>
  </si>
  <si>
    <t>Bioenerg. Res.</t>
  </si>
  <si>
    <t>Corn-soybean</t>
  </si>
  <si>
    <t>Low residue romoval</t>
  </si>
  <si>
    <t>Medium residue romoval</t>
  </si>
  <si>
    <t>High residue romoval</t>
  </si>
  <si>
    <t>Quinn</t>
  </si>
  <si>
    <t>N.F.</t>
  </si>
  <si>
    <t>Environmental Entomology</t>
  </si>
  <si>
    <t>Harbor, MI</t>
  </si>
  <si>
    <t>0-3</t>
  </si>
  <si>
    <t>Sandy</t>
  </si>
  <si>
    <t xml:space="preserve"> 86.25 N-P-K- kg per ha</t>
  </si>
  <si>
    <t>Herbicide, Glyphosate, clomazone etc</t>
  </si>
  <si>
    <t>Strip-tilled</t>
  </si>
  <si>
    <t>full-tilled</t>
  </si>
  <si>
    <t>a</t>
  </si>
  <si>
    <t>b</t>
  </si>
  <si>
    <t>c</t>
  </si>
  <si>
    <t>d</t>
  </si>
  <si>
    <t>e</t>
  </si>
  <si>
    <t>f</t>
  </si>
  <si>
    <t>g</t>
  </si>
  <si>
    <t>h</t>
  </si>
  <si>
    <t>Number of arthropods (density activity)</t>
  </si>
  <si>
    <t>No. 46</t>
  </si>
  <si>
    <t>mm to VMW</t>
  </si>
  <si>
    <t>Notes2</t>
  </si>
  <si>
    <t>Microbe activity/Enzyme/nematode/earthwarm</t>
  </si>
  <si>
    <t>Termination</t>
  </si>
  <si>
    <t>Beetles as diseases</t>
  </si>
  <si>
    <t>Multiple rotation, tillage and fertilization</t>
  </si>
  <si>
    <t>Root infected by rot</t>
  </si>
  <si>
    <t>Disk vs crimping</t>
  </si>
  <si>
    <t>Runoff to erosion, hydrolic conductivity to Ks</t>
  </si>
  <si>
    <t>Other notes, comments 2</t>
  </si>
  <si>
    <t>Earthwarm, 4.75-2 mm water stable aggregates, percentage of soil remaining in sieves, other 5 indicator available</t>
  </si>
  <si>
    <t>Geometric mean Diameter of dry aggregates, water-stable, available</t>
  </si>
  <si>
    <t>Weed density, averaged from 5</t>
  </si>
  <si>
    <t>Diseases treatment (mean value)/Beetles/pest</t>
  </si>
  <si>
    <t>Diseases of control (mean value)/Beetles/pest</t>
  </si>
  <si>
    <t>pests</t>
  </si>
  <si>
    <t>Natural enemies</t>
  </si>
  <si>
    <t>Pest as disease, natural enemies of pest as microbial</t>
  </si>
  <si>
    <t>Active C to Cmin, root health to microAnimal, units for Nmin need check</t>
  </si>
  <si>
    <t>Units: kg per ha and many others</t>
  </si>
  <si>
    <t>Root C release to CO2BTest</t>
  </si>
  <si>
    <t>Runoff (%)</t>
  </si>
  <si>
    <t>AMF as total microAnimal indicator</t>
  </si>
  <si>
    <t>MBN and MBC/SOC available, qCO2 as CO2 burst test indicator</t>
  </si>
  <si>
    <t>CF,OPOM,FPOM,CHF methods for Nmin, Cmin</t>
  </si>
  <si>
    <t>NH4-N discharg as erosion indicator</t>
  </si>
  <si>
    <t>mm for AWHC</t>
  </si>
  <si>
    <t xml:space="preserve">Authopods number to MicroAnimal </t>
  </si>
  <si>
    <t>Raper</t>
  </si>
  <si>
    <t>R.L.</t>
  </si>
  <si>
    <t>Applied Engineering in Agriculture</t>
  </si>
  <si>
    <t>Spring shallow</t>
  </si>
  <si>
    <t>Spring deep</t>
  </si>
  <si>
    <t>Autumn shallow</t>
  </si>
  <si>
    <t>Autumn deep</t>
  </si>
  <si>
    <t>Cone index for root penetration</t>
  </si>
  <si>
    <t>Rasse</t>
  </si>
  <si>
    <t>Daniel P.</t>
  </si>
  <si>
    <t>Environmental Quality</t>
  </si>
  <si>
    <t>Tennessee Valley Substation in Belle Mina, Alabama</t>
  </si>
  <si>
    <t>101 Kg N per ha</t>
  </si>
  <si>
    <t>202 Kg N per ha</t>
  </si>
  <si>
    <t>Ap</t>
  </si>
  <si>
    <t>Ap, Bt, C1 and C2</t>
  </si>
  <si>
    <t>Inorganic N, NH4-N</t>
  </si>
  <si>
    <t>Bt</t>
  </si>
  <si>
    <t>C1</t>
  </si>
  <si>
    <t>C2</t>
  </si>
  <si>
    <t>25-50</t>
  </si>
  <si>
    <t>50-80</t>
  </si>
  <si>
    <t>80-125</t>
  </si>
  <si>
    <t>Total NO3-N leaching (kg per ha)</t>
  </si>
  <si>
    <t>Rivers</t>
  </si>
  <si>
    <t xml:space="preserve">Ariel </t>
  </si>
  <si>
    <t>Carabidae community species richness</t>
  </si>
  <si>
    <t>Ritter</t>
  </si>
  <si>
    <t xml:space="preserve">W.F. </t>
  </si>
  <si>
    <t>Journal of Contaminant Hydrology</t>
  </si>
  <si>
    <t>Poultry manure</t>
  </si>
  <si>
    <t>Composted poultry manure</t>
  </si>
  <si>
    <t>Commercial fertilizer</t>
  </si>
  <si>
    <t>Available Nitrogen Use Efficiency</t>
  </si>
  <si>
    <t>Erosion rate sediment, nitrogen leaching, leaching potention of treatment (mean value)</t>
  </si>
  <si>
    <t>Erosion rate of control, nitrogen leaching, leaching potention (mean value)</t>
  </si>
  <si>
    <t>Provent erosion, such as Available Nitrogen Use Efficiency, nitrogen uptake by cover crop of CC</t>
  </si>
  <si>
    <t xml:space="preserve">Provent erosion, such as Available Nitrogen Use Efficiency, nitrogen uptake by cover crop of control </t>
  </si>
  <si>
    <t>Comments on Provent erosion, such as Available Nitrogen Use Efficiency, nitrogen uptake by cover crop</t>
  </si>
  <si>
    <t>OC_Comments</t>
  </si>
  <si>
    <t>N_Comments</t>
  </si>
  <si>
    <t>P_Comments</t>
  </si>
  <si>
    <t>Aggre_Comments</t>
  </si>
  <si>
    <t>EC_Comments</t>
  </si>
  <si>
    <t>Infiltration_Comments</t>
  </si>
  <si>
    <t>N concentration in drainage (mg/l)</t>
  </si>
  <si>
    <t>Mass of N leached on lage plots (kg per ha)</t>
  </si>
  <si>
    <t>N concentration in drainage as prevent_erosion due to multiple erosion indicator available</t>
  </si>
  <si>
    <t>Sainju</t>
  </si>
  <si>
    <t>Upendra M.</t>
  </si>
  <si>
    <t>Europ. J. Agronomy</t>
  </si>
  <si>
    <t>Agricultural Research Station Farm, Georgia</t>
  </si>
  <si>
    <t>Strip tillage</t>
  </si>
  <si>
    <t>Chisel tillage</t>
  </si>
  <si>
    <t>60 Kg N per ha</t>
  </si>
  <si>
    <t>120 Kg N per ha</t>
  </si>
  <si>
    <t>Cotton lint N uptake (kg per ha)</t>
  </si>
  <si>
    <t>65 Kg N per ha</t>
  </si>
  <si>
    <t>130 Kg N per ha</t>
  </si>
  <si>
    <t>Cotton-Sorghum</t>
  </si>
  <si>
    <t>Fallow and winter weeds</t>
  </si>
  <si>
    <t>Apr</t>
  </si>
  <si>
    <t>Nov</t>
  </si>
  <si>
    <t>10-30</t>
  </si>
  <si>
    <t>Schipanski</t>
  </si>
  <si>
    <t>Meagan E.</t>
  </si>
  <si>
    <t>Agricultural Systems</t>
  </si>
  <si>
    <t>Soybean-wheat-corn</t>
  </si>
  <si>
    <t>Simulated 30-year period</t>
  </si>
  <si>
    <t>Ecosystem services, Simulated 30-year period</t>
  </si>
  <si>
    <t>Mixted of four OF sites and two commertial sites</t>
  </si>
  <si>
    <t>Schutter</t>
  </si>
  <si>
    <t xml:space="preserve">M.E. </t>
  </si>
  <si>
    <t>NWREC</t>
  </si>
  <si>
    <t>Triticale</t>
  </si>
  <si>
    <t>Triticale, winter pea</t>
  </si>
  <si>
    <t>Salem</t>
  </si>
  <si>
    <t>Silverton</t>
  </si>
  <si>
    <t>Biol Fertil Soils</t>
  </si>
  <si>
    <t>VRS, Vegetable Research Station, Corvallis,  Oregon</t>
  </si>
  <si>
    <t>Silt Loam</t>
  </si>
  <si>
    <t>Clay</t>
  </si>
  <si>
    <t>Sweetcorn</t>
  </si>
  <si>
    <t>Broccoli-Sweetcorn-Green bean</t>
  </si>
  <si>
    <t>Oat-common vetch-Green bean-Green bean</t>
  </si>
  <si>
    <t>Sweet corn and CC</t>
  </si>
  <si>
    <t>Cauliflower-Sweetcorn</t>
  </si>
  <si>
    <t>Nematodes biomass (mu g per g soil)</t>
  </si>
  <si>
    <t>Bacterial, fungal biomass available</t>
  </si>
  <si>
    <t>Greenbean</t>
  </si>
  <si>
    <t>Microbial fatty acid methyl esters (FAMEs)</t>
  </si>
  <si>
    <t>MicroOrganism_T</t>
  </si>
  <si>
    <t>MicroOrganisml_C</t>
  </si>
  <si>
    <t>MicroOrganism_Comments</t>
  </si>
  <si>
    <t>MicroOrganism_C</t>
  </si>
  <si>
    <t>Auguest</t>
  </si>
  <si>
    <t>mg C per kg soil per 10 day</t>
  </si>
  <si>
    <t>Incubation in tube for 10 days at 25 C</t>
  </si>
  <si>
    <t>BiomassCashCrop_C</t>
  </si>
  <si>
    <t>BiomassCashCrop_T</t>
  </si>
  <si>
    <t>Yield_C</t>
  </si>
  <si>
    <t>Yield_T</t>
  </si>
  <si>
    <t>Yield_Comments</t>
  </si>
  <si>
    <t>BD_Comments</t>
  </si>
  <si>
    <t>From CN ratio, t per ha of 15 cm soil</t>
  </si>
  <si>
    <t>K_Comments</t>
  </si>
  <si>
    <t>pH_Comments</t>
  </si>
  <si>
    <t>Units (%), &lt; 0.84 mm aggregates</t>
  </si>
  <si>
    <t>Penetration_Comments</t>
  </si>
  <si>
    <t>CEC_Comments</t>
  </si>
  <si>
    <t>BS_Comments</t>
  </si>
  <si>
    <t>AWHC_Comments</t>
  </si>
  <si>
    <t>Ks_Comments</t>
  </si>
  <si>
    <t>ST_Comments</t>
  </si>
  <si>
    <t>SWC_Comments</t>
  </si>
  <si>
    <t>Weed_Comments</t>
  </si>
  <si>
    <t>Diseases_Comments</t>
  </si>
  <si>
    <t>Cmina_Comments</t>
  </si>
  <si>
    <t>SIR_Comments</t>
  </si>
  <si>
    <t>CO2BTest_Comments</t>
  </si>
  <si>
    <t>MBC_Comments</t>
  </si>
  <si>
    <t>Nmina_Comments</t>
  </si>
  <si>
    <t>yield_Comments</t>
  </si>
  <si>
    <t>Comments on Yield of control (such as standard deviation, etc)</t>
  </si>
  <si>
    <t>Comments on bulk density of treatment (standard deviation)</t>
  </si>
  <si>
    <t>Comments on organic carbon of treatment (standard deviation)</t>
  </si>
  <si>
    <t>Comments on nitrogen of treatment (standard deviation)</t>
  </si>
  <si>
    <t>Comments on phosphorus of treatment (standard deviation)</t>
  </si>
  <si>
    <t>K_Coments</t>
  </si>
  <si>
    <t>Comments on potassium of treatment (standard deviation)</t>
  </si>
  <si>
    <t>Comments on pH of treatment (standard deviation)</t>
  </si>
  <si>
    <t>Comments on Soil aggregation of treatment (standard deviation)</t>
  </si>
  <si>
    <t>Comments on CEC of treatment (standard deviation)</t>
  </si>
  <si>
    <t>Comments on Base Satuatio of treatment (standard deviation)</t>
  </si>
  <si>
    <t>Comments on Available water hold capacity of treatment (standard deviation)</t>
  </si>
  <si>
    <t>Comments on Field satuted hydrolic conductivity of treatment (standard deviation)</t>
  </si>
  <si>
    <t>Comments on Erosion rate sediment, nitrogen leaching, leaching potention treatment (standard deviation)</t>
  </si>
  <si>
    <t>Comments on Soil temperature of treatment (standard deviation)</t>
  </si>
  <si>
    <t>Comments on Weed of treatment (standard deviation)</t>
  </si>
  <si>
    <t>Comments on Soil water content of treatment (standard deviation)</t>
  </si>
  <si>
    <t>Comments on Diseases of treatment (standard deviation)/pest</t>
  </si>
  <si>
    <t>Comments on Carbon minierazation of treatment (Standard diviation)</t>
  </si>
  <si>
    <t>Comments on Nitrogen minierazation of treatment (Standard diviation)</t>
  </si>
  <si>
    <t>Comments on CO2 burst test respiration respiration of treatment (Standard diviation)</t>
  </si>
  <si>
    <t>Comments on Microbe Biomass Carbon of treatment (Standard diviation)</t>
  </si>
  <si>
    <t>Notes1</t>
  </si>
  <si>
    <t>Other notes, comments 1</t>
  </si>
  <si>
    <t>BiomassCash_Comments</t>
  </si>
  <si>
    <t>BiomassCashCrop_Comments</t>
  </si>
  <si>
    <t>Shoot dry weight (g)</t>
  </si>
  <si>
    <t>Units: kg per ha</t>
  </si>
  <si>
    <t>Scott</t>
  </si>
  <si>
    <t>H.D.</t>
  </si>
  <si>
    <t>Delta branch experiment station clarkedale</t>
  </si>
  <si>
    <t>Dubba-Dundee soil</t>
  </si>
  <si>
    <t>Lupine</t>
  </si>
  <si>
    <t>Rye, Vetch</t>
  </si>
  <si>
    <t>Rye, Clover</t>
  </si>
  <si>
    <t>Arkansas agriculture experiment station bulletin</t>
  </si>
  <si>
    <t>7 year</t>
  </si>
  <si>
    <t>8 year</t>
  </si>
  <si>
    <t>9 year</t>
  </si>
  <si>
    <t>11 year</t>
  </si>
  <si>
    <t>12 year</t>
  </si>
  <si>
    <t>13 year</t>
  </si>
  <si>
    <t>14 year</t>
  </si>
  <si>
    <t>16 year</t>
  </si>
  <si>
    <t>448 (13-13-13)+112 NH4NO3 Kg per ha</t>
  </si>
  <si>
    <t>112 (13-13-13) Kg per ha</t>
  </si>
  <si>
    <t>336 (13-13-13) Kg per ha</t>
  </si>
  <si>
    <t>280 NH4NO3 Kg per ha</t>
  </si>
  <si>
    <t>280 (13-13-13)+112 NH4NO3 Kg per ha</t>
  </si>
  <si>
    <t>308 (13-13-13) Kg per ha</t>
  </si>
  <si>
    <t>140 NH4NO3+4 urea Kg per ha</t>
  </si>
  <si>
    <t>336 (13-13-13)+112 NH4NO3 Kg per ha</t>
  </si>
  <si>
    <t>190 (0-0-60)+112 NH4NO3 Kg per ha</t>
  </si>
  <si>
    <t>Soil properties indicator were 16 years average (set as 8)</t>
  </si>
  <si>
    <t>10-15</t>
  </si>
  <si>
    <t>Number of year is 8</t>
  </si>
  <si>
    <t>SWC(33)-SWC(1500)</t>
  </si>
  <si>
    <t>SWC(30)-SWC(1500)</t>
  </si>
  <si>
    <t>Infiltration rate of control (mean value), water</t>
  </si>
  <si>
    <t>Infiltration rate of treatment (mean value), water</t>
  </si>
  <si>
    <t>Infiltration rate of treatment (standard deviation), water</t>
  </si>
  <si>
    <t>Penetration resistance of control (mean value), root</t>
  </si>
  <si>
    <t>Penetration resistance of treatment (mean value), root</t>
  </si>
  <si>
    <t>Comments on Penetration resistance of treatment (standard deviation), root</t>
  </si>
  <si>
    <t>Active C as Cmin, MBC to small, units convert?, We determined penetration resistance using a constant rate recording cone penetrometer with a cone base of 129 mm2 and a penetration rate of 8 mm s–1 (Lowery, 1986).</t>
  </si>
  <si>
    <t>Penetrometer resisteance (Fig 2)</t>
  </si>
  <si>
    <t>Cone index (Mpa), similar as studyID 29</t>
  </si>
  <si>
    <t>Capillary porosity as root penetration indicator</t>
  </si>
  <si>
    <t>Micro and macro porse, Macro porse as penetration indicator</t>
  </si>
  <si>
    <t>Staver</t>
  </si>
  <si>
    <t>K.W.</t>
  </si>
  <si>
    <t>Journal of  Soil  and Water  Conservation</t>
  </si>
  <si>
    <t>Winter CC</t>
  </si>
  <si>
    <t>TimeCC</t>
  </si>
  <si>
    <t>Time_CC</t>
  </si>
  <si>
    <t>OCT-10, Winter CC</t>
  </si>
  <si>
    <t>Time_Comments</t>
  </si>
  <si>
    <t>Comments about sampling time and others</t>
  </si>
  <si>
    <t>OCT-22, Winter CC</t>
  </si>
  <si>
    <t>Time of cover crop planted, winter or summer CC</t>
  </si>
  <si>
    <t>OCT-28, Winter CC</t>
  </si>
  <si>
    <t>OCT-6, Winter CC</t>
  </si>
  <si>
    <t>Sep-22, Winter CC</t>
  </si>
  <si>
    <t>Sep-28, Winter CC</t>
  </si>
  <si>
    <t>OCT-8, Winter CC</t>
  </si>
  <si>
    <t>OCT-7, Winter CC</t>
  </si>
  <si>
    <t>OCT-13, Winter CC</t>
  </si>
  <si>
    <t>OCT-1, Winter CC</t>
  </si>
  <si>
    <t>OCT-2, Winter CC</t>
  </si>
  <si>
    <t>OCT-27, Winter CC</t>
  </si>
  <si>
    <t>OCT</t>
  </si>
  <si>
    <t>DEC</t>
  </si>
  <si>
    <t>Jan</t>
  </si>
  <si>
    <t>Jun</t>
  </si>
  <si>
    <t>Sep</t>
  </si>
  <si>
    <t>Oct</t>
  </si>
  <si>
    <t>Aug</t>
  </si>
  <si>
    <t>Soil-nitrate-N</t>
  </si>
  <si>
    <t>Queen Annes County, Maryland</t>
  </si>
  <si>
    <t>30-90</t>
  </si>
  <si>
    <t>Stover (kg per ha)</t>
  </si>
  <si>
    <t>156 kg N per ha</t>
  </si>
  <si>
    <t>Biomass of cach crop (usually not include yield) of control</t>
  </si>
  <si>
    <t>Biomass of cach crop (usually not include yield) of cover crop</t>
  </si>
  <si>
    <t xml:space="preserve">Comments on biomass of cach crop (usually not include yield) </t>
  </si>
  <si>
    <t>Units varied</t>
  </si>
  <si>
    <t>Leachate Nitrate-N (mg per l)</t>
  </si>
  <si>
    <t>Pre-plant</t>
  </si>
  <si>
    <t>Post-plant</t>
  </si>
  <si>
    <t>kg per ha = 0.11 mg per kg</t>
  </si>
  <si>
    <t>Steele</t>
  </si>
  <si>
    <t>M.K.</t>
  </si>
  <si>
    <t>Coastal  Plain, Maryland (Site 2)</t>
  </si>
  <si>
    <t>Piedmont, Maryland (Site 3)</t>
  </si>
  <si>
    <t>According to University of Maryland extension recommendation</t>
  </si>
  <si>
    <t>OCT-8</t>
  </si>
  <si>
    <t>NOV-7</t>
  </si>
  <si>
    <t>Season</t>
  </si>
  <si>
    <t>Off-season</t>
  </si>
  <si>
    <t>Water stable aggregates (WSA) &lt; 2 but &gt; 0.5</t>
  </si>
  <si>
    <t>Water stable aggregates (WSA) &gt; 2 ( g per g to %)</t>
  </si>
  <si>
    <t>Mg/ha</t>
  </si>
  <si>
    <t>g per kg = 0.1%</t>
  </si>
  <si>
    <t>Units for OC need double check</t>
  </si>
  <si>
    <t>TOC, Mg per ha = 0.073 %</t>
  </si>
  <si>
    <t>Labile C</t>
  </si>
  <si>
    <t>Site1, mm/s = mm/h*3600</t>
  </si>
  <si>
    <t>Site2, mm/s = mm/h*3600</t>
  </si>
  <si>
    <t>Site3, mm/s = mm/h*3600</t>
  </si>
  <si>
    <t>Ks, Hydrulic conductivity</t>
  </si>
  <si>
    <t>mm / s</t>
  </si>
  <si>
    <t>mm/s=360cm/h</t>
  </si>
  <si>
    <t>Air permeability (mu m2)</t>
  </si>
  <si>
    <t>Porosity_C</t>
  </si>
  <si>
    <t>Porosity_T</t>
  </si>
  <si>
    <t>Porosity_Comments</t>
  </si>
  <si>
    <t>Porosity, air permeability of control (mean value)</t>
  </si>
  <si>
    <t>Porosity, air permeability of treatment (mean value)</t>
  </si>
  <si>
    <t>Comments on Porosity, air permeability of treatment (standard deviation</t>
  </si>
  <si>
    <t>Stipesevic</t>
  </si>
  <si>
    <t>Bojan</t>
  </si>
  <si>
    <t>Purdue University PhD dissertation</t>
  </si>
  <si>
    <t>Southeast Purdue Agricultural Center (SEPAC)</t>
  </si>
  <si>
    <t xml:space="preserve">Throckmorton Purdue Agricultural Center (TPAC) </t>
  </si>
  <si>
    <t>Early desccation</t>
  </si>
  <si>
    <t>Regular desiccation</t>
  </si>
  <si>
    <t>Before corn plant</t>
  </si>
  <si>
    <t>After corn plant</t>
  </si>
  <si>
    <t>% vol/vol (total)</t>
  </si>
  <si>
    <t>Air fill porosity</t>
  </si>
  <si>
    <t>Mean weight diameter (mm)</t>
  </si>
  <si>
    <t>cm/h to mm per h</t>
  </si>
  <si>
    <t>cm/h</t>
  </si>
  <si>
    <t>5-31 VMW to GMW</t>
  </si>
  <si>
    <t>6-5 VWM to GMW</t>
  </si>
  <si>
    <t>4-26 VMW</t>
  </si>
  <si>
    <t>5-15 VMW</t>
  </si>
  <si>
    <t>6-20 VMW</t>
  </si>
  <si>
    <t>5-10 VMW</t>
  </si>
  <si>
    <t>5-14 VMW</t>
  </si>
  <si>
    <t>5-24 VMW</t>
  </si>
  <si>
    <t>Other indicators in fig</t>
  </si>
  <si>
    <t>Soybean-corn</t>
  </si>
  <si>
    <t>Vane shear strength measurement of soil compaction (Mpa)</t>
  </si>
  <si>
    <t>Corn heights (cm)</t>
  </si>
  <si>
    <t>Strock</t>
  </si>
  <si>
    <t>J.S.</t>
  </si>
  <si>
    <t>Journal of Environmental Quality</t>
  </si>
  <si>
    <t>Southwest research and outreach center</t>
  </si>
  <si>
    <t>0-150</t>
  </si>
  <si>
    <t xml:space="preserve">Rye, winter </t>
  </si>
  <si>
    <t>Urea, P and K</t>
  </si>
  <si>
    <t>Disk cultivation</t>
  </si>
  <si>
    <t>Rye plant at Oct-1</t>
  </si>
  <si>
    <t>NO3-N loss(kg/ha)</t>
  </si>
  <si>
    <t>Residual NO3-N (kg/ha)</t>
  </si>
  <si>
    <t>Teasdale</t>
  </si>
  <si>
    <t xml:space="preserve">J.R.  </t>
  </si>
  <si>
    <t>Beltsville, MD</t>
  </si>
  <si>
    <t>Rye plant at Suptember</t>
  </si>
  <si>
    <t>Vtech plant at Suptember</t>
  </si>
  <si>
    <t>Bare soil</t>
  </si>
  <si>
    <t>DOY 220</t>
  </si>
  <si>
    <t>DOY 224</t>
  </si>
  <si>
    <t>DOY 228</t>
  </si>
  <si>
    <t>DOY 232</t>
  </si>
  <si>
    <t>DOY 236</t>
  </si>
  <si>
    <t>DOY 240</t>
  </si>
  <si>
    <t>DOY 244</t>
  </si>
  <si>
    <t>DOY 248</t>
  </si>
  <si>
    <t>DOY 252</t>
  </si>
  <si>
    <t>DOY 256</t>
  </si>
  <si>
    <t>DOY 260</t>
  </si>
  <si>
    <t>Transmittance, hotosynthetically active radiation at indicators available</t>
  </si>
  <si>
    <t>Terra</t>
  </si>
  <si>
    <t>J.A.</t>
  </si>
  <si>
    <t>Ithaca, NY</t>
  </si>
  <si>
    <t>Agricultural Experiment Station, Alabama</t>
  </si>
  <si>
    <t>5-15</t>
  </si>
  <si>
    <t>No manure</t>
  </si>
  <si>
    <t>Conservation</t>
  </si>
  <si>
    <t>With manure</t>
  </si>
  <si>
    <t>CNOfCoverCrop</t>
  </si>
  <si>
    <t>Units Mg/ha to %</t>
  </si>
  <si>
    <t>Corn-cotton</t>
  </si>
  <si>
    <t>Dairy manure</t>
  </si>
  <si>
    <t>Coton</t>
  </si>
  <si>
    <t>Total microbial Biomass, measurement of phospholipid fatty acids</t>
  </si>
  <si>
    <t>Using Cover Crops In Oregon</t>
  </si>
  <si>
    <t xml:space="preserve">Richard </t>
  </si>
  <si>
    <t>Dick</t>
  </si>
  <si>
    <t>North Willamette Research and Extension Center</t>
  </si>
  <si>
    <t>0-122</t>
  </si>
  <si>
    <t>NLeaching_C</t>
  </si>
  <si>
    <t>NLeaching_T</t>
  </si>
  <si>
    <t>NLeaching_Comments</t>
  </si>
  <si>
    <t>ProventLeaching_T</t>
  </si>
  <si>
    <t>ProventLeaching_Comments</t>
  </si>
  <si>
    <t>ProventLeaching_C</t>
  </si>
  <si>
    <t>NOV</t>
  </si>
  <si>
    <t>Feb</t>
  </si>
  <si>
    <t>Mar</t>
  </si>
  <si>
    <t>Dec</t>
  </si>
  <si>
    <t>NO3 mg per L</t>
  </si>
  <si>
    <t>Veum</t>
  </si>
  <si>
    <t xml:space="preserve">K.S. </t>
  </si>
  <si>
    <t>Salt River Basin Central Claypan Region,Missouri</t>
  </si>
  <si>
    <t>Corn–soybean</t>
  </si>
  <si>
    <t>Corn–soybean–wheat</t>
  </si>
  <si>
    <t xml:space="preserve">Water stable aggregates (%) </t>
  </si>
  <si>
    <t>OC</t>
  </si>
  <si>
    <t>β-glucosidase (mg PNP kg–1 h–1)</t>
  </si>
  <si>
    <t>mg/kg</t>
  </si>
  <si>
    <t>dS m–1</t>
  </si>
  <si>
    <t>Units: dS m–1</t>
  </si>
  <si>
    <t xml:space="preserve">Extractable P (mg kg–1) </t>
  </si>
  <si>
    <t xml:space="preserve">Extractable K (mg kg–1) </t>
  </si>
  <si>
    <t>Ca,Mg,Cu,Fe,Mg,Zn,SQI or SMAF available</t>
  </si>
  <si>
    <t>NTCS-17 vs NTCSW14</t>
  </si>
  <si>
    <t>NTCS-4 vs NTCSWM5</t>
  </si>
  <si>
    <t>Mulch tillage</t>
  </si>
  <si>
    <t>Beef livestock manure of 11 Mg N per ha</t>
  </si>
  <si>
    <t>Villamil</t>
  </si>
  <si>
    <t>M.B.</t>
  </si>
  <si>
    <t>Urbana, IL, USA</t>
  </si>
  <si>
    <t>135 kg N per ha</t>
  </si>
  <si>
    <t>Period 1 Corn</t>
  </si>
  <si>
    <t>SOM</t>
  </si>
  <si>
    <t>Kg/Mg</t>
  </si>
  <si>
    <t>Period 2 Soybean</t>
  </si>
  <si>
    <t>NO3-N</t>
  </si>
  <si>
    <t>Increase PR (MPa) means closer contact between particles</t>
  </si>
  <si>
    <t>Units:Mpa</t>
  </si>
  <si>
    <t>Erosion_C</t>
  </si>
  <si>
    <t>Erosion_T</t>
  </si>
  <si>
    <t>Erosion_Comments</t>
  </si>
  <si>
    <t xml:space="preserve">Water erosion, wind erosion of control </t>
  </si>
  <si>
    <t>Water erosion, wind erosion of cover crop</t>
  </si>
  <si>
    <t>Comments on water erosion, wind erosion</t>
  </si>
  <si>
    <t>Total porosity</t>
  </si>
  <si>
    <t>Plant available water (PAW, %)</t>
  </si>
  <si>
    <t>Jokela</t>
  </si>
  <si>
    <t>William</t>
  </si>
  <si>
    <t>10 year</t>
  </si>
  <si>
    <t>1990 to 2008</t>
  </si>
  <si>
    <t xml:space="preserve"> Wisconsin Integrated Cropping Systems Trial</t>
  </si>
  <si>
    <t>CS3-C vs CS1-C</t>
  </si>
  <si>
    <t>CS4-C vs CS1-C</t>
  </si>
  <si>
    <t>CS4-A vs CS1-C</t>
  </si>
  <si>
    <t>CS5-C vs CS1-C</t>
  </si>
  <si>
    <t>CS5-A vs CS1-C</t>
  </si>
  <si>
    <t>CS6-P vs CS1-C</t>
  </si>
  <si>
    <t>Mixted pasture</t>
  </si>
  <si>
    <t>Chisel and none</t>
  </si>
  <si>
    <t>145-5-20 kg N per ha</t>
  </si>
  <si>
    <t>146 kg N per ha</t>
  </si>
  <si>
    <t>241-23-160 kg N per ha</t>
  </si>
  <si>
    <t>240-24-160 kg N per ha</t>
  </si>
  <si>
    <t>182-17-120 kg N per ha</t>
  </si>
  <si>
    <t>176-16-117 kg N per ha</t>
  </si>
  <si>
    <t>52-5-31 kg N per ha</t>
  </si>
  <si>
    <t>n mol / kg</t>
  </si>
  <si>
    <t xml:space="preserve">nmol per kg to mgkg-1 </t>
  </si>
  <si>
    <t>CS3-C vs CS2-C</t>
  </si>
  <si>
    <t>CS4-C vs CS2-C</t>
  </si>
  <si>
    <t>CS4-A vs CS2-C</t>
  </si>
  <si>
    <t>CS5-C vs CS2-C</t>
  </si>
  <si>
    <t>CS5-A vs CS2-C</t>
  </si>
  <si>
    <t>CS6-P vs CS2-C</t>
  </si>
  <si>
    <t>136-4-19 kg N per ha</t>
  </si>
  <si>
    <t>no tillage</t>
  </si>
  <si>
    <t>nmol per kg to mgkg-1</t>
  </si>
  <si>
    <t>5-20</t>
  </si>
  <si>
    <t>Water-stable aggregates (g/kg)</t>
  </si>
  <si>
    <t>Williams</t>
  </si>
  <si>
    <t>M.M.</t>
  </si>
  <si>
    <t>Agricultural Research Development Center, Ithaca</t>
  </si>
  <si>
    <t>Silty clay loam</t>
  </si>
  <si>
    <t>Barley</t>
  </si>
  <si>
    <t>Irrigated</t>
  </si>
  <si>
    <t>Rainfed</t>
  </si>
  <si>
    <t>Spray at June 6</t>
  </si>
  <si>
    <t>Spray at May 23</t>
  </si>
  <si>
    <t>Spray at May 13</t>
  </si>
  <si>
    <t>0-15.2</t>
  </si>
  <si>
    <t>Canopy volume available</t>
  </si>
  <si>
    <t>Wyland</t>
  </si>
  <si>
    <t xml:space="preserve">L.J. </t>
  </si>
  <si>
    <t xml:space="preserve"> Agriculture,  Ecosystems and Environment </t>
  </si>
  <si>
    <t>Salinas Valley of California</t>
  </si>
  <si>
    <t>Phacelia</t>
  </si>
  <si>
    <t>5-17-1993</t>
  </si>
  <si>
    <t>6-1-1993</t>
  </si>
  <si>
    <t>6-24-1993</t>
  </si>
  <si>
    <t>7-13-1993</t>
  </si>
  <si>
    <t>7-27-1993</t>
  </si>
  <si>
    <t>No.70</t>
  </si>
  <si>
    <t>NO3-N (g/m2 to mg/kg)</t>
  </si>
  <si>
    <t>1m2=657kg</t>
  </si>
  <si>
    <t>Jul</t>
  </si>
  <si>
    <t>MBN available</t>
  </si>
  <si>
    <t>VMW to GMW</t>
  </si>
  <si>
    <t>Springtails(No. Per sample)</t>
  </si>
  <si>
    <t>Mites (No. per sample)</t>
  </si>
  <si>
    <t>Yoo</t>
  </si>
  <si>
    <t>K.H.</t>
  </si>
  <si>
    <t>Soil and Tillage Research</t>
  </si>
  <si>
    <t>101 kg N per ha</t>
  </si>
  <si>
    <t>Belle Mina,  Alabama</t>
  </si>
  <si>
    <t>Soil N (TN, Inorganic N, NO3-N, NH4-N, Nox, NHx, Nox+NHx)</t>
  </si>
  <si>
    <t>Electric Conductivity of control (mean value)</t>
  </si>
  <si>
    <t>Electric Conductivity of treatment (mean value)</t>
  </si>
  <si>
    <t>Comments on EC of treatment (standard deviation)</t>
  </si>
  <si>
    <t>Base Satuation of control (mean value)</t>
  </si>
  <si>
    <t>Microbe/Fungi/Nametode/Mycorrhizal/Earthwarm/Health roots ratio indicator for control</t>
  </si>
  <si>
    <t>Microbe/Fungi/Nametode/Mycorrhizal/Earthwarm/Health roots ratio indicator for cover crop</t>
  </si>
  <si>
    <t>Explation for Microbe/Fungi/Nametode/Earthwarm/Health roots ratio indicator</t>
  </si>
  <si>
    <t>MBN_C</t>
  </si>
  <si>
    <t>MBN_T</t>
  </si>
  <si>
    <t>MBN_Comments</t>
  </si>
  <si>
    <t>Microbe Biomass Nitrogen of control (mean value)</t>
  </si>
  <si>
    <t>Microbe Biomass Nitrogen of treatment (mean value)</t>
  </si>
  <si>
    <t>Comments on Microbe Biomass Nitrogen of treatment (Standard diviation)</t>
  </si>
  <si>
    <t>sediment loss (kg per ha)</t>
  </si>
  <si>
    <t>% of rainoff</t>
  </si>
  <si>
    <t>Before June 21</t>
  </si>
  <si>
    <t>After June 21</t>
  </si>
  <si>
    <t>Zelles</t>
  </si>
  <si>
    <t>L.</t>
  </si>
  <si>
    <t>Potatoes</t>
  </si>
  <si>
    <t>No rotation</t>
  </si>
  <si>
    <t>Winter wheat-oats-potatoes-barley-red clover</t>
  </si>
  <si>
    <t>110-105-140 N/P/K</t>
  </si>
  <si>
    <t>130-130-185 N/P/K</t>
  </si>
  <si>
    <t>150-130-215 N/P/K</t>
  </si>
  <si>
    <t>Lipid phosphate (mu g g-1)</t>
  </si>
  <si>
    <t>beta-glucosidase</t>
  </si>
  <si>
    <t>Several  enzymatic indicators</t>
  </si>
  <si>
    <t>Summer CC</t>
  </si>
  <si>
    <t>Zentner</t>
  </si>
  <si>
    <t xml:space="preserve">R.P. </t>
  </si>
  <si>
    <t>Canadian Journal Of Plant Science</t>
  </si>
  <si>
    <t>Germany</t>
  </si>
  <si>
    <t>Summer fallow</t>
  </si>
  <si>
    <t>28 kg N per ha</t>
  </si>
  <si>
    <t>389 kg N per ha</t>
  </si>
  <si>
    <t>1987-1998</t>
  </si>
  <si>
    <t>F-(W)-W vs Leg-(W)-W</t>
  </si>
  <si>
    <t>Straw</t>
  </si>
  <si>
    <t>BiomassCash_C</t>
  </si>
  <si>
    <t>BiomassCash_T</t>
  </si>
  <si>
    <t>N yield and N concentration available</t>
  </si>
  <si>
    <t>Available spring soil water (AvSpSW) = SpSW minus lower limit of available water (mm/120 cm).</t>
  </si>
  <si>
    <t>spSW(mm/120 cm)</t>
  </si>
  <si>
    <t>F-W-(W) vs Leg-W-(W)</t>
  </si>
  <si>
    <t>No.17,D=1.2, BS=1.25</t>
  </si>
  <si>
    <t>No.73</t>
  </si>
  <si>
    <t>kg/ha to mg/kg</t>
  </si>
  <si>
    <t>90-120</t>
  </si>
  <si>
    <t>Water use efficiency (kg ha-1 mm-1)</t>
  </si>
  <si>
    <t>Zhou</t>
  </si>
  <si>
    <t>X.G.</t>
  </si>
  <si>
    <t>Plant Disease Management Reports</t>
  </si>
  <si>
    <t>Texas A&amp;M University System’s Agrilife Research and Extension Center, Beaumont, TX.</t>
  </si>
  <si>
    <t>Rice</t>
  </si>
  <si>
    <t>Brassica</t>
  </si>
  <si>
    <t>Sheath blight severity (0-9)</t>
  </si>
  <si>
    <t>Unsprayed control</t>
  </si>
  <si>
    <t>MBI-600 (108 cfu/ml)</t>
  </si>
  <si>
    <t>MBI-600 (108 cfu/ml) plus Quadris (4.5 fl oz/A)</t>
  </si>
  <si>
    <t>Quadris (9 fl oz/A)</t>
  </si>
  <si>
    <t>Quadris (4.5 fl oz/A)</t>
  </si>
  <si>
    <t>Swift  Current,  Saskatchewan, Canada</t>
  </si>
  <si>
    <t>Zhu</t>
  </si>
  <si>
    <t>J.C.</t>
  </si>
  <si>
    <t>Kingdom City, MO</t>
  </si>
  <si>
    <t>Common chickweed</t>
  </si>
  <si>
    <t>Estblishment period</t>
  </si>
  <si>
    <t>Maturing crop period</t>
  </si>
  <si>
    <t>Residue or stubble period</t>
  </si>
  <si>
    <t>Annual</t>
  </si>
  <si>
    <t>Seed bed</t>
  </si>
  <si>
    <t>Canada bluegrass</t>
  </si>
  <si>
    <t>Downy brome</t>
  </si>
  <si>
    <t xml:space="preserve"> 6-10-20 N-P-K</t>
  </si>
  <si>
    <t>Run off (mm)</t>
  </si>
  <si>
    <t>Soil losses (kg/ha)</t>
  </si>
  <si>
    <t>Microelement</t>
  </si>
  <si>
    <t>Whether reported microelement (Mn, Zn etc.)</t>
  </si>
  <si>
    <t>MBC/K/MBN</t>
  </si>
  <si>
    <t>&lt; 0.84 mm aggregates (wind erosion)</t>
  </si>
  <si>
    <t>&gt; 19.2 mm aggregates</t>
  </si>
  <si>
    <t>Score, no units *20 to match with following</t>
  </si>
  <si>
    <t>Labile C, g per ha to 100 g per ha</t>
  </si>
  <si>
    <t>Sunn hemp + Crimson clover</t>
  </si>
  <si>
    <t>soybean</t>
  </si>
  <si>
    <t>ItalianRyegrass</t>
  </si>
  <si>
    <t>WinterRye</t>
  </si>
  <si>
    <t>Rye,Rye</t>
  </si>
  <si>
    <t>red clover</t>
  </si>
  <si>
    <t>Kura clover</t>
  </si>
  <si>
    <t>Vetch andRye</t>
  </si>
  <si>
    <t>Rye and Vetch</t>
  </si>
  <si>
    <t>Crown Vetch</t>
  </si>
  <si>
    <t>Common Vetch</t>
  </si>
  <si>
    <t>Oat-Vetch</t>
  </si>
  <si>
    <t>Canola-Vetch</t>
  </si>
  <si>
    <t>Oat-Canola-Vetch</t>
  </si>
  <si>
    <t>Barley and Vetch</t>
  </si>
  <si>
    <t>Summer</t>
  </si>
  <si>
    <t>Maize-tomato</t>
  </si>
  <si>
    <t>Harrowed</t>
  </si>
  <si>
    <t>Cut with disk</t>
  </si>
  <si>
    <t>TC, kg per ha to 10 kg per ha</t>
  </si>
  <si>
    <t>MgFe</t>
  </si>
  <si>
    <t>CaMgAl</t>
  </si>
  <si>
    <t>CaMg</t>
  </si>
  <si>
    <t>SOIL ORDER</t>
  </si>
  <si>
    <t>SOIL</t>
  </si>
  <si>
    <t>DESCRIPTION</t>
  </si>
  <si>
    <t>SOIL FAMILY</t>
  </si>
  <si>
    <t>ALFISOLS</t>
  </si>
  <si>
    <t>Soil 1</t>
  </si>
  <si>
    <t>Fine_loamy, mixed</t>
  </si>
  <si>
    <t>Typic Cryoboralfs</t>
  </si>
  <si>
    <t>Soil 2 (Santa Series)</t>
  </si>
  <si>
    <t>Coarse-silty, mixed, frigid</t>
  </si>
  <si>
    <t>Ochreptic Fragixeralfs</t>
  </si>
  <si>
    <t>Soil 3 (Porthill Series)</t>
  </si>
  <si>
    <t>Fine, mixed, frigid Typic</t>
  </si>
  <si>
    <t>Hapioxeralfs</t>
  </si>
  <si>
    <t>ARIDISOLS</t>
  </si>
  <si>
    <t>Soil 4 (Chilcott Series)</t>
  </si>
  <si>
    <t>Fine, montmorillonitic, mesic</t>
  </si>
  <si>
    <t>Abruptic Xerollic Durargids</t>
  </si>
  <si>
    <t>Soil 5 (Colthorp Series)</t>
  </si>
  <si>
    <t>Loamy, mixed, mesic, shallow</t>
  </si>
  <si>
    <t>Xerollic Durargids</t>
  </si>
  <si>
    <t>Soil 6 (Sebree Series)</t>
  </si>
  <si>
    <t>Fine-silty, mixed, mesic</t>
  </si>
  <si>
    <t>Xerollic Nadurargids</t>
  </si>
  <si>
    <t>Soil 7 (Gooding Series)</t>
  </si>
  <si>
    <t>Xerollic Paleargids</t>
  </si>
  <si>
    <t>Soil 8 (Portneuf Series)</t>
  </si>
  <si>
    <t>Coarse-silty, mixed, mesic</t>
  </si>
  <si>
    <t>Durixerollic Calciorthids</t>
  </si>
  <si>
    <t>Soil 9 (Trevino Series</t>
  </si>
  <si>
    <t>Loamy, mixed, mesic Lithic</t>
  </si>
  <si>
    <t>Xerollic Camborthids</t>
  </si>
  <si>
    <t>Soil IO (Owhyee Series)</t>
  </si>
  <si>
    <t>Soil 11 (Minidoka Series)</t>
  </si>
  <si>
    <t>Xerollic Durorthids</t>
  </si>
  <si>
    <t>Soil 12</t>
  </si>
  <si>
    <t>Loamy, mixed, frigid</t>
  </si>
  <si>
    <t>ENTISOLS</t>
  </si>
  <si>
    <t>Soil 13 (Garbutt Series)</t>
  </si>
  <si>
    <t>Coarse-silty, mixed (calcareous), mesic</t>
  </si>
  <si>
    <t>Typic Torriorthents</t>
  </si>
  <si>
    <t>Soil 14 (Flybow Series)</t>
  </si>
  <si>
    <t>Loamy-skeletal, mixed, monacid, mesic</t>
  </si>
  <si>
    <t>Lithic Xerorthents</t>
  </si>
  <si>
    <t>Soil 15 (Pyle Series)</t>
  </si>
  <si>
    <t>Alfic Cryopsamments</t>
  </si>
  <si>
    <t>Soil 16 (Gruincy Series)</t>
  </si>
  <si>
    <t>Mixed, mesic</t>
  </si>
  <si>
    <t>Xeric Torripsamments</t>
  </si>
  <si>
    <t>Soil 17 (Shollrock Series)</t>
  </si>
  <si>
    <t>Mixed, frigid</t>
  </si>
  <si>
    <t>Typic Xeropsamments</t>
  </si>
  <si>
    <t>HISTISOLS</t>
  </si>
  <si>
    <t>Soil 18 (Pywell Series)</t>
  </si>
  <si>
    <t>Euic Typic Borosaprists</t>
  </si>
  <si>
    <t>INCEPTISOLS</t>
  </si>
  <si>
    <t>Soil 19 (Vay Series)</t>
  </si>
  <si>
    <t>Medial over loamy-skeletal, mixed</t>
  </si>
  <si>
    <t>Entic Cryandepts</t>
  </si>
  <si>
    <t>Soil 20 (Bluehill Series)</t>
  </si>
  <si>
    <t>Ashy, mesic</t>
  </si>
  <si>
    <t>Typic Vitrandepts</t>
  </si>
  <si>
    <t>Soil 21</t>
  </si>
  <si>
    <t>Medial over loamy, mixed, frigid</t>
  </si>
  <si>
    <t>Soil 22 (Moonville Series)</t>
  </si>
  <si>
    <t>Cindery, frigid</t>
  </si>
  <si>
    <t>Mollic Vitrandepts</t>
  </si>
  <si>
    <t>Soil 23 (Roseberry Series)</t>
  </si>
  <si>
    <t>Sandy, mixed</t>
  </si>
  <si>
    <t>Humic Cryaquepts</t>
  </si>
  <si>
    <t>Soil 24</t>
  </si>
  <si>
    <t>Loamy-skeletal, mixed</t>
  </si>
  <si>
    <t>Andic Cryochrepts</t>
  </si>
  <si>
    <t>Soil 25</t>
  </si>
  <si>
    <t>Dystric Cryochrepts</t>
  </si>
  <si>
    <t>Soil 26</t>
  </si>
  <si>
    <t>Fine-loamy, mixed</t>
  </si>
  <si>
    <t>Soil 27</t>
  </si>
  <si>
    <t>Coarse-loamy, mixed, frigid</t>
  </si>
  <si>
    <t>Andic Dystrochrepts</t>
  </si>
  <si>
    <t>Soil 28 (Moonville Variant)</t>
  </si>
  <si>
    <t>Andic Xerochrepts</t>
  </si>
  <si>
    <t>Soil 29 (Bonner Series)</t>
  </si>
  <si>
    <t>Coarse-loamy over sandy or sandy skeletal, mixed, frigid</t>
  </si>
  <si>
    <t>Soil 30 (Oxford Series)</t>
  </si>
  <si>
    <t>Fine, montmorillonitic, frigid</t>
  </si>
  <si>
    <t>Vertic Xerochrepts</t>
  </si>
  <si>
    <t>Soil 31 (McCall Series)</t>
  </si>
  <si>
    <t>Typic Cryumbrepts</t>
  </si>
  <si>
    <t>Soil 32</t>
  </si>
  <si>
    <t>Coarse-loamy, mixed</t>
  </si>
  <si>
    <t>Andic Cryumbrepts</t>
  </si>
  <si>
    <t>MOLLISOLS</t>
  </si>
  <si>
    <t>Soil 33 (Southwick Series)</t>
  </si>
  <si>
    <t>Argiaquic Xeric Argialbolls</t>
  </si>
  <si>
    <t>Soil 34 (Houk Series)</t>
  </si>
  <si>
    <t>Soil 35 (Nez Perce Series)</t>
  </si>
  <si>
    <t>Xeric Argialbolls</t>
  </si>
  <si>
    <t>Soil 36 (Drigge Variant)</t>
  </si>
  <si>
    <t>Argic Cryoborrolls</t>
  </si>
  <si>
    <t>Soil 37</t>
  </si>
  <si>
    <t>Argic Pachic Cryoborolls</t>
  </si>
  <si>
    <t>Soil 38 (Greys Series)</t>
  </si>
  <si>
    <t>Fine-silty, mixed</t>
  </si>
  <si>
    <t>Boralfic Cryoboroils</t>
  </si>
  <si>
    <t>Soil 39</t>
  </si>
  <si>
    <t>Very fine, mixed</t>
  </si>
  <si>
    <t>Duric Cryoborolls</t>
  </si>
  <si>
    <t>Soil 40 (Pavohroo Series)</t>
  </si>
  <si>
    <t>Pacfic Cryoborolls</t>
  </si>
  <si>
    <t>Soil 41 (Tannehill Series)</t>
  </si>
  <si>
    <t>Loamy-skeletal, mixed mesic</t>
  </si>
  <si>
    <t>Calcic Argixerolis</t>
  </si>
  <si>
    <t>Soil 42 (Gem Series)</t>
  </si>
  <si>
    <t>Calcic Argixerolls</t>
  </si>
  <si>
    <t>Soil 43 (Gwin Series)</t>
  </si>
  <si>
    <t>Loamy-skeletal, mixed, mesic</t>
  </si>
  <si>
    <t>Lithic Argixerolls</t>
  </si>
  <si>
    <t>Soil 44 (Kilckson Series)</t>
  </si>
  <si>
    <t>Loamy-skeletal, mixed, frigid</t>
  </si>
  <si>
    <t>Ultic Argixerolis</t>
  </si>
  <si>
    <t>Soil 45 (Little Wood Series)</t>
  </si>
  <si>
    <t>Soil 46 (Rexburg Series)</t>
  </si>
  <si>
    <t>Calcic Haploxerolls</t>
  </si>
  <si>
    <t>Soil 47 (Westlake Series)</t>
  </si>
  <si>
    <t>Fine-silty, mixed, frigid</t>
  </si>
  <si>
    <t>Cumulic Ultic Haploxerolls</t>
  </si>
  <si>
    <t>Soil 48 (Hymas Series)</t>
  </si>
  <si>
    <t>Loamy-skeletal, carbonantic, frigid</t>
  </si>
  <si>
    <t>Lithic Haploxerolls</t>
  </si>
  <si>
    <t>Soil 49 (Ola Series)</t>
  </si>
  <si>
    <t>Pachic Haploxerolls</t>
  </si>
  <si>
    <t>Soil 50 (Palouse Series)</t>
  </si>
  <si>
    <t>Pachic Ultic Haploxerolls</t>
  </si>
  <si>
    <t>SPODOSOLS</t>
  </si>
  <si>
    <t>Soil 51</t>
  </si>
  <si>
    <t>Entic Cryorthods</t>
  </si>
  <si>
    <t>VERTISOLS</t>
  </si>
  <si>
    <t>Soil 52 (Magic Series)</t>
  </si>
  <si>
    <t>Entic Chromoxererts</t>
  </si>
  <si>
    <t>Soil 53 (Agar Series)</t>
  </si>
  <si>
    <t>Very fine, montmorillonitic, mesic</t>
  </si>
  <si>
    <t>Soil 54 (Boulder Lake Series)</t>
  </si>
  <si>
    <t>Very fine, montmorillonitic, frigid</t>
  </si>
  <si>
    <t>Chromic Pelloxererts</t>
  </si>
  <si>
    <t>Pachic Ultic Argixeroll</t>
  </si>
  <si>
    <t>SoilFamily</t>
  </si>
  <si>
    <t>Haplustoll</t>
  </si>
  <si>
    <t>Udic Argiustoll</t>
  </si>
  <si>
    <t>Aridic  Haplustolls</t>
  </si>
  <si>
    <t>Wickham</t>
  </si>
  <si>
    <t>Udipsamment</t>
  </si>
  <si>
    <t>Kanhapludults</t>
  </si>
  <si>
    <t>Kegonsa</t>
  </si>
  <si>
    <t xml:space="preserve">Hapludults and Endoaquults </t>
  </si>
  <si>
    <t>Typic Paleudults</t>
  </si>
  <si>
    <t>Chernozem</t>
  </si>
  <si>
    <t>Hagerstown</t>
  </si>
  <si>
    <t>Aquic Argiudolls</t>
  </si>
  <si>
    <t>Typic Hapludalf</t>
  </si>
  <si>
    <t>Typic Hapludults</t>
  </si>
  <si>
    <t>Mesic Lamellic Hapludalf</t>
  </si>
  <si>
    <t>Kandiudult</t>
  </si>
  <si>
    <t>Kingsbury</t>
  </si>
  <si>
    <t>Typic Hapludult</t>
  </si>
  <si>
    <t>Mesic Glossic Hapludulfs</t>
  </si>
  <si>
    <t>Mesic vertic albaqualfs</t>
  </si>
  <si>
    <t>Mesic Typic Hapludalfs</t>
  </si>
  <si>
    <t>Mollic Xerofluvents</t>
  </si>
  <si>
    <t>Mesic Typic Endoaquolls</t>
  </si>
  <si>
    <t>Mesic Typic Hapludalf</t>
  </si>
  <si>
    <t>Thermic Typic Xerorthent</t>
  </si>
  <si>
    <t>Typic Kandhapludults</t>
  </si>
  <si>
    <t>Mesic Typic Glossaquaf</t>
  </si>
  <si>
    <t>Calcic Hapludoll</t>
  </si>
  <si>
    <t>Ultic Hapludalf</t>
  </si>
  <si>
    <t>Mesic Typic Paleudalf</t>
  </si>
  <si>
    <t>Pachic Ultic Argixerolls</t>
  </si>
  <si>
    <t>Mesic Aridic Argiustols</t>
  </si>
  <si>
    <t>Aridic Argiborolls</t>
  </si>
  <si>
    <t>Mesic Typic Udipsamments</t>
  </si>
  <si>
    <t>Thermic  Rhodic  Paleudult</t>
  </si>
  <si>
    <t>Mesic Typic Argiudolls</t>
  </si>
  <si>
    <t>Typic quartzipssaments</t>
  </si>
  <si>
    <t>Plinthic Paleudults</t>
  </si>
  <si>
    <t>Mesic Pachic Ultic Argixeroll</t>
  </si>
  <si>
    <t>Typic Hapludulfs</t>
  </si>
  <si>
    <t>Aquic Hapludults</t>
  </si>
  <si>
    <t>Agriudolls</t>
  </si>
  <si>
    <t>Typic Fragiochrepts</t>
  </si>
  <si>
    <t>Aquic Paleudults</t>
  </si>
  <si>
    <t>Mesic Vertic Albaqualfs</t>
  </si>
  <si>
    <t>Typic Argiudoll</t>
  </si>
  <si>
    <t>Thermic Typic Argixeroll</t>
  </si>
  <si>
    <t>Rhodic Paleudults</t>
  </si>
  <si>
    <t>Loess</t>
  </si>
  <si>
    <t>Orthic Brown Chernozem</t>
  </si>
  <si>
    <t>League-type soil</t>
  </si>
  <si>
    <t>Typic Hapludolls</t>
  </si>
  <si>
    <t>Snap_bean</t>
  </si>
  <si>
    <t>Dry_bean</t>
  </si>
  <si>
    <t>Sweet_corn</t>
  </si>
  <si>
    <t>Winter_wheat</t>
  </si>
  <si>
    <t>Spring_wheat</t>
  </si>
  <si>
    <t>Summer_Wheat</t>
  </si>
  <si>
    <t>Acorn_Squash</t>
  </si>
  <si>
    <t>Not_available</t>
  </si>
  <si>
    <t>Soybean_Coker</t>
  </si>
  <si>
    <t>Soybean_Bragg</t>
  </si>
  <si>
    <t>Soybean_Ransom</t>
  </si>
  <si>
    <t>Corn_soybean_wheat</t>
  </si>
  <si>
    <t>Sweet_corn_broccoli</t>
  </si>
  <si>
    <t>Wheat_winter</t>
  </si>
  <si>
    <t>Wheat_spring</t>
  </si>
  <si>
    <t>Corn_soybean</t>
  </si>
  <si>
    <t>Tomato_Safflower_Corn_Bean</t>
  </si>
  <si>
    <t>20-30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</si>
</sst>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name val="Verdan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0"/>
      <color rgb="FF252C2F"/>
      <name val="Arial"/>
      <family val="2"/>
    </font>
    <font>
      <sz val="10"/>
      <color rgb="FF222222"/>
      <name val="Arial"/>
      <family val="2"/>
    </font>
    <font>
      <sz val="10"/>
      <color rgb="FFFF0000"/>
      <name val="Arial"/>
      <family val="2"/>
    </font>
    <font>
      <sz val="9"/>
      <color rgb="FF000000"/>
      <name val="Arial"/>
      <family val="2"/>
    </font>
    <font>
      <sz val="11"/>
      <color theme="1" tint="0.499984740745262"/>
      <name val="Calibri"/>
      <family val="2"/>
      <scheme val="minor"/>
    </font>
    <font>
      <sz val="9"/>
      <color rgb="FFFF0000"/>
      <name val="Arial"/>
      <family val="2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Times New Roman"/>
      <family val="1"/>
    </font>
    <font>
      <b/>
      <i/>
      <sz val="12"/>
      <color rgb="FF8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8080"/>
      </left>
      <right/>
      <top style="double">
        <color rgb="FF008080"/>
      </top>
      <bottom/>
      <diagonal/>
    </border>
    <border>
      <left/>
      <right/>
      <top style="double">
        <color rgb="FF008080"/>
      </top>
      <bottom/>
      <diagonal/>
    </border>
    <border>
      <left/>
      <right style="double">
        <color rgb="FF008080"/>
      </right>
      <top style="double">
        <color rgb="FF008080"/>
      </top>
      <bottom/>
      <diagonal/>
    </border>
    <border>
      <left style="double">
        <color rgb="FF008080"/>
      </left>
      <right/>
      <top/>
      <bottom/>
      <diagonal/>
    </border>
    <border>
      <left/>
      <right style="double">
        <color rgb="FF008080"/>
      </right>
      <top/>
      <bottom/>
      <diagonal/>
    </border>
    <border>
      <left style="double">
        <color rgb="FF008080"/>
      </left>
      <right/>
      <top/>
      <bottom style="double">
        <color rgb="FF008080"/>
      </bottom>
      <diagonal/>
    </border>
    <border>
      <left/>
      <right/>
      <top/>
      <bottom style="double">
        <color rgb="FF008080"/>
      </bottom>
      <diagonal/>
    </border>
    <border>
      <left/>
      <right style="double">
        <color rgb="FF008080"/>
      </right>
      <top/>
      <bottom style="double">
        <color rgb="FF008080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4" borderId="0" xfId="0" applyFill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/>
    <xf numFmtId="0" fontId="0" fillId="5" borderId="0" xfId="0" applyFill="1"/>
    <xf numFmtId="11" fontId="0" fillId="0" borderId="0" xfId="0" applyNumberFormat="1"/>
    <xf numFmtId="0" fontId="5" fillId="0" borderId="0" xfId="0" applyFont="1"/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4" fillId="7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6" fillId="7" borderId="0" xfId="0" applyFont="1" applyFill="1"/>
    <xf numFmtId="165" fontId="0" fillId="0" borderId="1" xfId="0" applyNumberFormat="1" applyBorder="1" applyAlignment="1">
      <alignment horizontal="left"/>
    </xf>
    <xf numFmtId="0" fontId="2" fillId="0" borderId="0" xfId="0" applyFont="1"/>
    <xf numFmtId="0" fontId="0" fillId="0" borderId="1" xfId="0" applyBorder="1"/>
    <xf numFmtId="0" fontId="0" fillId="8" borderId="0" xfId="0" applyFill="1" applyAlignment="1">
      <alignment horizontal="left"/>
    </xf>
    <xf numFmtId="165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165" fontId="0" fillId="0" borderId="0" xfId="0" applyNumberFormat="1"/>
    <xf numFmtId="0" fontId="3" fillId="9" borderId="0" xfId="0" applyFont="1" applyFill="1" applyAlignment="1">
      <alignment horizontal="left"/>
    </xf>
    <xf numFmtId="0" fontId="3" fillId="9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0" fillId="10" borderId="0" xfId="0" applyFill="1" applyAlignment="1">
      <alignment horizontal="left"/>
    </xf>
    <xf numFmtId="0" fontId="3" fillId="11" borderId="0" xfId="0" applyFont="1" applyFill="1" applyAlignment="1">
      <alignment horizontal="left"/>
    </xf>
    <xf numFmtId="0" fontId="0" fillId="1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3" fillId="0" borderId="0" xfId="0" applyFont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165" fontId="0" fillId="0" borderId="1" xfId="0" applyNumberFormat="1" applyBorder="1"/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166" fontId="0" fillId="0" borderId="1" xfId="0" applyNumberFormat="1" applyBorder="1" applyAlignment="1">
      <alignment horizontal="left"/>
    </xf>
    <xf numFmtId="0" fontId="8" fillId="0" borderId="0" xfId="0" applyFont="1"/>
    <xf numFmtId="0" fontId="8" fillId="8" borderId="0" xfId="0" applyFont="1" applyFill="1"/>
    <xf numFmtId="49" fontId="1" fillId="2" borderId="0" xfId="0" applyNumberFormat="1" applyFont="1" applyFill="1"/>
    <xf numFmtId="49" fontId="3" fillId="6" borderId="0" xfId="0" applyNumberFormat="1" applyFont="1" applyFill="1" applyAlignment="1">
      <alignment horizontal="left"/>
    </xf>
    <xf numFmtId="49" fontId="0" fillId="7" borderId="0" xfId="0" applyNumberFormat="1" applyFill="1" applyAlignment="1">
      <alignment horizontal="left"/>
    </xf>
    <xf numFmtId="49" fontId="3" fillId="9" borderId="0" xfId="0" applyNumberFormat="1" applyFont="1" applyFill="1" applyAlignment="1">
      <alignment horizontal="left"/>
    </xf>
    <xf numFmtId="49" fontId="4" fillId="7" borderId="0" xfId="0" applyNumberFormat="1" applyFont="1" applyFill="1" applyAlignment="1">
      <alignment horizontal="left"/>
    </xf>
    <xf numFmtId="49" fontId="0" fillId="8" borderId="0" xfId="0" applyNumberFormat="1" applyFill="1" applyAlignment="1">
      <alignment horizontal="left"/>
    </xf>
    <xf numFmtId="49" fontId="0" fillId="10" borderId="0" xfId="0" applyNumberFormat="1" applyFill="1" applyAlignment="1">
      <alignment horizontal="left"/>
    </xf>
    <xf numFmtId="49" fontId="3" fillId="11" borderId="0" xfId="0" applyNumberFormat="1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Fill="1" applyAlignment="1">
      <alignment horizontal="left"/>
    </xf>
    <xf numFmtId="49" fontId="4" fillId="8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3" fillId="12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0" fontId="4" fillId="12" borderId="0" xfId="0" applyFont="1" applyFill="1" applyAlignment="1">
      <alignment horizontal="left"/>
    </xf>
    <xf numFmtId="17" fontId="0" fillId="0" borderId="0" xfId="0" applyNumberFormat="1"/>
    <xf numFmtId="16" fontId="0" fillId="10" borderId="0" xfId="0" applyNumberFormat="1" applyFill="1" applyAlignment="1">
      <alignment horizontal="left"/>
    </xf>
    <xf numFmtId="16" fontId="0" fillId="8" borderId="0" xfId="0" applyNumberFormat="1" applyFill="1" applyAlignment="1">
      <alignment horizontal="left"/>
    </xf>
    <xf numFmtId="0" fontId="9" fillId="10" borderId="0" xfId="0" applyFont="1" applyFill="1" applyAlignment="1">
      <alignment horizontal="left"/>
    </xf>
    <xf numFmtId="49" fontId="9" fillId="10" borderId="0" xfId="0" applyNumberFormat="1" applyFont="1" applyFill="1" applyAlignment="1">
      <alignment horizontal="left"/>
    </xf>
    <xf numFmtId="16" fontId="9" fillId="10" borderId="0" xfId="0" applyNumberFormat="1" applyFont="1" applyFill="1" applyAlignment="1">
      <alignment horizontal="left"/>
    </xf>
    <xf numFmtId="0" fontId="9" fillId="8" borderId="0" xfId="0" applyFont="1" applyFill="1" applyAlignment="1">
      <alignment horizontal="left"/>
    </xf>
    <xf numFmtId="49" fontId="9" fillId="8" borderId="0" xfId="0" applyNumberFormat="1" applyFont="1" applyFill="1" applyAlignment="1">
      <alignment horizontal="left"/>
    </xf>
    <xf numFmtId="16" fontId="9" fillId="8" borderId="0" xfId="0" applyNumberFormat="1" applyFont="1" applyFill="1" applyAlignment="1">
      <alignment horizontal="left"/>
    </xf>
    <xf numFmtId="0" fontId="10" fillId="6" borderId="0" xfId="0" applyFont="1" applyFill="1" applyAlignment="1">
      <alignment horizontal="left"/>
    </xf>
    <xf numFmtId="0" fontId="11" fillId="8" borderId="0" xfId="0" applyFont="1" applyFill="1" applyAlignment="1">
      <alignment horizontal="left"/>
    </xf>
    <xf numFmtId="49" fontId="11" fillId="8" borderId="0" xfId="0" applyNumberFormat="1" applyFont="1" applyFill="1" applyAlignment="1">
      <alignment horizontal="left"/>
    </xf>
    <xf numFmtId="0" fontId="11" fillId="10" borderId="0" xfId="0" applyFont="1" applyFill="1" applyAlignment="1">
      <alignment horizontal="left"/>
    </xf>
    <xf numFmtId="49" fontId="11" fillId="10" borderId="0" xfId="0" applyNumberFormat="1" applyFont="1" applyFill="1" applyAlignment="1">
      <alignment horizontal="left"/>
    </xf>
    <xf numFmtId="0" fontId="12" fillId="3" borderId="0" xfId="0" applyFont="1" applyFill="1"/>
    <xf numFmtId="49" fontId="0" fillId="0" borderId="0" xfId="0" applyNumberForma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0" fontId="13" fillId="6" borderId="0" xfId="0" applyFont="1" applyFill="1" applyAlignment="1">
      <alignment horizontal="left"/>
    </xf>
    <xf numFmtId="49" fontId="13" fillId="6" borderId="0" xfId="0" applyNumberFormat="1" applyFont="1" applyFill="1" applyAlignment="1">
      <alignment horizontal="left"/>
    </xf>
    <xf numFmtId="0" fontId="14" fillId="6" borderId="0" xfId="0" applyFont="1" applyFill="1" applyAlignment="1">
      <alignment horizontal="left"/>
    </xf>
    <xf numFmtId="49" fontId="14" fillId="6" borderId="0" xfId="0" applyNumberFormat="1" applyFont="1" applyFill="1" applyAlignment="1">
      <alignment horizontal="left"/>
    </xf>
    <xf numFmtId="0" fontId="14" fillId="9" borderId="0" xfId="0" applyFont="1" applyFill="1" applyAlignment="1">
      <alignment horizontal="left"/>
    </xf>
    <xf numFmtId="49" fontId="14" fillId="9" borderId="0" xfId="0" applyNumberFormat="1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49" fontId="13" fillId="0" borderId="0" xfId="0" applyNumberFormat="1" applyFont="1" applyFill="1" applyAlignment="1">
      <alignment horizontal="left"/>
    </xf>
    <xf numFmtId="0" fontId="13" fillId="9" borderId="0" xfId="0" applyFont="1" applyFill="1" applyAlignment="1">
      <alignment horizontal="left"/>
    </xf>
    <xf numFmtId="49" fontId="13" fillId="9" borderId="0" xfId="0" applyNumberFormat="1" applyFont="1" applyFill="1" applyAlignment="1">
      <alignment horizontal="left"/>
    </xf>
    <xf numFmtId="0" fontId="3" fillId="13" borderId="0" xfId="0" applyFont="1" applyFill="1" applyAlignment="1">
      <alignment horizontal="left"/>
    </xf>
    <xf numFmtId="49" fontId="3" fillId="13" borderId="0" xfId="0" applyNumberFormat="1" applyFont="1" applyFill="1" applyAlignment="1">
      <alignment horizontal="left"/>
    </xf>
    <xf numFmtId="0" fontId="3" fillId="8" borderId="0" xfId="0" applyFont="1" applyFill="1" applyAlignment="1">
      <alignment horizontal="left"/>
    </xf>
    <xf numFmtId="49" fontId="3" fillId="8" borderId="0" xfId="0" applyNumberFormat="1" applyFont="1" applyFill="1" applyAlignment="1">
      <alignment horizontal="left"/>
    </xf>
    <xf numFmtId="0" fontId="3" fillId="10" borderId="0" xfId="0" applyFont="1" applyFill="1" applyAlignment="1">
      <alignment horizontal="left"/>
    </xf>
    <xf numFmtId="49" fontId="3" fillId="10" borderId="0" xfId="0" applyNumberFormat="1" applyFont="1" applyFill="1" applyAlignment="1">
      <alignment horizontal="left"/>
    </xf>
    <xf numFmtId="49" fontId="3" fillId="7" borderId="0" xfId="0" applyNumberFormat="1" applyFont="1" applyFill="1" applyAlignment="1">
      <alignment horizontal="left"/>
    </xf>
    <xf numFmtId="0" fontId="15" fillId="0" borderId="0" xfId="0" applyFont="1" applyFill="1" applyAlignment="1">
      <alignment horizontal="left"/>
    </xf>
    <xf numFmtId="49" fontId="15" fillId="0" borderId="0" xfId="0" applyNumberFormat="1" applyFont="1" applyFill="1" applyAlignment="1">
      <alignment horizontal="left"/>
    </xf>
    <xf numFmtId="0" fontId="15" fillId="8" borderId="0" xfId="0" applyFont="1" applyFill="1" applyAlignment="1">
      <alignment horizontal="left"/>
    </xf>
    <xf numFmtId="49" fontId="15" fillId="8" borderId="0" xfId="0" applyNumberFormat="1" applyFont="1" applyFill="1" applyAlignment="1">
      <alignment horizontal="left"/>
    </xf>
    <xf numFmtId="0" fontId="1" fillId="5" borderId="0" xfId="0" applyFont="1" applyFill="1" applyAlignment="1">
      <alignment horizontal="left"/>
    </xf>
    <xf numFmtId="16" fontId="3" fillId="6" borderId="0" xfId="0" applyNumberFormat="1" applyFont="1" applyFill="1" applyAlignment="1">
      <alignment horizontal="left"/>
    </xf>
    <xf numFmtId="0" fontId="12" fillId="0" borderId="0" xfId="0" applyFont="1"/>
    <xf numFmtId="0" fontId="16" fillId="8" borderId="0" xfId="0" applyFont="1" applyFill="1" applyAlignment="1">
      <alignment horizontal="left"/>
    </xf>
    <xf numFmtId="49" fontId="16" fillId="8" borderId="0" xfId="0" applyNumberFormat="1" applyFont="1" applyFill="1" applyAlignment="1">
      <alignment horizontal="left"/>
    </xf>
    <xf numFmtId="0" fontId="16" fillId="10" borderId="0" xfId="0" applyFont="1" applyFill="1" applyAlignment="1">
      <alignment horizontal="left"/>
    </xf>
    <xf numFmtId="49" fontId="16" fillId="10" borderId="0" xfId="0" applyNumberFormat="1" applyFont="1" applyFill="1" applyAlignment="1">
      <alignment horizontal="left"/>
    </xf>
    <xf numFmtId="0" fontId="16" fillId="6" borderId="0" xfId="0" applyFont="1" applyFill="1" applyAlignment="1">
      <alignment horizontal="left"/>
    </xf>
    <xf numFmtId="49" fontId="16" fillId="6" borderId="0" xfId="0" applyNumberFormat="1" applyFont="1" applyFill="1" applyAlignment="1">
      <alignment horizontal="left"/>
    </xf>
    <xf numFmtId="0" fontId="16" fillId="14" borderId="0" xfId="0" applyFont="1" applyFill="1" applyAlignment="1">
      <alignment horizontal="left"/>
    </xf>
    <xf numFmtId="49" fontId="16" fillId="14" borderId="0" xfId="0" applyNumberFormat="1" applyFont="1" applyFill="1" applyAlignment="1">
      <alignment horizontal="left"/>
    </xf>
    <xf numFmtId="0" fontId="16" fillId="9" borderId="0" xfId="0" applyFont="1" applyFill="1" applyAlignment="1">
      <alignment horizontal="left"/>
    </xf>
    <xf numFmtId="49" fontId="16" fillId="9" borderId="0" xfId="0" applyNumberFormat="1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8" borderId="0" xfId="0" applyFont="1" applyFill="1"/>
    <xf numFmtId="0" fontId="17" fillId="15" borderId="0" xfId="0" applyFont="1" applyFill="1" applyAlignment="1">
      <alignment vertical="center" wrapText="1"/>
    </xf>
    <xf numFmtId="0" fontId="19" fillId="15" borderId="0" xfId="0" applyFont="1" applyFill="1" applyAlignment="1">
      <alignment horizontal="left" vertical="center" wrapText="1"/>
    </xf>
    <xf numFmtId="0" fontId="19" fillId="15" borderId="0" xfId="0" applyFont="1" applyFill="1" applyAlignment="1">
      <alignment vertical="center" wrapText="1"/>
    </xf>
    <xf numFmtId="0" fontId="18" fillId="16" borderId="2" xfId="0" applyFont="1" applyFill="1" applyBorder="1" applyAlignment="1">
      <alignment horizontal="left" vertical="center" wrapText="1"/>
    </xf>
    <xf numFmtId="0" fontId="18" fillId="16" borderId="3" xfId="0" applyFont="1" applyFill="1" applyBorder="1" applyAlignment="1">
      <alignment horizontal="left" vertical="center" wrapText="1"/>
    </xf>
    <xf numFmtId="0" fontId="18" fillId="16" borderId="3" xfId="0" applyFont="1" applyFill="1" applyBorder="1" applyAlignment="1">
      <alignment vertical="center" wrapText="1"/>
    </xf>
    <xf numFmtId="0" fontId="18" fillId="16" borderId="4" xfId="0" applyFont="1" applyFill="1" applyBorder="1" applyAlignment="1">
      <alignment horizontal="left" vertical="center" wrapText="1"/>
    </xf>
    <xf numFmtId="0" fontId="20" fillId="15" borderId="5" xfId="0" applyFont="1" applyFill="1" applyBorder="1" applyAlignment="1">
      <alignment horizontal="left" vertical="center" wrapText="1"/>
    </xf>
    <xf numFmtId="0" fontId="17" fillId="15" borderId="6" xfId="0" applyFont="1" applyFill="1" applyBorder="1" applyAlignment="1">
      <alignment vertical="center" wrapText="1"/>
    </xf>
    <xf numFmtId="0" fontId="17" fillId="15" borderId="5" xfId="0" applyFont="1" applyFill="1" applyBorder="1" applyAlignment="1">
      <alignment vertical="center" wrapText="1"/>
    </xf>
    <xf numFmtId="0" fontId="19" fillId="15" borderId="6" xfId="0" applyFont="1" applyFill="1" applyBorder="1" applyAlignment="1">
      <alignment horizontal="left" vertical="center" wrapText="1"/>
    </xf>
    <xf numFmtId="0" fontId="19" fillId="15" borderId="6" xfId="0" applyFont="1" applyFill="1" applyBorder="1" applyAlignment="1">
      <alignment vertical="center" wrapText="1"/>
    </xf>
    <xf numFmtId="0" fontId="17" fillId="15" borderId="7" xfId="0" applyFont="1" applyFill="1" applyBorder="1" applyAlignment="1">
      <alignment vertical="center" wrapText="1"/>
    </xf>
    <xf numFmtId="0" fontId="19" fillId="15" borderId="8" xfId="0" applyFont="1" applyFill="1" applyBorder="1" applyAlignment="1">
      <alignment horizontal="left" vertical="center" wrapText="1"/>
    </xf>
    <xf numFmtId="0" fontId="19" fillId="15" borderId="9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476250</xdr:colOff>
      <xdr:row>0</xdr:row>
      <xdr:rowOff>123825</xdr:rowOff>
    </xdr:from>
    <xdr:to>
      <xdr:col>18</xdr:col>
      <xdr:colOff>237469</xdr:colOff>
      <xdr:row>15</xdr:row>
      <xdr:rowOff>142515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123825"/>
          <a:ext cx="5247619" cy="28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495300</xdr:colOff>
      <xdr:row>17</xdr:row>
      <xdr:rowOff>133350</xdr:rowOff>
    </xdr:from>
    <xdr:to>
      <xdr:col>22</xdr:col>
      <xdr:colOff>475262</xdr:colOff>
      <xdr:row>29</xdr:row>
      <xdr:rowOff>28302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7675" y="3371850"/>
          <a:ext cx="7904762" cy="2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667"/>
  <sheetViews>
    <sheetView tabSelected="1" zoomScaleNormal="100" workbookViewId="0">
      <pane ySplit="1" topLeftCell="A509" activePane="bottomLeft" state="frozen"/>
      <selection pane="bottomLeft" activeCell="S530" sqref="S530"/>
    </sheetView>
  </sheetViews>
  <sheetFormatPr defaultRowHeight="15" x14ac:dyDescent="0.25"/>
  <cols>
    <col min="1" max="6" width="9.140625" style="46"/>
    <col min="7" max="7" width="11.140625" style="46" customWidth="1"/>
    <col min="8" max="15" width="9.140625" style="46"/>
    <col min="16" max="16" width="10.85546875" style="81" customWidth="1"/>
    <col min="17" max="17" width="9.85546875" style="81" customWidth="1"/>
    <col min="18" max="19" width="10.85546875" style="81" customWidth="1"/>
    <col min="20" max="22" width="10.85546875" style="46" customWidth="1"/>
    <col min="23" max="26" width="9.140625" style="46" customWidth="1"/>
    <col min="27" max="27" width="11.140625" style="46" customWidth="1"/>
    <col min="28" max="28" width="14" style="46" customWidth="1"/>
    <col min="29" max="29" width="31.85546875" style="46" customWidth="1"/>
    <col min="30" max="30" width="10.140625" style="46" customWidth="1"/>
    <col min="31" max="31" width="10.42578125" style="46" customWidth="1"/>
    <col min="32" max="32" width="9.42578125" style="46" customWidth="1"/>
    <col min="33" max="33" width="10.42578125" style="46" customWidth="1"/>
    <col min="34" max="34" width="9.42578125" style="46" customWidth="1"/>
    <col min="35" max="35" width="10.42578125" style="46" customWidth="1"/>
    <col min="36" max="36" width="13.28515625" style="46" customWidth="1"/>
    <col min="37" max="37" width="13.85546875" style="46" customWidth="1"/>
    <col min="38" max="38" width="7.5703125" style="46" customWidth="1"/>
    <col min="39" max="39" width="11.5703125" style="46" customWidth="1"/>
    <col min="40" max="42" width="8.28515625" style="46" customWidth="1"/>
    <col min="43" max="43" width="11.5703125" style="46" customWidth="1"/>
    <col min="44" max="45" width="9.140625" style="46"/>
    <col min="46" max="46" width="15.28515625" style="46" customWidth="1"/>
    <col min="47" max="47" width="15.140625" style="46" customWidth="1"/>
    <col min="48" max="48" width="14.7109375" style="46" customWidth="1"/>
    <col min="49" max="49" width="14" style="46" customWidth="1"/>
    <col min="50" max="50" width="16.85546875" style="46" customWidth="1"/>
    <col min="51" max="52" width="9.140625" style="46"/>
    <col min="53" max="53" width="15" style="46" customWidth="1"/>
    <col min="54" max="55" width="9.140625" style="46"/>
    <col min="56" max="56" width="14" style="46" customWidth="1"/>
    <col min="57" max="58" width="9.140625" style="46"/>
    <col min="59" max="59" width="13.7109375" style="46" customWidth="1"/>
    <col min="60" max="64" width="9.140625" style="46"/>
    <col min="65" max="65" width="11.7109375" style="46" customWidth="1"/>
    <col min="66" max="66" width="9.140625" style="46"/>
    <col min="67" max="67" width="9.42578125" style="46" customWidth="1"/>
    <col min="68" max="68" width="12.5703125" style="46" customWidth="1"/>
    <col min="69" max="70" width="9.140625" style="46"/>
    <col min="71" max="71" width="14" style="46" customWidth="1"/>
    <col min="72" max="73" width="9.140625" style="46"/>
    <col min="74" max="74" width="14.7109375" style="46" customWidth="1"/>
    <col min="75" max="76" width="9.140625" style="46"/>
    <col min="77" max="77" width="14" style="46" customWidth="1"/>
    <col min="78" max="78" width="6.85546875" style="46" customWidth="1"/>
    <col min="79" max="79" width="6.5703125" style="46" customWidth="1"/>
    <col min="80" max="80" width="14.140625" style="46" customWidth="1"/>
    <col min="81" max="82" width="9.140625" style="46"/>
    <col min="83" max="83" width="16.42578125" style="46" customWidth="1"/>
    <col min="84" max="84" width="10.140625" style="46" customWidth="1"/>
    <col min="85" max="85" width="10.5703125" style="46" customWidth="1"/>
    <col min="86" max="86" width="16.42578125" style="46" customWidth="1"/>
    <col min="87" max="87" width="14" style="46" customWidth="1"/>
    <col min="88" max="88" width="12.7109375" style="46" customWidth="1"/>
    <col min="89" max="89" width="20.140625" style="46" customWidth="1"/>
    <col min="90" max="90" width="11.42578125" style="46" customWidth="1"/>
    <col min="91" max="91" width="12" style="46" customWidth="1"/>
    <col min="92" max="92" width="19.5703125" style="46" customWidth="1"/>
    <col min="93" max="93" width="7.140625" style="46" customWidth="1"/>
    <col min="94" max="94" width="6.42578125" style="46" customWidth="1"/>
    <col min="95" max="95" width="12.85546875" style="46" customWidth="1"/>
    <col min="96" max="97" width="9.42578125" style="46" customWidth="1"/>
    <col min="98" max="98" width="12.85546875" style="46" customWidth="1"/>
    <col min="99" max="100" width="9.140625" style="46"/>
    <col min="101" max="101" width="17" style="46" customWidth="1"/>
    <col min="102" max="103" width="15.140625" style="46" customWidth="1"/>
    <col min="104" max="104" width="20" style="46" customWidth="1"/>
    <col min="105" max="105" width="6.140625" style="46" customWidth="1"/>
    <col min="106" max="106" width="6" style="46" customWidth="1"/>
    <col min="107" max="107" width="13" style="46" customWidth="1"/>
    <col min="108" max="108" width="8.140625" style="46" customWidth="1"/>
    <col min="109" max="109" width="7.42578125" style="46" customWidth="1"/>
    <col min="110" max="110" width="15.42578125" style="46" customWidth="1"/>
    <col min="111" max="112" width="9.140625" style="46"/>
    <col min="113" max="113" width="16.5703125" style="46" customWidth="1"/>
    <col min="114" max="114" width="8.42578125" style="46" customWidth="1"/>
    <col min="115" max="115" width="8.140625" style="46" customWidth="1"/>
    <col min="116" max="116" width="15.42578125" style="46" customWidth="1"/>
    <col min="117" max="117" width="11.28515625" style="46" customWidth="1"/>
    <col min="118" max="118" width="10.85546875" style="46" customWidth="1"/>
    <col min="119" max="119" width="18" style="46" customWidth="1"/>
    <col min="120" max="120" width="16.85546875" style="46" customWidth="1"/>
    <col min="121" max="121" width="16.140625" style="46" customWidth="1"/>
    <col min="122" max="122" width="19.85546875" style="46" customWidth="1"/>
    <col min="123" max="124" width="9.140625" style="46"/>
    <col min="125" max="125" width="16.42578125" style="46" customWidth="1"/>
    <col min="126" max="127" width="9.140625" style="46"/>
    <col min="128" max="128" width="12.42578125" style="46" customWidth="1"/>
    <col min="129" max="129" width="6.5703125" style="46" customWidth="1"/>
    <col min="130" max="130" width="6.28515625" style="46" customWidth="1"/>
    <col min="131" max="131" width="13.5703125" style="46" customWidth="1"/>
    <col min="132" max="132" width="11.28515625" style="46" customWidth="1"/>
    <col min="133" max="133" width="11" style="46" customWidth="1"/>
    <col min="134" max="134" width="16" style="46" customWidth="1"/>
    <col min="135" max="136" width="9.140625" style="46"/>
    <col min="137" max="137" width="14.28515625" style="46" customWidth="1"/>
    <col min="138" max="138" width="9.5703125" style="46" customWidth="1"/>
    <col min="139" max="139" width="9.140625" style="46" customWidth="1"/>
    <col min="140" max="140" width="12.42578125" style="46" customWidth="1"/>
    <col min="141" max="141" width="9.140625" style="46"/>
    <col min="142" max="142" width="20.85546875" style="46" customWidth="1"/>
    <col min="143" max="143" width="26.140625" style="46" customWidth="1"/>
    <col min="144" max="16384" width="9.140625" style="46"/>
  </cols>
  <sheetData>
    <row r="1" spans="1:144" s="5" customFormat="1" x14ac:dyDescent="0.25">
      <c r="A1" s="7" t="s">
        <v>145</v>
      </c>
      <c r="B1" s="16" t="s">
        <v>45</v>
      </c>
      <c r="C1" s="16" t="s">
        <v>46</v>
      </c>
      <c r="D1" s="16" t="s">
        <v>6</v>
      </c>
      <c r="E1" s="16" t="s">
        <v>261</v>
      </c>
      <c r="F1" s="16" t="s">
        <v>115</v>
      </c>
      <c r="G1" s="16" t="s">
        <v>4</v>
      </c>
      <c r="H1" s="16" t="s">
        <v>3</v>
      </c>
      <c r="I1" s="16" t="s">
        <v>2</v>
      </c>
      <c r="J1" s="16" t="s">
        <v>114</v>
      </c>
      <c r="K1" s="16" t="s">
        <v>37</v>
      </c>
      <c r="L1" s="16" t="s">
        <v>16</v>
      </c>
      <c r="M1" s="16" t="s">
        <v>38</v>
      </c>
      <c r="N1" s="16" t="s">
        <v>17</v>
      </c>
      <c r="O1" s="16" t="s">
        <v>18</v>
      </c>
      <c r="P1" s="51" t="s">
        <v>158</v>
      </c>
      <c r="Q1" s="16" t="s">
        <v>1162</v>
      </c>
      <c r="R1" s="51" t="s">
        <v>1165</v>
      </c>
      <c r="S1" s="51" t="s">
        <v>7</v>
      </c>
      <c r="T1" s="16" t="s">
        <v>371</v>
      </c>
      <c r="U1" s="16" t="s">
        <v>162</v>
      </c>
      <c r="V1" s="16" t="s">
        <v>163</v>
      </c>
      <c r="W1" s="16" t="s">
        <v>15</v>
      </c>
      <c r="X1" s="16" t="s">
        <v>266</v>
      </c>
      <c r="Y1" s="16" t="s">
        <v>267</v>
      </c>
      <c r="Z1" s="16" t="s">
        <v>268</v>
      </c>
      <c r="AA1" s="16" t="s">
        <v>1672</v>
      </c>
      <c r="AB1" s="16" t="s">
        <v>0</v>
      </c>
      <c r="AC1" s="16" t="s">
        <v>1</v>
      </c>
      <c r="AD1" s="16" t="s">
        <v>726</v>
      </c>
      <c r="AE1" s="16" t="s">
        <v>725</v>
      </c>
      <c r="AF1" s="16" t="s">
        <v>727</v>
      </c>
      <c r="AG1" s="16" t="s">
        <v>730</v>
      </c>
      <c r="AH1" s="16" t="s">
        <v>729</v>
      </c>
      <c r="AI1" s="16" t="s">
        <v>731</v>
      </c>
      <c r="AJ1" s="16" t="s">
        <v>296</v>
      </c>
      <c r="AK1" s="16" t="s">
        <v>295</v>
      </c>
      <c r="AL1" s="16" t="s">
        <v>692</v>
      </c>
      <c r="AM1" s="7" t="s">
        <v>92</v>
      </c>
      <c r="AN1" s="7" t="s">
        <v>26</v>
      </c>
      <c r="AO1" s="7" t="s">
        <v>25</v>
      </c>
      <c r="AP1" s="7" t="s">
        <v>183</v>
      </c>
      <c r="AQ1" s="7" t="s">
        <v>96</v>
      </c>
      <c r="AR1" s="7" t="s">
        <v>95</v>
      </c>
      <c r="AS1" s="7" t="s">
        <v>1291</v>
      </c>
      <c r="AT1" s="16" t="s">
        <v>826</v>
      </c>
      <c r="AU1" s="89" t="s">
        <v>191</v>
      </c>
      <c r="AV1" s="17" t="s">
        <v>1458</v>
      </c>
      <c r="AW1" s="17" t="s">
        <v>1459</v>
      </c>
      <c r="AX1" s="17" t="s">
        <v>1113</v>
      </c>
      <c r="AY1" s="17" t="s">
        <v>1066</v>
      </c>
      <c r="AZ1" s="17" t="s">
        <v>1067</v>
      </c>
      <c r="BA1" s="17" t="s">
        <v>1068</v>
      </c>
      <c r="BB1" s="17" t="s">
        <v>24</v>
      </c>
      <c r="BC1" s="17" t="s">
        <v>23</v>
      </c>
      <c r="BD1" s="17" t="s">
        <v>1069</v>
      </c>
      <c r="BE1" s="17" t="s">
        <v>10</v>
      </c>
      <c r="BF1" s="17" t="s">
        <v>9</v>
      </c>
      <c r="BG1" s="17" t="s">
        <v>1005</v>
      </c>
      <c r="BH1" s="17" t="s">
        <v>313</v>
      </c>
      <c r="BI1" s="17" t="s">
        <v>314</v>
      </c>
      <c r="BJ1" s="17" t="s">
        <v>1006</v>
      </c>
      <c r="BK1" s="17" t="s">
        <v>20</v>
      </c>
      <c r="BL1" s="17" t="s">
        <v>19</v>
      </c>
      <c r="BM1" s="17" t="s">
        <v>1007</v>
      </c>
      <c r="BN1" s="17" t="s">
        <v>22</v>
      </c>
      <c r="BO1" s="17" t="s">
        <v>21</v>
      </c>
      <c r="BP1" s="17" t="s">
        <v>1071</v>
      </c>
      <c r="BQ1" s="17" t="s">
        <v>12</v>
      </c>
      <c r="BR1" s="17" t="s">
        <v>11</v>
      </c>
      <c r="BS1" s="17" t="s">
        <v>1072</v>
      </c>
      <c r="BT1" s="17" t="s">
        <v>32</v>
      </c>
      <c r="BU1" s="17" t="s">
        <v>31</v>
      </c>
      <c r="BV1" s="17" t="s">
        <v>1075</v>
      </c>
      <c r="BW1" s="17" t="s">
        <v>34</v>
      </c>
      <c r="BX1" s="17" t="s">
        <v>33</v>
      </c>
      <c r="BY1" s="17" t="s">
        <v>1009</v>
      </c>
      <c r="BZ1" s="17" t="s">
        <v>36</v>
      </c>
      <c r="CA1" s="17" t="s">
        <v>35</v>
      </c>
      <c r="CB1" s="17" t="s">
        <v>1076</v>
      </c>
      <c r="CC1" s="80" t="s">
        <v>28</v>
      </c>
      <c r="CD1" s="80" t="s">
        <v>27</v>
      </c>
      <c r="CE1" s="80" t="s">
        <v>1008</v>
      </c>
      <c r="CF1" s="80" t="s">
        <v>1222</v>
      </c>
      <c r="CG1" s="80" t="s">
        <v>1223</v>
      </c>
      <c r="CH1" s="80" t="s">
        <v>1224</v>
      </c>
      <c r="CI1" s="17" t="s">
        <v>30</v>
      </c>
      <c r="CJ1" s="17" t="s">
        <v>29</v>
      </c>
      <c r="CK1" s="17" t="s">
        <v>1074</v>
      </c>
      <c r="CL1" s="17" t="s">
        <v>42</v>
      </c>
      <c r="CM1" s="17" t="s">
        <v>41</v>
      </c>
      <c r="CN1" s="17" t="s">
        <v>1010</v>
      </c>
      <c r="CO1" s="17" t="s">
        <v>122</v>
      </c>
      <c r="CP1" s="17" t="s">
        <v>121</v>
      </c>
      <c r="CQ1" s="17" t="s">
        <v>1078</v>
      </c>
      <c r="CR1" s="17" t="s">
        <v>1342</v>
      </c>
      <c r="CS1" s="17" t="s">
        <v>1343</v>
      </c>
      <c r="CT1" s="17" t="s">
        <v>1344</v>
      </c>
      <c r="CU1" s="17" t="s">
        <v>1302</v>
      </c>
      <c r="CV1" s="17" t="s">
        <v>1303</v>
      </c>
      <c r="CW1" s="17" t="s">
        <v>1304</v>
      </c>
      <c r="CX1" s="17" t="s">
        <v>1307</v>
      </c>
      <c r="CY1" s="17" t="s">
        <v>1305</v>
      </c>
      <c r="CZ1" s="17" t="s">
        <v>1306</v>
      </c>
      <c r="DA1" s="17" t="s">
        <v>82</v>
      </c>
      <c r="DB1" s="17" t="s">
        <v>83</v>
      </c>
      <c r="DC1" s="17" t="s">
        <v>1079</v>
      </c>
      <c r="DD1" s="17" t="s">
        <v>84</v>
      </c>
      <c r="DE1" s="17" t="s">
        <v>85</v>
      </c>
      <c r="DF1" s="17" t="s">
        <v>1080</v>
      </c>
      <c r="DG1" s="17" t="s">
        <v>40</v>
      </c>
      <c r="DH1" s="17" t="s">
        <v>39</v>
      </c>
      <c r="DI1" s="17" t="s">
        <v>1077</v>
      </c>
      <c r="DJ1" s="80" t="s">
        <v>195</v>
      </c>
      <c r="DK1" s="80" t="s">
        <v>194</v>
      </c>
      <c r="DL1" s="80" t="s">
        <v>1081</v>
      </c>
      <c r="DM1" s="18" t="s">
        <v>483</v>
      </c>
      <c r="DN1" s="18" t="s">
        <v>482</v>
      </c>
      <c r="DO1" s="18" t="s">
        <v>1082</v>
      </c>
      <c r="DP1" s="106" t="s">
        <v>1058</v>
      </c>
      <c r="DQ1" s="18" t="s">
        <v>1057</v>
      </c>
      <c r="DR1" s="18" t="s">
        <v>1059</v>
      </c>
      <c r="DS1" s="18" t="s">
        <v>124</v>
      </c>
      <c r="DT1" s="18" t="s">
        <v>123</v>
      </c>
      <c r="DU1" s="18" t="s">
        <v>1083</v>
      </c>
      <c r="DV1" s="18" t="s">
        <v>128</v>
      </c>
      <c r="DW1" s="18" t="s">
        <v>127</v>
      </c>
      <c r="DX1" s="18" t="s">
        <v>1087</v>
      </c>
      <c r="DY1" s="18" t="s">
        <v>132</v>
      </c>
      <c r="DZ1" s="18" t="s">
        <v>131</v>
      </c>
      <c r="EA1" s="18" t="s">
        <v>1084</v>
      </c>
      <c r="EB1" s="18" t="s">
        <v>134</v>
      </c>
      <c r="EC1" s="18" t="s">
        <v>133</v>
      </c>
      <c r="ED1" s="18" t="s">
        <v>1085</v>
      </c>
      <c r="EE1" s="18" t="s">
        <v>203</v>
      </c>
      <c r="EF1" s="18" t="s">
        <v>135</v>
      </c>
      <c r="EG1" s="18" t="s">
        <v>1086</v>
      </c>
      <c r="EH1" s="18" t="s">
        <v>1426</v>
      </c>
      <c r="EI1" s="18" t="s">
        <v>1427</v>
      </c>
      <c r="EJ1" s="18" t="s">
        <v>1428</v>
      </c>
      <c r="EK1" s="7" t="s">
        <v>1496</v>
      </c>
      <c r="EL1" s="89" t="s">
        <v>1111</v>
      </c>
      <c r="EM1" s="90" t="s">
        <v>939</v>
      </c>
      <c r="EN1" s="7" t="s">
        <v>145</v>
      </c>
    </row>
    <row r="2" spans="1:144" s="26" customFormat="1" x14ac:dyDescent="0.25">
      <c r="A2" s="26">
        <v>1</v>
      </c>
      <c r="B2" s="26" t="s">
        <v>146</v>
      </c>
      <c r="C2" s="26" t="s">
        <v>147</v>
      </c>
      <c r="D2" s="26">
        <v>2000</v>
      </c>
      <c r="E2" s="26">
        <v>2000</v>
      </c>
      <c r="F2" s="26" t="s">
        <v>148</v>
      </c>
      <c r="G2" s="26" t="s">
        <v>149</v>
      </c>
      <c r="H2" s="26">
        <v>40.71</v>
      </c>
      <c r="I2" s="26">
        <v>-74.010000000000005</v>
      </c>
      <c r="J2" s="26">
        <v>3.5</v>
      </c>
      <c r="P2" s="52" t="s">
        <v>159</v>
      </c>
      <c r="Q2" s="52"/>
      <c r="R2" s="52"/>
      <c r="S2" s="52"/>
      <c r="AB2" s="26" t="s">
        <v>150</v>
      </c>
      <c r="AC2" s="26" t="s">
        <v>1725</v>
      </c>
      <c r="AM2" s="26" t="s">
        <v>160</v>
      </c>
      <c r="AT2" s="63"/>
      <c r="DM2" s="26">
        <v>6.6</v>
      </c>
      <c r="DN2" s="26">
        <v>7</v>
      </c>
      <c r="DO2" s="26" t="s">
        <v>161</v>
      </c>
      <c r="DP2" s="12"/>
      <c r="DR2" s="15"/>
      <c r="EL2" s="26" t="s">
        <v>944</v>
      </c>
      <c r="EN2" s="26">
        <v>1</v>
      </c>
    </row>
    <row r="3" spans="1:144" s="26" customFormat="1" x14ac:dyDescent="0.25">
      <c r="A3" s="26">
        <v>1</v>
      </c>
      <c r="B3" s="26" t="s">
        <v>146</v>
      </c>
      <c r="C3" s="26" t="s">
        <v>147</v>
      </c>
      <c r="D3" s="26">
        <v>2000</v>
      </c>
      <c r="E3" s="26">
        <v>2000</v>
      </c>
      <c r="F3" s="26" t="s">
        <v>148</v>
      </c>
      <c r="G3" s="26" t="s">
        <v>149</v>
      </c>
      <c r="H3" s="26">
        <v>40.71</v>
      </c>
      <c r="I3" s="26">
        <v>-74.010000000000005</v>
      </c>
      <c r="J3" s="26">
        <v>3.5</v>
      </c>
      <c r="P3" s="52" t="s">
        <v>159</v>
      </c>
      <c r="Q3" s="52"/>
      <c r="R3" s="52"/>
      <c r="S3" s="52"/>
      <c r="AB3" s="26" t="s">
        <v>326</v>
      </c>
      <c r="AC3" s="26" t="s">
        <v>1725</v>
      </c>
      <c r="AM3" s="26" t="s">
        <v>160</v>
      </c>
      <c r="AT3" s="63"/>
      <c r="DM3" s="26">
        <v>6.6</v>
      </c>
      <c r="DN3" s="26">
        <v>6</v>
      </c>
      <c r="DO3" s="26" t="s">
        <v>161</v>
      </c>
      <c r="DP3" s="12"/>
      <c r="DR3" s="15"/>
      <c r="EL3" s="26" t="s">
        <v>944</v>
      </c>
      <c r="EN3" s="26">
        <v>1</v>
      </c>
    </row>
    <row r="4" spans="1:144" s="26" customFormat="1" x14ac:dyDescent="0.25">
      <c r="A4" s="26">
        <v>1</v>
      </c>
      <c r="B4" s="26" t="s">
        <v>146</v>
      </c>
      <c r="C4" s="26" t="s">
        <v>147</v>
      </c>
      <c r="D4" s="26">
        <v>2000</v>
      </c>
      <c r="E4" s="26">
        <v>2000</v>
      </c>
      <c r="F4" s="26" t="s">
        <v>148</v>
      </c>
      <c r="G4" s="26" t="s">
        <v>149</v>
      </c>
      <c r="H4" s="26">
        <v>40.71</v>
      </c>
      <c r="I4" s="26">
        <v>-74.010000000000005</v>
      </c>
      <c r="J4" s="26">
        <v>3.5</v>
      </c>
      <c r="P4" s="52" t="s">
        <v>159</v>
      </c>
      <c r="Q4" s="52"/>
      <c r="R4" s="52"/>
      <c r="S4" s="52"/>
      <c r="AB4" s="26" t="s">
        <v>151</v>
      </c>
      <c r="AC4" s="26" t="s">
        <v>1725</v>
      </c>
      <c r="AM4" s="26" t="s">
        <v>160</v>
      </c>
      <c r="AT4" s="63"/>
      <c r="AY4" s="26">
        <v>4862</v>
      </c>
      <c r="AZ4" s="26">
        <f>3990</f>
        <v>3990</v>
      </c>
      <c r="DM4" s="26">
        <v>6.6</v>
      </c>
      <c r="DN4" s="26">
        <v>5.9</v>
      </c>
      <c r="DO4" s="26" t="s">
        <v>161</v>
      </c>
      <c r="DP4" s="12"/>
      <c r="DR4" s="15"/>
      <c r="EL4" s="26" t="s">
        <v>944</v>
      </c>
      <c r="EN4" s="26">
        <v>1</v>
      </c>
    </row>
    <row r="5" spans="1:144" s="26" customFormat="1" x14ac:dyDescent="0.25">
      <c r="A5" s="26">
        <v>1</v>
      </c>
      <c r="B5" s="26" t="s">
        <v>146</v>
      </c>
      <c r="C5" s="26" t="s">
        <v>147</v>
      </c>
      <c r="D5" s="26">
        <v>2000</v>
      </c>
      <c r="E5" s="26">
        <v>2000</v>
      </c>
      <c r="F5" s="26" t="s">
        <v>148</v>
      </c>
      <c r="G5" s="26" t="s">
        <v>149</v>
      </c>
      <c r="H5" s="26">
        <v>40.71</v>
      </c>
      <c r="I5" s="26">
        <v>-74.010000000000005</v>
      </c>
      <c r="J5" s="26">
        <v>3.5</v>
      </c>
      <c r="P5" s="52" t="s">
        <v>159</v>
      </c>
      <c r="Q5" s="52"/>
      <c r="R5" s="52"/>
      <c r="S5" s="52"/>
      <c r="AB5" s="26" t="s">
        <v>152</v>
      </c>
      <c r="AC5" s="26" t="s">
        <v>1725</v>
      </c>
      <c r="AM5" s="26" t="s">
        <v>160</v>
      </c>
      <c r="AT5" s="63"/>
      <c r="DM5" s="26">
        <v>6.6</v>
      </c>
      <c r="DN5" s="26">
        <v>5.7</v>
      </c>
      <c r="DO5" s="26" t="s">
        <v>161</v>
      </c>
      <c r="DP5" s="12"/>
      <c r="DR5" s="15"/>
      <c r="EL5" s="26" t="s">
        <v>944</v>
      </c>
      <c r="EN5" s="26">
        <v>1</v>
      </c>
    </row>
    <row r="6" spans="1:144" s="26" customFormat="1" x14ac:dyDescent="0.25">
      <c r="A6" s="26">
        <v>1</v>
      </c>
      <c r="B6" s="26" t="s">
        <v>146</v>
      </c>
      <c r="C6" s="26" t="s">
        <v>147</v>
      </c>
      <c r="D6" s="26">
        <v>2000</v>
      </c>
      <c r="E6" s="26">
        <v>2000</v>
      </c>
      <c r="F6" s="26" t="s">
        <v>148</v>
      </c>
      <c r="G6" s="26" t="s">
        <v>149</v>
      </c>
      <c r="H6" s="26">
        <v>40.71</v>
      </c>
      <c r="I6" s="26">
        <v>-74.010000000000005</v>
      </c>
      <c r="J6" s="26">
        <v>3.5</v>
      </c>
      <c r="P6" s="52" t="s">
        <v>159</v>
      </c>
      <c r="Q6" s="52"/>
      <c r="R6" s="52"/>
      <c r="S6" s="52"/>
      <c r="AB6" s="26" t="s">
        <v>153</v>
      </c>
      <c r="AC6" s="26" t="s">
        <v>1725</v>
      </c>
      <c r="AM6" s="26" t="s">
        <v>160</v>
      </c>
      <c r="AT6" s="63"/>
      <c r="DM6" s="26">
        <v>6.6</v>
      </c>
      <c r="DN6" s="26">
        <v>5.6</v>
      </c>
      <c r="DO6" s="26" t="s">
        <v>161</v>
      </c>
      <c r="DP6" s="12"/>
      <c r="DR6" s="15"/>
      <c r="EL6" s="26" t="s">
        <v>944</v>
      </c>
      <c r="EN6" s="26">
        <v>1</v>
      </c>
    </row>
    <row r="7" spans="1:144" s="26" customFormat="1" x14ac:dyDescent="0.25">
      <c r="A7" s="26">
        <v>1</v>
      </c>
      <c r="B7" s="26" t="s">
        <v>146</v>
      </c>
      <c r="C7" s="26" t="s">
        <v>147</v>
      </c>
      <c r="D7" s="26">
        <v>2000</v>
      </c>
      <c r="E7" s="26">
        <v>2000</v>
      </c>
      <c r="F7" s="26" t="s">
        <v>148</v>
      </c>
      <c r="G7" s="26" t="s">
        <v>149</v>
      </c>
      <c r="H7" s="26">
        <v>40.71</v>
      </c>
      <c r="I7" s="26">
        <v>-74.010000000000005</v>
      </c>
      <c r="J7" s="26">
        <v>3.5</v>
      </c>
      <c r="P7" s="52" t="s">
        <v>159</v>
      </c>
      <c r="Q7" s="52"/>
      <c r="R7" s="52"/>
      <c r="S7" s="52"/>
      <c r="AB7" s="26" t="s">
        <v>713</v>
      </c>
      <c r="AC7" s="26" t="s">
        <v>1725</v>
      </c>
      <c r="AM7" s="26" t="s">
        <v>160</v>
      </c>
      <c r="AT7" s="63"/>
      <c r="DM7" s="26">
        <v>6.6</v>
      </c>
      <c r="DN7" s="26">
        <v>5.2</v>
      </c>
      <c r="DO7" s="26" t="s">
        <v>161</v>
      </c>
      <c r="DP7" s="12"/>
      <c r="DR7" s="15"/>
      <c r="EL7" s="26" t="s">
        <v>944</v>
      </c>
      <c r="EN7" s="26">
        <v>1</v>
      </c>
    </row>
    <row r="8" spans="1:144" s="26" customFormat="1" x14ac:dyDescent="0.25">
      <c r="A8" s="26">
        <v>1</v>
      </c>
      <c r="B8" s="26" t="s">
        <v>146</v>
      </c>
      <c r="C8" s="26" t="s">
        <v>147</v>
      </c>
      <c r="D8" s="26">
        <v>2000</v>
      </c>
      <c r="E8" s="26">
        <v>2000</v>
      </c>
      <c r="F8" s="26" t="s">
        <v>148</v>
      </c>
      <c r="G8" s="26" t="s">
        <v>149</v>
      </c>
      <c r="H8" s="26">
        <v>40.71</v>
      </c>
      <c r="I8" s="26">
        <v>-74.010000000000005</v>
      </c>
      <c r="J8" s="26">
        <v>3.5</v>
      </c>
      <c r="P8" s="52" t="s">
        <v>159</v>
      </c>
      <c r="Q8" s="52"/>
      <c r="R8" s="52"/>
      <c r="S8" s="52"/>
      <c r="AB8" s="26" t="s">
        <v>154</v>
      </c>
      <c r="AC8" s="26" t="s">
        <v>1725</v>
      </c>
      <c r="AM8" s="26" t="s">
        <v>160</v>
      </c>
      <c r="AT8" s="63"/>
      <c r="DM8" s="26">
        <v>6.6</v>
      </c>
      <c r="DN8" s="26">
        <v>4.9000000000000004</v>
      </c>
      <c r="DO8" s="26" t="s">
        <v>161</v>
      </c>
      <c r="DP8" s="12"/>
      <c r="DR8" s="15"/>
      <c r="EL8" s="26" t="s">
        <v>944</v>
      </c>
      <c r="EN8" s="26">
        <v>1</v>
      </c>
    </row>
    <row r="9" spans="1:144" s="26" customFormat="1" x14ac:dyDescent="0.25">
      <c r="A9" s="26">
        <v>1</v>
      </c>
      <c r="B9" s="26" t="s">
        <v>146</v>
      </c>
      <c r="C9" s="26" t="s">
        <v>147</v>
      </c>
      <c r="D9" s="26">
        <v>2000</v>
      </c>
      <c r="E9" s="26">
        <v>2000</v>
      </c>
      <c r="F9" s="26" t="s">
        <v>148</v>
      </c>
      <c r="G9" s="26" t="s">
        <v>149</v>
      </c>
      <c r="H9" s="26">
        <v>40.71</v>
      </c>
      <c r="I9" s="26">
        <v>-74.010000000000005</v>
      </c>
      <c r="J9" s="26">
        <v>3.5</v>
      </c>
      <c r="P9" s="52" t="s">
        <v>159</v>
      </c>
      <c r="Q9" s="52"/>
      <c r="R9" s="52"/>
      <c r="S9" s="52"/>
      <c r="AB9" s="26" t="s">
        <v>155</v>
      </c>
      <c r="AC9" s="26" t="s">
        <v>1725</v>
      </c>
      <c r="AM9" s="26" t="s">
        <v>160</v>
      </c>
      <c r="AT9" s="63"/>
      <c r="AY9" s="26">
        <v>4862</v>
      </c>
      <c r="AZ9" s="26">
        <v>5240</v>
      </c>
      <c r="DM9" s="26">
        <v>6.6</v>
      </c>
      <c r="DN9" s="26">
        <v>4.7</v>
      </c>
      <c r="DO9" s="26" t="s">
        <v>161</v>
      </c>
      <c r="DP9" s="12"/>
      <c r="DR9" s="15"/>
      <c r="EL9" s="26" t="s">
        <v>944</v>
      </c>
      <c r="EN9" s="26">
        <v>1</v>
      </c>
    </row>
    <row r="10" spans="1:144" s="26" customFormat="1" x14ac:dyDescent="0.25">
      <c r="A10" s="26">
        <v>1</v>
      </c>
      <c r="B10" s="26" t="s">
        <v>146</v>
      </c>
      <c r="C10" s="26" t="s">
        <v>147</v>
      </c>
      <c r="D10" s="26">
        <v>2000</v>
      </c>
      <c r="E10" s="26">
        <v>2000</v>
      </c>
      <c r="F10" s="26" t="s">
        <v>148</v>
      </c>
      <c r="G10" s="26" t="s">
        <v>149</v>
      </c>
      <c r="H10" s="26">
        <v>40.71</v>
      </c>
      <c r="I10" s="26">
        <v>-74.010000000000005</v>
      </c>
      <c r="J10" s="26">
        <v>3.5</v>
      </c>
      <c r="P10" s="52" t="s">
        <v>159</v>
      </c>
      <c r="Q10" s="52"/>
      <c r="R10" s="52"/>
      <c r="S10" s="52"/>
      <c r="AB10" s="26" t="s">
        <v>156</v>
      </c>
      <c r="AC10" s="26" t="s">
        <v>1725</v>
      </c>
      <c r="AM10" s="26" t="s">
        <v>160</v>
      </c>
      <c r="AT10" s="63"/>
      <c r="DM10" s="26">
        <v>6.6</v>
      </c>
      <c r="DN10" s="26">
        <v>4.5999999999999996</v>
      </c>
      <c r="DO10" s="26" t="s">
        <v>161</v>
      </c>
      <c r="DP10" s="12"/>
      <c r="DR10" s="15"/>
      <c r="EL10" s="26" t="s">
        <v>944</v>
      </c>
      <c r="EN10" s="26">
        <v>1</v>
      </c>
    </row>
    <row r="11" spans="1:144" s="26" customFormat="1" x14ac:dyDescent="0.25">
      <c r="A11" s="26">
        <v>1</v>
      </c>
      <c r="B11" s="26" t="s">
        <v>146</v>
      </c>
      <c r="C11" s="26" t="s">
        <v>147</v>
      </c>
      <c r="D11" s="26">
        <v>2000</v>
      </c>
      <c r="E11" s="26">
        <v>2000</v>
      </c>
      <c r="F11" s="26" t="s">
        <v>148</v>
      </c>
      <c r="G11" s="26" t="s">
        <v>149</v>
      </c>
      <c r="H11" s="26">
        <v>40.71</v>
      </c>
      <c r="I11" s="26">
        <v>-74.010000000000005</v>
      </c>
      <c r="J11" s="26">
        <v>3.5</v>
      </c>
      <c r="P11" s="52" t="s">
        <v>159</v>
      </c>
      <c r="Q11" s="52"/>
      <c r="R11" s="52"/>
      <c r="S11" s="52"/>
      <c r="AB11" s="26" t="s">
        <v>1512</v>
      </c>
      <c r="AC11" s="26" t="s">
        <v>1725</v>
      </c>
      <c r="AM11" s="26" t="s">
        <v>160</v>
      </c>
      <c r="AT11" s="63"/>
      <c r="DM11" s="26">
        <v>6.6</v>
      </c>
      <c r="DN11" s="26">
        <v>4.3</v>
      </c>
      <c r="DO11" s="26" t="s">
        <v>161</v>
      </c>
      <c r="DP11" s="12"/>
      <c r="DR11" s="15"/>
      <c r="EL11" s="26" t="s">
        <v>944</v>
      </c>
      <c r="EN11" s="26">
        <v>1</v>
      </c>
    </row>
    <row r="12" spans="1:144" s="26" customFormat="1" x14ac:dyDescent="0.25">
      <c r="A12" s="26">
        <v>1</v>
      </c>
      <c r="B12" s="26" t="s">
        <v>146</v>
      </c>
      <c r="C12" s="26" t="s">
        <v>147</v>
      </c>
      <c r="D12" s="26">
        <v>2000</v>
      </c>
      <c r="E12" s="26">
        <v>2000</v>
      </c>
      <c r="F12" s="26" t="s">
        <v>148</v>
      </c>
      <c r="G12" s="26" t="s">
        <v>149</v>
      </c>
      <c r="H12" s="26">
        <v>40.71</v>
      </c>
      <c r="I12" s="26">
        <v>-74.010000000000005</v>
      </c>
      <c r="J12" s="26">
        <v>3.5</v>
      </c>
      <c r="P12" s="52" t="s">
        <v>159</v>
      </c>
      <c r="Q12" s="52"/>
      <c r="R12" s="52"/>
      <c r="S12" s="52"/>
      <c r="AB12" s="26" t="s">
        <v>157</v>
      </c>
      <c r="AC12" s="26" t="s">
        <v>1725</v>
      </c>
      <c r="AM12" s="26" t="s">
        <v>160</v>
      </c>
      <c r="AT12" s="63"/>
      <c r="DM12" s="26">
        <v>6.6</v>
      </c>
      <c r="DN12" s="26">
        <v>3.9</v>
      </c>
      <c r="DO12" s="26" t="s">
        <v>161</v>
      </c>
      <c r="DP12" s="12"/>
      <c r="DR12" s="15"/>
      <c r="EL12" s="26" t="s">
        <v>944</v>
      </c>
      <c r="EN12" s="26">
        <v>1</v>
      </c>
    </row>
    <row r="13" spans="1:144" s="23" customFormat="1" x14ac:dyDescent="0.25">
      <c r="A13" s="23">
        <v>2</v>
      </c>
      <c r="B13" s="23" t="s">
        <v>166</v>
      </c>
      <c r="C13" s="23" t="s">
        <v>167</v>
      </c>
      <c r="D13" s="23">
        <v>1999</v>
      </c>
      <c r="E13" s="23">
        <v>1994</v>
      </c>
      <c r="F13" s="23" t="s">
        <v>168</v>
      </c>
      <c r="G13" s="23" t="s">
        <v>169</v>
      </c>
      <c r="H13" s="23">
        <v>45.231000000000002</v>
      </c>
      <c r="I13" s="23">
        <v>-122.756</v>
      </c>
      <c r="J13" s="23">
        <v>48.4</v>
      </c>
      <c r="N13" s="23">
        <v>1040</v>
      </c>
      <c r="O13" s="23" t="s">
        <v>176</v>
      </c>
      <c r="P13" s="53" t="s">
        <v>207</v>
      </c>
      <c r="Q13" s="53"/>
      <c r="R13" s="53" t="s">
        <v>208</v>
      </c>
      <c r="S13" s="53" t="s">
        <v>658</v>
      </c>
      <c r="U13" s="23">
        <v>31.3</v>
      </c>
      <c r="V13" s="23">
        <v>54</v>
      </c>
      <c r="W13" s="23" t="s">
        <v>175</v>
      </c>
      <c r="AA13" s="23" t="s">
        <v>1671</v>
      </c>
      <c r="AB13" s="23" t="s">
        <v>173</v>
      </c>
      <c r="AC13" s="23" t="s">
        <v>174</v>
      </c>
      <c r="AD13" s="23" t="s">
        <v>171</v>
      </c>
      <c r="AE13" s="23" t="s">
        <v>171</v>
      </c>
      <c r="AF13" s="23" t="s">
        <v>252</v>
      </c>
      <c r="AJ13" s="23" t="s">
        <v>824</v>
      </c>
      <c r="AK13" s="23" t="s">
        <v>824</v>
      </c>
      <c r="AM13" s="23" t="s">
        <v>160</v>
      </c>
      <c r="AN13" s="23">
        <v>2</v>
      </c>
      <c r="AO13" s="23">
        <v>2</v>
      </c>
      <c r="AP13" s="23" t="s">
        <v>184</v>
      </c>
      <c r="AT13" s="64"/>
      <c r="BE13" s="23">
        <v>3.93</v>
      </c>
      <c r="BF13" s="23">
        <v>3.43</v>
      </c>
      <c r="BG13" s="23" t="s">
        <v>205</v>
      </c>
      <c r="BH13" s="23">
        <v>971</v>
      </c>
      <c r="BI13" s="23">
        <v>947</v>
      </c>
      <c r="BJ13" s="23" t="s">
        <v>315</v>
      </c>
      <c r="BQ13" s="23">
        <v>5.75</v>
      </c>
      <c r="BR13" s="23">
        <v>5.83</v>
      </c>
      <c r="BT13" s="23">
        <v>15.6</v>
      </c>
      <c r="BU13" s="23">
        <v>15.2</v>
      </c>
      <c r="DP13" s="12"/>
      <c r="DR13" s="15"/>
      <c r="EE13" s="23">
        <v>140</v>
      </c>
      <c r="EF13" s="23">
        <v>177</v>
      </c>
      <c r="EN13" s="23">
        <v>2</v>
      </c>
    </row>
    <row r="14" spans="1:144" s="23" customFormat="1" x14ac:dyDescent="0.25">
      <c r="A14" s="23">
        <v>2</v>
      </c>
      <c r="B14" s="23" t="s">
        <v>166</v>
      </c>
      <c r="C14" s="23" t="s">
        <v>167</v>
      </c>
      <c r="D14" s="23">
        <v>1999</v>
      </c>
      <c r="E14" s="23">
        <v>1994</v>
      </c>
      <c r="F14" s="23" t="s">
        <v>168</v>
      </c>
      <c r="G14" s="23" t="s">
        <v>169</v>
      </c>
      <c r="H14" s="23">
        <v>45.231000000000002</v>
      </c>
      <c r="I14" s="23">
        <v>-122.756</v>
      </c>
      <c r="J14" s="23">
        <v>48.4</v>
      </c>
      <c r="N14" s="23">
        <v>1040</v>
      </c>
      <c r="O14" s="23" t="s">
        <v>176</v>
      </c>
      <c r="P14" s="53" t="s">
        <v>207</v>
      </c>
      <c r="Q14" s="53"/>
      <c r="R14" s="53" t="s">
        <v>208</v>
      </c>
      <c r="S14" s="53" t="s">
        <v>658</v>
      </c>
      <c r="U14" s="23">
        <v>31.3</v>
      </c>
      <c r="V14" s="23">
        <v>54</v>
      </c>
      <c r="W14" s="23" t="s">
        <v>175</v>
      </c>
      <c r="AA14" s="23" t="s">
        <v>1671</v>
      </c>
      <c r="AB14" s="23" t="s">
        <v>172</v>
      </c>
      <c r="AC14" s="23" t="s">
        <v>174</v>
      </c>
      <c r="AD14" s="23" t="s">
        <v>171</v>
      </c>
      <c r="AE14" s="23" t="s">
        <v>171</v>
      </c>
      <c r="AF14" s="23" t="s">
        <v>252</v>
      </c>
      <c r="AJ14" s="23" t="s">
        <v>824</v>
      </c>
      <c r="AK14" s="23" t="s">
        <v>824</v>
      </c>
      <c r="AM14" s="23" t="s">
        <v>160</v>
      </c>
      <c r="AN14" s="23">
        <v>2</v>
      </c>
      <c r="AO14" s="23">
        <v>2</v>
      </c>
      <c r="AP14" s="23" t="s">
        <v>184</v>
      </c>
      <c r="AT14" s="64"/>
      <c r="BE14" s="23">
        <v>3.93</v>
      </c>
      <c r="BF14" s="23">
        <v>4.13</v>
      </c>
      <c r="BG14" s="23" t="s">
        <v>205</v>
      </c>
      <c r="BH14" s="23">
        <v>971</v>
      </c>
      <c r="BI14" s="23">
        <v>1120</v>
      </c>
      <c r="BJ14" s="23" t="s">
        <v>315</v>
      </c>
      <c r="BQ14" s="23">
        <v>5.75</v>
      </c>
      <c r="BR14" s="23">
        <v>5.9</v>
      </c>
      <c r="BT14" s="23">
        <v>15.6</v>
      </c>
      <c r="BU14" s="23">
        <v>15</v>
      </c>
      <c r="DP14" s="12"/>
      <c r="DR14" s="15"/>
      <c r="EE14" s="23">
        <v>140</v>
      </c>
      <c r="EF14" s="23">
        <v>158</v>
      </c>
      <c r="EN14" s="23">
        <v>2</v>
      </c>
    </row>
    <row r="15" spans="1:144" s="35" customFormat="1" x14ac:dyDescent="0.25">
      <c r="A15" s="35">
        <v>3</v>
      </c>
      <c r="B15" s="35" t="s">
        <v>178</v>
      </c>
      <c r="C15" s="35" t="s">
        <v>179</v>
      </c>
      <c r="D15" s="35">
        <v>2008</v>
      </c>
      <c r="E15" s="35">
        <v>2003</v>
      </c>
      <c r="F15" s="35" t="s">
        <v>180</v>
      </c>
      <c r="G15" s="35" t="s">
        <v>181</v>
      </c>
      <c r="H15" s="35">
        <v>49.69</v>
      </c>
      <c r="I15" s="35">
        <v>-112.84</v>
      </c>
      <c r="J15" s="35">
        <v>901</v>
      </c>
      <c r="P15" s="54" t="s">
        <v>186</v>
      </c>
      <c r="Q15" s="54"/>
      <c r="R15" s="54"/>
      <c r="S15" s="54"/>
      <c r="U15" s="35">
        <v>37</v>
      </c>
      <c r="V15" s="35">
        <v>30</v>
      </c>
      <c r="W15" s="35" t="s">
        <v>182</v>
      </c>
      <c r="AA15" s="35" t="s">
        <v>1673</v>
      </c>
      <c r="AB15" s="35" t="s">
        <v>210</v>
      </c>
      <c r="AC15" s="35" t="s">
        <v>1726</v>
      </c>
      <c r="AM15" s="35" t="s">
        <v>160</v>
      </c>
      <c r="AN15" s="35">
        <v>4</v>
      </c>
      <c r="AO15" s="35">
        <v>4</v>
      </c>
      <c r="AP15" s="35" t="s">
        <v>184</v>
      </c>
      <c r="AQ15" s="35">
        <v>5520</v>
      </c>
      <c r="AT15" s="63"/>
      <c r="AU15" s="35" t="s">
        <v>192</v>
      </c>
      <c r="AY15" s="35">
        <v>16400</v>
      </c>
      <c r="AZ15" s="35">
        <v>23300</v>
      </c>
      <c r="DJ15" s="35">
        <v>17250</v>
      </c>
      <c r="DK15" s="35">
        <v>7310</v>
      </c>
      <c r="DP15" s="12"/>
      <c r="DR15" s="15"/>
      <c r="EN15" s="35">
        <v>3</v>
      </c>
    </row>
    <row r="16" spans="1:144" s="35" customFormat="1" x14ac:dyDescent="0.25">
      <c r="A16" s="35">
        <v>3</v>
      </c>
      <c r="B16" s="35" t="s">
        <v>178</v>
      </c>
      <c r="C16" s="35" t="s">
        <v>179</v>
      </c>
      <c r="D16" s="35">
        <v>2008</v>
      </c>
      <c r="E16" s="35">
        <v>2003</v>
      </c>
      <c r="F16" s="35" t="s">
        <v>180</v>
      </c>
      <c r="G16" s="35" t="s">
        <v>181</v>
      </c>
      <c r="H16" s="35">
        <v>49.69</v>
      </c>
      <c r="I16" s="35">
        <v>-112.84</v>
      </c>
      <c r="J16" s="35">
        <v>901</v>
      </c>
      <c r="P16" s="54" t="s">
        <v>186</v>
      </c>
      <c r="Q16" s="54"/>
      <c r="R16" s="54"/>
      <c r="S16" s="54"/>
      <c r="U16" s="35">
        <v>37</v>
      </c>
      <c r="V16" s="35">
        <v>30</v>
      </c>
      <c r="W16" s="35" t="s">
        <v>182</v>
      </c>
      <c r="AA16" s="35" t="s">
        <v>1673</v>
      </c>
      <c r="AB16" s="35" t="s">
        <v>211</v>
      </c>
      <c r="AC16" s="35" t="s">
        <v>1726</v>
      </c>
      <c r="AM16" s="35" t="s">
        <v>160</v>
      </c>
      <c r="AN16" s="35">
        <v>4</v>
      </c>
      <c r="AO16" s="35">
        <v>4</v>
      </c>
      <c r="AP16" s="35" t="s">
        <v>184</v>
      </c>
      <c r="AQ16" s="35">
        <v>1320</v>
      </c>
      <c r="AT16" s="63"/>
      <c r="AU16" s="35" t="s">
        <v>192</v>
      </c>
      <c r="AY16" s="35">
        <v>16400</v>
      </c>
      <c r="AZ16" s="35">
        <v>19800</v>
      </c>
      <c r="DJ16" s="35">
        <v>17250</v>
      </c>
      <c r="DK16" s="35">
        <v>12510</v>
      </c>
      <c r="DP16" s="12"/>
      <c r="DR16" s="15"/>
      <c r="EN16" s="35">
        <v>3</v>
      </c>
    </row>
    <row r="17" spans="1:144" s="35" customFormat="1" x14ac:dyDescent="0.25">
      <c r="A17" s="35">
        <v>3</v>
      </c>
      <c r="B17" s="35" t="s">
        <v>178</v>
      </c>
      <c r="C17" s="35" t="s">
        <v>179</v>
      </c>
      <c r="D17" s="35">
        <v>2008</v>
      </c>
      <c r="E17" s="35">
        <v>2003</v>
      </c>
      <c r="F17" s="35" t="s">
        <v>180</v>
      </c>
      <c r="G17" s="35" t="s">
        <v>181</v>
      </c>
      <c r="H17" s="35">
        <v>49.69</v>
      </c>
      <c r="I17" s="35">
        <v>-112.84</v>
      </c>
      <c r="J17" s="35">
        <v>901</v>
      </c>
      <c r="P17" s="54" t="s">
        <v>186</v>
      </c>
      <c r="Q17" s="54"/>
      <c r="R17" s="54"/>
      <c r="S17" s="54"/>
      <c r="U17" s="35">
        <v>37</v>
      </c>
      <c r="V17" s="35">
        <v>30</v>
      </c>
      <c r="W17" s="35" t="s">
        <v>182</v>
      </c>
      <c r="AA17" s="35" t="s">
        <v>1673</v>
      </c>
      <c r="AB17" s="35" t="s">
        <v>212</v>
      </c>
      <c r="AC17" s="35" t="s">
        <v>1726</v>
      </c>
      <c r="AM17" s="35" t="s">
        <v>160</v>
      </c>
      <c r="AN17" s="35">
        <v>4</v>
      </c>
      <c r="AO17" s="35">
        <v>4</v>
      </c>
      <c r="AP17" s="35" t="s">
        <v>184</v>
      </c>
      <c r="AQ17" s="35">
        <v>1170</v>
      </c>
      <c r="AT17" s="63"/>
      <c r="AU17" s="35" t="s">
        <v>192</v>
      </c>
      <c r="AY17" s="35">
        <v>16400</v>
      </c>
      <c r="AZ17" s="35">
        <v>19600</v>
      </c>
      <c r="DJ17" s="35">
        <v>17250</v>
      </c>
      <c r="DK17" s="35">
        <v>12180</v>
      </c>
      <c r="DP17" s="12"/>
      <c r="DR17" s="15"/>
      <c r="EN17" s="35">
        <v>3</v>
      </c>
    </row>
    <row r="18" spans="1:144" s="35" customFormat="1" x14ac:dyDescent="0.25">
      <c r="A18" s="35">
        <v>3</v>
      </c>
      <c r="B18" s="35" t="s">
        <v>178</v>
      </c>
      <c r="C18" s="35" t="s">
        <v>179</v>
      </c>
      <c r="D18" s="35">
        <v>2008</v>
      </c>
      <c r="E18" s="35">
        <v>2003</v>
      </c>
      <c r="F18" s="35" t="s">
        <v>180</v>
      </c>
      <c r="G18" s="35" t="s">
        <v>181</v>
      </c>
      <c r="H18" s="35">
        <v>49.69</v>
      </c>
      <c r="I18" s="35">
        <v>-112.84</v>
      </c>
      <c r="J18" s="35">
        <v>901</v>
      </c>
      <c r="P18" s="54" t="s">
        <v>186</v>
      </c>
      <c r="Q18" s="54"/>
      <c r="R18" s="54"/>
      <c r="S18" s="54"/>
      <c r="U18" s="35">
        <v>37</v>
      </c>
      <c r="V18" s="35">
        <v>30</v>
      </c>
      <c r="W18" s="35" t="s">
        <v>182</v>
      </c>
      <c r="AA18" s="35" t="s">
        <v>1673</v>
      </c>
      <c r="AB18" s="35" t="s">
        <v>213</v>
      </c>
      <c r="AC18" s="35" t="s">
        <v>1726</v>
      </c>
      <c r="AM18" s="35" t="s">
        <v>160</v>
      </c>
      <c r="AN18" s="35">
        <v>4</v>
      </c>
      <c r="AO18" s="35">
        <v>4</v>
      </c>
      <c r="AP18" s="35" t="s">
        <v>184</v>
      </c>
      <c r="AQ18" s="35">
        <v>1480</v>
      </c>
      <c r="AT18" s="63"/>
      <c r="AU18" s="35" t="s">
        <v>192</v>
      </c>
      <c r="AY18" s="35">
        <v>16400</v>
      </c>
      <c r="AZ18" s="35">
        <v>21400</v>
      </c>
      <c r="DJ18" s="35">
        <v>17250</v>
      </c>
      <c r="DK18" s="35">
        <v>11460</v>
      </c>
      <c r="DP18" s="12"/>
      <c r="DR18" s="15"/>
      <c r="EN18" s="35">
        <v>3</v>
      </c>
    </row>
    <row r="19" spans="1:144" s="35" customFormat="1" x14ac:dyDescent="0.25">
      <c r="A19" s="35">
        <v>3</v>
      </c>
      <c r="B19" s="35" t="s">
        <v>178</v>
      </c>
      <c r="C19" s="35" t="s">
        <v>179</v>
      </c>
      <c r="D19" s="35">
        <v>2008</v>
      </c>
      <c r="E19" s="35">
        <v>2003</v>
      </c>
      <c r="F19" s="35" t="s">
        <v>180</v>
      </c>
      <c r="G19" s="35" t="s">
        <v>181</v>
      </c>
      <c r="H19" s="35">
        <v>49.69</v>
      </c>
      <c r="I19" s="35">
        <v>-112.84</v>
      </c>
      <c r="J19" s="35">
        <v>901</v>
      </c>
      <c r="P19" s="54" t="s">
        <v>186</v>
      </c>
      <c r="Q19" s="54"/>
      <c r="R19" s="54"/>
      <c r="S19" s="54"/>
      <c r="U19" s="35">
        <v>37</v>
      </c>
      <c r="V19" s="35">
        <v>30</v>
      </c>
      <c r="W19" s="35" t="s">
        <v>182</v>
      </c>
      <c r="AA19" s="35" t="s">
        <v>1673</v>
      </c>
      <c r="AB19" s="35" t="s">
        <v>214</v>
      </c>
      <c r="AC19" s="35" t="s">
        <v>1726</v>
      </c>
      <c r="AM19" s="35" t="s">
        <v>160</v>
      </c>
      <c r="AN19" s="35">
        <v>4</v>
      </c>
      <c r="AO19" s="35">
        <v>4</v>
      </c>
      <c r="AP19" s="35" t="s">
        <v>184</v>
      </c>
      <c r="AQ19" s="35">
        <v>690</v>
      </c>
      <c r="AT19" s="63"/>
      <c r="AU19" s="35" t="s">
        <v>192</v>
      </c>
      <c r="AY19" s="35">
        <v>16400</v>
      </c>
      <c r="AZ19" s="35">
        <v>18000</v>
      </c>
      <c r="DJ19" s="35">
        <v>17250</v>
      </c>
      <c r="DK19" s="35">
        <v>15440</v>
      </c>
      <c r="DP19" s="12"/>
      <c r="DR19" s="15"/>
      <c r="EN19" s="35">
        <v>3</v>
      </c>
    </row>
    <row r="20" spans="1:144" s="35" customFormat="1" x14ac:dyDescent="0.25">
      <c r="A20" s="35">
        <v>3</v>
      </c>
      <c r="B20" s="35" t="s">
        <v>178</v>
      </c>
      <c r="C20" s="35" t="s">
        <v>179</v>
      </c>
      <c r="D20" s="35">
        <v>2008</v>
      </c>
      <c r="E20" s="35">
        <v>2003</v>
      </c>
      <c r="F20" s="35" t="s">
        <v>180</v>
      </c>
      <c r="G20" s="35" t="s">
        <v>181</v>
      </c>
      <c r="H20" s="35">
        <v>49.69</v>
      </c>
      <c r="I20" s="35">
        <v>-112.84</v>
      </c>
      <c r="J20" s="35">
        <v>901</v>
      </c>
      <c r="P20" s="54" t="s">
        <v>186</v>
      </c>
      <c r="Q20" s="54"/>
      <c r="R20" s="54"/>
      <c r="S20" s="54"/>
      <c r="U20" s="35">
        <v>37</v>
      </c>
      <c r="V20" s="35">
        <v>30</v>
      </c>
      <c r="W20" s="35" t="s">
        <v>182</v>
      </c>
      <c r="AA20" s="35" t="s">
        <v>1673</v>
      </c>
      <c r="AB20" s="35" t="s">
        <v>215</v>
      </c>
      <c r="AC20" s="35" t="s">
        <v>1726</v>
      </c>
      <c r="AM20" s="35" t="s">
        <v>160</v>
      </c>
      <c r="AN20" s="35">
        <v>4</v>
      </c>
      <c r="AO20" s="35">
        <v>4</v>
      </c>
      <c r="AP20" s="35" t="s">
        <v>184</v>
      </c>
      <c r="AQ20" s="35">
        <v>400</v>
      </c>
      <c r="AT20" s="63"/>
      <c r="AU20" s="35" t="s">
        <v>192</v>
      </c>
      <c r="AY20" s="35">
        <v>16400</v>
      </c>
      <c r="AZ20" s="35">
        <v>19100</v>
      </c>
      <c r="DJ20" s="35">
        <v>17250</v>
      </c>
      <c r="DK20" s="35">
        <v>12600</v>
      </c>
      <c r="DP20" s="12"/>
      <c r="DR20" s="15"/>
      <c r="EN20" s="35">
        <v>3</v>
      </c>
    </row>
    <row r="21" spans="1:144" s="35" customFormat="1" x14ac:dyDescent="0.25">
      <c r="A21" s="35">
        <v>3</v>
      </c>
      <c r="B21" s="35" t="s">
        <v>178</v>
      </c>
      <c r="C21" s="35" t="s">
        <v>179</v>
      </c>
      <c r="D21" s="35">
        <v>2008</v>
      </c>
      <c r="E21" s="35">
        <v>2003</v>
      </c>
      <c r="F21" s="35" t="s">
        <v>180</v>
      </c>
      <c r="G21" s="35" t="s">
        <v>181</v>
      </c>
      <c r="H21" s="35">
        <v>49.69</v>
      </c>
      <c r="I21" s="35">
        <v>-112.84</v>
      </c>
      <c r="J21" s="35">
        <v>901</v>
      </c>
      <c r="P21" s="54" t="s">
        <v>186</v>
      </c>
      <c r="Q21" s="54"/>
      <c r="R21" s="54"/>
      <c r="S21" s="54"/>
      <c r="U21" s="35">
        <v>37</v>
      </c>
      <c r="V21" s="35">
        <v>30</v>
      </c>
      <c r="W21" s="35" t="s">
        <v>182</v>
      </c>
      <c r="AA21" s="35" t="s">
        <v>1673</v>
      </c>
      <c r="AB21" s="35" t="s">
        <v>216</v>
      </c>
      <c r="AC21" s="35" t="s">
        <v>1726</v>
      </c>
      <c r="AM21" s="35" t="s">
        <v>160</v>
      </c>
      <c r="AN21" s="35">
        <v>4</v>
      </c>
      <c r="AO21" s="35">
        <v>4</v>
      </c>
      <c r="AP21" s="35" t="s">
        <v>184</v>
      </c>
      <c r="AQ21" s="35">
        <v>470</v>
      </c>
      <c r="AT21" s="63"/>
      <c r="AU21" s="35" t="s">
        <v>192</v>
      </c>
      <c r="AY21" s="35">
        <v>16400</v>
      </c>
      <c r="AZ21" s="35">
        <v>18700</v>
      </c>
      <c r="DJ21" s="35">
        <v>17250</v>
      </c>
      <c r="DK21" s="35">
        <v>14400</v>
      </c>
      <c r="DP21" s="12"/>
      <c r="DR21" s="15"/>
      <c r="EN21" s="35">
        <v>3</v>
      </c>
    </row>
    <row r="22" spans="1:144" s="35" customFormat="1" x14ac:dyDescent="0.25">
      <c r="A22" s="35">
        <v>3</v>
      </c>
      <c r="B22" s="35" t="s">
        <v>178</v>
      </c>
      <c r="C22" s="35" t="s">
        <v>179</v>
      </c>
      <c r="D22" s="35">
        <v>2008</v>
      </c>
      <c r="E22" s="35">
        <v>2004</v>
      </c>
      <c r="F22" s="35" t="s">
        <v>180</v>
      </c>
      <c r="G22" s="35" t="s">
        <v>181</v>
      </c>
      <c r="H22" s="35">
        <v>49.69</v>
      </c>
      <c r="I22" s="35">
        <v>-112.84</v>
      </c>
      <c r="J22" s="35">
        <v>901</v>
      </c>
      <c r="P22" s="54" t="s">
        <v>187</v>
      </c>
      <c r="Q22" s="54"/>
      <c r="R22" s="54"/>
      <c r="S22" s="54"/>
      <c r="U22" s="35">
        <v>37</v>
      </c>
      <c r="V22" s="35">
        <v>30</v>
      </c>
      <c r="W22" s="35" t="s">
        <v>182</v>
      </c>
      <c r="AA22" s="35" t="s">
        <v>1673</v>
      </c>
      <c r="AB22" s="35" t="s">
        <v>210</v>
      </c>
      <c r="AC22" s="35" t="s">
        <v>1726</v>
      </c>
      <c r="AM22" s="35" t="s">
        <v>160</v>
      </c>
      <c r="AN22" s="35">
        <v>4</v>
      </c>
      <c r="AO22" s="35">
        <v>4</v>
      </c>
      <c r="AP22" s="35" t="s">
        <v>184</v>
      </c>
      <c r="AQ22" s="35">
        <v>6320</v>
      </c>
      <c r="AT22" s="63"/>
      <c r="AU22" s="35" t="s">
        <v>192</v>
      </c>
      <c r="AY22" s="35">
        <v>11200</v>
      </c>
      <c r="AZ22" s="35">
        <v>15100</v>
      </c>
      <c r="DJ22" s="35">
        <v>14530</v>
      </c>
      <c r="DK22" s="35">
        <v>6600</v>
      </c>
      <c r="DP22" s="12"/>
      <c r="DR22" s="15"/>
      <c r="EN22" s="35">
        <v>3</v>
      </c>
    </row>
    <row r="23" spans="1:144" s="35" customFormat="1" x14ac:dyDescent="0.25">
      <c r="A23" s="35">
        <v>3</v>
      </c>
      <c r="B23" s="35" t="s">
        <v>178</v>
      </c>
      <c r="C23" s="35" t="s">
        <v>179</v>
      </c>
      <c r="D23" s="35">
        <v>2008</v>
      </c>
      <c r="E23" s="35">
        <v>2004</v>
      </c>
      <c r="F23" s="35" t="s">
        <v>180</v>
      </c>
      <c r="G23" s="35" t="s">
        <v>181</v>
      </c>
      <c r="H23" s="35">
        <v>49.69</v>
      </c>
      <c r="I23" s="35">
        <v>-112.84</v>
      </c>
      <c r="J23" s="35">
        <v>901</v>
      </c>
      <c r="P23" s="54" t="s">
        <v>187</v>
      </c>
      <c r="Q23" s="54"/>
      <c r="R23" s="54"/>
      <c r="S23" s="54"/>
      <c r="U23" s="35">
        <v>37</v>
      </c>
      <c r="V23" s="35">
        <v>30</v>
      </c>
      <c r="W23" s="35" t="s">
        <v>182</v>
      </c>
      <c r="AA23" s="35" t="s">
        <v>1673</v>
      </c>
      <c r="AB23" s="35" t="s">
        <v>211</v>
      </c>
      <c r="AC23" s="35" t="s">
        <v>1726</v>
      </c>
      <c r="AM23" s="35" t="s">
        <v>160</v>
      </c>
      <c r="AN23" s="35">
        <v>4</v>
      </c>
      <c r="AO23" s="35">
        <v>4</v>
      </c>
      <c r="AP23" s="35" t="s">
        <v>184</v>
      </c>
      <c r="AQ23" s="35">
        <v>990</v>
      </c>
      <c r="AT23" s="63"/>
      <c r="AU23" s="35" t="s">
        <v>192</v>
      </c>
      <c r="AY23" s="35">
        <v>11200</v>
      </c>
      <c r="AZ23" s="35">
        <v>12700</v>
      </c>
      <c r="DJ23" s="35">
        <v>14530</v>
      </c>
      <c r="DK23" s="35">
        <v>11830</v>
      </c>
      <c r="DP23" s="12"/>
      <c r="DR23" s="15"/>
      <c r="EN23" s="35">
        <v>3</v>
      </c>
    </row>
    <row r="24" spans="1:144" s="35" customFormat="1" x14ac:dyDescent="0.25">
      <c r="A24" s="35">
        <v>3</v>
      </c>
      <c r="B24" s="35" t="s">
        <v>178</v>
      </c>
      <c r="C24" s="35" t="s">
        <v>179</v>
      </c>
      <c r="D24" s="35">
        <v>2008</v>
      </c>
      <c r="E24" s="35">
        <v>2004</v>
      </c>
      <c r="F24" s="35" t="s">
        <v>180</v>
      </c>
      <c r="G24" s="35" t="s">
        <v>181</v>
      </c>
      <c r="H24" s="35">
        <v>49.69</v>
      </c>
      <c r="I24" s="35">
        <v>-112.84</v>
      </c>
      <c r="J24" s="35">
        <v>901</v>
      </c>
      <c r="P24" s="54" t="s">
        <v>187</v>
      </c>
      <c r="Q24" s="54"/>
      <c r="R24" s="54"/>
      <c r="S24" s="54"/>
      <c r="U24" s="35">
        <v>37</v>
      </c>
      <c r="V24" s="35">
        <v>30</v>
      </c>
      <c r="W24" s="35" t="s">
        <v>182</v>
      </c>
      <c r="AA24" s="35" t="s">
        <v>1673</v>
      </c>
      <c r="AB24" s="35" t="s">
        <v>212</v>
      </c>
      <c r="AC24" s="35" t="s">
        <v>1726</v>
      </c>
      <c r="AM24" s="35" t="s">
        <v>160</v>
      </c>
      <c r="AN24" s="35">
        <v>4</v>
      </c>
      <c r="AO24" s="35">
        <v>4</v>
      </c>
      <c r="AP24" s="35" t="s">
        <v>184</v>
      </c>
      <c r="AQ24" s="35">
        <v>1070</v>
      </c>
      <c r="AT24" s="63"/>
      <c r="AU24" s="35" t="s">
        <v>192</v>
      </c>
      <c r="AY24" s="35">
        <v>11200</v>
      </c>
      <c r="AZ24" s="35">
        <v>13600</v>
      </c>
      <c r="DJ24" s="35">
        <v>14530</v>
      </c>
      <c r="DK24" s="35">
        <v>10700</v>
      </c>
      <c r="DP24" s="12"/>
      <c r="DR24" s="15"/>
      <c r="EN24" s="35">
        <v>3</v>
      </c>
    </row>
    <row r="25" spans="1:144" s="35" customFormat="1" x14ac:dyDescent="0.25">
      <c r="A25" s="35">
        <v>3</v>
      </c>
      <c r="B25" s="35" t="s">
        <v>178</v>
      </c>
      <c r="C25" s="35" t="s">
        <v>179</v>
      </c>
      <c r="D25" s="35">
        <v>2008</v>
      </c>
      <c r="E25" s="35">
        <v>2004</v>
      </c>
      <c r="F25" s="35" t="s">
        <v>180</v>
      </c>
      <c r="G25" s="35" t="s">
        <v>181</v>
      </c>
      <c r="H25" s="35">
        <v>49.69</v>
      </c>
      <c r="I25" s="35">
        <v>-112.84</v>
      </c>
      <c r="J25" s="35">
        <v>901</v>
      </c>
      <c r="P25" s="54" t="s">
        <v>187</v>
      </c>
      <c r="Q25" s="54"/>
      <c r="R25" s="54"/>
      <c r="S25" s="54"/>
      <c r="U25" s="35">
        <v>37</v>
      </c>
      <c r="V25" s="35">
        <v>30</v>
      </c>
      <c r="W25" s="35" t="s">
        <v>182</v>
      </c>
      <c r="AA25" s="35" t="s">
        <v>1673</v>
      </c>
      <c r="AB25" s="35" t="s">
        <v>213</v>
      </c>
      <c r="AC25" s="35" t="s">
        <v>1726</v>
      </c>
      <c r="AM25" s="35" t="s">
        <v>160</v>
      </c>
      <c r="AN25" s="35">
        <v>4</v>
      </c>
      <c r="AO25" s="35">
        <v>4</v>
      </c>
      <c r="AP25" s="35" t="s">
        <v>184</v>
      </c>
      <c r="AQ25" s="35">
        <v>1130</v>
      </c>
      <c r="AT25" s="63"/>
      <c r="AU25" s="35" t="s">
        <v>192</v>
      </c>
      <c r="AY25" s="35">
        <v>11200</v>
      </c>
      <c r="AZ25" s="35">
        <v>12900</v>
      </c>
      <c r="DJ25" s="35">
        <v>14530</v>
      </c>
      <c r="DK25" s="35">
        <v>9940</v>
      </c>
      <c r="DP25" s="12"/>
      <c r="DR25" s="15"/>
      <c r="EN25" s="35">
        <v>3</v>
      </c>
    </row>
    <row r="26" spans="1:144" s="35" customFormat="1" x14ac:dyDescent="0.25">
      <c r="A26" s="35">
        <v>3</v>
      </c>
      <c r="B26" s="35" t="s">
        <v>178</v>
      </c>
      <c r="C26" s="35" t="s">
        <v>179</v>
      </c>
      <c r="D26" s="35">
        <v>2008</v>
      </c>
      <c r="E26" s="35">
        <v>2004</v>
      </c>
      <c r="F26" s="35" t="s">
        <v>180</v>
      </c>
      <c r="G26" s="35" t="s">
        <v>181</v>
      </c>
      <c r="H26" s="35">
        <v>49.69</v>
      </c>
      <c r="I26" s="35">
        <v>-112.84</v>
      </c>
      <c r="J26" s="35">
        <v>901</v>
      </c>
      <c r="P26" s="54" t="s">
        <v>187</v>
      </c>
      <c r="Q26" s="54"/>
      <c r="R26" s="54"/>
      <c r="S26" s="54"/>
      <c r="U26" s="35">
        <v>37</v>
      </c>
      <c r="V26" s="35">
        <v>30</v>
      </c>
      <c r="W26" s="35" t="s">
        <v>182</v>
      </c>
      <c r="AA26" s="35" t="s">
        <v>1673</v>
      </c>
      <c r="AB26" s="35" t="s">
        <v>214</v>
      </c>
      <c r="AC26" s="35" t="s">
        <v>1726</v>
      </c>
      <c r="AM26" s="35" t="s">
        <v>160</v>
      </c>
      <c r="AN26" s="35">
        <v>4</v>
      </c>
      <c r="AO26" s="35">
        <v>4</v>
      </c>
      <c r="AP26" s="35" t="s">
        <v>184</v>
      </c>
      <c r="AQ26" s="35">
        <v>560</v>
      </c>
      <c r="AT26" s="63"/>
      <c r="AU26" s="35" t="s">
        <v>192</v>
      </c>
      <c r="AY26" s="35">
        <v>11200</v>
      </c>
      <c r="AZ26" s="35">
        <v>11400</v>
      </c>
      <c r="DJ26" s="35">
        <v>14530</v>
      </c>
      <c r="DK26" s="35">
        <v>14000</v>
      </c>
      <c r="DP26" s="12"/>
      <c r="DR26" s="15"/>
      <c r="EN26" s="35">
        <v>3</v>
      </c>
    </row>
    <row r="27" spans="1:144" s="35" customFormat="1" x14ac:dyDescent="0.25">
      <c r="A27" s="35">
        <v>3</v>
      </c>
      <c r="B27" s="35" t="s">
        <v>178</v>
      </c>
      <c r="C27" s="35" t="s">
        <v>179</v>
      </c>
      <c r="D27" s="35">
        <v>2008</v>
      </c>
      <c r="E27" s="35">
        <v>2004</v>
      </c>
      <c r="F27" s="35" t="s">
        <v>180</v>
      </c>
      <c r="G27" s="35" t="s">
        <v>181</v>
      </c>
      <c r="H27" s="35">
        <v>49.69</v>
      </c>
      <c r="I27" s="35">
        <v>-112.84</v>
      </c>
      <c r="J27" s="35">
        <v>901</v>
      </c>
      <c r="P27" s="54" t="s">
        <v>187</v>
      </c>
      <c r="Q27" s="54"/>
      <c r="R27" s="54"/>
      <c r="S27" s="54"/>
      <c r="U27" s="35">
        <v>37</v>
      </c>
      <c r="V27" s="35">
        <v>30</v>
      </c>
      <c r="W27" s="35" t="s">
        <v>182</v>
      </c>
      <c r="AA27" s="35" t="s">
        <v>1673</v>
      </c>
      <c r="AB27" s="35" t="s">
        <v>215</v>
      </c>
      <c r="AC27" s="35" t="s">
        <v>1726</v>
      </c>
      <c r="AM27" s="35" t="s">
        <v>160</v>
      </c>
      <c r="AN27" s="35">
        <v>4</v>
      </c>
      <c r="AO27" s="35">
        <v>4</v>
      </c>
      <c r="AP27" s="35" t="s">
        <v>184</v>
      </c>
      <c r="AQ27" s="35">
        <v>570</v>
      </c>
      <c r="AT27" s="63"/>
      <c r="AU27" s="35" t="s">
        <v>192</v>
      </c>
      <c r="AY27" s="35">
        <v>11200</v>
      </c>
      <c r="AZ27" s="35">
        <v>12600</v>
      </c>
      <c r="DJ27" s="35">
        <v>14530</v>
      </c>
      <c r="DK27" s="35">
        <v>14190</v>
      </c>
      <c r="DP27" s="12"/>
      <c r="DR27" s="15"/>
      <c r="EN27" s="35">
        <v>3</v>
      </c>
    </row>
    <row r="28" spans="1:144" s="35" customFormat="1" x14ac:dyDescent="0.25">
      <c r="A28" s="35">
        <v>3</v>
      </c>
      <c r="B28" s="35" t="s">
        <v>178</v>
      </c>
      <c r="C28" s="35" t="s">
        <v>179</v>
      </c>
      <c r="D28" s="35">
        <v>2008</v>
      </c>
      <c r="E28" s="35">
        <v>2004</v>
      </c>
      <c r="F28" s="35" t="s">
        <v>180</v>
      </c>
      <c r="G28" s="35" t="s">
        <v>181</v>
      </c>
      <c r="H28" s="35">
        <v>49.69</v>
      </c>
      <c r="I28" s="35">
        <v>-112.84</v>
      </c>
      <c r="J28" s="35">
        <v>901</v>
      </c>
      <c r="P28" s="54" t="s">
        <v>187</v>
      </c>
      <c r="Q28" s="54"/>
      <c r="R28" s="54"/>
      <c r="S28" s="54"/>
      <c r="U28" s="35">
        <v>37</v>
      </c>
      <c r="V28" s="35">
        <v>30</v>
      </c>
      <c r="W28" s="35" t="s">
        <v>182</v>
      </c>
      <c r="AA28" s="35" t="s">
        <v>1673</v>
      </c>
      <c r="AB28" s="35" t="s">
        <v>216</v>
      </c>
      <c r="AC28" s="35" t="s">
        <v>1726</v>
      </c>
      <c r="AM28" s="35" t="s">
        <v>160</v>
      </c>
      <c r="AN28" s="35">
        <v>4</v>
      </c>
      <c r="AO28" s="35">
        <v>4</v>
      </c>
      <c r="AP28" s="35" t="s">
        <v>184</v>
      </c>
      <c r="AQ28" s="35">
        <v>420</v>
      </c>
      <c r="AT28" s="63"/>
      <c r="AU28" s="35" t="s">
        <v>192</v>
      </c>
      <c r="AY28" s="35">
        <v>11200</v>
      </c>
      <c r="AZ28" s="35">
        <v>11900</v>
      </c>
      <c r="DJ28" s="35">
        <v>14530</v>
      </c>
      <c r="DK28" s="35">
        <v>12700</v>
      </c>
      <c r="DP28" s="12"/>
      <c r="DR28" s="15"/>
      <c r="EN28" s="35">
        <v>3</v>
      </c>
    </row>
    <row r="29" spans="1:144" s="35" customFormat="1" x14ac:dyDescent="0.25">
      <c r="A29" s="35">
        <v>3</v>
      </c>
      <c r="B29" s="35" t="s">
        <v>178</v>
      </c>
      <c r="C29" s="35" t="s">
        <v>179</v>
      </c>
      <c r="D29" s="35">
        <v>2008</v>
      </c>
      <c r="E29" s="35">
        <v>2005</v>
      </c>
      <c r="F29" s="35" t="s">
        <v>180</v>
      </c>
      <c r="G29" s="35" t="s">
        <v>181</v>
      </c>
      <c r="H29" s="35">
        <v>49.69</v>
      </c>
      <c r="I29" s="35">
        <v>-112.84</v>
      </c>
      <c r="J29" s="35">
        <v>901</v>
      </c>
      <c r="P29" s="54" t="s">
        <v>188</v>
      </c>
      <c r="Q29" s="54"/>
      <c r="R29" s="54"/>
      <c r="S29" s="54"/>
      <c r="U29" s="35">
        <v>37</v>
      </c>
      <c r="V29" s="35">
        <v>30</v>
      </c>
      <c r="W29" s="35" t="s">
        <v>182</v>
      </c>
      <c r="AA29" s="35" t="s">
        <v>1673</v>
      </c>
      <c r="AB29" s="35" t="s">
        <v>210</v>
      </c>
      <c r="AC29" s="35" t="s">
        <v>1726</v>
      </c>
      <c r="AM29" s="35" t="s">
        <v>160</v>
      </c>
      <c r="AN29" s="35">
        <v>4</v>
      </c>
      <c r="AO29" s="35">
        <v>4</v>
      </c>
      <c r="AP29" s="35" t="s">
        <v>184</v>
      </c>
      <c r="AQ29" s="35">
        <v>7940</v>
      </c>
      <c r="AT29" s="63"/>
      <c r="AU29" s="35" t="s">
        <v>192</v>
      </c>
      <c r="AY29" s="35">
        <v>4400</v>
      </c>
      <c r="AZ29" s="35">
        <v>8400</v>
      </c>
      <c r="DJ29" s="35">
        <v>19940</v>
      </c>
      <c r="DK29" s="35">
        <v>12920</v>
      </c>
      <c r="DP29" s="12"/>
      <c r="DR29" s="15"/>
      <c r="EN29" s="35">
        <v>3</v>
      </c>
    </row>
    <row r="30" spans="1:144" s="35" customFormat="1" x14ac:dyDescent="0.25">
      <c r="A30" s="35">
        <v>3</v>
      </c>
      <c r="B30" s="35" t="s">
        <v>178</v>
      </c>
      <c r="C30" s="35" t="s">
        <v>179</v>
      </c>
      <c r="D30" s="35">
        <v>2008</v>
      </c>
      <c r="E30" s="35">
        <v>2005</v>
      </c>
      <c r="F30" s="35" t="s">
        <v>180</v>
      </c>
      <c r="G30" s="35" t="s">
        <v>181</v>
      </c>
      <c r="H30" s="35">
        <v>49.69</v>
      </c>
      <c r="I30" s="35">
        <v>-112.84</v>
      </c>
      <c r="J30" s="35">
        <v>901</v>
      </c>
      <c r="P30" s="54" t="s">
        <v>188</v>
      </c>
      <c r="Q30" s="54"/>
      <c r="R30" s="54"/>
      <c r="S30" s="54"/>
      <c r="U30" s="35">
        <v>37</v>
      </c>
      <c r="V30" s="35">
        <v>30</v>
      </c>
      <c r="W30" s="35" t="s">
        <v>182</v>
      </c>
      <c r="AA30" s="35" t="s">
        <v>1673</v>
      </c>
      <c r="AB30" s="35" t="s">
        <v>211</v>
      </c>
      <c r="AC30" s="35" t="s">
        <v>1726</v>
      </c>
      <c r="AM30" s="35" t="s">
        <v>160</v>
      </c>
      <c r="AN30" s="35">
        <v>4</v>
      </c>
      <c r="AO30" s="35">
        <v>4</v>
      </c>
      <c r="AP30" s="35" t="s">
        <v>184</v>
      </c>
      <c r="AQ30" s="35">
        <v>380</v>
      </c>
      <c r="AT30" s="63"/>
      <c r="AU30" s="35" t="s">
        <v>192</v>
      </c>
      <c r="AY30" s="35">
        <v>4400</v>
      </c>
      <c r="AZ30" s="35">
        <v>6300</v>
      </c>
      <c r="DJ30" s="35">
        <v>19940</v>
      </c>
      <c r="DK30" s="35">
        <v>16720</v>
      </c>
      <c r="DP30" s="12"/>
      <c r="DR30" s="15"/>
      <c r="EN30" s="35">
        <v>3</v>
      </c>
    </row>
    <row r="31" spans="1:144" s="35" customFormat="1" x14ac:dyDescent="0.25">
      <c r="A31" s="35">
        <v>3</v>
      </c>
      <c r="B31" s="35" t="s">
        <v>178</v>
      </c>
      <c r="C31" s="35" t="s">
        <v>179</v>
      </c>
      <c r="D31" s="35">
        <v>2008</v>
      </c>
      <c r="E31" s="35">
        <v>2005</v>
      </c>
      <c r="F31" s="35" t="s">
        <v>180</v>
      </c>
      <c r="G31" s="35" t="s">
        <v>181</v>
      </c>
      <c r="H31" s="35">
        <v>49.69</v>
      </c>
      <c r="I31" s="35">
        <v>-112.84</v>
      </c>
      <c r="J31" s="35">
        <v>901</v>
      </c>
      <c r="P31" s="54" t="s">
        <v>188</v>
      </c>
      <c r="Q31" s="54"/>
      <c r="R31" s="54"/>
      <c r="S31" s="54"/>
      <c r="U31" s="35">
        <v>37</v>
      </c>
      <c r="V31" s="35">
        <v>30</v>
      </c>
      <c r="W31" s="35" t="s">
        <v>182</v>
      </c>
      <c r="AA31" s="35" t="s">
        <v>1673</v>
      </c>
      <c r="AB31" s="35" t="s">
        <v>212</v>
      </c>
      <c r="AC31" s="35" t="s">
        <v>1726</v>
      </c>
      <c r="AM31" s="35" t="s">
        <v>160</v>
      </c>
      <c r="AN31" s="35">
        <v>4</v>
      </c>
      <c r="AO31" s="35">
        <v>4</v>
      </c>
      <c r="AP31" s="35" t="s">
        <v>184</v>
      </c>
      <c r="AQ31" s="35">
        <v>400</v>
      </c>
      <c r="AT31" s="63"/>
      <c r="AU31" s="35" t="s">
        <v>192</v>
      </c>
      <c r="AY31" s="35">
        <v>4400</v>
      </c>
      <c r="AZ31" s="35">
        <v>6500</v>
      </c>
      <c r="DJ31" s="35">
        <v>19940</v>
      </c>
      <c r="DK31" s="35">
        <v>14690</v>
      </c>
      <c r="DP31" s="12"/>
      <c r="DR31" s="15"/>
      <c r="EN31" s="35">
        <v>3</v>
      </c>
    </row>
    <row r="32" spans="1:144" s="35" customFormat="1" x14ac:dyDescent="0.25">
      <c r="A32" s="35">
        <v>3</v>
      </c>
      <c r="B32" s="35" t="s">
        <v>178</v>
      </c>
      <c r="C32" s="35" t="s">
        <v>179</v>
      </c>
      <c r="D32" s="35">
        <v>2008</v>
      </c>
      <c r="E32" s="35">
        <v>2005</v>
      </c>
      <c r="F32" s="35" t="s">
        <v>180</v>
      </c>
      <c r="G32" s="35" t="s">
        <v>181</v>
      </c>
      <c r="H32" s="35">
        <v>49.69</v>
      </c>
      <c r="I32" s="35">
        <v>-112.84</v>
      </c>
      <c r="J32" s="35">
        <v>901</v>
      </c>
      <c r="P32" s="54" t="s">
        <v>188</v>
      </c>
      <c r="Q32" s="54"/>
      <c r="R32" s="54"/>
      <c r="S32" s="54"/>
      <c r="U32" s="35">
        <v>37</v>
      </c>
      <c r="V32" s="35">
        <v>30</v>
      </c>
      <c r="W32" s="35" t="s">
        <v>182</v>
      </c>
      <c r="AA32" s="35" t="s">
        <v>1673</v>
      </c>
      <c r="AB32" s="35" t="s">
        <v>213</v>
      </c>
      <c r="AC32" s="35" t="s">
        <v>1726</v>
      </c>
      <c r="AM32" s="35" t="s">
        <v>160</v>
      </c>
      <c r="AN32" s="35">
        <v>4</v>
      </c>
      <c r="AO32" s="35">
        <v>4</v>
      </c>
      <c r="AP32" s="35" t="s">
        <v>184</v>
      </c>
      <c r="AQ32" s="35">
        <v>1140</v>
      </c>
      <c r="AT32" s="63"/>
      <c r="AU32" s="35" t="s">
        <v>192</v>
      </c>
      <c r="AY32" s="35">
        <v>4400</v>
      </c>
      <c r="AZ32" s="35">
        <v>5700</v>
      </c>
      <c r="DJ32" s="35">
        <v>19940</v>
      </c>
      <c r="DK32" s="35">
        <v>15610</v>
      </c>
      <c r="DP32" s="12"/>
      <c r="DR32" s="15"/>
      <c r="EN32" s="35">
        <v>3</v>
      </c>
    </row>
    <row r="33" spans="1:144" s="35" customFormat="1" x14ac:dyDescent="0.25">
      <c r="A33" s="35">
        <v>3</v>
      </c>
      <c r="B33" s="35" t="s">
        <v>178</v>
      </c>
      <c r="C33" s="35" t="s">
        <v>179</v>
      </c>
      <c r="D33" s="35">
        <v>2008</v>
      </c>
      <c r="E33" s="35">
        <v>2005</v>
      </c>
      <c r="F33" s="35" t="s">
        <v>180</v>
      </c>
      <c r="G33" s="35" t="s">
        <v>181</v>
      </c>
      <c r="H33" s="35">
        <v>49.69</v>
      </c>
      <c r="I33" s="35">
        <v>-112.84</v>
      </c>
      <c r="J33" s="35">
        <v>901</v>
      </c>
      <c r="P33" s="54" t="s">
        <v>188</v>
      </c>
      <c r="Q33" s="54"/>
      <c r="R33" s="54"/>
      <c r="S33" s="54"/>
      <c r="U33" s="35">
        <v>37</v>
      </c>
      <c r="V33" s="35">
        <v>30</v>
      </c>
      <c r="W33" s="35" t="s">
        <v>182</v>
      </c>
      <c r="AA33" s="35" t="s">
        <v>1673</v>
      </c>
      <c r="AB33" s="35" t="s">
        <v>214</v>
      </c>
      <c r="AC33" s="35" t="s">
        <v>1726</v>
      </c>
      <c r="AM33" s="35" t="s">
        <v>160</v>
      </c>
      <c r="AN33" s="35">
        <v>4</v>
      </c>
      <c r="AO33" s="35">
        <v>4</v>
      </c>
      <c r="AP33" s="35" t="s">
        <v>184</v>
      </c>
      <c r="AQ33" s="35">
        <v>190</v>
      </c>
      <c r="AT33" s="63"/>
      <c r="AU33" s="35" t="s">
        <v>192</v>
      </c>
      <c r="AY33" s="35">
        <v>4400</v>
      </c>
      <c r="AZ33" s="35">
        <v>4300</v>
      </c>
      <c r="DJ33" s="35">
        <v>19940</v>
      </c>
      <c r="DK33" s="35">
        <v>19570</v>
      </c>
      <c r="DP33" s="12"/>
      <c r="DR33" s="15"/>
      <c r="EN33" s="35">
        <v>3</v>
      </c>
    </row>
    <row r="34" spans="1:144" s="35" customFormat="1" x14ac:dyDescent="0.25">
      <c r="A34" s="35">
        <v>3</v>
      </c>
      <c r="B34" s="35" t="s">
        <v>178</v>
      </c>
      <c r="C34" s="35" t="s">
        <v>179</v>
      </c>
      <c r="D34" s="35">
        <v>2008</v>
      </c>
      <c r="E34" s="35">
        <v>2005</v>
      </c>
      <c r="F34" s="35" t="s">
        <v>180</v>
      </c>
      <c r="G34" s="35" t="s">
        <v>181</v>
      </c>
      <c r="H34" s="35">
        <v>49.69</v>
      </c>
      <c r="I34" s="35">
        <v>-112.84</v>
      </c>
      <c r="J34" s="35">
        <v>901</v>
      </c>
      <c r="P34" s="54" t="s">
        <v>188</v>
      </c>
      <c r="Q34" s="54"/>
      <c r="R34" s="54"/>
      <c r="S34" s="54"/>
      <c r="U34" s="35">
        <v>37</v>
      </c>
      <c r="V34" s="35">
        <v>30</v>
      </c>
      <c r="W34" s="35" t="s">
        <v>182</v>
      </c>
      <c r="AA34" s="35" t="s">
        <v>1673</v>
      </c>
      <c r="AB34" s="35" t="s">
        <v>215</v>
      </c>
      <c r="AC34" s="35" t="s">
        <v>1726</v>
      </c>
      <c r="AM34" s="35" t="s">
        <v>160</v>
      </c>
      <c r="AN34" s="35">
        <v>4</v>
      </c>
      <c r="AO34" s="35">
        <v>4</v>
      </c>
      <c r="AP34" s="35" t="s">
        <v>184</v>
      </c>
      <c r="AQ34" s="35">
        <v>280</v>
      </c>
      <c r="AT34" s="63"/>
      <c r="AU34" s="35" t="s">
        <v>192</v>
      </c>
      <c r="AY34" s="35">
        <v>4400</v>
      </c>
      <c r="AZ34" s="35">
        <v>4800</v>
      </c>
      <c r="DJ34" s="35">
        <v>19940</v>
      </c>
      <c r="DK34" s="35">
        <v>20400</v>
      </c>
      <c r="DP34" s="12"/>
      <c r="DR34" s="15"/>
      <c r="EN34" s="35">
        <v>3</v>
      </c>
    </row>
    <row r="35" spans="1:144" s="35" customFormat="1" x14ac:dyDescent="0.25">
      <c r="A35" s="35">
        <v>3</v>
      </c>
      <c r="B35" s="35" t="s">
        <v>178</v>
      </c>
      <c r="C35" s="35" t="s">
        <v>179</v>
      </c>
      <c r="D35" s="35">
        <v>2008</v>
      </c>
      <c r="E35" s="35">
        <v>2005</v>
      </c>
      <c r="F35" s="35" t="s">
        <v>180</v>
      </c>
      <c r="G35" s="35" t="s">
        <v>181</v>
      </c>
      <c r="H35" s="35">
        <v>49.69</v>
      </c>
      <c r="I35" s="35">
        <v>-112.84</v>
      </c>
      <c r="J35" s="35">
        <v>901</v>
      </c>
      <c r="P35" s="54" t="s">
        <v>188</v>
      </c>
      <c r="Q35" s="54"/>
      <c r="R35" s="54"/>
      <c r="S35" s="54"/>
      <c r="U35" s="35">
        <v>37</v>
      </c>
      <c r="V35" s="35">
        <v>30</v>
      </c>
      <c r="W35" s="35" t="s">
        <v>182</v>
      </c>
      <c r="AA35" s="35" t="s">
        <v>1673</v>
      </c>
      <c r="AB35" s="35" t="s">
        <v>216</v>
      </c>
      <c r="AC35" s="35" t="s">
        <v>1726</v>
      </c>
      <c r="AM35" s="35" t="s">
        <v>160</v>
      </c>
      <c r="AN35" s="35">
        <v>4</v>
      </c>
      <c r="AO35" s="35">
        <v>4</v>
      </c>
      <c r="AP35" s="35" t="s">
        <v>184</v>
      </c>
      <c r="AQ35" s="35">
        <v>230</v>
      </c>
      <c r="AT35" s="63"/>
      <c r="AU35" s="35" t="s">
        <v>192</v>
      </c>
      <c r="AY35" s="35">
        <v>4400</v>
      </c>
      <c r="AZ35" s="35">
        <v>5000</v>
      </c>
      <c r="DJ35" s="35">
        <v>19940</v>
      </c>
      <c r="DK35" s="35">
        <v>20380</v>
      </c>
      <c r="DP35" s="12"/>
      <c r="DR35" s="15"/>
      <c r="EN35" s="35">
        <v>3</v>
      </c>
    </row>
    <row r="36" spans="1:144" s="35" customFormat="1" x14ac:dyDescent="0.25">
      <c r="A36" s="35">
        <v>3</v>
      </c>
      <c r="B36" s="35" t="s">
        <v>178</v>
      </c>
      <c r="C36" s="35" t="s">
        <v>179</v>
      </c>
      <c r="D36" s="35">
        <v>2008</v>
      </c>
      <c r="E36" s="35">
        <v>2003</v>
      </c>
      <c r="F36" s="35" t="s">
        <v>180</v>
      </c>
      <c r="G36" s="35" t="s">
        <v>181</v>
      </c>
      <c r="H36" s="35">
        <v>49.69</v>
      </c>
      <c r="I36" s="35">
        <v>-112.84</v>
      </c>
      <c r="J36" s="35">
        <v>901</v>
      </c>
      <c r="P36" s="54" t="s">
        <v>186</v>
      </c>
      <c r="Q36" s="54"/>
      <c r="R36" s="54"/>
      <c r="S36" s="54"/>
      <c r="U36" s="35">
        <v>37</v>
      </c>
      <c r="V36" s="35">
        <v>30</v>
      </c>
      <c r="W36" s="35" t="s">
        <v>182</v>
      </c>
      <c r="AA36" s="35" t="s">
        <v>1673</v>
      </c>
      <c r="AB36" s="35" t="s">
        <v>210</v>
      </c>
      <c r="AC36" s="35" t="s">
        <v>1726</v>
      </c>
      <c r="AM36" s="35" t="s">
        <v>160</v>
      </c>
      <c r="AN36" s="35">
        <v>4</v>
      </c>
      <c r="AO36" s="35">
        <v>4</v>
      </c>
      <c r="AP36" s="35" t="s">
        <v>184</v>
      </c>
      <c r="AQ36" s="35">
        <v>5520</v>
      </c>
      <c r="AT36" s="63"/>
      <c r="AU36" s="35" t="s">
        <v>193</v>
      </c>
      <c r="AY36" s="35">
        <v>33800</v>
      </c>
      <c r="AZ36" s="35">
        <v>37300</v>
      </c>
      <c r="DJ36" s="35">
        <v>3010</v>
      </c>
      <c r="DK36" s="35">
        <v>1420</v>
      </c>
      <c r="DP36" s="12"/>
      <c r="DR36" s="15"/>
      <c r="EN36" s="35">
        <v>3</v>
      </c>
    </row>
    <row r="37" spans="1:144" s="35" customFormat="1" x14ac:dyDescent="0.25">
      <c r="A37" s="35">
        <v>3</v>
      </c>
      <c r="B37" s="35" t="s">
        <v>178</v>
      </c>
      <c r="C37" s="35" t="s">
        <v>179</v>
      </c>
      <c r="D37" s="35">
        <v>2008</v>
      </c>
      <c r="E37" s="35">
        <v>2003</v>
      </c>
      <c r="F37" s="35" t="s">
        <v>180</v>
      </c>
      <c r="G37" s="35" t="s">
        <v>181</v>
      </c>
      <c r="H37" s="35">
        <v>49.69</v>
      </c>
      <c r="I37" s="35">
        <v>-112.84</v>
      </c>
      <c r="J37" s="35">
        <v>901</v>
      </c>
      <c r="P37" s="54" t="s">
        <v>186</v>
      </c>
      <c r="Q37" s="54"/>
      <c r="R37" s="54"/>
      <c r="S37" s="54"/>
      <c r="U37" s="35">
        <v>37</v>
      </c>
      <c r="V37" s="35">
        <v>30</v>
      </c>
      <c r="W37" s="35" t="s">
        <v>182</v>
      </c>
      <c r="AA37" s="35" t="s">
        <v>1673</v>
      </c>
      <c r="AB37" s="35" t="s">
        <v>211</v>
      </c>
      <c r="AC37" s="35" t="s">
        <v>1726</v>
      </c>
      <c r="AM37" s="35" t="s">
        <v>160</v>
      </c>
      <c r="AN37" s="35">
        <v>4</v>
      </c>
      <c r="AO37" s="35">
        <v>4</v>
      </c>
      <c r="AP37" s="35" t="s">
        <v>184</v>
      </c>
      <c r="AQ37" s="35">
        <v>1320</v>
      </c>
      <c r="AT37" s="63"/>
      <c r="AU37" s="35" t="s">
        <v>193</v>
      </c>
      <c r="AY37" s="35">
        <v>33800</v>
      </c>
      <c r="AZ37" s="35">
        <v>35600</v>
      </c>
      <c r="DJ37" s="35">
        <v>3010</v>
      </c>
      <c r="DK37" s="35">
        <v>3470</v>
      </c>
      <c r="DP37" s="12"/>
      <c r="DR37" s="15"/>
      <c r="EN37" s="35">
        <v>3</v>
      </c>
    </row>
    <row r="38" spans="1:144" s="35" customFormat="1" x14ac:dyDescent="0.25">
      <c r="A38" s="35">
        <v>3</v>
      </c>
      <c r="B38" s="35" t="s">
        <v>178</v>
      </c>
      <c r="C38" s="35" t="s">
        <v>179</v>
      </c>
      <c r="D38" s="35">
        <v>2008</v>
      </c>
      <c r="E38" s="35">
        <v>2003</v>
      </c>
      <c r="F38" s="35" t="s">
        <v>180</v>
      </c>
      <c r="G38" s="35" t="s">
        <v>181</v>
      </c>
      <c r="H38" s="35">
        <v>49.69</v>
      </c>
      <c r="I38" s="35">
        <v>-112.84</v>
      </c>
      <c r="J38" s="35">
        <v>901</v>
      </c>
      <c r="P38" s="54" t="s">
        <v>186</v>
      </c>
      <c r="Q38" s="54"/>
      <c r="R38" s="54"/>
      <c r="S38" s="54"/>
      <c r="U38" s="35">
        <v>37</v>
      </c>
      <c r="V38" s="35">
        <v>30</v>
      </c>
      <c r="W38" s="35" t="s">
        <v>182</v>
      </c>
      <c r="AA38" s="35" t="s">
        <v>1673</v>
      </c>
      <c r="AB38" s="35" t="s">
        <v>212</v>
      </c>
      <c r="AC38" s="35" t="s">
        <v>1726</v>
      </c>
      <c r="AM38" s="35" t="s">
        <v>160</v>
      </c>
      <c r="AN38" s="35">
        <v>4</v>
      </c>
      <c r="AO38" s="35">
        <v>4</v>
      </c>
      <c r="AP38" s="35" t="s">
        <v>184</v>
      </c>
      <c r="AQ38" s="35">
        <v>1170</v>
      </c>
      <c r="AT38" s="63"/>
      <c r="AU38" s="35" t="s">
        <v>193</v>
      </c>
      <c r="AY38" s="35">
        <v>33800</v>
      </c>
      <c r="AZ38" s="35">
        <v>36100</v>
      </c>
      <c r="DJ38" s="35">
        <v>3010</v>
      </c>
      <c r="DK38" s="35">
        <v>2700</v>
      </c>
      <c r="DP38" s="12"/>
      <c r="DR38" s="15"/>
      <c r="EN38" s="35">
        <v>3</v>
      </c>
    </row>
    <row r="39" spans="1:144" s="35" customFormat="1" x14ac:dyDescent="0.25">
      <c r="A39" s="35">
        <v>3</v>
      </c>
      <c r="B39" s="35" t="s">
        <v>178</v>
      </c>
      <c r="C39" s="35" t="s">
        <v>179</v>
      </c>
      <c r="D39" s="35">
        <v>2008</v>
      </c>
      <c r="E39" s="35">
        <v>2003</v>
      </c>
      <c r="F39" s="35" t="s">
        <v>180</v>
      </c>
      <c r="G39" s="35" t="s">
        <v>181</v>
      </c>
      <c r="H39" s="35">
        <v>49.69</v>
      </c>
      <c r="I39" s="35">
        <v>-112.84</v>
      </c>
      <c r="J39" s="35">
        <v>901</v>
      </c>
      <c r="P39" s="54" t="s">
        <v>186</v>
      </c>
      <c r="Q39" s="54"/>
      <c r="R39" s="54"/>
      <c r="S39" s="54"/>
      <c r="U39" s="35">
        <v>37</v>
      </c>
      <c r="V39" s="35">
        <v>30</v>
      </c>
      <c r="W39" s="35" t="s">
        <v>182</v>
      </c>
      <c r="AA39" s="35" t="s">
        <v>1673</v>
      </c>
      <c r="AB39" s="35" t="s">
        <v>213</v>
      </c>
      <c r="AC39" s="35" t="s">
        <v>1726</v>
      </c>
      <c r="AM39" s="35" t="s">
        <v>160</v>
      </c>
      <c r="AN39" s="35">
        <v>4</v>
      </c>
      <c r="AO39" s="35">
        <v>4</v>
      </c>
      <c r="AP39" s="35" t="s">
        <v>184</v>
      </c>
      <c r="AQ39" s="35">
        <v>1480</v>
      </c>
      <c r="AT39" s="63"/>
      <c r="AU39" s="35" t="s">
        <v>193</v>
      </c>
      <c r="AY39" s="35">
        <v>33800</v>
      </c>
      <c r="AZ39" s="35">
        <v>38300</v>
      </c>
      <c r="DJ39" s="35">
        <v>3010</v>
      </c>
      <c r="DK39" s="35">
        <v>2580</v>
      </c>
      <c r="DP39" s="12"/>
      <c r="DR39" s="15"/>
      <c r="EN39" s="35">
        <v>3</v>
      </c>
    </row>
    <row r="40" spans="1:144" s="35" customFormat="1" x14ac:dyDescent="0.25">
      <c r="A40" s="35">
        <v>3</v>
      </c>
      <c r="B40" s="35" t="s">
        <v>178</v>
      </c>
      <c r="C40" s="35" t="s">
        <v>179</v>
      </c>
      <c r="D40" s="35">
        <v>2008</v>
      </c>
      <c r="E40" s="35">
        <v>2003</v>
      </c>
      <c r="F40" s="35" t="s">
        <v>180</v>
      </c>
      <c r="G40" s="35" t="s">
        <v>181</v>
      </c>
      <c r="H40" s="35">
        <v>49.69</v>
      </c>
      <c r="I40" s="35">
        <v>-112.84</v>
      </c>
      <c r="J40" s="35">
        <v>901</v>
      </c>
      <c r="P40" s="54" t="s">
        <v>186</v>
      </c>
      <c r="Q40" s="54"/>
      <c r="R40" s="54"/>
      <c r="S40" s="54"/>
      <c r="U40" s="35">
        <v>37</v>
      </c>
      <c r="V40" s="35">
        <v>30</v>
      </c>
      <c r="W40" s="35" t="s">
        <v>182</v>
      </c>
      <c r="AA40" s="35" t="s">
        <v>1673</v>
      </c>
      <c r="AB40" s="35" t="s">
        <v>214</v>
      </c>
      <c r="AC40" s="35" t="s">
        <v>1726</v>
      </c>
      <c r="AM40" s="35" t="s">
        <v>160</v>
      </c>
      <c r="AN40" s="35">
        <v>4</v>
      </c>
      <c r="AO40" s="35">
        <v>4</v>
      </c>
      <c r="AP40" s="35" t="s">
        <v>184</v>
      </c>
      <c r="AQ40" s="35">
        <v>690</v>
      </c>
      <c r="AT40" s="63"/>
      <c r="AU40" s="35" t="s">
        <v>193</v>
      </c>
      <c r="AY40" s="35">
        <v>33800</v>
      </c>
      <c r="AZ40" s="35">
        <v>35800</v>
      </c>
      <c r="DJ40" s="35">
        <v>3010</v>
      </c>
      <c r="DK40" s="35">
        <v>2640</v>
      </c>
      <c r="DP40" s="12"/>
      <c r="DR40" s="15"/>
      <c r="EN40" s="35">
        <v>3</v>
      </c>
    </row>
    <row r="41" spans="1:144" s="35" customFormat="1" x14ac:dyDescent="0.25">
      <c r="A41" s="35">
        <v>3</v>
      </c>
      <c r="B41" s="35" t="s">
        <v>178</v>
      </c>
      <c r="C41" s="35" t="s">
        <v>179</v>
      </c>
      <c r="D41" s="35">
        <v>2008</v>
      </c>
      <c r="E41" s="35">
        <v>2003</v>
      </c>
      <c r="F41" s="35" t="s">
        <v>180</v>
      </c>
      <c r="G41" s="35" t="s">
        <v>181</v>
      </c>
      <c r="H41" s="35">
        <v>49.69</v>
      </c>
      <c r="I41" s="35">
        <v>-112.84</v>
      </c>
      <c r="J41" s="35">
        <v>901</v>
      </c>
      <c r="P41" s="54" t="s">
        <v>186</v>
      </c>
      <c r="Q41" s="54"/>
      <c r="R41" s="54"/>
      <c r="S41" s="54"/>
      <c r="U41" s="35">
        <v>37</v>
      </c>
      <c r="V41" s="35">
        <v>30</v>
      </c>
      <c r="W41" s="35" t="s">
        <v>182</v>
      </c>
      <c r="AA41" s="35" t="s">
        <v>1673</v>
      </c>
      <c r="AB41" s="35" t="s">
        <v>215</v>
      </c>
      <c r="AC41" s="35" t="s">
        <v>1726</v>
      </c>
      <c r="AM41" s="35" t="s">
        <v>160</v>
      </c>
      <c r="AN41" s="35">
        <v>4</v>
      </c>
      <c r="AO41" s="35">
        <v>4</v>
      </c>
      <c r="AP41" s="35" t="s">
        <v>184</v>
      </c>
      <c r="AQ41" s="35">
        <v>400</v>
      </c>
      <c r="AT41" s="63"/>
      <c r="AU41" s="35" t="s">
        <v>193</v>
      </c>
      <c r="AY41" s="35">
        <v>33800</v>
      </c>
      <c r="AZ41" s="35">
        <v>35200</v>
      </c>
      <c r="DJ41" s="35">
        <v>3010</v>
      </c>
      <c r="DK41" s="35">
        <v>2820</v>
      </c>
      <c r="DP41" s="12"/>
      <c r="DR41" s="15"/>
      <c r="EN41" s="35">
        <v>3</v>
      </c>
    </row>
    <row r="42" spans="1:144" s="35" customFormat="1" x14ac:dyDescent="0.25">
      <c r="A42" s="35">
        <v>3</v>
      </c>
      <c r="B42" s="35" t="s">
        <v>178</v>
      </c>
      <c r="C42" s="35" t="s">
        <v>179</v>
      </c>
      <c r="D42" s="35">
        <v>2008</v>
      </c>
      <c r="E42" s="35">
        <v>2003</v>
      </c>
      <c r="F42" s="35" t="s">
        <v>180</v>
      </c>
      <c r="G42" s="35" t="s">
        <v>181</v>
      </c>
      <c r="H42" s="35">
        <v>49.69</v>
      </c>
      <c r="I42" s="35">
        <v>-112.84</v>
      </c>
      <c r="J42" s="35">
        <v>901</v>
      </c>
      <c r="P42" s="54" t="s">
        <v>186</v>
      </c>
      <c r="Q42" s="54"/>
      <c r="R42" s="54"/>
      <c r="S42" s="54"/>
      <c r="U42" s="35">
        <v>37</v>
      </c>
      <c r="V42" s="35">
        <v>30</v>
      </c>
      <c r="W42" s="35" t="s">
        <v>182</v>
      </c>
      <c r="AA42" s="35" t="s">
        <v>1673</v>
      </c>
      <c r="AB42" s="35" t="s">
        <v>216</v>
      </c>
      <c r="AC42" s="35" t="s">
        <v>1726</v>
      </c>
      <c r="AM42" s="35" t="s">
        <v>160</v>
      </c>
      <c r="AN42" s="35">
        <v>4</v>
      </c>
      <c r="AO42" s="35">
        <v>4</v>
      </c>
      <c r="AP42" s="35" t="s">
        <v>184</v>
      </c>
      <c r="AQ42" s="35">
        <v>470</v>
      </c>
      <c r="AT42" s="63"/>
      <c r="AU42" s="35" t="s">
        <v>193</v>
      </c>
      <c r="AY42" s="35">
        <v>33800</v>
      </c>
      <c r="AZ42" s="35">
        <v>33900</v>
      </c>
      <c r="DJ42" s="35">
        <v>3010</v>
      </c>
      <c r="DK42" s="35">
        <v>3430</v>
      </c>
      <c r="DP42" s="12"/>
      <c r="DR42" s="15"/>
      <c r="EN42" s="35">
        <v>3</v>
      </c>
    </row>
    <row r="43" spans="1:144" s="35" customFormat="1" x14ac:dyDescent="0.25">
      <c r="A43" s="35">
        <v>3</v>
      </c>
      <c r="B43" s="35" t="s">
        <v>178</v>
      </c>
      <c r="C43" s="35" t="s">
        <v>179</v>
      </c>
      <c r="D43" s="35">
        <v>2008</v>
      </c>
      <c r="E43" s="35">
        <v>2004</v>
      </c>
      <c r="F43" s="35" t="s">
        <v>180</v>
      </c>
      <c r="G43" s="35" t="s">
        <v>181</v>
      </c>
      <c r="H43" s="35">
        <v>49.69</v>
      </c>
      <c r="I43" s="35">
        <v>-112.84</v>
      </c>
      <c r="J43" s="35">
        <v>901</v>
      </c>
      <c r="P43" s="54" t="s">
        <v>187</v>
      </c>
      <c r="Q43" s="54"/>
      <c r="R43" s="54"/>
      <c r="S43" s="54"/>
      <c r="U43" s="35">
        <v>37</v>
      </c>
      <c r="V43" s="35">
        <v>30</v>
      </c>
      <c r="W43" s="35" t="s">
        <v>182</v>
      </c>
      <c r="AA43" s="35" t="s">
        <v>1673</v>
      </c>
      <c r="AB43" s="35" t="s">
        <v>210</v>
      </c>
      <c r="AC43" s="35" t="s">
        <v>1726</v>
      </c>
      <c r="AM43" s="35" t="s">
        <v>160</v>
      </c>
      <c r="AN43" s="35">
        <v>4</v>
      </c>
      <c r="AO43" s="35">
        <v>4</v>
      </c>
      <c r="AP43" s="35" t="s">
        <v>184</v>
      </c>
      <c r="AQ43" s="35">
        <v>6320</v>
      </c>
      <c r="AT43" s="63"/>
      <c r="AU43" s="35" t="s">
        <v>193</v>
      </c>
      <c r="AY43" s="35">
        <v>28900</v>
      </c>
      <c r="AZ43" s="35">
        <v>30800</v>
      </c>
      <c r="DJ43" s="35">
        <v>530</v>
      </c>
      <c r="DK43" s="35">
        <v>460</v>
      </c>
      <c r="DP43" s="12"/>
      <c r="DR43" s="15"/>
      <c r="EN43" s="35">
        <v>3</v>
      </c>
    </row>
    <row r="44" spans="1:144" s="35" customFormat="1" x14ac:dyDescent="0.25">
      <c r="A44" s="35">
        <v>3</v>
      </c>
      <c r="B44" s="35" t="s">
        <v>178</v>
      </c>
      <c r="C44" s="35" t="s">
        <v>179</v>
      </c>
      <c r="D44" s="35">
        <v>2008</v>
      </c>
      <c r="E44" s="35">
        <v>2004</v>
      </c>
      <c r="F44" s="35" t="s">
        <v>180</v>
      </c>
      <c r="G44" s="35" t="s">
        <v>181</v>
      </c>
      <c r="H44" s="35">
        <v>49.69</v>
      </c>
      <c r="I44" s="35">
        <v>-112.84</v>
      </c>
      <c r="J44" s="35">
        <v>901</v>
      </c>
      <c r="P44" s="54" t="s">
        <v>187</v>
      </c>
      <c r="Q44" s="54"/>
      <c r="R44" s="54"/>
      <c r="S44" s="54"/>
      <c r="U44" s="35">
        <v>37</v>
      </c>
      <c r="V44" s="35">
        <v>30</v>
      </c>
      <c r="W44" s="35" t="s">
        <v>182</v>
      </c>
      <c r="AA44" s="35" t="s">
        <v>1673</v>
      </c>
      <c r="AB44" s="35" t="s">
        <v>211</v>
      </c>
      <c r="AC44" s="35" t="s">
        <v>1726</v>
      </c>
      <c r="AM44" s="35" t="s">
        <v>160</v>
      </c>
      <c r="AN44" s="35">
        <v>4</v>
      </c>
      <c r="AO44" s="35">
        <v>4</v>
      </c>
      <c r="AP44" s="35" t="s">
        <v>184</v>
      </c>
      <c r="AQ44" s="35">
        <v>990</v>
      </c>
      <c r="AT44" s="63"/>
      <c r="AU44" s="35" t="s">
        <v>193</v>
      </c>
      <c r="AY44" s="35">
        <v>28900</v>
      </c>
      <c r="AZ44" s="35">
        <v>30800</v>
      </c>
      <c r="DJ44" s="35">
        <v>530</v>
      </c>
      <c r="DK44" s="35">
        <v>690</v>
      </c>
      <c r="DP44" s="12"/>
      <c r="DR44" s="15"/>
      <c r="EN44" s="35">
        <v>3</v>
      </c>
    </row>
    <row r="45" spans="1:144" s="35" customFormat="1" x14ac:dyDescent="0.25">
      <c r="A45" s="35">
        <v>3</v>
      </c>
      <c r="B45" s="35" t="s">
        <v>178</v>
      </c>
      <c r="C45" s="35" t="s">
        <v>179</v>
      </c>
      <c r="D45" s="35">
        <v>2008</v>
      </c>
      <c r="E45" s="35">
        <v>2004</v>
      </c>
      <c r="F45" s="35" t="s">
        <v>180</v>
      </c>
      <c r="G45" s="35" t="s">
        <v>181</v>
      </c>
      <c r="H45" s="35">
        <v>49.69</v>
      </c>
      <c r="I45" s="35">
        <v>-112.84</v>
      </c>
      <c r="J45" s="35">
        <v>901</v>
      </c>
      <c r="P45" s="54" t="s">
        <v>187</v>
      </c>
      <c r="Q45" s="54"/>
      <c r="R45" s="54"/>
      <c r="S45" s="54"/>
      <c r="U45" s="35">
        <v>37</v>
      </c>
      <c r="V45" s="35">
        <v>30</v>
      </c>
      <c r="W45" s="35" t="s">
        <v>182</v>
      </c>
      <c r="AA45" s="35" t="s">
        <v>1673</v>
      </c>
      <c r="AB45" s="35" t="s">
        <v>212</v>
      </c>
      <c r="AC45" s="35" t="s">
        <v>1726</v>
      </c>
      <c r="AM45" s="35" t="s">
        <v>160</v>
      </c>
      <c r="AN45" s="35">
        <v>4</v>
      </c>
      <c r="AO45" s="35">
        <v>4</v>
      </c>
      <c r="AP45" s="35" t="s">
        <v>184</v>
      </c>
      <c r="AQ45" s="35">
        <v>1070</v>
      </c>
      <c r="AT45" s="63"/>
      <c r="AU45" s="35" t="s">
        <v>193</v>
      </c>
      <c r="AY45" s="35">
        <v>28900</v>
      </c>
      <c r="AZ45" s="35">
        <v>31300</v>
      </c>
      <c r="DJ45" s="35">
        <v>530</v>
      </c>
      <c r="DK45" s="35">
        <v>440</v>
      </c>
      <c r="DP45" s="12"/>
      <c r="DR45" s="15"/>
      <c r="EN45" s="35">
        <v>3</v>
      </c>
    </row>
    <row r="46" spans="1:144" s="35" customFormat="1" x14ac:dyDescent="0.25">
      <c r="A46" s="35">
        <v>3</v>
      </c>
      <c r="B46" s="35" t="s">
        <v>178</v>
      </c>
      <c r="C46" s="35" t="s">
        <v>179</v>
      </c>
      <c r="D46" s="35">
        <v>2008</v>
      </c>
      <c r="E46" s="35">
        <v>2004</v>
      </c>
      <c r="F46" s="35" t="s">
        <v>180</v>
      </c>
      <c r="G46" s="35" t="s">
        <v>181</v>
      </c>
      <c r="H46" s="35">
        <v>49.69</v>
      </c>
      <c r="I46" s="35">
        <v>-112.84</v>
      </c>
      <c r="J46" s="35">
        <v>901</v>
      </c>
      <c r="P46" s="54" t="s">
        <v>187</v>
      </c>
      <c r="Q46" s="54"/>
      <c r="R46" s="54"/>
      <c r="S46" s="54"/>
      <c r="U46" s="35">
        <v>37</v>
      </c>
      <c r="V46" s="35">
        <v>30</v>
      </c>
      <c r="W46" s="35" t="s">
        <v>182</v>
      </c>
      <c r="AA46" s="35" t="s">
        <v>1673</v>
      </c>
      <c r="AB46" s="35" t="s">
        <v>213</v>
      </c>
      <c r="AC46" s="35" t="s">
        <v>1726</v>
      </c>
      <c r="AM46" s="35" t="s">
        <v>160</v>
      </c>
      <c r="AN46" s="35">
        <v>4</v>
      </c>
      <c r="AO46" s="35">
        <v>4</v>
      </c>
      <c r="AP46" s="35" t="s">
        <v>184</v>
      </c>
      <c r="AQ46" s="35">
        <v>1130</v>
      </c>
      <c r="AT46" s="63"/>
      <c r="AU46" s="35" t="s">
        <v>193</v>
      </c>
      <c r="AY46" s="35">
        <v>28900</v>
      </c>
      <c r="AZ46" s="35">
        <v>30400</v>
      </c>
      <c r="DJ46" s="35">
        <v>530</v>
      </c>
      <c r="DK46" s="35">
        <v>820</v>
      </c>
      <c r="DP46" s="12"/>
      <c r="DR46" s="15"/>
      <c r="EN46" s="35">
        <v>3</v>
      </c>
    </row>
    <row r="47" spans="1:144" s="35" customFormat="1" x14ac:dyDescent="0.25">
      <c r="A47" s="35">
        <v>3</v>
      </c>
      <c r="B47" s="35" t="s">
        <v>178</v>
      </c>
      <c r="C47" s="35" t="s">
        <v>179</v>
      </c>
      <c r="D47" s="35">
        <v>2008</v>
      </c>
      <c r="E47" s="35">
        <v>2004</v>
      </c>
      <c r="F47" s="35" t="s">
        <v>180</v>
      </c>
      <c r="G47" s="35" t="s">
        <v>181</v>
      </c>
      <c r="H47" s="35">
        <v>49.69</v>
      </c>
      <c r="I47" s="35">
        <v>-112.84</v>
      </c>
      <c r="J47" s="35">
        <v>901</v>
      </c>
      <c r="P47" s="54" t="s">
        <v>187</v>
      </c>
      <c r="Q47" s="54"/>
      <c r="R47" s="54"/>
      <c r="S47" s="54"/>
      <c r="U47" s="35">
        <v>37</v>
      </c>
      <c r="V47" s="35">
        <v>30</v>
      </c>
      <c r="W47" s="35" t="s">
        <v>182</v>
      </c>
      <c r="AA47" s="35" t="s">
        <v>1673</v>
      </c>
      <c r="AB47" s="35" t="s">
        <v>214</v>
      </c>
      <c r="AC47" s="35" t="s">
        <v>1726</v>
      </c>
      <c r="AM47" s="35" t="s">
        <v>160</v>
      </c>
      <c r="AN47" s="35">
        <v>4</v>
      </c>
      <c r="AO47" s="35">
        <v>4</v>
      </c>
      <c r="AP47" s="35" t="s">
        <v>184</v>
      </c>
      <c r="AQ47" s="35">
        <v>560</v>
      </c>
      <c r="AT47" s="63"/>
      <c r="AU47" s="35" t="s">
        <v>193</v>
      </c>
      <c r="AY47" s="35">
        <v>28900</v>
      </c>
      <c r="AZ47" s="35">
        <v>29400</v>
      </c>
      <c r="DJ47" s="35">
        <v>530</v>
      </c>
      <c r="DK47" s="35">
        <v>870</v>
      </c>
      <c r="DP47" s="12"/>
      <c r="DR47" s="15"/>
      <c r="EN47" s="35">
        <v>3</v>
      </c>
    </row>
    <row r="48" spans="1:144" s="35" customFormat="1" x14ac:dyDescent="0.25">
      <c r="A48" s="35">
        <v>3</v>
      </c>
      <c r="B48" s="35" t="s">
        <v>178</v>
      </c>
      <c r="C48" s="35" t="s">
        <v>179</v>
      </c>
      <c r="D48" s="35">
        <v>2008</v>
      </c>
      <c r="E48" s="35">
        <v>2004</v>
      </c>
      <c r="F48" s="35" t="s">
        <v>180</v>
      </c>
      <c r="G48" s="35" t="s">
        <v>181</v>
      </c>
      <c r="H48" s="35">
        <v>49.69</v>
      </c>
      <c r="I48" s="35">
        <v>-112.84</v>
      </c>
      <c r="J48" s="35">
        <v>901</v>
      </c>
      <c r="P48" s="54" t="s">
        <v>187</v>
      </c>
      <c r="Q48" s="54"/>
      <c r="R48" s="54"/>
      <c r="S48" s="54"/>
      <c r="U48" s="35">
        <v>37</v>
      </c>
      <c r="V48" s="35">
        <v>30</v>
      </c>
      <c r="W48" s="35" t="s">
        <v>182</v>
      </c>
      <c r="AA48" s="35" t="s">
        <v>1673</v>
      </c>
      <c r="AB48" s="35" t="s">
        <v>215</v>
      </c>
      <c r="AC48" s="35" t="s">
        <v>1726</v>
      </c>
      <c r="AM48" s="35" t="s">
        <v>160</v>
      </c>
      <c r="AN48" s="35">
        <v>4</v>
      </c>
      <c r="AO48" s="35">
        <v>4</v>
      </c>
      <c r="AP48" s="35" t="s">
        <v>184</v>
      </c>
      <c r="AQ48" s="35">
        <v>570</v>
      </c>
      <c r="AT48" s="63"/>
      <c r="AU48" s="35" t="s">
        <v>193</v>
      </c>
      <c r="AY48" s="35">
        <v>28900</v>
      </c>
      <c r="AZ48" s="35">
        <v>32300</v>
      </c>
      <c r="DJ48" s="35">
        <v>530</v>
      </c>
      <c r="DK48" s="35">
        <v>410</v>
      </c>
      <c r="DP48" s="12"/>
      <c r="DR48" s="15"/>
      <c r="EN48" s="35">
        <v>3</v>
      </c>
    </row>
    <row r="49" spans="1:144" s="35" customFormat="1" x14ac:dyDescent="0.25">
      <c r="A49" s="35">
        <v>3</v>
      </c>
      <c r="B49" s="35" t="s">
        <v>178</v>
      </c>
      <c r="C49" s="35" t="s">
        <v>179</v>
      </c>
      <c r="D49" s="35">
        <v>2008</v>
      </c>
      <c r="E49" s="35">
        <v>2004</v>
      </c>
      <c r="F49" s="35" t="s">
        <v>180</v>
      </c>
      <c r="G49" s="35" t="s">
        <v>181</v>
      </c>
      <c r="H49" s="35">
        <v>49.69</v>
      </c>
      <c r="I49" s="35">
        <v>-112.84</v>
      </c>
      <c r="J49" s="35">
        <v>901</v>
      </c>
      <c r="P49" s="54" t="s">
        <v>187</v>
      </c>
      <c r="Q49" s="54"/>
      <c r="R49" s="54"/>
      <c r="S49" s="54"/>
      <c r="U49" s="35">
        <v>37</v>
      </c>
      <c r="V49" s="35">
        <v>30</v>
      </c>
      <c r="W49" s="35" t="s">
        <v>182</v>
      </c>
      <c r="AA49" s="35" t="s">
        <v>1673</v>
      </c>
      <c r="AB49" s="35" t="s">
        <v>216</v>
      </c>
      <c r="AC49" s="35" t="s">
        <v>1726</v>
      </c>
      <c r="AM49" s="35" t="s">
        <v>160</v>
      </c>
      <c r="AN49" s="35">
        <v>4</v>
      </c>
      <c r="AO49" s="35">
        <v>4</v>
      </c>
      <c r="AP49" s="35" t="s">
        <v>184</v>
      </c>
      <c r="AQ49" s="35">
        <v>420</v>
      </c>
      <c r="AT49" s="63"/>
      <c r="AU49" s="35" t="s">
        <v>193</v>
      </c>
      <c r="AY49" s="35">
        <v>28900</v>
      </c>
      <c r="AZ49" s="35">
        <v>32000</v>
      </c>
      <c r="DJ49" s="35">
        <v>530</v>
      </c>
      <c r="DK49" s="35">
        <v>750</v>
      </c>
      <c r="DP49" s="12"/>
      <c r="DR49" s="15"/>
      <c r="EN49" s="35">
        <v>3</v>
      </c>
    </row>
    <row r="50" spans="1:144" s="35" customFormat="1" x14ac:dyDescent="0.25">
      <c r="A50" s="35">
        <v>3</v>
      </c>
      <c r="B50" s="35" t="s">
        <v>178</v>
      </c>
      <c r="C50" s="35" t="s">
        <v>179</v>
      </c>
      <c r="D50" s="35">
        <v>2008</v>
      </c>
      <c r="E50" s="35">
        <v>2005</v>
      </c>
      <c r="F50" s="35" t="s">
        <v>180</v>
      </c>
      <c r="G50" s="35" t="s">
        <v>181</v>
      </c>
      <c r="H50" s="35">
        <v>49.69</v>
      </c>
      <c r="I50" s="35">
        <v>-112.84</v>
      </c>
      <c r="J50" s="35">
        <v>901</v>
      </c>
      <c r="P50" s="54" t="s">
        <v>188</v>
      </c>
      <c r="Q50" s="54"/>
      <c r="R50" s="54"/>
      <c r="S50" s="54"/>
      <c r="U50" s="35">
        <v>37</v>
      </c>
      <c r="V50" s="35">
        <v>30</v>
      </c>
      <c r="W50" s="35" t="s">
        <v>182</v>
      </c>
      <c r="AA50" s="35" t="s">
        <v>1673</v>
      </c>
      <c r="AB50" s="35" t="s">
        <v>210</v>
      </c>
      <c r="AC50" s="35" t="s">
        <v>1726</v>
      </c>
      <c r="AM50" s="35" t="s">
        <v>160</v>
      </c>
      <c r="AN50" s="35">
        <v>4</v>
      </c>
      <c r="AO50" s="35">
        <v>4</v>
      </c>
      <c r="AP50" s="35" t="s">
        <v>184</v>
      </c>
      <c r="AQ50" s="35">
        <v>7940</v>
      </c>
      <c r="AT50" s="63"/>
      <c r="AU50" s="35" t="s">
        <v>193</v>
      </c>
      <c r="AY50" s="35">
        <v>33100</v>
      </c>
      <c r="AZ50" s="35">
        <v>32800</v>
      </c>
      <c r="DJ50" s="35">
        <v>2460</v>
      </c>
      <c r="DK50" s="35">
        <v>1060</v>
      </c>
      <c r="DP50" s="12"/>
      <c r="DR50" s="15"/>
      <c r="EN50" s="35">
        <v>3</v>
      </c>
    </row>
    <row r="51" spans="1:144" s="35" customFormat="1" x14ac:dyDescent="0.25">
      <c r="A51" s="35">
        <v>3</v>
      </c>
      <c r="B51" s="35" t="s">
        <v>178</v>
      </c>
      <c r="C51" s="35" t="s">
        <v>179</v>
      </c>
      <c r="D51" s="35">
        <v>2008</v>
      </c>
      <c r="E51" s="35">
        <v>2005</v>
      </c>
      <c r="F51" s="35" t="s">
        <v>180</v>
      </c>
      <c r="G51" s="35" t="s">
        <v>181</v>
      </c>
      <c r="H51" s="35">
        <v>49.69</v>
      </c>
      <c r="I51" s="35">
        <v>-112.84</v>
      </c>
      <c r="J51" s="35">
        <v>901</v>
      </c>
      <c r="P51" s="54" t="s">
        <v>188</v>
      </c>
      <c r="Q51" s="54"/>
      <c r="R51" s="54"/>
      <c r="S51" s="54"/>
      <c r="U51" s="35">
        <v>37</v>
      </c>
      <c r="V51" s="35">
        <v>30</v>
      </c>
      <c r="W51" s="35" t="s">
        <v>182</v>
      </c>
      <c r="AA51" s="35" t="s">
        <v>1673</v>
      </c>
      <c r="AB51" s="35" t="s">
        <v>211</v>
      </c>
      <c r="AC51" s="35" t="s">
        <v>1726</v>
      </c>
      <c r="AM51" s="35" t="s">
        <v>160</v>
      </c>
      <c r="AN51" s="35">
        <v>4</v>
      </c>
      <c r="AO51" s="35">
        <v>4</v>
      </c>
      <c r="AP51" s="35" t="s">
        <v>184</v>
      </c>
      <c r="AQ51" s="35">
        <v>380</v>
      </c>
      <c r="AT51" s="63"/>
      <c r="AU51" s="35" t="s">
        <v>193</v>
      </c>
      <c r="AY51" s="35">
        <v>33100</v>
      </c>
      <c r="AZ51" s="35">
        <v>32400</v>
      </c>
      <c r="DJ51" s="35">
        <v>2460</v>
      </c>
      <c r="DK51" s="35">
        <v>2820</v>
      </c>
      <c r="DP51" s="12"/>
      <c r="DR51" s="15"/>
      <c r="EN51" s="35">
        <v>3</v>
      </c>
    </row>
    <row r="52" spans="1:144" s="35" customFormat="1" x14ac:dyDescent="0.25">
      <c r="A52" s="35">
        <v>3</v>
      </c>
      <c r="B52" s="35" t="s">
        <v>178</v>
      </c>
      <c r="C52" s="35" t="s">
        <v>179</v>
      </c>
      <c r="D52" s="35">
        <v>2008</v>
      </c>
      <c r="E52" s="35">
        <v>2005</v>
      </c>
      <c r="F52" s="35" t="s">
        <v>180</v>
      </c>
      <c r="G52" s="35" t="s">
        <v>181</v>
      </c>
      <c r="H52" s="35">
        <v>49.69</v>
      </c>
      <c r="I52" s="35">
        <v>-112.84</v>
      </c>
      <c r="J52" s="35">
        <v>901</v>
      </c>
      <c r="P52" s="54" t="s">
        <v>188</v>
      </c>
      <c r="Q52" s="54"/>
      <c r="R52" s="54"/>
      <c r="S52" s="54"/>
      <c r="U52" s="35">
        <v>37</v>
      </c>
      <c r="V52" s="35">
        <v>30</v>
      </c>
      <c r="W52" s="35" t="s">
        <v>182</v>
      </c>
      <c r="AA52" s="35" t="s">
        <v>1673</v>
      </c>
      <c r="AB52" s="35" t="s">
        <v>212</v>
      </c>
      <c r="AC52" s="35" t="s">
        <v>1726</v>
      </c>
      <c r="AM52" s="35" t="s">
        <v>160</v>
      </c>
      <c r="AN52" s="35">
        <v>4</v>
      </c>
      <c r="AO52" s="35">
        <v>4</v>
      </c>
      <c r="AP52" s="35" t="s">
        <v>184</v>
      </c>
      <c r="AQ52" s="35">
        <v>400</v>
      </c>
      <c r="AT52" s="63"/>
      <c r="AU52" s="35" t="s">
        <v>193</v>
      </c>
      <c r="AY52" s="35">
        <v>33100</v>
      </c>
      <c r="AZ52" s="35">
        <v>32500</v>
      </c>
      <c r="DJ52" s="35">
        <v>2460</v>
      </c>
      <c r="DK52" s="35">
        <v>2540</v>
      </c>
      <c r="DP52" s="12"/>
      <c r="DR52" s="15"/>
      <c r="EN52" s="35">
        <v>3</v>
      </c>
    </row>
    <row r="53" spans="1:144" s="35" customFormat="1" x14ac:dyDescent="0.25">
      <c r="A53" s="35">
        <v>3</v>
      </c>
      <c r="B53" s="35" t="s">
        <v>178</v>
      </c>
      <c r="C53" s="35" t="s">
        <v>179</v>
      </c>
      <c r="D53" s="35">
        <v>2008</v>
      </c>
      <c r="E53" s="35">
        <v>2005</v>
      </c>
      <c r="F53" s="35" t="s">
        <v>180</v>
      </c>
      <c r="G53" s="35" t="s">
        <v>181</v>
      </c>
      <c r="H53" s="35">
        <v>49.69</v>
      </c>
      <c r="I53" s="35">
        <v>-112.84</v>
      </c>
      <c r="J53" s="35">
        <v>901</v>
      </c>
      <c r="P53" s="54" t="s">
        <v>188</v>
      </c>
      <c r="Q53" s="54"/>
      <c r="R53" s="54"/>
      <c r="S53" s="54"/>
      <c r="U53" s="35">
        <v>37</v>
      </c>
      <c r="V53" s="35">
        <v>30</v>
      </c>
      <c r="W53" s="35" t="s">
        <v>182</v>
      </c>
      <c r="AA53" s="35" t="s">
        <v>1673</v>
      </c>
      <c r="AB53" s="35" t="s">
        <v>213</v>
      </c>
      <c r="AC53" s="35" t="s">
        <v>1726</v>
      </c>
      <c r="AM53" s="35" t="s">
        <v>160</v>
      </c>
      <c r="AN53" s="35">
        <v>4</v>
      </c>
      <c r="AO53" s="35">
        <v>4</v>
      </c>
      <c r="AP53" s="35" t="s">
        <v>184</v>
      </c>
      <c r="AQ53" s="35">
        <v>1140</v>
      </c>
      <c r="AT53" s="63"/>
      <c r="AU53" s="35" t="s">
        <v>193</v>
      </c>
      <c r="AY53" s="35">
        <v>33100</v>
      </c>
      <c r="AZ53" s="35">
        <v>34000</v>
      </c>
      <c r="DJ53" s="35">
        <v>2460</v>
      </c>
      <c r="DK53" s="35">
        <v>1980</v>
      </c>
      <c r="DP53" s="12"/>
      <c r="DR53" s="15"/>
      <c r="EN53" s="35">
        <v>3</v>
      </c>
    </row>
    <row r="54" spans="1:144" s="35" customFormat="1" x14ac:dyDescent="0.25">
      <c r="A54" s="35">
        <v>3</v>
      </c>
      <c r="B54" s="35" t="s">
        <v>178</v>
      </c>
      <c r="C54" s="35" t="s">
        <v>179</v>
      </c>
      <c r="D54" s="35">
        <v>2008</v>
      </c>
      <c r="E54" s="35">
        <v>2005</v>
      </c>
      <c r="F54" s="35" t="s">
        <v>180</v>
      </c>
      <c r="G54" s="35" t="s">
        <v>181</v>
      </c>
      <c r="H54" s="35">
        <v>49.69</v>
      </c>
      <c r="I54" s="35">
        <v>-112.84</v>
      </c>
      <c r="J54" s="35">
        <v>901</v>
      </c>
      <c r="P54" s="54" t="s">
        <v>188</v>
      </c>
      <c r="Q54" s="54"/>
      <c r="R54" s="54"/>
      <c r="S54" s="54"/>
      <c r="U54" s="35">
        <v>37</v>
      </c>
      <c r="V54" s="35">
        <v>30</v>
      </c>
      <c r="W54" s="35" t="s">
        <v>182</v>
      </c>
      <c r="AA54" s="35" t="s">
        <v>1673</v>
      </c>
      <c r="AB54" s="35" t="s">
        <v>214</v>
      </c>
      <c r="AC54" s="35" t="s">
        <v>1726</v>
      </c>
      <c r="AM54" s="35" t="s">
        <v>160</v>
      </c>
      <c r="AN54" s="35">
        <v>4</v>
      </c>
      <c r="AO54" s="35">
        <v>4</v>
      </c>
      <c r="AP54" s="35" t="s">
        <v>184</v>
      </c>
      <c r="AQ54" s="35">
        <v>190</v>
      </c>
      <c r="AT54" s="63"/>
      <c r="AU54" s="35" t="s">
        <v>193</v>
      </c>
      <c r="AY54" s="35">
        <v>33100</v>
      </c>
      <c r="AZ54" s="35">
        <v>30600</v>
      </c>
      <c r="DJ54" s="35">
        <v>2460</v>
      </c>
      <c r="DK54" s="35">
        <v>1940</v>
      </c>
      <c r="DP54" s="12"/>
      <c r="DR54" s="15"/>
      <c r="EN54" s="35">
        <v>3</v>
      </c>
    </row>
    <row r="55" spans="1:144" s="35" customFormat="1" x14ac:dyDescent="0.25">
      <c r="A55" s="35">
        <v>3</v>
      </c>
      <c r="B55" s="35" t="s">
        <v>178</v>
      </c>
      <c r="C55" s="35" t="s">
        <v>179</v>
      </c>
      <c r="D55" s="35">
        <v>2008</v>
      </c>
      <c r="E55" s="35">
        <v>2005</v>
      </c>
      <c r="F55" s="35" t="s">
        <v>180</v>
      </c>
      <c r="G55" s="35" t="s">
        <v>181</v>
      </c>
      <c r="H55" s="35">
        <v>49.69</v>
      </c>
      <c r="I55" s="35">
        <v>-112.84</v>
      </c>
      <c r="J55" s="35">
        <v>901</v>
      </c>
      <c r="P55" s="54" t="s">
        <v>188</v>
      </c>
      <c r="Q55" s="54"/>
      <c r="R55" s="54"/>
      <c r="S55" s="54"/>
      <c r="U55" s="35">
        <v>37</v>
      </c>
      <c r="V55" s="35">
        <v>30</v>
      </c>
      <c r="W55" s="35" t="s">
        <v>182</v>
      </c>
      <c r="AA55" s="35" t="s">
        <v>1673</v>
      </c>
      <c r="AB55" s="35" t="s">
        <v>215</v>
      </c>
      <c r="AC55" s="35" t="s">
        <v>1726</v>
      </c>
      <c r="AM55" s="35" t="s">
        <v>160</v>
      </c>
      <c r="AN55" s="35">
        <v>4</v>
      </c>
      <c r="AO55" s="35">
        <v>4</v>
      </c>
      <c r="AP55" s="35" t="s">
        <v>184</v>
      </c>
      <c r="AQ55" s="35">
        <v>280</v>
      </c>
      <c r="AT55" s="63"/>
      <c r="AU55" s="35" t="s">
        <v>193</v>
      </c>
      <c r="AY55" s="35">
        <v>33100</v>
      </c>
      <c r="AZ55" s="35">
        <v>30900</v>
      </c>
      <c r="DJ55" s="35">
        <v>2460</v>
      </c>
      <c r="DK55" s="35">
        <v>1910</v>
      </c>
      <c r="DP55" s="12"/>
      <c r="DR55" s="15"/>
      <c r="EN55" s="35">
        <v>3</v>
      </c>
    </row>
    <row r="56" spans="1:144" s="35" customFormat="1" x14ac:dyDescent="0.25">
      <c r="A56" s="35">
        <v>3</v>
      </c>
      <c r="B56" s="35" t="s">
        <v>178</v>
      </c>
      <c r="C56" s="35" t="s">
        <v>179</v>
      </c>
      <c r="D56" s="35">
        <v>2008</v>
      </c>
      <c r="E56" s="35">
        <v>2005</v>
      </c>
      <c r="F56" s="35" t="s">
        <v>180</v>
      </c>
      <c r="G56" s="35" t="s">
        <v>181</v>
      </c>
      <c r="H56" s="35">
        <v>49.69</v>
      </c>
      <c r="I56" s="35">
        <v>-112.84</v>
      </c>
      <c r="J56" s="35">
        <v>901</v>
      </c>
      <c r="P56" s="54" t="s">
        <v>188</v>
      </c>
      <c r="Q56" s="54"/>
      <c r="R56" s="54"/>
      <c r="S56" s="54"/>
      <c r="U56" s="35">
        <v>37</v>
      </c>
      <c r="V56" s="35">
        <v>30</v>
      </c>
      <c r="W56" s="35" t="s">
        <v>182</v>
      </c>
      <c r="AA56" s="35" t="s">
        <v>1673</v>
      </c>
      <c r="AB56" s="35" t="s">
        <v>216</v>
      </c>
      <c r="AC56" s="35" t="s">
        <v>1726</v>
      </c>
      <c r="AM56" s="35" t="s">
        <v>160</v>
      </c>
      <c r="AN56" s="35">
        <v>4</v>
      </c>
      <c r="AO56" s="35">
        <v>4</v>
      </c>
      <c r="AP56" s="35" t="s">
        <v>184</v>
      </c>
      <c r="AQ56" s="35">
        <v>230</v>
      </c>
      <c r="AT56" s="63"/>
      <c r="AU56" s="35" t="s">
        <v>193</v>
      </c>
      <c r="AY56" s="35">
        <v>33100</v>
      </c>
      <c r="AZ56" s="35">
        <v>30500</v>
      </c>
      <c r="DJ56" s="35">
        <v>2460</v>
      </c>
      <c r="DK56" s="35">
        <v>2070</v>
      </c>
      <c r="DP56" s="12"/>
      <c r="DR56" s="15"/>
      <c r="EN56" s="35">
        <v>3</v>
      </c>
    </row>
    <row r="57" spans="1:144" s="24" customFormat="1" x14ac:dyDescent="0.25">
      <c r="A57" s="24">
        <v>4</v>
      </c>
      <c r="B57" s="24" t="s">
        <v>199</v>
      </c>
      <c r="C57" s="24" t="s">
        <v>198</v>
      </c>
      <c r="D57" s="24">
        <v>2010</v>
      </c>
      <c r="E57" s="24">
        <f>(1995+2009)/2</f>
        <v>2002</v>
      </c>
      <c r="F57" s="24" t="s">
        <v>200</v>
      </c>
      <c r="G57" s="24" t="s">
        <v>201</v>
      </c>
      <c r="H57" s="24">
        <v>38.14</v>
      </c>
      <c r="I57" s="24">
        <v>-97.43</v>
      </c>
      <c r="J57" s="24">
        <v>450</v>
      </c>
      <c r="L57" s="24">
        <v>14.4</v>
      </c>
      <c r="N57" s="24">
        <v>874</v>
      </c>
      <c r="P57" s="55" t="s">
        <v>221</v>
      </c>
      <c r="Q57" s="55"/>
      <c r="R57" s="55"/>
      <c r="S57" s="55" t="s">
        <v>659</v>
      </c>
      <c r="W57" s="24" t="s">
        <v>202</v>
      </c>
      <c r="AA57" s="24" t="s">
        <v>1674</v>
      </c>
      <c r="AB57" s="24" t="s">
        <v>219</v>
      </c>
      <c r="AC57" s="24" t="s">
        <v>156</v>
      </c>
      <c r="AD57" s="24" t="s">
        <v>218</v>
      </c>
      <c r="AE57" s="24" t="s">
        <v>218</v>
      </c>
      <c r="AF57" s="24" t="s">
        <v>252</v>
      </c>
      <c r="AG57" s="24" t="s">
        <v>217</v>
      </c>
      <c r="AH57" s="24" t="s">
        <v>217</v>
      </c>
      <c r="AI57" s="24" t="s">
        <v>252</v>
      </c>
      <c r="AJ57" s="24" t="s">
        <v>223</v>
      </c>
      <c r="AK57" s="24" t="s">
        <v>223</v>
      </c>
      <c r="AL57" s="24" t="s">
        <v>252</v>
      </c>
      <c r="AM57" s="24" t="s">
        <v>222</v>
      </c>
      <c r="AN57" s="24">
        <v>4</v>
      </c>
      <c r="AO57" s="24">
        <v>4</v>
      </c>
      <c r="AP57" s="24" t="s">
        <v>184</v>
      </c>
      <c r="AT57" s="65"/>
      <c r="BA57" s="25"/>
      <c r="BB57" s="24">
        <v>1.698</v>
      </c>
      <c r="BC57" s="24">
        <v>1.6326000000000001</v>
      </c>
      <c r="BE57" s="24">
        <f>13.681/10</f>
        <v>1.3680999999999999</v>
      </c>
      <c r="BF57" s="24">
        <f>16.9325/10</f>
        <v>1.6932500000000001</v>
      </c>
      <c r="CC57" s="24">
        <v>24</v>
      </c>
      <c r="CD57" s="24">
        <v>44</v>
      </c>
      <c r="CL57" s="24">
        <f>(1.1169+4.1126+5.577+10.9731)/4</f>
        <v>5.4449000000000005</v>
      </c>
      <c r="CM57" s="24">
        <f>(0.4534+10.1059+14.3185+18.7023)/4</f>
        <v>10.895025</v>
      </c>
      <c r="CN57" s="24" t="s">
        <v>228</v>
      </c>
      <c r="DA57" s="24">
        <v>21.817599999999999</v>
      </c>
      <c r="DB57" s="24">
        <v>18.354199999999999</v>
      </c>
      <c r="DD57" s="24">
        <v>0.15659999999999999</v>
      </c>
      <c r="DE57" s="24">
        <v>0.16850000000000001</v>
      </c>
      <c r="DP57" s="24">
        <v>92.7</v>
      </c>
      <c r="DQ57" s="24">
        <v>372.7</v>
      </c>
      <c r="DR57" s="15"/>
      <c r="EL57" s="24" t="s">
        <v>948</v>
      </c>
      <c r="EN57" s="24">
        <v>4</v>
      </c>
    </row>
    <row r="58" spans="1:144" s="24" customFormat="1" x14ac:dyDescent="0.25">
      <c r="A58" s="24">
        <v>4</v>
      </c>
      <c r="B58" s="24" t="s">
        <v>199</v>
      </c>
      <c r="C58" s="24" t="s">
        <v>198</v>
      </c>
      <c r="D58" s="24">
        <v>2010</v>
      </c>
      <c r="E58" s="24">
        <f>(1995+2009)/2</f>
        <v>2002</v>
      </c>
      <c r="F58" s="24" t="s">
        <v>200</v>
      </c>
      <c r="G58" s="24" t="s">
        <v>201</v>
      </c>
      <c r="H58" s="24">
        <v>38.14</v>
      </c>
      <c r="I58" s="24">
        <v>-97.43</v>
      </c>
      <c r="J58" s="24">
        <v>450</v>
      </c>
      <c r="L58" s="24">
        <v>14.4</v>
      </c>
      <c r="N58" s="24">
        <v>874</v>
      </c>
      <c r="P58" s="55" t="s">
        <v>221</v>
      </c>
      <c r="Q58" s="55"/>
      <c r="R58" s="55"/>
      <c r="S58" s="55" t="s">
        <v>660</v>
      </c>
      <c r="W58" s="24" t="s">
        <v>202</v>
      </c>
      <c r="AA58" s="24" t="s">
        <v>1674</v>
      </c>
      <c r="AB58" s="24" t="s">
        <v>219</v>
      </c>
      <c r="AC58" s="24" t="s">
        <v>156</v>
      </c>
      <c r="AD58" s="24" t="s">
        <v>218</v>
      </c>
      <c r="AE58" s="24" t="s">
        <v>218</v>
      </c>
      <c r="AF58" s="24" t="s">
        <v>252</v>
      </c>
      <c r="AG58" s="24" t="s">
        <v>217</v>
      </c>
      <c r="AH58" s="24" t="s">
        <v>217</v>
      </c>
      <c r="AI58" s="24" t="s">
        <v>252</v>
      </c>
      <c r="AJ58" s="24" t="s">
        <v>223</v>
      </c>
      <c r="AK58" s="24" t="s">
        <v>223</v>
      </c>
      <c r="AL58" s="24" t="s">
        <v>252</v>
      </c>
      <c r="AM58" s="24" t="s">
        <v>222</v>
      </c>
      <c r="AN58" s="24">
        <v>4</v>
      </c>
      <c r="AO58" s="24">
        <v>4</v>
      </c>
      <c r="AP58" s="24" t="s">
        <v>184</v>
      </c>
      <c r="AT58" s="65"/>
      <c r="BA58" s="25"/>
      <c r="BB58" s="24">
        <v>1.6915</v>
      </c>
      <c r="BC58" s="24">
        <v>1.6998</v>
      </c>
      <c r="BE58" s="24">
        <f>10.3067/10</f>
        <v>1.03067</v>
      </c>
      <c r="BF58" s="24">
        <f>10.7055/10</f>
        <v>1.0705500000000001</v>
      </c>
      <c r="CC58" s="24">
        <v>14</v>
      </c>
      <c r="CD58" s="24">
        <v>24</v>
      </c>
      <c r="DA58" s="24">
        <v>18.5625</v>
      </c>
      <c r="DB58" s="24">
        <v>16.010400000000001</v>
      </c>
      <c r="DD58" s="24">
        <v>0.152</v>
      </c>
      <c r="DE58" s="24">
        <v>0.16300000000000001</v>
      </c>
      <c r="DR58" s="15"/>
      <c r="EL58" s="24" t="s">
        <v>948</v>
      </c>
      <c r="EN58" s="24">
        <v>4</v>
      </c>
    </row>
    <row r="59" spans="1:144" s="24" customFormat="1" x14ac:dyDescent="0.25">
      <c r="A59" s="24">
        <v>4</v>
      </c>
      <c r="B59" s="24" t="s">
        <v>199</v>
      </c>
      <c r="C59" s="24" t="s">
        <v>198</v>
      </c>
      <c r="D59" s="24">
        <v>2010</v>
      </c>
      <c r="E59" s="24">
        <f t="shared" ref="E59:E64" si="0">(1995+2009)/2</f>
        <v>2002</v>
      </c>
      <c r="F59" s="24" t="s">
        <v>200</v>
      </c>
      <c r="G59" s="24" t="s">
        <v>201</v>
      </c>
      <c r="H59" s="24">
        <v>38.14</v>
      </c>
      <c r="I59" s="24">
        <v>-97.43</v>
      </c>
      <c r="J59" s="24">
        <v>450</v>
      </c>
      <c r="L59" s="24">
        <v>14.4</v>
      </c>
      <c r="N59" s="24">
        <v>874</v>
      </c>
      <c r="P59" s="55" t="s">
        <v>221</v>
      </c>
      <c r="Q59" s="55"/>
      <c r="R59" s="55"/>
      <c r="S59" s="55" t="s">
        <v>659</v>
      </c>
      <c r="W59" s="24" t="s">
        <v>202</v>
      </c>
      <c r="AA59" s="24" t="s">
        <v>1674</v>
      </c>
      <c r="AB59" s="24" t="s">
        <v>220</v>
      </c>
      <c r="AC59" s="24" t="s">
        <v>156</v>
      </c>
      <c r="AD59" s="24" t="s">
        <v>218</v>
      </c>
      <c r="AE59" s="24" t="s">
        <v>218</v>
      </c>
      <c r="AF59" s="24" t="s">
        <v>252</v>
      </c>
      <c r="AG59" s="24" t="s">
        <v>217</v>
      </c>
      <c r="AH59" s="24" t="s">
        <v>217</v>
      </c>
      <c r="AI59" s="24" t="s">
        <v>252</v>
      </c>
      <c r="AJ59" s="24" t="s">
        <v>223</v>
      </c>
      <c r="AK59" s="24" t="s">
        <v>223</v>
      </c>
      <c r="AL59" s="24" t="s">
        <v>252</v>
      </c>
      <c r="AM59" s="24" t="s">
        <v>222</v>
      </c>
      <c r="AN59" s="24">
        <v>4</v>
      </c>
      <c r="AO59" s="24">
        <v>4</v>
      </c>
      <c r="AP59" s="24" t="s">
        <v>184</v>
      </c>
      <c r="AT59" s="65"/>
      <c r="BA59" s="25"/>
      <c r="BB59" s="24">
        <v>1.698</v>
      </c>
      <c r="BC59" s="24">
        <v>1.6104000000000001</v>
      </c>
      <c r="BE59" s="24">
        <f>13.681/10</f>
        <v>1.3680999999999999</v>
      </c>
      <c r="BF59" s="24">
        <f>18.1595/10</f>
        <v>1.8159500000000002</v>
      </c>
      <c r="CC59" s="24">
        <v>24</v>
      </c>
      <c r="CD59" s="24">
        <v>41</v>
      </c>
      <c r="CL59" s="24">
        <f t="shared" ref="CL59" si="1">(1.1169+4.1126+5.577+10.9731)/4</f>
        <v>5.4449000000000005</v>
      </c>
      <c r="CM59" s="24">
        <f>(5.8369+13.6663+17.0158+24.68)/4</f>
        <v>15.29975</v>
      </c>
      <c r="CN59" s="24" t="s">
        <v>228</v>
      </c>
      <c r="DA59" s="24">
        <v>21.817599999999999</v>
      </c>
      <c r="DB59" s="24">
        <v>18.197900000000001</v>
      </c>
      <c r="DD59" s="24">
        <v>0.15659999999999999</v>
      </c>
      <c r="DE59" s="24">
        <v>0.1772</v>
      </c>
      <c r="DP59" s="24">
        <v>92.7</v>
      </c>
      <c r="DQ59" s="24">
        <v>623.6</v>
      </c>
      <c r="DR59" s="15"/>
      <c r="EL59" s="24" t="s">
        <v>948</v>
      </c>
      <c r="EN59" s="24">
        <v>4</v>
      </c>
    </row>
    <row r="60" spans="1:144" s="24" customFormat="1" x14ac:dyDescent="0.25">
      <c r="A60" s="24">
        <v>4</v>
      </c>
      <c r="B60" s="24" t="s">
        <v>199</v>
      </c>
      <c r="C60" s="24" t="s">
        <v>198</v>
      </c>
      <c r="D60" s="24">
        <v>2010</v>
      </c>
      <c r="E60" s="24">
        <f t="shared" si="0"/>
        <v>2002</v>
      </c>
      <c r="F60" s="24" t="s">
        <v>200</v>
      </c>
      <c r="G60" s="24" t="s">
        <v>201</v>
      </c>
      <c r="H60" s="24">
        <v>38.14</v>
      </c>
      <c r="I60" s="24">
        <v>-97.43</v>
      </c>
      <c r="J60" s="24">
        <v>450</v>
      </c>
      <c r="L60" s="24">
        <v>14.4</v>
      </c>
      <c r="N60" s="24">
        <v>874</v>
      </c>
      <c r="P60" s="55" t="s">
        <v>221</v>
      </c>
      <c r="Q60" s="55"/>
      <c r="R60" s="55"/>
      <c r="S60" s="55" t="s">
        <v>660</v>
      </c>
      <c r="W60" s="24" t="s">
        <v>202</v>
      </c>
      <c r="AA60" s="24" t="s">
        <v>1674</v>
      </c>
      <c r="AB60" s="24" t="s">
        <v>220</v>
      </c>
      <c r="AC60" s="24" t="s">
        <v>156</v>
      </c>
      <c r="AD60" s="24" t="s">
        <v>218</v>
      </c>
      <c r="AE60" s="24" t="s">
        <v>218</v>
      </c>
      <c r="AF60" s="24" t="s">
        <v>252</v>
      </c>
      <c r="AG60" s="24" t="s">
        <v>217</v>
      </c>
      <c r="AH60" s="24" t="s">
        <v>217</v>
      </c>
      <c r="AI60" s="24" t="s">
        <v>252</v>
      </c>
      <c r="AJ60" s="24" t="s">
        <v>223</v>
      </c>
      <c r="AK60" s="24" t="s">
        <v>223</v>
      </c>
      <c r="AL60" s="24" t="s">
        <v>252</v>
      </c>
      <c r="AM60" s="24" t="s">
        <v>222</v>
      </c>
      <c r="AN60" s="24">
        <v>4</v>
      </c>
      <c r="AO60" s="24">
        <v>4</v>
      </c>
      <c r="AP60" s="24" t="s">
        <v>184</v>
      </c>
      <c r="AT60" s="65"/>
      <c r="BA60" s="25"/>
      <c r="BB60" s="24">
        <v>1.6915</v>
      </c>
      <c r="BC60" s="24">
        <v>1.6932</v>
      </c>
      <c r="BE60" s="24">
        <f>10.3067/10</f>
        <v>1.03067</v>
      </c>
      <c r="BF60" s="24">
        <f>10.6135/10</f>
        <v>1.06135</v>
      </c>
      <c r="CC60" s="24">
        <v>14</v>
      </c>
      <c r="CD60" s="24">
        <v>18</v>
      </c>
      <c r="DA60" s="24">
        <v>18.5625</v>
      </c>
      <c r="DB60" s="24">
        <v>16.244800000000001</v>
      </c>
      <c r="DD60" s="24">
        <v>0.152</v>
      </c>
      <c r="DE60" s="24">
        <v>0.16789999999999999</v>
      </c>
      <c r="DP60" s="12"/>
      <c r="DR60" s="15"/>
      <c r="EL60" s="24" t="s">
        <v>948</v>
      </c>
      <c r="EN60" s="24">
        <v>4</v>
      </c>
    </row>
    <row r="61" spans="1:144" s="24" customFormat="1" x14ac:dyDescent="0.25">
      <c r="A61" s="24">
        <v>4</v>
      </c>
      <c r="B61" s="24" t="s">
        <v>199</v>
      </c>
      <c r="C61" s="24" t="s">
        <v>198</v>
      </c>
      <c r="D61" s="24">
        <v>2010</v>
      </c>
      <c r="E61" s="24">
        <f t="shared" si="0"/>
        <v>2002</v>
      </c>
      <c r="F61" s="24" t="s">
        <v>200</v>
      </c>
      <c r="G61" s="24" t="s">
        <v>201</v>
      </c>
      <c r="H61" s="24">
        <v>38.14</v>
      </c>
      <c r="I61" s="24">
        <v>-97.43</v>
      </c>
      <c r="J61" s="24">
        <v>450</v>
      </c>
      <c r="L61" s="24">
        <v>14.4</v>
      </c>
      <c r="N61" s="24">
        <v>874</v>
      </c>
      <c r="P61" s="55" t="s">
        <v>221</v>
      </c>
      <c r="Q61" s="55"/>
      <c r="R61" s="55"/>
      <c r="S61" s="55" t="s">
        <v>659</v>
      </c>
      <c r="W61" s="24" t="s">
        <v>202</v>
      </c>
      <c r="AA61" s="24" t="s">
        <v>1674</v>
      </c>
      <c r="AB61" s="24" t="s">
        <v>219</v>
      </c>
      <c r="AC61" s="24" t="s">
        <v>156</v>
      </c>
      <c r="AD61" s="24" t="s">
        <v>218</v>
      </c>
      <c r="AE61" s="24" t="s">
        <v>218</v>
      </c>
      <c r="AF61" s="24" t="s">
        <v>252</v>
      </c>
      <c r="AG61" s="24" t="s">
        <v>217</v>
      </c>
      <c r="AH61" s="24" t="s">
        <v>217</v>
      </c>
      <c r="AI61" s="24" t="s">
        <v>252</v>
      </c>
      <c r="AJ61" s="24" t="s">
        <v>224</v>
      </c>
      <c r="AK61" s="24" t="s">
        <v>224</v>
      </c>
      <c r="AL61" s="24" t="s">
        <v>252</v>
      </c>
      <c r="AM61" s="24" t="s">
        <v>222</v>
      </c>
      <c r="AN61" s="24">
        <v>4</v>
      </c>
      <c r="AO61" s="24">
        <v>4</v>
      </c>
      <c r="AP61" s="24" t="s">
        <v>184</v>
      </c>
      <c r="AT61" s="65"/>
      <c r="BA61" s="25"/>
      <c r="BB61" s="24">
        <v>1.6419999999999999</v>
      </c>
      <c r="BC61" s="24">
        <v>1.6059000000000001</v>
      </c>
      <c r="BE61" s="24">
        <f>13.681/10</f>
        <v>1.3680999999999999</v>
      </c>
      <c r="BF61" s="24">
        <f>17.3313/10</f>
        <v>1.7331299999999998</v>
      </c>
      <c r="DD61" s="24">
        <v>0.16930000000000001</v>
      </c>
      <c r="DE61" s="24">
        <v>0.18</v>
      </c>
      <c r="DP61" s="12"/>
      <c r="DR61" s="15"/>
      <c r="EL61" s="24" t="s">
        <v>948</v>
      </c>
      <c r="EN61" s="24">
        <v>4</v>
      </c>
    </row>
    <row r="62" spans="1:144" s="24" customFormat="1" x14ac:dyDescent="0.25">
      <c r="A62" s="24">
        <v>4</v>
      </c>
      <c r="B62" s="24" t="s">
        <v>199</v>
      </c>
      <c r="C62" s="24" t="s">
        <v>198</v>
      </c>
      <c r="D62" s="24">
        <v>2010</v>
      </c>
      <c r="E62" s="24">
        <f t="shared" si="0"/>
        <v>2002</v>
      </c>
      <c r="F62" s="24" t="s">
        <v>200</v>
      </c>
      <c r="G62" s="24" t="s">
        <v>201</v>
      </c>
      <c r="H62" s="24">
        <v>38.14</v>
      </c>
      <c r="I62" s="24">
        <v>-97.43</v>
      </c>
      <c r="J62" s="24">
        <v>450</v>
      </c>
      <c r="L62" s="24">
        <v>14.4</v>
      </c>
      <c r="N62" s="24">
        <v>874</v>
      </c>
      <c r="P62" s="55" t="s">
        <v>221</v>
      </c>
      <c r="Q62" s="55"/>
      <c r="R62" s="55"/>
      <c r="S62" s="55" t="s">
        <v>660</v>
      </c>
      <c r="W62" s="24" t="s">
        <v>202</v>
      </c>
      <c r="AA62" s="24" t="s">
        <v>1674</v>
      </c>
      <c r="AB62" s="24" t="s">
        <v>219</v>
      </c>
      <c r="AC62" s="24" t="s">
        <v>156</v>
      </c>
      <c r="AD62" s="24" t="s">
        <v>218</v>
      </c>
      <c r="AE62" s="24" t="s">
        <v>218</v>
      </c>
      <c r="AF62" s="24" t="s">
        <v>252</v>
      </c>
      <c r="AG62" s="24" t="s">
        <v>217</v>
      </c>
      <c r="AH62" s="24" t="s">
        <v>217</v>
      </c>
      <c r="AI62" s="24" t="s">
        <v>252</v>
      </c>
      <c r="AJ62" s="24" t="s">
        <v>224</v>
      </c>
      <c r="AK62" s="24" t="s">
        <v>224</v>
      </c>
      <c r="AL62" s="24" t="s">
        <v>252</v>
      </c>
      <c r="AM62" s="24" t="s">
        <v>222</v>
      </c>
      <c r="AN62" s="24">
        <v>4</v>
      </c>
      <c r="AO62" s="24">
        <v>4</v>
      </c>
      <c r="AP62" s="24" t="s">
        <v>184</v>
      </c>
      <c r="AT62" s="65"/>
      <c r="BA62" s="25"/>
      <c r="BB62" s="24">
        <v>1.7101999999999999</v>
      </c>
      <c r="BC62" s="24">
        <v>1.6938</v>
      </c>
      <c r="BE62" s="24">
        <f>10.3067/10</f>
        <v>1.03067</v>
      </c>
      <c r="BF62" s="24">
        <f>10.2147/10</f>
        <v>1.0214700000000001</v>
      </c>
      <c r="DD62" s="24">
        <v>0.16109999999999999</v>
      </c>
      <c r="DE62" s="24">
        <v>0.16189999999999999</v>
      </c>
      <c r="DP62" s="12"/>
      <c r="DR62" s="15"/>
      <c r="EL62" s="24" t="s">
        <v>948</v>
      </c>
      <c r="EN62" s="24">
        <v>4</v>
      </c>
    </row>
    <row r="63" spans="1:144" s="24" customFormat="1" x14ac:dyDescent="0.25">
      <c r="A63" s="24">
        <v>4</v>
      </c>
      <c r="B63" s="24" t="s">
        <v>199</v>
      </c>
      <c r="C63" s="24" t="s">
        <v>198</v>
      </c>
      <c r="D63" s="24">
        <v>2010</v>
      </c>
      <c r="E63" s="24">
        <f t="shared" si="0"/>
        <v>2002</v>
      </c>
      <c r="F63" s="24" t="s">
        <v>200</v>
      </c>
      <c r="G63" s="24" t="s">
        <v>201</v>
      </c>
      <c r="H63" s="24">
        <v>38.14</v>
      </c>
      <c r="I63" s="24">
        <v>-97.43</v>
      </c>
      <c r="J63" s="24">
        <v>450</v>
      </c>
      <c r="L63" s="24">
        <v>14.4</v>
      </c>
      <c r="N63" s="24">
        <v>874</v>
      </c>
      <c r="P63" s="55" t="s">
        <v>221</v>
      </c>
      <c r="Q63" s="55"/>
      <c r="R63" s="55"/>
      <c r="S63" s="55" t="s">
        <v>659</v>
      </c>
      <c r="W63" s="24" t="s">
        <v>202</v>
      </c>
      <c r="AA63" s="24" t="s">
        <v>1674</v>
      </c>
      <c r="AB63" s="24" t="s">
        <v>220</v>
      </c>
      <c r="AC63" s="24" t="s">
        <v>156</v>
      </c>
      <c r="AD63" s="24" t="s">
        <v>218</v>
      </c>
      <c r="AE63" s="24" t="s">
        <v>218</v>
      </c>
      <c r="AF63" s="24" t="s">
        <v>252</v>
      </c>
      <c r="AG63" s="24" t="s">
        <v>217</v>
      </c>
      <c r="AH63" s="24" t="s">
        <v>217</v>
      </c>
      <c r="AI63" s="24" t="s">
        <v>252</v>
      </c>
      <c r="AJ63" s="24" t="s">
        <v>224</v>
      </c>
      <c r="AK63" s="24" t="s">
        <v>224</v>
      </c>
      <c r="AL63" s="24" t="s">
        <v>252</v>
      </c>
      <c r="AM63" s="24" t="s">
        <v>222</v>
      </c>
      <c r="AN63" s="24">
        <v>4</v>
      </c>
      <c r="AO63" s="24">
        <v>4</v>
      </c>
      <c r="AP63" s="24" t="s">
        <v>184</v>
      </c>
      <c r="AT63" s="65"/>
      <c r="BA63" s="25"/>
      <c r="BB63" s="24">
        <v>1.6419999999999999</v>
      </c>
      <c r="BC63" s="24">
        <v>1.6193</v>
      </c>
      <c r="BE63" s="24">
        <f>13.681/10</f>
        <v>1.3680999999999999</v>
      </c>
      <c r="BF63" s="24">
        <f>17.3313/10</f>
        <v>1.7331299999999998</v>
      </c>
      <c r="DD63" s="24">
        <v>0.16930000000000001</v>
      </c>
      <c r="DE63" s="24">
        <v>0.1774</v>
      </c>
      <c r="DP63" s="12"/>
      <c r="DR63" s="15"/>
      <c r="EL63" s="24" t="s">
        <v>948</v>
      </c>
      <c r="EN63" s="24">
        <v>4</v>
      </c>
    </row>
    <row r="64" spans="1:144" s="24" customFormat="1" x14ac:dyDescent="0.25">
      <c r="A64" s="24">
        <v>4</v>
      </c>
      <c r="B64" s="24" t="s">
        <v>199</v>
      </c>
      <c r="C64" s="24" t="s">
        <v>198</v>
      </c>
      <c r="D64" s="24">
        <v>2010</v>
      </c>
      <c r="E64" s="24">
        <f t="shared" si="0"/>
        <v>2002</v>
      </c>
      <c r="F64" s="24" t="s">
        <v>200</v>
      </c>
      <c r="G64" s="24" t="s">
        <v>201</v>
      </c>
      <c r="H64" s="24">
        <v>38.14</v>
      </c>
      <c r="I64" s="24">
        <v>-97.43</v>
      </c>
      <c r="J64" s="24">
        <v>450</v>
      </c>
      <c r="L64" s="24">
        <v>14.4</v>
      </c>
      <c r="N64" s="24">
        <v>874</v>
      </c>
      <c r="P64" s="55" t="s">
        <v>221</v>
      </c>
      <c r="Q64" s="55"/>
      <c r="R64" s="55"/>
      <c r="S64" s="55" t="s">
        <v>660</v>
      </c>
      <c r="W64" s="24" t="s">
        <v>202</v>
      </c>
      <c r="AA64" s="24" t="s">
        <v>1674</v>
      </c>
      <c r="AB64" s="24" t="s">
        <v>220</v>
      </c>
      <c r="AC64" s="24" t="s">
        <v>156</v>
      </c>
      <c r="AD64" s="24" t="s">
        <v>218</v>
      </c>
      <c r="AE64" s="24" t="s">
        <v>218</v>
      </c>
      <c r="AF64" s="24" t="s">
        <v>252</v>
      </c>
      <c r="AG64" s="24" t="s">
        <v>217</v>
      </c>
      <c r="AH64" s="24" t="s">
        <v>217</v>
      </c>
      <c r="AI64" s="24" t="s">
        <v>252</v>
      </c>
      <c r="AJ64" s="24" t="s">
        <v>224</v>
      </c>
      <c r="AK64" s="24" t="s">
        <v>224</v>
      </c>
      <c r="AL64" s="24" t="s">
        <v>252</v>
      </c>
      <c r="AM64" s="24" t="s">
        <v>222</v>
      </c>
      <c r="AN64" s="24">
        <v>4</v>
      </c>
      <c r="AO64" s="24">
        <v>4</v>
      </c>
      <c r="AP64" s="24" t="s">
        <v>184</v>
      </c>
      <c r="AT64" s="65"/>
      <c r="BA64" s="25"/>
      <c r="BB64" s="24">
        <v>1.7101999999999999</v>
      </c>
      <c r="BC64" s="24">
        <v>1.6987000000000001</v>
      </c>
      <c r="BE64" s="24">
        <f>10.3067/10</f>
        <v>1.03067</v>
      </c>
      <c r="BF64" s="24">
        <f>10.2147/10</f>
        <v>1.0214700000000001</v>
      </c>
      <c r="DD64" s="24">
        <v>0.16109999999999999</v>
      </c>
      <c r="DE64" s="24">
        <v>0.1671</v>
      </c>
      <c r="DP64" s="12"/>
      <c r="DR64" s="15"/>
      <c r="EL64" s="24" t="s">
        <v>948</v>
      </c>
      <c r="EN64" s="24">
        <v>4</v>
      </c>
    </row>
    <row r="65" spans="1:144" s="26" customFormat="1" x14ac:dyDescent="0.25">
      <c r="A65" s="26">
        <v>5</v>
      </c>
      <c r="B65" s="26" t="s">
        <v>199</v>
      </c>
      <c r="C65" s="26" t="s">
        <v>198</v>
      </c>
      <c r="D65" s="26">
        <v>2013</v>
      </c>
      <c r="E65" s="26">
        <v>2011</v>
      </c>
      <c r="F65" s="26" t="s">
        <v>200</v>
      </c>
      <c r="G65" s="26" t="s">
        <v>229</v>
      </c>
      <c r="H65" s="26">
        <v>37.97</v>
      </c>
      <c r="I65" s="26">
        <v>-100.87</v>
      </c>
      <c r="J65" s="26">
        <v>865.6</v>
      </c>
      <c r="M65" s="26">
        <v>400</v>
      </c>
      <c r="N65" s="26">
        <v>489</v>
      </c>
      <c r="P65" s="52" t="s">
        <v>189</v>
      </c>
      <c r="Q65" s="52"/>
      <c r="R65" s="52"/>
      <c r="S65" s="52" t="s">
        <v>659</v>
      </c>
      <c r="W65" s="26" t="s">
        <v>230</v>
      </c>
      <c r="AA65" s="26" t="s">
        <v>1675</v>
      </c>
      <c r="AB65" s="26" t="s">
        <v>233</v>
      </c>
      <c r="AC65" s="26" t="s">
        <v>156</v>
      </c>
      <c r="AD65" s="26" t="s">
        <v>825</v>
      </c>
      <c r="AE65" s="26" t="s">
        <v>825</v>
      </c>
      <c r="AF65" s="26" t="s">
        <v>252</v>
      </c>
      <c r="AM65" s="26" t="s">
        <v>160</v>
      </c>
      <c r="AN65" s="26">
        <v>4</v>
      </c>
      <c r="AO65" s="26">
        <v>4</v>
      </c>
      <c r="AP65" s="26" t="s">
        <v>247</v>
      </c>
      <c r="AT65" s="63"/>
      <c r="BB65" s="26">
        <v>1.57</v>
      </c>
      <c r="BC65" s="26">
        <v>1.45</v>
      </c>
      <c r="BE65" s="26">
        <f>8.7/1000*100</f>
        <v>0.86999999999999988</v>
      </c>
      <c r="BF65" s="26">
        <v>0.91999999999999993</v>
      </c>
      <c r="BG65" s="26" t="s">
        <v>821</v>
      </c>
      <c r="CC65" s="26">
        <f>0.5877*100</f>
        <v>58.77</v>
      </c>
      <c r="CD65" s="26">
        <f>0.4353*100</f>
        <v>43.53</v>
      </c>
      <c r="CE65" s="26" t="s">
        <v>1073</v>
      </c>
      <c r="CR65" s="26">
        <v>1.5893999999999999</v>
      </c>
      <c r="CS65" s="26">
        <v>0.96489999999999998</v>
      </c>
      <c r="CT65" s="26" t="s">
        <v>242</v>
      </c>
      <c r="DP65" s="12"/>
      <c r="DR65" s="15"/>
      <c r="EL65" s="26" t="s">
        <v>949</v>
      </c>
      <c r="EN65" s="26">
        <v>5</v>
      </c>
    </row>
    <row r="66" spans="1:144" s="26" customFormat="1" x14ac:dyDescent="0.25">
      <c r="A66" s="26">
        <v>5</v>
      </c>
      <c r="B66" s="26" t="s">
        <v>199</v>
      </c>
      <c r="C66" s="26" t="s">
        <v>198</v>
      </c>
      <c r="D66" s="26">
        <v>2013</v>
      </c>
      <c r="E66" s="26">
        <v>2011</v>
      </c>
      <c r="F66" s="26" t="s">
        <v>200</v>
      </c>
      <c r="G66" s="26" t="s">
        <v>229</v>
      </c>
      <c r="H66" s="26">
        <v>37.97</v>
      </c>
      <c r="I66" s="26">
        <v>-100.87</v>
      </c>
      <c r="J66" s="26">
        <v>865.6</v>
      </c>
      <c r="M66" s="26">
        <v>400</v>
      </c>
      <c r="N66" s="26">
        <v>489</v>
      </c>
      <c r="P66" s="52" t="s">
        <v>189</v>
      </c>
      <c r="Q66" s="52"/>
      <c r="R66" s="52"/>
      <c r="S66" s="52" t="s">
        <v>659</v>
      </c>
      <c r="W66" s="26" t="s">
        <v>230</v>
      </c>
      <c r="AA66" s="26" t="s">
        <v>1675</v>
      </c>
      <c r="AB66" s="26" t="s">
        <v>231</v>
      </c>
      <c r="AC66" s="26" t="s">
        <v>156</v>
      </c>
      <c r="AD66" s="26" t="s">
        <v>825</v>
      </c>
      <c r="AE66" s="26" t="s">
        <v>825</v>
      </c>
      <c r="AF66" s="26" t="s">
        <v>252</v>
      </c>
      <c r="AM66" s="26" t="s">
        <v>160</v>
      </c>
      <c r="AN66" s="26">
        <v>4</v>
      </c>
      <c r="AO66" s="26">
        <v>4</v>
      </c>
      <c r="AP66" s="26" t="s">
        <v>247</v>
      </c>
      <c r="AT66" s="63"/>
      <c r="BB66" s="26">
        <v>1.57</v>
      </c>
      <c r="BC66" s="26">
        <v>1.55</v>
      </c>
      <c r="BE66" s="26">
        <f t="shared" ref="BE66:BE72" si="2">8.7/1000*100</f>
        <v>0.86999999999999988</v>
      </c>
      <c r="BF66" s="26">
        <v>1.01</v>
      </c>
      <c r="BG66" s="26" t="s">
        <v>821</v>
      </c>
      <c r="CC66" s="26">
        <f t="shared" ref="CC66:CC72" si="3">0.5877*100</f>
        <v>58.77</v>
      </c>
      <c r="CD66" s="26">
        <f>0.3374*100</f>
        <v>33.739999999999995</v>
      </c>
      <c r="CE66" s="26" t="s">
        <v>1073</v>
      </c>
      <c r="CR66" s="26">
        <v>1.5893999999999999</v>
      </c>
      <c r="CS66" s="26">
        <v>0.50319999999999998</v>
      </c>
      <c r="CT66" s="26" t="s">
        <v>242</v>
      </c>
      <c r="DP66" s="12"/>
      <c r="DR66" s="15"/>
      <c r="EL66" s="26" t="s">
        <v>949</v>
      </c>
      <c r="EN66" s="26">
        <v>5</v>
      </c>
    </row>
    <row r="67" spans="1:144" s="26" customFormat="1" x14ac:dyDescent="0.25">
      <c r="A67" s="26">
        <v>5</v>
      </c>
      <c r="B67" s="26" t="s">
        <v>199</v>
      </c>
      <c r="C67" s="26" t="s">
        <v>198</v>
      </c>
      <c r="D67" s="26">
        <v>2013</v>
      </c>
      <c r="E67" s="26">
        <v>2011</v>
      </c>
      <c r="F67" s="26" t="s">
        <v>200</v>
      </c>
      <c r="G67" s="26" t="s">
        <v>229</v>
      </c>
      <c r="H67" s="26">
        <v>37.97</v>
      </c>
      <c r="I67" s="26">
        <v>-100.87</v>
      </c>
      <c r="J67" s="26">
        <v>865.6</v>
      </c>
      <c r="M67" s="26">
        <v>400</v>
      </c>
      <c r="N67" s="26">
        <v>489</v>
      </c>
      <c r="P67" s="52" t="s">
        <v>189</v>
      </c>
      <c r="Q67" s="52"/>
      <c r="R67" s="52"/>
      <c r="S67" s="52" t="s">
        <v>659</v>
      </c>
      <c r="W67" s="26" t="s">
        <v>230</v>
      </c>
      <c r="AA67" s="26" t="s">
        <v>1675</v>
      </c>
      <c r="AB67" s="26" t="s">
        <v>232</v>
      </c>
      <c r="AC67" s="26" t="s">
        <v>156</v>
      </c>
      <c r="AD67" s="26" t="s">
        <v>825</v>
      </c>
      <c r="AE67" s="26" t="s">
        <v>825</v>
      </c>
      <c r="AF67" s="26" t="s">
        <v>252</v>
      </c>
      <c r="AM67" s="26" t="s">
        <v>160</v>
      </c>
      <c r="AN67" s="26">
        <v>4</v>
      </c>
      <c r="AO67" s="26">
        <v>4</v>
      </c>
      <c r="AP67" s="26" t="s">
        <v>247</v>
      </c>
      <c r="AT67" s="63"/>
      <c r="BB67" s="26">
        <v>1.57</v>
      </c>
      <c r="BC67" s="26">
        <v>1.49</v>
      </c>
      <c r="BE67" s="26">
        <f t="shared" si="2"/>
        <v>0.86999999999999988</v>
      </c>
      <c r="BF67" s="26">
        <v>1.08</v>
      </c>
      <c r="BG67" s="26" t="s">
        <v>821</v>
      </c>
      <c r="CC67" s="26">
        <f t="shared" si="3"/>
        <v>58.77</v>
      </c>
      <c r="CD67" s="26">
        <f>0.423*100</f>
        <v>42.3</v>
      </c>
      <c r="CE67" s="26" t="s">
        <v>1073</v>
      </c>
      <c r="DP67" s="12"/>
      <c r="DR67" s="15"/>
      <c r="EL67" s="26" t="s">
        <v>949</v>
      </c>
      <c r="EN67" s="26">
        <v>5</v>
      </c>
    </row>
    <row r="68" spans="1:144" s="26" customFormat="1" x14ac:dyDescent="0.25">
      <c r="A68" s="26">
        <v>5</v>
      </c>
      <c r="B68" s="26" t="s">
        <v>199</v>
      </c>
      <c r="C68" s="26" t="s">
        <v>198</v>
      </c>
      <c r="D68" s="26">
        <v>2013</v>
      </c>
      <c r="E68" s="26">
        <v>2011</v>
      </c>
      <c r="F68" s="26" t="s">
        <v>200</v>
      </c>
      <c r="G68" s="26" t="s">
        <v>229</v>
      </c>
      <c r="H68" s="26">
        <v>37.97</v>
      </c>
      <c r="I68" s="26">
        <v>-100.87</v>
      </c>
      <c r="J68" s="26">
        <v>865.6</v>
      </c>
      <c r="M68" s="26">
        <v>400</v>
      </c>
      <c r="N68" s="26">
        <v>489</v>
      </c>
      <c r="P68" s="52" t="s">
        <v>189</v>
      </c>
      <c r="Q68" s="52"/>
      <c r="R68" s="52"/>
      <c r="S68" s="52" t="s">
        <v>659</v>
      </c>
      <c r="W68" s="26" t="s">
        <v>230</v>
      </c>
      <c r="AA68" s="26" t="s">
        <v>1675</v>
      </c>
      <c r="AB68" s="26" t="s">
        <v>234</v>
      </c>
      <c r="AC68" s="26" t="s">
        <v>156</v>
      </c>
      <c r="AD68" s="26" t="s">
        <v>825</v>
      </c>
      <c r="AE68" s="26" t="s">
        <v>825</v>
      </c>
      <c r="AF68" s="26" t="s">
        <v>252</v>
      </c>
      <c r="AM68" s="26" t="s">
        <v>160</v>
      </c>
      <c r="AN68" s="26">
        <v>4</v>
      </c>
      <c r="AO68" s="26">
        <v>4</v>
      </c>
      <c r="AP68" s="26" t="s">
        <v>247</v>
      </c>
      <c r="AT68" s="63"/>
      <c r="BB68" s="26">
        <v>1.57</v>
      </c>
      <c r="BC68" s="26">
        <v>1.39</v>
      </c>
      <c r="BE68" s="26">
        <f t="shared" si="2"/>
        <v>0.86999999999999988</v>
      </c>
      <c r="BF68" s="26">
        <v>1.1400000000000001</v>
      </c>
      <c r="BG68" s="26" t="s">
        <v>821</v>
      </c>
      <c r="CC68" s="26">
        <f t="shared" si="3"/>
        <v>58.77</v>
      </c>
      <c r="CD68" s="26">
        <f>0.3939*100</f>
        <v>39.39</v>
      </c>
      <c r="CE68" s="26" t="s">
        <v>1073</v>
      </c>
      <c r="CR68" s="26">
        <v>1.5893999999999999</v>
      </c>
      <c r="CS68" s="26">
        <v>0.3256</v>
      </c>
      <c r="CT68" s="26" t="s">
        <v>242</v>
      </c>
      <c r="DP68" s="12"/>
      <c r="DR68" s="15"/>
      <c r="EL68" s="26" t="s">
        <v>949</v>
      </c>
      <c r="EN68" s="26">
        <v>5</v>
      </c>
    </row>
    <row r="69" spans="1:144" s="26" customFormat="1" x14ac:dyDescent="0.25">
      <c r="A69" s="26">
        <v>5</v>
      </c>
      <c r="B69" s="26" t="s">
        <v>199</v>
      </c>
      <c r="C69" s="26" t="s">
        <v>198</v>
      </c>
      <c r="D69" s="26">
        <v>2013</v>
      </c>
      <c r="E69" s="26">
        <v>2011</v>
      </c>
      <c r="F69" s="26" t="s">
        <v>200</v>
      </c>
      <c r="G69" s="26" t="s">
        <v>229</v>
      </c>
      <c r="H69" s="26">
        <v>37.97</v>
      </c>
      <c r="I69" s="26">
        <v>-100.87</v>
      </c>
      <c r="J69" s="26">
        <v>865.6</v>
      </c>
      <c r="M69" s="26">
        <v>400</v>
      </c>
      <c r="N69" s="26">
        <v>489</v>
      </c>
      <c r="P69" s="52" t="s">
        <v>189</v>
      </c>
      <c r="Q69" s="52"/>
      <c r="R69" s="52"/>
      <c r="S69" s="52" t="s">
        <v>659</v>
      </c>
      <c r="W69" s="26" t="s">
        <v>230</v>
      </c>
      <c r="AA69" s="26" t="s">
        <v>1675</v>
      </c>
      <c r="AB69" s="26" t="s">
        <v>235</v>
      </c>
      <c r="AC69" s="26" t="s">
        <v>156</v>
      </c>
      <c r="AD69" s="26" t="s">
        <v>825</v>
      </c>
      <c r="AE69" s="26" t="s">
        <v>825</v>
      </c>
      <c r="AF69" s="26" t="s">
        <v>252</v>
      </c>
      <c r="AM69" s="26" t="s">
        <v>160</v>
      </c>
      <c r="AN69" s="26">
        <v>4</v>
      </c>
      <c r="AO69" s="26">
        <v>4</v>
      </c>
      <c r="AP69" s="26" t="s">
        <v>247</v>
      </c>
      <c r="AT69" s="63"/>
      <c r="AU69" s="26" t="s">
        <v>237</v>
      </c>
      <c r="BB69" s="26">
        <v>1.57</v>
      </c>
      <c r="BC69" s="26">
        <v>1.46</v>
      </c>
      <c r="BE69" s="26">
        <f t="shared" si="2"/>
        <v>0.86999999999999988</v>
      </c>
      <c r="BF69" s="26">
        <v>0.94000000000000006</v>
      </c>
      <c r="BG69" s="26" t="s">
        <v>821</v>
      </c>
      <c r="CC69" s="26">
        <f t="shared" si="3"/>
        <v>58.77</v>
      </c>
      <c r="CD69" s="26">
        <f>0.6318*100</f>
        <v>63.18</v>
      </c>
      <c r="CE69" s="26" t="s">
        <v>1073</v>
      </c>
      <c r="CR69" s="26">
        <v>1.5893999999999999</v>
      </c>
      <c r="CS69" s="26">
        <v>0.61170000000000002</v>
      </c>
      <c r="CT69" s="26" t="s">
        <v>242</v>
      </c>
      <c r="DP69" s="12"/>
      <c r="DR69" s="15"/>
      <c r="EL69" s="26" t="s">
        <v>949</v>
      </c>
      <c r="EN69" s="26">
        <v>5</v>
      </c>
    </row>
    <row r="70" spans="1:144" s="26" customFormat="1" x14ac:dyDescent="0.25">
      <c r="A70" s="26">
        <v>5</v>
      </c>
      <c r="B70" s="26" t="s">
        <v>199</v>
      </c>
      <c r="C70" s="26" t="s">
        <v>198</v>
      </c>
      <c r="D70" s="26">
        <v>2013</v>
      </c>
      <c r="E70" s="26">
        <v>2011</v>
      </c>
      <c r="F70" s="26" t="s">
        <v>200</v>
      </c>
      <c r="G70" s="26" t="s">
        <v>229</v>
      </c>
      <c r="H70" s="26">
        <v>37.97</v>
      </c>
      <c r="I70" s="26">
        <v>-100.87</v>
      </c>
      <c r="J70" s="26">
        <v>865.6</v>
      </c>
      <c r="M70" s="26">
        <v>400</v>
      </c>
      <c r="N70" s="26">
        <v>489</v>
      </c>
      <c r="P70" s="52" t="s">
        <v>189</v>
      </c>
      <c r="Q70" s="52"/>
      <c r="R70" s="52"/>
      <c r="S70" s="52" t="s">
        <v>659</v>
      </c>
      <c r="W70" s="26" t="s">
        <v>230</v>
      </c>
      <c r="AA70" s="26" t="s">
        <v>1675</v>
      </c>
      <c r="AB70" s="26" t="s">
        <v>236</v>
      </c>
      <c r="AC70" s="26" t="s">
        <v>156</v>
      </c>
      <c r="AD70" s="26" t="s">
        <v>825</v>
      </c>
      <c r="AE70" s="26" t="s">
        <v>825</v>
      </c>
      <c r="AF70" s="26" t="s">
        <v>252</v>
      </c>
      <c r="AM70" s="26" t="s">
        <v>160</v>
      </c>
      <c r="AN70" s="26">
        <v>4</v>
      </c>
      <c r="AO70" s="26">
        <v>4</v>
      </c>
      <c r="AP70" s="26" t="s">
        <v>247</v>
      </c>
      <c r="AT70" s="63"/>
      <c r="AU70" s="26" t="s">
        <v>238</v>
      </c>
      <c r="BB70" s="26">
        <v>1.57</v>
      </c>
      <c r="BC70" s="26">
        <v>1.44</v>
      </c>
      <c r="BE70" s="26">
        <f t="shared" si="2"/>
        <v>0.86999999999999988</v>
      </c>
      <c r="BF70" s="26">
        <v>1.1599999999999999</v>
      </c>
      <c r="BG70" s="26" t="s">
        <v>821</v>
      </c>
      <c r="CC70" s="26">
        <f t="shared" si="3"/>
        <v>58.77</v>
      </c>
      <c r="CD70" s="26">
        <f>0.3878*100</f>
        <v>38.78</v>
      </c>
      <c r="CE70" s="26" t="s">
        <v>1073</v>
      </c>
      <c r="DP70" s="12"/>
      <c r="DR70" s="15"/>
      <c r="EL70" s="26" t="s">
        <v>949</v>
      </c>
      <c r="EN70" s="26">
        <v>5</v>
      </c>
    </row>
    <row r="71" spans="1:144" s="26" customFormat="1" x14ac:dyDescent="0.25">
      <c r="A71" s="26">
        <v>5</v>
      </c>
      <c r="B71" s="26" t="s">
        <v>199</v>
      </c>
      <c r="C71" s="26" t="s">
        <v>198</v>
      </c>
      <c r="D71" s="26">
        <v>2013</v>
      </c>
      <c r="E71" s="26">
        <v>2011</v>
      </c>
      <c r="F71" s="26" t="s">
        <v>200</v>
      </c>
      <c r="G71" s="26" t="s">
        <v>229</v>
      </c>
      <c r="H71" s="26">
        <v>37.97</v>
      </c>
      <c r="I71" s="26">
        <v>-100.87</v>
      </c>
      <c r="J71" s="26">
        <v>865.6</v>
      </c>
      <c r="M71" s="26">
        <v>400</v>
      </c>
      <c r="N71" s="26">
        <v>489</v>
      </c>
      <c r="P71" s="52" t="s">
        <v>189</v>
      </c>
      <c r="Q71" s="52"/>
      <c r="R71" s="52"/>
      <c r="S71" s="52" t="s">
        <v>659</v>
      </c>
      <c r="W71" s="26" t="s">
        <v>230</v>
      </c>
      <c r="AA71" s="26" t="s">
        <v>1675</v>
      </c>
      <c r="AB71" s="26" t="s">
        <v>233</v>
      </c>
      <c r="AC71" s="26" t="s">
        <v>156</v>
      </c>
      <c r="AD71" s="26" t="s">
        <v>825</v>
      </c>
      <c r="AE71" s="26" t="s">
        <v>825</v>
      </c>
      <c r="AF71" s="26" t="s">
        <v>252</v>
      </c>
      <c r="AM71" s="26" t="s">
        <v>160</v>
      </c>
      <c r="AN71" s="26">
        <v>4</v>
      </c>
      <c r="AO71" s="26">
        <v>4</v>
      </c>
      <c r="AP71" s="26" t="s">
        <v>247</v>
      </c>
      <c r="AT71" s="63"/>
      <c r="AU71" s="26" t="s">
        <v>237</v>
      </c>
      <c r="BB71" s="26">
        <v>1.57</v>
      </c>
      <c r="BC71" s="26">
        <v>1.45</v>
      </c>
      <c r="BE71" s="26">
        <f t="shared" si="2"/>
        <v>0.86999999999999988</v>
      </c>
      <c r="BF71" s="26">
        <v>1.21</v>
      </c>
      <c r="BG71" s="26" t="s">
        <v>821</v>
      </c>
      <c r="CC71" s="26">
        <f t="shared" si="3"/>
        <v>58.77</v>
      </c>
      <c r="CD71" s="26">
        <f>0.4163*100</f>
        <v>41.63</v>
      </c>
      <c r="CE71" s="26" t="s">
        <v>1073</v>
      </c>
      <c r="DP71" s="12"/>
      <c r="DR71" s="15"/>
      <c r="EL71" s="26" t="s">
        <v>949</v>
      </c>
      <c r="EN71" s="26">
        <v>5</v>
      </c>
    </row>
    <row r="72" spans="1:144" s="26" customFormat="1" x14ac:dyDescent="0.25">
      <c r="A72" s="26">
        <v>5</v>
      </c>
      <c r="B72" s="26" t="s">
        <v>199</v>
      </c>
      <c r="C72" s="26" t="s">
        <v>198</v>
      </c>
      <c r="D72" s="26">
        <v>2013</v>
      </c>
      <c r="E72" s="26">
        <v>2011</v>
      </c>
      <c r="F72" s="26" t="s">
        <v>200</v>
      </c>
      <c r="G72" s="26" t="s">
        <v>229</v>
      </c>
      <c r="H72" s="26">
        <v>37.97</v>
      </c>
      <c r="I72" s="26">
        <v>-100.87</v>
      </c>
      <c r="J72" s="26">
        <v>865.6</v>
      </c>
      <c r="M72" s="26">
        <v>400</v>
      </c>
      <c r="N72" s="26">
        <v>489</v>
      </c>
      <c r="P72" s="52" t="s">
        <v>189</v>
      </c>
      <c r="Q72" s="52"/>
      <c r="R72" s="52"/>
      <c r="S72" s="52" t="s">
        <v>659</v>
      </c>
      <c r="W72" s="26" t="s">
        <v>230</v>
      </c>
      <c r="AA72" s="26" t="s">
        <v>1675</v>
      </c>
      <c r="AB72" s="26" t="s">
        <v>231</v>
      </c>
      <c r="AC72" s="26" t="s">
        <v>156</v>
      </c>
      <c r="AD72" s="26" t="s">
        <v>825</v>
      </c>
      <c r="AE72" s="26" t="s">
        <v>825</v>
      </c>
      <c r="AF72" s="26" t="s">
        <v>252</v>
      </c>
      <c r="AM72" s="26" t="s">
        <v>160</v>
      </c>
      <c r="AN72" s="26">
        <v>4</v>
      </c>
      <c r="AO72" s="26">
        <v>4</v>
      </c>
      <c r="AP72" s="26" t="s">
        <v>247</v>
      </c>
      <c r="AT72" s="63"/>
      <c r="AU72" s="26" t="s">
        <v>238</v>
      </c>
      <c r="BB72" s="26">
        <v>1.57</v>
      </c>
      <c r="BC72" s="26">
        <v>1.45</v>
      </c>
      <c r="BE72" s="26">
        <f t="shared" si="2"/>
        <v>0.86999999999999988</v>
      </c>
      <c r="BF72" s="26">
        <v>1.3</v>
      </c>
      <c r="BG72" s="26" t="s">
        <v>821</v>
      </c>
      <c r="CC72" s="26">
        <f t="shared" si="3"/>
        <v>58.77</v>
      </c>
      <c r="CD72" s="26">
        <f>0.2698*100</f>
        <v>26.979999999999997</v>
      </c>
      <c r="CE72" s="26" t="s">
        <v>1073</v>
      </c>
      <c r="DP72" s="12"/>
      <c r="DR72" s="15"/>
      <c r="EL72" s="26" t="s">
        <v>949</v>
      </c>
      <c r="EN72" s="26">
        <v>5</v>
      </c>
    </row>
    <row r="73" spans="1:144" s="26" customFormat="1" x14ac:dyDescent="0.25">
      <c r="A73" s="26">
        <v>5</v>
      </c>
      <c r="B73" s="26" t="s">
        <v>199</v>
      </c>
      <c r="C73" s="26" t="s">
        <v>198</v>
      </c>
      <c r="D73" s="26">
        <v>2013</v>
      </c>
      <c r="E73" s="26">
        <v>2012</v>
      </c>
      <c r="F73" s="26" t="s">
        <v>200</v>
      </c>
      <c r="G73" s="26" t="s">
        <v>229</v>
      </c>
      <c r="H73" s="26">
        <v>37.97</v>
      </c>
      <c r="I73" s="26">
        <v>-100.87</v>
      </c>
      <c r="J73" s="26">
        <v>865.6</v>
      </c>
      <c r="M73" s="26">
        <v>308</v>
      </c>
      <c r="N73" s="26">
        <v>489</v>
      </c>
      <c r="P73" s="52" t="s">
        <v>190</v>
      </c>
      <c r="Q73" s="52"/>
      <c r="R73" s="52"/>
      <c r="S73" s="52" t="s">
        <v>659</v>
      </c>
      <c r="W73" s="26" t="s">
        <v>230</v>
      </c>
      <c r="AA73" s="26" t="s">
        <v>1675</v>
      </c>
      <c r="AB73" s="26" t="s">
        <v>233</v>
      </c>
      <c r="AC73" s="26" t="s">
        <v>156</v>
      </c>
      <c r="AD73" s="26" t="s">
        <v>825</v>
      </c>
      <c r="AE73" s="26" t="s">
        <v>825</v>
      </c>
      <c r="AF73" s="26" t="s">
        <v>252</v>
      </c>
      <c r="AM73" s="26" t="s">
        <v>160</v>
      </c>
      <c r="AN73" s="26">
        <v>4</v>
      </c>
      <c r="AO73" s="26">
        <v>4</v>
      </c>
      <c r="AP73" s="26" t="s">
        <v>247</v>
      </c>
      <c r="AT73" s="63"/>
      <c r="BB73" s="26">
        <v>1.49</v>
      </c>
      <c r="BC73" s="26">
        <v>1.4</v>
      </c>
      <c r="BE73" s="26">
        <f>8.8*100/1000</f>
        <v>0.88000000000000012</v>
      </c>
      <c r="BF73" s="26">
        <v>0.93</v>
      </c>
      <c r="BG73" s="26" t="s">
        <v>821</v>
      </c>
      <c r="DP73" s="12"/>
      <c r="DR73" s="15"/>
      <c r="EL73" s="26" t="s">
        <v>949</v>
      </c>
      <c r="EN73" s="26">
        <v>5</v>
      </c>
    </row>
    <row r="74" spans="1:144" s="26" customFormat="1" x14ac:dyDescent="0.25">
      <c r="A74" s="26">
        <v>5</v>
      </c>
      <c r="B74" s="26" t="s">
        <v>199</v>
      </c>
      <c r="C74" s="26" t="s">
        <v>198</v>
      </c>
      <c r="D74" s="26">
        <v>2013</v>
      </c>
      <c r="E74" s="26">
        <v>2012</v>
      </c>
      <c r="F74" s="26" t="s">
        <v>200</v>
      </c>
      <c r="G74" s="26" t="s">
        <v>229</v>
      </c>
      <c r="H74" s="26">
        <v>37.97</v>
      </c>
      <c r="I74" s="26">
        <v>-100.87</v>
      </c>
      <c r="J74" s="26">
        <v>865.6</v>
      </c>
      <c r="M74" s="26">
        <v>308</v>
      </c>
      <c r="N74" s="26">
        <v>489</v>
      </c>
      <c r="P74" s="52" t="s">
        <v>190</v>
      </c>
      <c r="Q74" s="52"/>
      <c r="R74" s="52"/>
      <c r="S74" s="52" t="s">
        <v>659</v>
      </c>
      <c r="W74" s="26" t="s">
        <v>230</v>
      </c>
      <c r="AA74" s="26" t="s">
        <v>1675</v>
      </c>
      <c r="AB74" s="26" t="s">
        <v>231</v>
      </c>
      <c r="AC74" s="26" t="s">
        <v>156</v>
      </c>
      <c r="AD74" s="26" t="s">
        <v>825</v>
      </c>
      <c r="AE74" s="26" t="s">
        <v>825</v>
      </c>
      <c r="AF74" s="26" t="s">
        <v>252</v>
      </c>
      <c r="AM74" s="26" t="s">
        <v>160</v>
      </c>
      <c r="AN74" s="26">
        <v>4</v>
      </c>
      <c r="AO74" s="26">
        <v>4</v>
      </c>
      <c r="AP74" s="26" t="s">
        <v>247</v>
      </c>
      <c r="AT74" s="63"/>
      <c r="BB74" s="26">
        <v>1.49</v>
      </c>
      <c r="BC74" s="26">
        <v>1.42</v>
      </c>
      <c r="BE74" s="26">
        <f t="shared" ref="BE74:BE80" si="4">8.8*100/1000</f>
        <v>0.88000000000000012</v>
      </c>
      <c r="BF74" s="26">
        <v>1.02</v>
      </c>
      <c r="BG74" s="26" t="s">
        <v>821</v>
      </c>
      <c r="DP74" s="12"/>
      <c r="DR74" s="15"/>
      <c r="EL74" s="26" t="s">
        <v>949</v>
      </c>
      <c r="EN74" s="26">
        <v>5</v>
      </c>
    </row>
    <row r="75" spans="1:144" s="26" customFormat="1" x14ac:dyDescent="0.25">
      <c r="A75" s="26">
        <v>5</v>
      </c>
      <c r="B75" s="26" t="s">
        <v>199</v>
      </c>
      <c r="C75" s="26" t="s">
        <v>198</v>
      </c>
      <c r="D75" s="26">
        <v>2013</v>
      </c>
      <c r="E75" s="26">
        <v>2012</v>
      </c>
      <c r="F75" s="26" t="s">
        <v>200</v>
      </c>
      <c r="G75" s="26" t="s">
        <v>229</v>
      </c>
      <c r="H75" s="26">
        <v>37.97</v>
      </c>
      <c r="I75" s="26">
        <v>-100.87</v>
      </c>
      <c r="J75" s="26">
        <v>865.6</v>
      </c>
      <c r="M75" s="26">
        <v>308</v>
      </c>
      <c r="N75" s="26">
        <v>489</v>
      </c>
      <c r="P75" s="52" t="s">
        <v>190</v>
      </c>
      <c r="Q75" s="52"/>
      <c r="R75" s="52"/>
      <c r="S75" s="52" t="s">
        <v>659</v>
      </c>
      <c r="W75" s="26" t="s">
        <v>230</v>
      </c>
      <c r="AA75" s="26" t="s">
        <v>1675</v>
      </c>
      <c r="AB75" s="26" t="s">
        <v>232</v>
      </c>
      <c r="AC75" s="26" t="s">
        <v>156</v>
      </c>
      <c r="AD75" s="26" t="s">
        <v>825</v>
      </c>
      <c r="AE75" s="26" t="s">
        <v>825</v>
      </c>
      <c r="AF75" s="26" t="s">
        <v>252</v>
      </c>
      <c r="AM75" s="26" t="s">
        <v>160</v>
      </c>
      <c r="AN75" s="26">
        <v>4</v>
      </c>
      <c r="AO75" s="26">
        <v>4</v>
      </c>
      <c r="AP75" s="26" t="s">
        <v>247</v>
      </c>
      <c r="AT75" s="63"/>
      <c r="BB75" s="26">
        <v>1.49</v>
      </c>
      <c r="BC75" s="26">
        <v>1.48</v>
      </c>
      <c r="BE75" s="26">
        <f t="shared" si="4"/>
        <v>0.88000000000000012</v>
      </c>
      <c r="BF75" s="26">
        <v>1.08</v>
      </c>
      <c r="BG75" s="26" t="s">
        <v>821</v>
      </c>
      <c r="DP75" s="12"/>
      <c r="DR75" s="15"/>
      <c r="EL75" s="26" t="s">
        <v>949</v>
      </c>
      <c r="EN75" s="26">
        <v>5</v>
      </c>
    </row>
    <row r="76" spans="1:144" s="26" customFormat="1" x14ac:dyDescent="0.25">
      <c r="A76" s="26">
        <v>5</v>
      </c>
      <c r="B76" s="26" t="s">
        <v>199</v>
      </c>
      <c r="C76" s="26" t="s">
        <v>198</v>
      </c>
      <c r="D76" s="26">
        <v>2013</v>
      </c>
      <c r="E76" s="26">
        <v>2012</v>
      </c>
      <c r="F76" s="26" t="s">
        <v>200</v>
      </c>
      <c r="G76" s="26" t="s">
        <v>229</v>
      </c>
      <c r="H76" s="26">
        <v>37.97</v>
      </c>
      <c r="I76" s="26">
        <v>-100.87</v>
      </c>
      <c r="J76" s="26">
        <v>865.6</v>
      </c>
      <c r="M76" s="26">
        <v>308</v>
      </c>
      <c r="N76" s="26">
        <v>489</v>
      </c>
      <c r="P76" s="52" t="s">
        <v>190</v>
      </c>
      <c r="Q76" s="52"/>
      <c r="R76" s="52"/>
      <c r="S76" s="52" t="s">
        <v>659</v>
      </c>
      <c r="W76" s="26" t="s">
        <v>230</v>
      </c>
      <c r="AA76" s="26" t="s">
        <v>1675</v>
      </c>
      <c r="AB76" s="26" t="s">
        <v>234</v>
      </c>
      <c r="AC76" s="26" t="s">
        <v>156</v>
      </c>
      <c r="AD76" s="26" t="s">
        <v>825</v>
      </c>
      <c r="AE76" s="26" t="s">
        <v>825</v>
      </c>
      <c r="AF76" s="26" t="s">
        <v>252</v>
      </c>
      <c r="AM76" s="26" t="s">
        <v>160</v>
      </c>
      <c r="AN76" s="26">
        <v>4</v>
      </c>
      <c r="AO76" s="26">
        <v>4</v>
      </c>
      <c r="AP76" s="26" t="s">
        <v>247</v>
      </c>
      <c r="AT76" s="63"/>
      <c r="BB76" s="26">
        <v>1.49</v>
      </c>
      <c r="BC76" s="26">
        <v>1.49</v>
      </c>
      <c r="BE76" s="26">
        <f t="shared" si="4"/>
        <v>0.88000000000000012</v>
      </c>
      <c r="BF76" s="26">
        <v>0.94000000000000006</v>
      </c>
      <c r="BG76" s="26" t="s">
        <v>821</v>
      </c>
      <c r="DP76" s="12"/>
      <c r="DR76" s="15"/>
      <c r="EL76" s="26" t="s">
        <v>949</v>
      </c>
      <c r="EN76" s="26">
        <v>5</v>
      </c>
    </row>
    <row r="77" spans="1:144" s="26" customFormat="1" x14ac:dyDescent="0.25">
      <c r="A77" s="26">
        <v>5</v>
      </c>
      <c r="B77" s="26" t="s">
        <v>199</v>
      </c>
      <c r="C77" s="26" t="s">
        <v>198</v>
      </c>
      <c r="D77" s="26">
        <v>2013</v>
      </c>
      <c r="E77" s="26">
        <v>2012</v>
      </c>
      <c r="F77" s="26" t="s">
        <v>200</v>
      </c>
      <c r="G77" s="26" t="s">
        <v>229</v>
      </c>
      <c r="H77" s="26">
        <v>37.97</v>
      </c>
      <c r="I77" s="26">
        <v>-100.87</v>
      </c>
      <c r="J77" s="26">
        <v>865.6</v>
      </c>
      <c r="M77" s="26">
        <v>308</v>
      </c>
      <c r="N77" s="26">
        <v>489</v>
      </c>
      <c r="P77" s="52" t="s">
        <v>190</v>
      </c>
      <c r="Q77" s="52"/>
      <c r="R77" s="52"/>
      <c r="S77" s="52" t="s">
        <v>659</v>
      </c>
      <c r="W77" s="26" t="s">
        <v>230</v>
      </c>
      <c r="AA77" s="26" t="s">
        <v>1675</v>
      </c>
      <c r="AB77" s="26" t="s">
        <v>235</v>
      </c>
      <c r="AC77" s="26" t="s">
        <v>156</v>
      </c>
      <c r="AD77" s="26" t="s">
        <v>825</v>
      </c>
      <c r="AE77" s="26" t="s">
        <v>825</v>
      </c>
      <c r="AF77" s="26" t="s">
        <v>252</v>
      </c>
      <c r="AM77" s="26" t="s">
        <v>160</v>
      </c>
      <c r="AN77" s="26">
        <v>4</v>
      </c>
      <c r="AO77" s="26">
        <v>4</v>
      </c>
      <c r="AP77" s="26" t="s">
        <v>247</v>
      </c>
      <c r="AT77" s="63"/>
      <c r="AU77" s="26" t="s">
        <v>237</v>
      </c>
      <c r="BB77" s="26">
        <v>1.49</v>
      </c>
      <c r="BC77" s="26">
        <v>1.5</v>
      </c>
      <c r="BE77" s="26">
        <f t="shared" si="4"/>
        <v>0.88000000000000012</v>
      </c>
      <c r="BF77" s="26">
        <v>0.99</v>
      </c>
      <c r="BG77" s="26" t="s">
        <v>821</v>
      </c>
      <c r="DP77" s="12"/>
      <c r="DR77" s="15"/>
      <c r="EL77" s="26" t="s">
        <v>949</v>
      </c>
      <c r="EN77" s="26">
        <v>5</v>
      </c>
    </row>
    <row r="78" spans="1:144" s="26" customFormat="1" x14ac:dyDescent="0.25">
      <c r="A78" s="26">
        <v>5</v>
      </c>
      <c r="B78" s="26" t="s">
        <v>199</v>
      </c>
      <c r="C78" s="26" t="s">
        <v>198</v>
      </c>
      <c r="D78" s="26">
        <v>2013</v>
      </c>
      <c r="E78" s="26">
        <v>2012</v>
      </c>
      <c r="F78" s="26" t="s">
        <v>200</v>
      </c>
      <c r="G78" s="26" t="s">
        <v>229</v>
      </c>
      <c r="H78" s="26">
        <v>37.97</v>
      </c>
      <c r="I78" s="26">
        <v>-100.87</v>
      </c>
      <c r="J78" s="26">
        <v>865.6</v>
      </c>
      <c r="M78" s="26">
        <v>308</v>
      </c>
      <c r="N78" s="26">
        <v>489</v>
      </c>
      <c r="P78" s="52" t="s">
        <v>190</v>
      </c>
      <c r="Q78" s="52"/>
      <c r="R78" s="52"/>
      <c r="S78" s="52" t="s">
        <v>659</v>
      </c>
      <c r="W78" s="26" t="s">
        <v>230</v>
      </c>
      <c r="AA78" s="26" t="s">
        <v>1675</v>
      </c>
      <c r="AB78" s="26" t="s">
        <v>236</v>
      </c>
      <c r="AC78" s="26" t="s">
        <v>156</v>
      </c>
      <c r="AD78" s="26" t="s">
        <v>825</v>
      </c>
      <c r="AE78" s="26" t="s">
        <v>825</v>
      </c>
      <c r="AF78" s="26" t="s">
        <v>252</v>
      </c>
      <c r="AM78" s="26" t="s">
        <v>160</v>
      </c>
      <c r="AN78" s="26">
        <v>4</v>
      </c>
      <c r="AO78" s="26">
        <v>4</v>
      </c>
      <c r="AP78" s="26" t="s">
        <v>247</v>
      </c>
      <c r="AT78" s="63"/>
      <c r="AU78" s="26" t="s">
        <v>238</v>
      </c>
      <c r="BB78" s="26">
        <v>1.49</v>
      </c>
      <c r="BC78" s="26">
        <v>1.47</v>
      </c>
      <c r="BE78" s="26">
        <f t="shared" si="4"/>
        <v>0.88000000000000012</v>
      </c>
      <c r="BF78" s="26">
        <v>1.04</v>
      </c>
      <c r="BG78" s="26" t="s">
        <v>821</v>
      </c>
      <c r="DP78" s="12"/>
      <c r="DR78" s="15"/>
      <c r="EL78" s="26" t="s">
        <v>949</v>
      </c>
      <c r="EN78" s="26">
        <v>5</v>
      </c>
    </row>
    <row r="79" spans="1:144" s="26" customFormat="1" x14ac:dyDescent="0.25">
      <c r="A79" s="26">
        <v>5</v>
      </c>
      <c r="B79" s="26" t="s">
        <v>199</v>
      </c>
      <c r="C79" s="26" t="s">
        <v>198</v>
      </c>
      <c r="D79" s="26">
        <v>2013</v>
      </c>
      <c r="E79" s="26">
        <v>2012</v>
      </c>
      <c r="F79" s="26" t="s">
        <v>200</v>
      </c>
      <c r="G79" s="26" t="s">
        <v>229</v>
      </c>
      <c r="H79" s="26">
        <v>37.97</v>
      </c>
      <c r="I79" s="26">
        <v>-100.87</v>
      </c>
      <c r="J79" s="26">
        <v>865.6</v>
      </c>
      <c r="M79" s="26">
        <v>308</v>
      </c>
      <c r="N79" s="26">
        <v>489</v>
      </c>
      <c r="P79" s="52" t="s">
        <v>190</v>
      </c>
      <c r="Q79" s="52"/>
      <c r="R79" s="52"/>
      <c r="S79" s="52" t="s">
        <v>659</v>
      </c>
      <c r="W79" s="26" t="s">
        <v>230</v>
      </c>
      <c r="AA79" s="26" t="s">
        <v>1675</v>
      </c>
      <c r="AB79" s="26" t="s">
        <v>233</v>
      </c>
      <c r="AC79" s="26" t="s">
        <v>156</v>
      </c>
      <c r="AD79" s="26" t="s">
        <v>825</v>
      </c>
      <c r="AE79" s="26" t="s">
        <v>825</v>
      </c>
      <c r="AF79" s="26" t="s">
        <v>252</v>
      </c>
      <c r="AM79" s="26" t="s">
        <v>160</v>
      </c>
      <c r="AN79" s="26">
        <v>4</v>
      </c>
      <c r="AO79" s="26">
        <v>4</v>
      </c>
      <c r="AP79" s="26" t="s">
        <v>247</v>
      </c>
      <c r="AT79" s="63"/>
      <c r="AU79" s="26" t="s">
        <v>237</v>
      </c>
      <c r="BB79" s="26">
        <v>1.49</v>
      </c>
      <c r="BC79" s="26">
        <v>1.4</v>
      </c>
      <c r="BE79" s="26">
        <f t="shared" si="4"/>
        <v>0.88000000000000012</v>
      </c>
      <c r="BF79" s="26">
        <v>0.99</v>
      </c>
      <c r="BG79" s="26" t="s">
        <v>821</v>
      </c>
      <c r="DP79" s="12"/>
      <c r="DR79" s="15"/>
      <c r="EL79" s="26" t="s">
        <v>949</v>
      </c>
      <c r="EN79" s="26">
        <v>5</v>
      </c>
    </row>
    <row r="80" spans="1:144" s="26" customFormat="1" x14ac:dyDescent="0.25">
      <c r="A80" s="26">
        <v>5</v>
      </c>
      <c r="B80" s="26" t="s">
        <v>199</v>
      </c>
      <c r="C80" s="26" t="s">
        <v>198</v>
      </c>
      <c r="D80" s="26">
        <v>2013</v>
      </c>
      <c r="E80" s="26">
        <v>2012</v>
      </c>
      <c r="F80" s="26" t="s">
        <v>200</v>
      </c>
      <c r="G80" s="26" t="s">
        <v>229</v>
      </c>
      <c r="H80" s="26">
        <v>37.97</v>
      </c>
      <c r="I80" s="26">
        <v>-100.87</v>
      </c>
      <c r="J80" s="26">
        <v>865.6</v>
      </c>
      <c r="M80" s="26">
        <v>308</v>
      </c>
      <c r="N80" s="26">
        <v>489</v>
      </c>
      <c r="P80" s="52" t="s">
        <v>190</v>
      </c>
      <c r="Q80" s="52"/>
      <c r="R80" s="52"/>
      <c r="S80" s="52" t="s">
        <v>659</v>
      </c>
      <c r="W80" s="26" t="s">
        <v>230</v>
      </c>
      <c r="AA80" s="26" t="s">
        <v>1675</v>
      </c>
      <c r="AB80" s="26" t="s">
        <v>231</v>
      </c>
      <c r="AC80" s="26" t="s">
        <v>156</v>
      </c>
      <c r="AD80" s="26" t="s">
        <v>825</v>
      </c>
      <c r="AE80" s="26" t="s">
        <v>825</v>
      </c>
      <c r="AF80" s="26" t="s">
        <v>252</v>
      </c>
      <c r="AM80" s="26" t="s">
        <v>160</v>
      </c>
      <c r="AN80" s="26">
        <v>4</v>
      </c>
      <c r="AO80" s="26">
        <v>4</v>
      </c>
      <c r="AP80" s="26" t="s">
        <v>247</v>
      </c>
      <c r="AT80" s="63"/>
      <c r="AU80" s="26" t="s">
        <v>238</v>
      </c>
      <c r="BB80" s="26">
        <v>1.49</v>
      </c>
      <c r="BC80" s="26">
        <v>1.4</v>
      </c>
      <c r="BE80" s="26">
        <f t="shared" si="4"/>
        <v>0.88000000000000012</v>
      </c>
      <c r="BF80" s="26">
        <v>1.06</v>
      </c>
      <c r="BG80" s="26" t="s">
        <v>821</v>
      </c>
      <c r="DP80" s="12"/>
      <c r="DR80" s="15"/>
      <c r="EL80" s="26" t="s">
        <v>949</v>
      </c>
      <c r="EN80" s="26">
        <v>5</v>
      </c>
    </row>
    <row r="81" spans="1:144" s="23" customFormat="1" x14ac:dyDescent="0.25">
      <c r="A81" s="23">
        <v>6</v>
      </c>
      <c r="B81" s="23" t="s">
        <v>244</v>
      </c>
      <c r="C81" s="23" t="s">
        <v>245</v>
      </c>
      <c r="D81" s="23">
        <v>2016</v>
      </c>
      <c r="E81" s="23">
        <v>2012</v>
      </c>
      <c r="F81" s="23" t="s">
        <v>246</v>
      </c>
      <c r="H81" s="23">
        <v>35.380000000000003</v>
      </c>
      <c r="I81" s="23">
        <v>-77.989999999999995</v>
      </c>
      <c r="J81" s="23">
        <v>32.700000000000003</v>
      </c>
      <c r="P81" s="53" t="s">
        <v>186</v>
      </c>
      <c r="Q81" s="53"/>
      <c r="R81" s="53"/>
      <c r="S81" s="53" t="s">
        <v>657</v>
      </c>
      <c r="U81" s="23">
        <f>(21.7+27.4)/2</f>
        <v>24.549999999999997</v>
      </c>
      <c r="V81" s="23">
        <f>(60+63.7)/2</f>
        <v>61.85</v>
      </c>
      <c r="W81" s="23" t="s">
        <v>248</v>
      </c>
      <c r="AA81" s="23" t="s">
        <v>1676</v>
      </c>
      <c r="AB81" s="23" t="s">
        <v>250</v>
      </c>
      <c r="AC81" s="23" t="s">
        <v>249</v>
      </c>
      <c r="AG81" s="23" t="s">
        <v>251</v>
      </c>
      <c r="AH81" s="23" t="s">
        <v>251</v>
      </c>
      <c r="AI81" s="23" t="s">
        <v>252</v>
      </c>
      <c r="AM81" s="24" t="s">
        <v>222</v>
      </c>
      <c r="AN81" s="23">
        <v>6</v>
      </c>
      <c r="AO81" s="23">
        <v>6</v>
      </c>
      <c r="AP81" s="23" t="s">
        <v>247</v>
      </c>
      <c r="AR81" s="23">
        <f>9.66*1000</f>
        <v>9660</v>
      </c>
      <c r="AT81" s="64"/>
      <c r="CC81" s="23">
        <v>5.0199999999999996</v>
      </c>
      <c r="CD81" s="23">
        <v>3.22</v>
      </c>
      <c r="CE81" s="23" t="s">
        <v>259</v>
      </c>
      <c r="DD81" s="23">
        <v>0.16159999999999999</v>
      </c>
      <c r="DE81" s="23">
        <v>0.1666</v>
      </c>
      <c r="DP81" s="12"/>
      <c r="DR81" s="15"/>
      <c r="DS81" s="23">
        <v>501.83</v>
      </c>
      <c r="DT81" s="23">
        <v>441.12</v>
      </c>
      <c r="DU81" s="23" t="s">
        <v>438</v>
      </c>
      <c r="EE81" s="23">
        <v>329.48</v>
      </c>
      <c r="EF81" s="23">
        <v>341.32</v>
      </c>
      <c r="EG81" s="23" t="s">
        <v>436</v>
      </c>
      <c r="EN81" s="23">
        <v>6</v>
      </c>
    </row>
    <row r="82" spans="1:144" s="23" customFormat="1" x14ac:dyDescent="0.25">
      <c r="A82" s="23">
        <v>6</v>
      </c>
      <c r="B82" s="23" t="s">
        <v>244</v>
      </c>
      <c r="C82" s="23" t="s">
        <v>245</v>
      </c>
      <c r="D82" s="23">
        <v>2016</v>
      </c>
      <c r="E82" s="23">
        <v>2012</v>
      </c>
      <c r="F82" s="23" t="s">
        <v>246</v>
      </c>
      <c r="H82" s="23">
        <v>35.380000000000003</v>
      </c>
      <c r="I82" s="23">
        <v>-77.989999999999995</v>
      </c>
      <c r="J82" s="23">
        <v>32.700000000000003</v>
      </c>
      <c r="P82" s="53" t="s">
        <v>186</v>
      </c>
      <c r="Q82" s="53"/>
      <c r="R82" s="53"/>
      <c r="S82" s="53" t="s">
        <v>657</v>
      </c>
      <c r="U82" s="23">
        <f>(21.7+27.4)/2</f>
        <v>24.549999999999997</v>
      </c>
      <c r="V82" s="23">
        <f>(60+63.7)/2</f>
        <v>61.85</v>
      </c>
      <c r="W82" s="23" t="s">
        <v>248</v>
      </c>
      <c r="AA82" s="23" t="s">
        <v>1676</v>
      </c>
      <c r="AB82" s="23" t="s">
        <v>326</v>
      </c>
      <c r="AC82" s="23" t="s">
        <v>249</v>
      </c>
      <c r="AG82" s="23" t="s">
        <v>251</v>
      </c>
      <c r="AH82" s="23" t="s">
        <v>251</v>
      </c>
      <c r="AI82" s="23" t="s">
        <v>252</v>
      </c>
      <c r="AM82" s="24" t="s">
        <v>222</v>
      </c>
      <c r="AN82" s="23">
        <v>6</v>
      </c>
      <c r="AO82" s="23">
        <v>6</v>
      </c>
      <c r="AP82" s="23" t="s">
        <v>247</v>
      </c>
      <c r="AR82" s="23">
        <f>8.83*1000</f>
        <v>8830</v>
      </c>
      <c r="AT82" s="64"/>
      <c r="CC82" s="23">
        <v>5.0199999999999996</v>
      </c>
      <c r="CD82" s="23">
        <v>3.64</v>
      </c>
      <c r="CE82" s="23" t="s">
        <v>259</v>
      </c>
      <c r="DD82" s="23">
        <v>0.1618</v>
      </c>
      <c r="DE82" s="23">
        <v>0.1472</v>
      </c>
      <c r="DP82" s="12"/>
      <c r="DR82" s="15"/>
      <c r="DS82" s="23">
        <v>501.83</v>
      </c>
      <c r="DT82" s="23">
        <v>477.97</v>
      </c>
      <c r="DU82" s="23" t="s">
        <v>438</v>
      </c>
      <c r="EE82" s="23">
        <v>329.48</v>
      </c>
      <c r="EF82" s="23">
        <v>337.39</v>
      </c>
      <c r="EG82" s="23" t="s">
        <v>436</v>
      </c>
      <c r="EN82" s="23">
        <v>6</v>
      </c>
    </row>
    <row r="83" spans="1:144" s="23" customFormat="1" x14ac:dyDescent="0.25">
      <c r="A83" s="23">
        <v>6</v>
      </c>
      <c r="B83" s="23" t="s">
        <v>244</v>
      </c>
      <c r="C83" s="23" t="s">
        <v>245</v>
      </c>
      <c r="D83" s="23">
        <v>2016</v>
      </c>
      <c r="E83" s="23">
        <v>2013</v>
      </c>
      <c r="F83" s="23" t="s">
        <v>246</v>
      </c>
      <c r="H83" s="23">
        <v>35.380000000000003</v>
      </c>
      <c r="I83" s="23">
        <v>-77.989999999999995</v>
      </c>
      <c r="J83" s="23">
        <v>32.700000000000003</v>
      </c>
      <c r="P83" s="53" t="s">
        <v>187</v>
      </c>
      <c r="Q83" s="53"/>
      <c r="R83" s="53"/>
      <c r="S83" s="53" t="s">
        <v>657</v>
      </c>
      <c r="U83" s="23">
        <f>(21.7+27.4)/2</f>
        <v>24.549999999999997</v>
      </c>
      <c r="V83" s="23">
        <f>(60+63.7)/2</f>
        <v>61.85</v>
      </c>
      <c r="W83" s="23" t="s">
        <v>248</v>
      </c>
      <c r="AA83" s="23" t="s">
        <v>1676</v>
      </c>
      <c r="AB83" s="23" t="s">
        <v>250</v>
      </c>
      <c r="AC83" s="23" t="s">
        <v>249</v>
      </c>
      <c r="AG83" s="23" t="s">
        <v>251</v>
      </c>
      <c r="AH83" s="23" t="s">
        <v>251</v>
      </c>
      <c r="AI83" s="23" t="s">
        <v>252</v>
      </c>
      <c r="AM83" s="24" t="s">
        <v>222</v>
      </c>
      <c r="AN83" s="23">
        <v>6</v>
      </c>
      <c r="AO83" s="23">
        <v>6</v>
      </c>
      <c r="AP83" s="23" t="s">
        <v>247</v>
      </c>
      <c r="AR83" s="23">
        <f>4.42*1000</f>
        <v>4420</v>
      </c>
      <c r="AT83" s="64"/>
      <c r="CC83" s="23">
        <v>2.99</v>
      </c>
      <c r="CD83" s="23">
        <v>2.33</v>
      </c>
      <c r="CE83" s="23" t="s">
        <v>259</v>
      </c>
      <c r="DD83" s="23">
        <v>0.1163</v>
      </c>
      <c r="DE83" s="23">
        <v>0.1176</v>
      </c>
      <c r="DP83" s="12"/>
      <c r="DR83" s="15"/>
      <c r="DS83" s="23">
        <v>501.83</v>
      </c>
      <c r="DT83" s="23">
        <v>441.12</v>
      </c>
      <c r="DU83" s="23" t="s">
        <v>438</v>
      </c>
      <c r="EE83" s="23">
        <v>329.48</v>
      </c>
      <c r="EF83" s="23">
        <v>341.32</v>
      </c>
      <c r="EG83" s="23" t="s">
        <v>436</v>
      </c>
      <c r="EN83" s="23">
        <v>6</v>
      </c>
    </row>
    <row r="84" spans="1:144" s="23" customFormat="1" x14ac:dyDescent="0.25">
      <c r="A84" s="23">
        <v>6</v>
      </c>
      <c r="B84" s="23" t="s">
        <v>244</v>
      </c>
      <c r="C84" s="23" t="s">
        <v>245</v>
      </c>
      <c r="D84" s="23">
        <v>2016</v>
      </c>
      <c r="E84" s="23">
        <v>2013</v>
      </c>
      <c r="F84" s="23" t="s">
        <v>246</v>
      </c>
      <c r="H84" s="23">
        <v>35.380000000000003</v>
      </c>
      <c r="I84" s="23">
        <v>-77.989999999999995</v>
      </c>
      <c r="J84" s="23">
        <v>32.700000000000003</v>
      </c>
      <c r="P84" s="53" t="s">
        <v>187</v>
      </c>
      <c r="Q84" s="53"/>
      <c r="R84" s="53"/>
      <c r="S84" s="53" t="s">
        <v>657</v>
      </c>
      <c r="U84" s="23">
        <f>(21.7+27.4)/2</f>
        <v>24.549999999999997</v>
      </c>
      <c r="V84" s="23">
        <f>(60+63.7)/2</f>
        <v>61.85</v>
      </c>
      <c r="W84" s="23" t="s">
        <v>248</v>
      </c>
      <c r="AA84" s="23" t="s">
        <v>1676</v>
      </c>
      <c r="AB84" s="23" t="s">
        <v>326</v>
      </c>
      <c r="AC84" s="23" t="s">
        <v>249</v>
      </c>
      <c r="AG84" s="23" t="s">
        <v>251</v>
      </c>
      <c r="AH84" s="23" t="s">
        <v>251</v>
      </c>
      <c r="AI84" s="23" t="s">
        <v>252</v>
      </c>
      <c r="AM84" s="24" t="s">
        <v>222</v>
      </c>
      <c r="AN84" s="23">
        <v>6</v>
      </c>
      <c r="AO84" s="23">
        <v>6</v>
      </c>
      <c r="AP84" s="23" t="s">
        <v>247</v>
      </c>
      <c r="AR84" s="23">
        <f>5.46*1000</f>
        <v>5460</v>
      </c>
      <c r="AT84" s="64"/>
      <c r="CC84" s="23">
        <v>2.99</v>
      </c>
      <c r="CD84" s="23">
        <v>3.17</v>
      </c>
      <c r="CE84" s="23" t="s">
        <v>259</v>
      </c>
      <c r="DD84" s="23">
        <v>0.1163</v>
      </c>
      <c r="DE84" s="23">
        <v>0.12620000000000001</v>
      </c>
      <c r="DP84" s="12"/>
      <c r="DR84" s="15"/>
      <c r="DS84" s="23">
        <v>501.83</v>
      </c>
      <c r="DT84" s="23">
        <v>447.97</v>
      </c>
      <c r="DU84" s="23" t="s">
        <v>438</v>
      </c>
      <c r="EE84" s="23">
        <v>329.48</v>
      </c>
      <c r="EF84" s="23">
        <v>337.39</v>
      </c>
      <c r="EG84" s="23" t="s">
        <v>436</v>
      </c>
      <c r="EN84" s="23">
        <v>6</v>
      </c>
    </row>
    <row r="85" spans="1:144" s="26" customFormat="1" x14ac:dyDescent="0.25">
      <c r="A85" s="26">
        <v>7</v>
      </c>
      <c r="B85" s="26" t="s">
        <v>262</v>
      </c>
      <c r="C85" s="26" t="s">
        <v>263</v>
      </c>
      <c r="D85" s="26">
        <v>1999</v>
      </c>
      <c r="E85" s="26">
        <v>1995</v>
      </c>
      <c r="F85" s="26" t="s">
        <v>168</v>
      </c>
      <c r="G85" s="26" t="s">
        <v>264</v>
      </c>
      <c r="H85" s="26">
        <v>45.23</v>
      </c>
      <c r="I85" s="26">
        <v>-122.76</v>
      </c>
      <c r="J85" s="26">
        <v>48.4</v>
      </c>
      <c r="N85" s="26">
        <v>1040</v>
      </c>
      <c r="O85" s="26" t="s">
        <v>176</v>
      </c>
      <c r="P85" s="52" t="s">
        <v>187</v>
      </c>
      <c r="Q85" s="52"/>
      <c r="R85" s="52"/>
      <c r="S85" s="52" t="s">
        <v>658</v>
      </c>
      <c r="U85" s="26">
        <f>313/(313+540+147)*100</f>
        <v>31.3</v>
      </c>
      <c r="V85" s="26">
        <f>540/(313+540+147)*100</f>
        <v>54</v>
      </c>
      <c r="W85" s="26" t="s">
        <v>230</v>
      </c>
      <c r="X85" s="26">
        <v>6.3</v>
      </c>
      <c r="Y85" s="26">
        <f>18/1000*100</f>
        <v>1.7999999999999998</v>
      </c>
      <c r="Z85" s="26">
        <v>60</v>
      </c>
      <c r="AA85" s="26" t="s">
        <v>1671</v>
      </c>
      <c r="AB85" s="26" t="s">
        <v>173</v>
      </c>
      <c r="AC85" s="26" t="s">
        <v>1727</v>
      </c>
      <c r="AD85" s="26" t="s">
        <v>281</v>
      </c>
      <c r="AE85" s="26" t="s">
        <v>281</v>
      </c>
      <c r="AF85" s="26" t="s">
        <v>252</v>
      </c>
      <c r="AM85" s="26" t="s">
        <v>160</v>
      </c>
      <c r="AN85" s="26">
        <v>4</v>
      </c>
      <c r="AO85" s="26">
        <v>4</v>
      </c>
      <c r="AP85" s="26" t="s">
        <v>184</v>
      </c>
      <c r="AT85" s="63"/>
      <c r="DP85" s="12"/>
      <c r="DR85" s="15"/>
      <c r="EB85" s="26">
        <f>970/22.7273</f>
        <v>42.679948784061459</v>
      </c>
      <c r="EC85" s="26">
        <f>610/22.7273</f>
        <v>26.839967792038649</v>
      </c>
      <c r="ED85" s="26">
        <f>400/22.7273</f>
        <v>17.599978880025343</v>
      </c>
      <c r="EE85" s="26">
        <v>140</v>
      </c>
      <c r="EF85" s="26">
        <v>204</v>
      </c>
      <c r="EG85" s="26">
        <v>58</v>
      </c>
      <c r="EN85" s="26">
        <v>7</v>
      </c>
    </row>
    <row r="86" spans="1:144" s="26" customFormat="1" x14ac:dyDescent="0.25">
      <c r="A86" s="26">
        <v>7</v>
      </c>
      <c r="B86" s="26" t="s">
        <v>262</v>
      </c>
      <c r="C86" s="26" t="s">
        <v>263</v>
      </c>
      <c r="D86" s="26">
        <v>1999</v>
      </c>
      <c r="E86" s="26">
        <v>1995</v>
      </c>
      <c r="F86" s="26" t="s">
        <v>168</v>
      </c>
      <c r="G86" s="26" t="s">
        <v>264</v>
      </c>
      <c r="H86" s="26">
        <v>45.23</v>
      </c>
      <c r="I86" s="26">
        <v>-122.76</v>
      </c>
      <c r="J86" s="26">
        <v>48.4</v>
      </c>
      <c r="N86" s="26">
        <v>1040</v>
      </c>
      <c r="O86" s="26" t="s">
        <v>176</v>
      </c>
      <c r="P86" s="52" t="s">
        <v>187</v>
      </c>
      <c r="Q86" s="52"/>
      <c r="R86" s="52"/>
      <c r="S86" s="52" t="s">
        <v>662</v>
      </c>
      <c r="U86" s="26">
        <f>313/(313+540+147)*100</f>
        <v>31.3</v>
      </c>
      <c r="V86" s="26">
        <f>540/(313+540+147)*100</f>
        <v>54</v>
      </c>
      <c r="W86" s="26" t="s">
        <v>230</v>
      </c>
      <c r="Y86" s="26">
        <f>18/1000*100</f>
        <v>1.7999999999999998</v>
      </c>
      <c r="AA86" s="26" t="s">
        <v>1671</v>
      </c>
      <c r="AB86" s="26" t="s">
        <v>173</v>
      </c>
      <c r="AC86" s="26" t="s">
        <v>1727</v>
      </c>
      <c r="AD86" s="26" t="s">
        <v>281</v>
      </c>
      <c r="AE86" s="26" t="s">
        <v>281</v>
      </c>
      <c r="AF86" s="26" t="s">
        <v>252</v>
      </c>
      <c r="AM86" s="26" t="s">
        <v>160</v>
      </c>
      <c r="AN86" s="26">
        <v>4</v>
      </c>
      <c r="AO86" s="26">
        <v>4</v>
      </c>
      <c r="AP86" s="26" t="s">
        <v>184</v>
      </c>
      <c r="AT86" s="63"/>
      <c r="DP86" s="12"/>
      <c r="DR86" s="15"/>
      <c r="EB86" s="26">
        <f>276/22.7273</f>
        <v>12.143985427217487</v>
      </c>
      <c r="EC86" s="26">
        <f>260/22.7273</f>
        <v>11.439986272016474</v>
      </c>
      <c r="ED86" s="26">
        <f>116/22.7273</f>
        <v>5.1039938752073502</v>
      </c>
      <c r="EE86" s="26">
        <v>148</v>
      </c>
      <c r="EF86" s="26">
        <v>135</v>
      </c>
      <c r="EG86" s="26">
        <v>62</v>
      </c>
      <c r="EN86" s="26">
        <v>7</v>
      </c>
    </row>
    <row r="87" spans="1:144" s="26" customFormat="1" x14ac:dyDescent="0.25">
      <c r="A87" s="26">
        <v>7</v>
      </c>
      <c r="B87" s="26" t="s">
        <v>262</v>
      </c>
      <c r="C87" s="26" t="s">
        <v>263</v>
      </c>
      <c r="D87" s="26">
        <v>1999</v>
      </c>
      <c r="E87" s="26">
        <v>1995</v>
      </c>
      <c r="F87" s="26" t="s">
        <v>168</v>
      </c>
      <c r="G87" s="26" t="s">
        <v>264</v>
      </c>
      <c r="H87" s="26">
        <v>45.23</v>
      </c>
      <c r="I87" s="26">
        <v>-122.76</v>
      </c>
      <c r="J87" s="26">
        <v>48.4</v>
      </c>
      <c r="N87" s="26">
        <v>1040</v>
      </c>
      <c r="O87" s="26" t="s">
        <v>176</v>
      </c>
      <c r="P87" s="52" t="s">
        <v>187</v>
      </c>
      <c r="Q87" s="52"/>
      <c r="R87" s="52"/>
      <c r="S87" s="52" t="s">
        <v>663</v>
      </c>
      <c r="U87" s="26">
        <f>313/(313+540+147)*100</f>
        <v>31.3</v>
      </c>
      <c r="V87" s="26">
        <f>540/(313+540+147)*100</f>
        <v>54</v>
      </c>
      <c r="W87" s="26" t="s">
        <v>230</v>
      </c>
      <c r="X87" s="26">
        <v>6.3</v>
      </c>
      <c r="Y87" s="26">
        <f>9.4/1000*100</f>
        <v>0.94000000000000006</v>
      </c>
      <c r="Z87" s="26">
        <v>7</v>
      </c>
      <c r="AA87" s="26" t="s">
        <v>1671</v>
      </c>
      <c r="AB87" s="26" t="s">
        <v>173</v>
      </c>
      <c r="AC87" s="26" t="s">
        <v>1727</v>
      </c>
      <c r="AD87" s="26" t="s">
        <v>281</v>
      </c>
      <c r="AE87" s="26" t="s">
        <v>281</v>
      </c>
      <c r="AF87" s="26" t="s">
        <v>252</v>
      </c>
      <c r="AM87" s="26" t="s">
        <v>160</v>
      </c>
      <c r="AN87" s="26">
        <v>4</v>
      </c>
      <c r="AO87" s="26">
        <v>4</v>
      </c>
      <c r="AP87" s="26" t="s">
        <v>184</v>
      </c>
      <c r="AT87" s="63"/>
      <c r="DP87" s="12"/>
      <c r="DR87" s="15"/>
      <c r="EB87" s="26">
        <f>352/22.7273</f>
        <v>15.487981414422302</v>
      </c>
      <c r="EC87" s="26">
        <f>90/22.7273</f>
        <v>3.9599952480057024</v>
      </c>
      <c r="ED87" s="26">
        <f>144/22.7273</f>
        <v>6.3359923968091243</v>
      </c>
      <c r="EE87" s="26">
        <v>86</v>
      </c>
      <c r="EF87" s="26">
        <v>45</v>
      </c>
      <c r="EG87" s="26">
        <v>35</v>
      </c>
      <c r="EN87" s="26">
        <v>7</v>
      </c>
    </row>
    <row r="88" spans="1:144" s="26" customFormat="1" x14ac:dyDescent="0.25">
      <c r="A88" s="26">
        <v>7</v>
      </c>
      <c r="B88" s="26" t="s">
        <v>262</v>
      </c>
      <c r="C88" s="26" t="s">
        <v>263</v>
      </c>
      <c r="D88" s="26">
        <v>1999</v>
      </c>
      <c r="E88" s="26">
        <v>1995</v>
      </c>
      <c r="F88" s="26" t="s">
        <v>168</v>
      </c>
      <c r="G88" s="26" t="s">
        <v>264</v>
      </c>
      <c r="H88" s="26">
        <v>45.23</v>
      </c>
      <c r="I88" s="26">
        <v>-122.76</v>
      </c>
      <c r="J88" s="26">
        <v>48.4</v>
      </c>
      <c r="N88" s="26">
        <v>1040</v>
      </c>
      <c r="O88" s="26" t="s">
        <v>176</v>
      </c>
      <c r="P88" s="52" t="s">
        <v>187</v>
      </c>
      <c r="Q88" s="52"/>
      <c r="R88" s="52"/>
      <c r="S88" s="52" t="s">
        <v>664</v>
      </c>
      <c r="U88" s="26">
        <f>313/(313+540+147)*100</f>
        <v>31.3</v>
      </c>
      <c r="V88" s="26">
        <f>540/(313+540+147)*100</f>
        <v>54</v>
      </c>
      <c r="W88" s="26" t="s">
        <v>230</v>
      </c>
      <c r="Y88" s="26">
        <f>6.5/1000*100</f>
        <v>0.65</v>
      </c>
      <c r="AA88" s="26" t="s">
        <v>1671</v>
      </c>
      <c r="AB88" s="26" t="s">
        <v>173</v>
      </c>
      <c r="AC88" s="26" t="s">
        <v>1727</v>
      </c>
      <c r="AD88" s="26" t="s">
        <v>281</v>
      </c>
      <c r="AE88" s="26" t="s">
        <v>281</v>
      </c>
      <c r="AF88" s="26" t="s">
        <v>252</v>
      </c>
      <c r="AM88" s="26" t="s">
        <v>160</v>
      </c>
      <c r="AN88" s="26">
        <v>4</v>
      </c>
      <c r="AO88" s="26">
        <v>4</v>
      </c>
      <c r="AP88" s="26" t="s">
        <v>184</v>
      </c>
      <c r="AT88" s="63"/>
      <c r="DP88" s="12"/>
      <c r="DR88" s="15"/>
      <c r="EB88" s="26">
        <f>60/22.7273</f>
        <v>2.6399968320038014</v>
      </c>
      <c r="EC88" s="26">
        <f>150/22.7273</f>
        <v>6.5999920800095042</v>
      </c>
      <c r="ED88" s="26">
        <f>26/22.7273</f>
        <v>1.1439986272016474</v>
      </c>
      <c r="EE88" s="26">
        <v>28</v>
      </c>
      <c r="EF88" s="26">
        <v>29</v>
      </c>
      <c r="EG88" s="26">
        <v>12</v>
      </c>
      <c r="EN88" s="26">
        <v>7</v>
      </c>
    </row>
    <row r="89" spans="1:144" s="26" customFormat="1" x14ac:dyDescent="0.25">
      <c r="A89" s="26">
        <v>7</v>
      </c>
      <c r="B89" s="26" t="s">
        <v>262</v>
      </c>
      <c r="C89" s="26" t="s">
        <v>263</v>
      </c>
      <c r="D89" s="26">
        <v>1999</v>
      </c>
      <c r="E89" s="26">
        <v>1995</v>
      </c>
      <c r="F89" s="26" t="s">
        <v>168</v>
      </c>
      <c r="G89" s="26" t="s">
        <v>264</v>
      </c>
      <c r="H89" s="26">
        <v>45.23</v>
      </c>
      <c r="I89" s="26">
        <v>-122.76</v>
      </c>
      <c r="J89" s="26">
        <v>48.4</v>
      </c>
      <c r="N89" s="26">
        <v>1040</v>
      </c>
      <c r="O89" s="26" t="s">
        <v>176</v>
      </c>
      <c r="P89" s="52" t="s">
        <v>187</v>
      </c>
      <c r="Q89" s="52"/>
      <c r="R89" s="52"/>
      <c r="S89" s="52" t="s">
        <v>665</v>
      </c>
      <c r="U89" s="26">
        <f>313/(313+540+147)*100</f>
        <v>31.3</v>
      </c>
      <c r="V89" s="26">
        <f>540/(313+540+147)*100</f>
        <v>54</v>
      </c>
      <c r="W89" s="26" t="s">
        <v>230</v>
      </c>
      <c r="X89" s="26">
        <v>6.2</v>
      </c>
      <c r="Y89" s="26">
        <f>4.7/1000*100</f>
        <v>0.47000000000000003</v>
      </c>
      <c r="Z89" s="26">
        <v>0.7</v>
      </c>
      <c r="AA89" s="26" t="s">
        <v>1671</v>
      </c>
      <c r="AB89" s="26" t="s">
        <v>173</v>
      </c>
      <c r="AC89" s="26" t="s">
        <v>1727</v>
      </c>
      <c r="AD89" s="26" t="s">
        <v>281</v>
      </c>
      <c r="AE89" s="26" t="s">
        <v>281</v>
      </c>
      <c r="AF89" s="26" t="s">
        <v>252</v>
      </c>
      <c r="AM89" s="26" t="s">
        <v>160</v>
      </c>
      <c r="AN89" s="26">
        <v>4</v>
      </c>
      <c r="AO89" s="26">
        <v>4</v>
      </c>
      <c r="AP89" s="26" t="s">
        <v>184</v>
      </c>
      <c r="AT89" s="63"/>
      <c r="DP89" s="12"/>
      <c r="DR89" s="15"/>
      <c r="EB89" s="26">
        <f>80/22.7273</f>
        <v>3.5199957760050689</v>
      </c>
      <c r="EC89" s="26">
        <f>70/22.7273</f>
        <v>3.0799963040044354</v>
      </c>
      <c r="ED89" s="26">
        <f>33/22.7273</f>
        <v>1.4519982576020909</v>
      </c>
      <c r="EN89" s="26">
        <v>7</v>
      </c>
    </row>
    <row r="90" spans="1:144" s="24" customFormat="1" x14ac:dyDescent="0.25">
      <c r="A90" s="24">
        <v>8</v>
      </c>
      <c r="B90" s="24" t="s">
        <v>275</v>
      </c>
      <c r="C90" s="24" t="s">
        <v>276</v>
      </c>
      <c r="D90" s="24">
        <v>2016</v>
      </c>
      <c r="E90" s="24">
        <v>2010</v>
      </c>
      <c r="F90" s="24" t="s">
        <v>277</v>
      </c>
      <c r="G90" s="24" t="s">
        <v>278</v>
      </c>
      <c r="H90" s="24">
        <f>42+4/60</f>
        <v>42.06666666666667</v>
      </c>
      <c r="I90" s="24">
        <f>-86-21/60</f>
        <v>-86.35</v>
      </c>
      <c r="J90" s="24">
        <v>205</v>
      </c>
      <c r="P90" s="55" t="s">
        <v>186</v>
      </c>
      <c r="Q90" s="55"/>
      <c r="R90" s="55" t="s">
        <v>279</v>
      </c>
      <c r="S90" s="55"/>
      <c r="W90" s="24" t="s">
        <v>280</v>
      </c>
      <c r="AA90" s="24" t="s">
        <v>1677</v>
      </c>
      <c r="AB90" s="24" t="s">
        <v>173</v>
      </c>
      <c r="AC90" s="24" t="s">
        <v>1725</v>
      </c>
      <c r="AD90" s="24" t="s">
        <v>284</v>
      </c>
      <c r="AE90" s="24" t="s">
        <v>284</v>
      </c>
      <c r="AF90" s="24" t="s">
        <v>252</v>
      </c>
      <c r="AG90" s="24" t="s">
        <v>283</v>
      </c>
      <c r="AH90" s="24" t="s">
        <v>283</v>
      </c>
      <c r="AI90" s="24" t="s">
        <v>252</v>
      </c>
      <c r="AK90" s="24" t="s">
        <v>282</v>
      </c>
      <c r="AM90" s="24" t="s">
        <v>160</v>
      </c>
      <c r="AN90" s="23">
        <v>4</v>
      </c>
      <c r="AO90" s="23">
        <v>4</v>
      </c>
      <c r="AP90" s="23" t="s">
        <v>247</v>
      </c>
      <c r="AR90" s="24">
        <f>528.88*10</f>
        <v>5288.8</v>
      </c>
      <c r="AT90" s="65"/>
      <c r="AU90" s="23"/>
      <c r="AY90" s="24">
        <f>5.09*1000</f>
        <v>5090</v>
      </c>
      <c r="AZ90" s="24">
        <f>4.94*1000</f>
        <v>4940</v>
      </c>
      <c r="DJ90" s="24">
        <f>(40+13+41+3+326)/5</f>
        <v>84.6</v>
      </c>
      <c r="DK90" s="24">
        <f>(9+4+40+2+127)/5</f>
        <v>36.4</v>
      </c>
      <c r="DL90" s="24" t="s">
        <v>950</v>
      </c>
      <c r="DM90" s="24">
        <f>(0+0.77+1.87+3.67)/4</f>
        <v>1.5775000000000001</v>
      </c>
      <c r="DN90" s="24">
        <f>(0+3.17+4.6+6.17)/4</f>
        <v>3.4849999999999999</v>
      </c>
      <c r="DO90" s="24" t="s">
        <v>953</v>
      </c>
      <c r="DP90" s="12">
        <f>(3.38+1.45+0.51+0.06+1.54)/5</f>
        <v>1.3879999999999999</v>
      </c>
      <c r="DQ90" s="24">
        <f>(7.05+0.33+0.22+1.39+0.72)/5</f>
        <v>1.9420000000000002</v>
      </c>
      <c r="DR90" s="15" t="s">
        <v>954</v>
      </c>
      <c r="EL90" s="24" t="s">
        <v>955</v>
      </c>
      <c r="EN90" s="24">
        <v>8</v>
      </c>
    </row>
    <row r="91" spans="1:144" s="24" customFormat="1" x14ac:dyDescent="0.25">
      <c r="A91" s="24">
        <v>8</v>
      </c>
      <c r="B91" s="24" t="s">
        <v>275</v>
      </c>
      <c r="C91" s="24" t="s">
        <v>276</v>
      </c>
      <c r="D91" s="24">
        <v>2016</v>
      </c>
      <c r="E91" s="24">
        <v>2011</v>
      </c>
      <c r="F91" s="24" t="s">
        <v>277</v>
      </c>
      <c r="G91" s="24" t="s">
        <v>278</v>
      </c>
      <c r="H91" s="24">
        <f>42+4/60</f>
        <v>42.06666666666667</v>
      </c>
      <c r="I91" s="24">
        <f>-86-21/60</f>
        <v>-86.35</v>
      </c>
      <c r="J91" s="24">
        <v>205</v>
      </c>
      <c r="P91" s="55" t="s">
        <v>187</v>
      </c>
      <c r="Q91" s="55"/>
      <c r="R91" s="55" t="s">
        <v>279</v>
      </c>
      <c r="S91" s="55"/>
      <c r="W91" s="24" t="s">
        <v>280</v>
      </c>
      <c r="AA91" s="24" t="s">
        <v>1677</v>
      </c>
      <c r="AB91" s="24" t="s">
        <v>173</v>
      </c>
      <c r="AC91" s="24" t="s">
        <v>1725</v>
      </c>
      <c r="AD91" s="24" t="s">
        <v>284</v>
      </c>
      <c r="AE91" s="24" t="s">
        <v>284</v>
      </c>
      <c r="AF91" s="24" t="s">
        <v>252</v>
      </c>
      <c r="AG91" s="24" t="s">
        <v>283</v>
      </c>
      <c r="AH91" s="24" t="s">
        <v>283</v>
      </c>
      <c r="AI91" s="24" t="s">
        <v>252</v>
      </c>
      <c r="AK91" s="24" t="s">
        <v>282</v>
      </c>
      <c r="AM91" s="24" t="s">
        <v>160</v>
      </c>
      <c r="AN91" s="23">
        <v>4</v>
      </c>
      <c r="AO91" s="23">
        <v>4</v>
      </c>
      <c r="AP91" s="23" t="s">
        <v>247</v>
      </c>
      <c r="AR91" s="24">
        <f>372.96*10</f>
        <v>3729.6</v>
      </c>
      <c r="AT91" s="65"/>
      <c r="AU91" s="23"/>
      <c r="AY91" s="24">
        <f>5.31*1000</f>
        <v>5310</v>
      </c>
      <c r="AZ91" s="24">
        <f>5.01*1000</f>
        <v>5010</v>
      </c>
      <c r="DJ91" s="24">
        <f>(24+0+5+391+16)/5</f>
        <v>87.2</v>
      </c>
      <c r="DK91" s="24">
        <f>(2+0+15+260+4)/5</f>
        <v>56.2</v>
      </c>
      <c r="DL91" s="24" t="s">
        <v>950</v>
      </c>
      <c r="DM91" s="24">
        <f>(8.74+0.7+2.32+7.31)/4</f>
        <v>4.7675000000000001</v>
      </c>
      <c r="DN91" s="24">
        <f>(8.36+0.59+2.43+6.66)/4</f>
        <v>4.51</v>
      </c>
      <c r="DO91" s="24" t="s">
        <v>953</v>
      </c>
      <c r="DP91" s="12">
        <f>(0.7+0.05+0.2+0.02+0.21)/5</f>
        <v>0.23599999999999999</v>
      </c>
      <c r="DQ91" s="24">
        <f>(0.71+0.16+0.07+0.02+0.13)/5</f>
        <v>0.21799999999999997</v>
      </c>
      <c r="DR91" s="15" t="s">
        <v>954</v>
      </c>
      <c r="EL91" s="24" t="s">
        <v>955</v>
      </c>
      <c r="EN91" s="24">
        <v>8</v>
      </c>
    </row>
    <row r="92" spans="1:144" s="26" customFormat="1" x14ac:dyDescent="0.25">
      <c r="A92" s="26">
        <v>9</v>
      </c>
      <c r="B92" s="26" t="s">
        <v>286</v>
      </c>
      <c r="C92" s="26" t="s">
        <v>287</v>
      </c>
      <c r="D92" s="26">
        <v>1992</v>
      </c>
      <c r="E92" s="26">
        <v>1985</v>
      </c>
      <c r="F92" s="26" t="s">
        <v>289</v>
      </c>
      <c r="G92" s="26" t="s">
        <v>288</v>
      </c>
      <c r="H92" s="26">
        <f t="shared" ref="H92:H97" si="5">33+54/60</f>
        <v>33.9</v>
      </c>
      <c r="I92" s="26">
        <f t="shared" ref="I92:I97" si="6">-82-24/60</f>
        <v>-82.4</v>
      </c>
      <c r="J92" s="26">
        <v>130.1</v>
      </c>
      <c r="P92" s="52" t="s">
        <v>188</v>
      </c>
      <c r="Q92" s="52"/>
      <c r="R92" s="52" t="s">
        <v>291</v>
      </c>
      <c r="S92" s="52" t="s">
        <v>666</v>
      </c>
      <c r="U92" s="26">
        <f>54.1/(54.1+14.6+5.8)*100</f>
        <v>72.617449664429529</v>
      </c>
      <c r="V92" s="26">
        <f>14.6/(54.1+14.6+5.8)*100</f>
        <v>19.597315436241612</v>
      </c>
      <c r="W92" s="26" t="s">
        <v>290</v>
      </c>
      <c r="AA92" s="26" t="s">
        <v>1678</v>
      </c>
      <c r="AB92" s="26" t="s">
        <v>250</v>
      </c>
      <c r="AC92" s="26" t="s">
        <v>219</v>
      </c>
      <c r="AG92" s="26" t="s">
        <v>298</v>
      </c>
      <c r="AH92" s="26" t="s">
        <v>297</v>
      </c>
      <c r="AI92" s="26" t="s">
        <v>693</v>
      </c>
      <c r="AM92" s="26" t="s">
        <v>160</v>
      </c>
      <c r="AN92" s="26">
        <v>3</v>
      </c>
      <c r="AO92" s="26">
        <v>3</v>
      </c>
      <c r="AT92" s="63"/>
      <c r="AU92" s="26" t="s">
        <v>292</v>
      </c>
      <c r="CC92" s="26">
        <f>0.61*1000</f>
        <v>610</v>
      </c>
      <c r="CD92" s="26">
        <f>0.87*1000</f>
        <v>870</v>
      </c>
      <c r="CE92" s="26" t="s">
        <v>227</v>
      </c>
      <c r="CL92" s="26">
        <f>(26.7+29.5)/2</f>
        <v>28.1</v>
      </c>
      <c r="CM92" s="26">
        <f>(51.3+50.7)/2</f>
        <v>51</v>
      </c>
      <c r="CN92" s="26" t="s">
        <v>300</v>
      </c>
      <c r="DP92" s="12"/>
      <c r="DR92" s="15"/>
      <c r="EN92" s="26">
        <v>9</v>
      </c>
    </row>
    <row r="93" spans="1:144" s="26" customFormat="1" x14ac:dyDescent="0.25">
      <c r="A93" s="26">
        <v>9</v>
      </c>
      <c r="B93" s="26" t="s">
        <v>286</v>
      </c>
      <c r="C93" s="26" t="s">
        <v>287</v>
      </c>
      <c r="D93" s="26">
        <v>1992</v>
      </c>
      <c r="E93" s="26">
        <v>1985</v>
      </c>
      <c r="F93" s="26" t="s">
        <v>289</v>
      </c>
      <c r="G93" s="26" t="s">
        <v>288</v>
      </c>
      <c r="H93" s="26">
        <f t="shared" si="5"/>
        <v>33.9</v>
      </c>
      <c r="I93" s="26">
        <f t="shared" si="6"/>
        <v>-82.4</v>
      </c>
      <c r="J93" s="26">
        <v>130.1</v>
      </c>
      <c r="P93" s="52" t="s">
        <v>188</v>
      </c>
      <c r="Q93" s="52"/>
      <c r="R93" s="52" t="s">
        <v>291</v>
      </c>
      <c r="S93" s="52" t="s">
        <v>666</v>
      </c>
      <c r="U93" s="26">
        <f>47/(47+20.4+10.7)*100</f>
        <v>60.179257362355941</v>
      </c>
      <c r="V93" s="26">
        <f>20.4/(47+20.4+10.7)*100</f>
        <v>26.120358514724707</v>
      </c>
      <c r="W93" s="26" t="s">
        <v>290</v>
      </c>
      <c r="AA93" s="26" t="s">
        <v>1678</v>
      </c>
      <c r="AB93" s="26" t="s">
        <v>250</v>
      </c>
      <c r="AC93" s="26" t="s">
        <v>219</v>
      </c>
      <c r="AG93" s="26" t="s">
        <v>298</v>
      </c>
      <c r="AH93" s="26" t="s">
        <v>297</v>
      </c>
      <c r="AI93" s="26" t="s">
        <v>693</v>
      </c>
      <c r="AM93" s="26" t="s">
        <v>160</v>
      </c>
      <c r="AN93" s="26">
        <v>3</v>
      </c>
      <c r="AO93" s="26">
        <v>3</v>
      </c>
      <c r="AT93" s="63"/>
      <c r="AU93" s="26" t="s">
        <v>293</v>
      </c>
      <c r="CC93" s="26">
        <f>0.59*1000</f>
        <v>590</v>
      </c>
      <c r="CD93" s="26">
        <f>0.88*1000</f>
        <v>880</v>
      </c>
      <c r="CE93" s="26" t="s">
        <v>227</v>
      </c>
      <c r="CL93" s="26">
        <f>(32.9+20.5)/2</f>
        <v>26.7</v>
      </c>
      <c r="CM93" s="26">
        <f>(51.8+46.4)/2</f>
        <v>49.099999999999994</v>
      </c>
      <c r="CN93" s="26" t="s">
        <v>300</v>
      </c>
      <c r="DP93" s="12"/>
      <c r="DR93" s="15"/>
      <c r="EN93" s="26">
        <v>9</v>
      </c>
    </row>
    <row r="94" spans="1:144" s="26" customFormat="1" x14ac:dyDescent="0.25">
      <c r="A94" s="26">
        <v>9</v>
      </c>
      <c r="B94" s="26" t="s">
        <v>286</v>
      </c>
      <c r="C94" s="26" t="s">
        <v>287</v>
      </c>
      <c r="D94" s="26">
        <v>1992</v>
      </c>
      <c r="E94" s="26">
        <v>1985</v>
      </c>
      <c r="F94" s="26" t="s">
        <v>289</v>
      </c>
      <c r="G94" s="26" t="s">
        <v>288</v>
      </c>
      <c r="H94" s="26">
        <f t="shared" si="5"/>
        <v>33.9</v>
      </c>
      <c r="I94" s="26">
        <f t="shared" si="6"/>
        <v>-82.4</v>
      </c>
      <c r="J94" s="26">
        <v>130.1</v>
      </c>
      <c r="P94" s="52" t="s">
        <v>188</v>
      </c>
      <c r="Q94" s="52"/>
      <c r="R94" s="52" t="s">
        <v>291</v>
      </c>
      <c r="S94" s="52" t="s">
        <v>666</v>
      </c>
      <c r="U94" s="26">
        <f>42.5/(42.5+21.3+19)*100</f>
        <v>51.328502415458942</v>
      </c>
      <c r="V94" s="26">
        <f>21.3/(42.5+21.3+19)*100</f>
        <v>25.724637681159422</v>
      </c>
      <c r="W94" s="26" t="s">
        <v>290</v>
      </c>
      <c r="AA94" s="26" t="s">
        <v>1678</v>
      </c>
      <c r="AB94" s="26" t="s">
        <v>250</v>
      </c>
      <c r="AC94" s="26" t="s">
        <v>219</v>
      </c>
      <c r="AG94" s="26" t="s">
        <v>298</v>
      </c>
      <c r="AH94" s="26" t="s">
        <v>297</v>
      </c>
      <c r="AI94" s="26" t="s">
        <v>693</v>
      </c>
      <c r="AM94" s="26" t="s">
        <v>160</v>
      </c>
      <c r="AN94" s="26">
        <v>3</v>
      </c>
      <c r="AO94" s="26">
        <v>3</v>
      </c>
      <c r="AT94" s="63"/>
      <c r="AU94" s="26" t="s">
        <v>294</v>
      </c>
      <c r="CC94" s="26">
        <f>0.65*1000</f>
        <v>650</v>
      </c>
      <c r="CD94" s="26">
        <f>0.91*1000</f>
        <v>910</v>
      </c>
      <c r="CE94" s="26" t="s">
        <v>227</v>
      </c>
      <c r="CL94" s="26">
        <f>(35.9+20.2)/2</f>
        <v>28.049999999999997</v>
      </c>
      <c r="CM94" s="26">
        <f>(46+41.6)/2</f>
        <v>43.8</v>
      </c>
      <c r="CN94" s="26" t="s">
        <v>300</v>
      </c>
      <c r="DP94" s="12"/>
      <c r="DR94" s="15"/>
      <c r="EN94" s="26">
        <v>9</v>
      </c>
    </row>
    <row r="95" spans="1:144" s="26" customFormat="1" x14ac:dyDescent="0.25">
      <c r="A95" s="26">
        <v>9</v>
      </c>
      <c r="B95" s="26" t="s">
        <v>286</v>
      </c>
      <c r="C95" s="26" t="s">
        <v>287</v>
      </c>
      <c r="D95" s="26">
        <v>1992</v>
      </c>
      <c r="E95" s="26">
        <v>1985</v>
      </c>
      <c r="F95" s="26" t="s">
        <v>289</v>
      </c>
      <c r="G95" s="26" t="s">
        <v>288</v>
      </c>
      <c r="H95" s="26">
        <f t="shared" si="5"/>
        <v>33.9</v>
      </c>
      <c r="I95" s="26">
        <f t="shared" si="6"/>
        <v>-82.4</v>
      </c>
      <c r="J95" s="26">
        <v>130.1</v>
      </c>
      <c r="P95" s="52" t="s">
        <v>188</v>
      </c>
      <c r="Q95" s="52"/>
      <c r="R95" s="52" t="s">
        <v>291</v>
      </c>
      <c r="S95" s="52" t="s">
        <v>666</v>
      </c>
      <c r="U95" s="26">
        <f>54.1/(54.1+14.6+5.8)*100</f>
        <v>72.617449664429529</v>
      </c>
      <c r="V95" s="26">
        <f>14.6/(54.1+14.6+5.8)*100</f>
        <v>19.597315436241612</v>
      </c>
      <c r="W95" s="26" t="s">
        <v>290</v>
      </c>
      <c r="AA95" s="26" t="s">
        <v>1678</v>
      </c>
      <c r="AB95" s="26" t="s">
        <v>250</v>
      </c>
      <c r="AC95" s="26" t="s">
        <v>299</v>
      </c>
      <c r="AG95" s="26" t="s">
        <v>298</v>
      </c>
      <c r="AH95" s="26" t="s">
        <v>297</v>
      </c>
      <c r="AI95" s="26" t="s">
        <v>693</v>
      </c>
      <c r="AM95" s="26" t="s">
        <v>160</v>
      </c>
      <c r="AN95" s="26">
        <v>3</v>
      </c>
      <c r="AO95" s="26">
        <v>3</v>
      </c>
      <c r="AT95" s="63"/>
      <c r="AU95" s="26" t="s">
        <v>292</v>
      </c>
      <c r="CC95" s="26">
        <f>0.5*1000</f>
        <v>500</v>
      </c>
      <c r="CD95" s="26">
        <f>0.87*1000</f>
        <v>870</v>
      </c>
      <c r="CE95" s="26" t="s">
        <v>227</v>
      </c>
      <c r="CL95" s="26">
        <f>(33+25.7)/2</f>
        <v>29.35</v>
      </c>
      <c r="CM95" s="26">
        <f>(51.3+50.7)/2</f>
        <v>51</v>
      </c>
      <c r="CN95" s="26" t="s">
        <v>300</v>
      </c>
      <c r="DP95" s="12"/>
      <c r="DR95" s="15"/>
      <c r="EN95" s="26">
        <v>9</v>
      </c>
    </row>
    <row r="96" spans="1:144" s="26" customFormat="1" x14ac:dyDescent="0.25">
      <c r="A96" s="26">
        <v>9</v>
      </c>
      <c r="B96" s="26" t="s">
        <v>286</v>
      </c>
      <c r="C96" s="26" t="s">
        <v>287</v>
      </c>
      <c r="D96" s="26">
        <v>1992</v>
      </c>
      <c r="E96" s="26">
        <v>1985</v>
      </c>
      <c r="F96" s="26" t="s">
        <v>289</v>
      </c>
      <c r="G96" s="26" t="s">
        <v>288</v>
      </c>
      <c r="H96" s="26">
        <f t="shared" si="5"/>
        <v>33.9</v>
      </c>
      <c r="I96" s="26">
        <f t="shared" si="6"/>
        <v>-82.4</v>
      </c>
      <c r="J96" s="26">
        <v>130.1</v>
      </c>
      <c r="P96" s="52" t="s">
        <v>188</v>
      </c>
      <c r="Q96" s="52"/>
      <c r="R96" s="52" t="s">
        <v>291</v>
      </c>
      <c r="S96" s="52" t="s">
        <v>666</v>
      </c>
      <c r="U96" s="26">
        <f>47/(47+20.4+10.7)*100</f>
        <v>60.179257362355941</v>
      </c>
      <c r="V96" s="26">
        <f>20.4/(47+20.4+10.7)*100</f>
        <v>26.120358514724707</v>
      </c>
      <c r="W96" s="26" t="s">
        <v>290</v>
      </c>
      <c r="AA96" s="26" t="s">
        <v>1678</v>
      </c>
      <c r="AB96" s="26" t="s">
        <v>250</v>
      </c>
      <c r="AC96" s="26" t="s">
        <v>299</v>
      </c>
      <c r="AG96" s="26" t="s">
        <v>298</v>
      </c>
      <c r="AH96" s="26" t="s">
        <v>297</v>
      </c>
      <c r="AI96" s="26" t="s">
        <v>693</v>
      </c>
      <c r="AM96" s="26" t="s">
        <v>160</v>
      </c>
      <c r="AN96" s="26">
        <v>3</v>
      </c>
      <c r="AO96" s="26">
        <v>3</v>
      </c>
      <c r="AT96" s="63"/>
      <c r="AU96" s="26" t="s">
        <v>293</v>
      </c>
      <c r="CC96" s="26">
        <f>0.59*1000</f>
        <v>590</v>
      </c>
      <c r="CD96" s="26">
        <f>0.88*1000</f>
        <v>880</v>
      </c>
      <c r="CE96" s="26" t="s">
        <v>227</v>
      </c>
      <c r="CL96" s="26">
        <f>(38.6+20.1)/2</f>
        <v>29.35</v>
      </c>
      <c r="CM96" s="26">
        <f>(51.8+46.4)/2</f>
        <v>49.099999999999994</v>
      </c>
      <c r="CN96" s="26" t="s">
        <v>300</v>
      </c>
      <c r="DP96" s="12"/>
      <c r="DR96" s="15"/>
      <c r="EN96" s="26">
        <v>9</v>
      </c>
    </row>
    <row r="97" spans="1:144" s="26" customFormat="1" x14ac:dyDescent="0.25">
      <c r="A97" s="26">
        <v>9</v>
      </c>
      <c r="B97" s="26" t="s">
        <v>286</v>
      </c>
      <c r="C97" s="26" t="s">
        <v>287</v>
      </c>
      <c r="D97" s="26">
        <v>1992</v>
      </c>
      <c r="E97" s="26">
        <v>1985</v>
      </c>
      <c r="F97" s="26" t="s">
        <v>289</v>
      </c>
      <c r="G97" s="26" t="s">
        <v>288</v>
      </c>
      <c r="H97" s="26">
        <f t="shared" si="5"/>
        <v>33.9</v>
      </c>
      <c r="I97" s="26">
        <f t="shared" si="6"/>
        <v>-82.4</v>
      </c>
      <c r="J97" s="26">
        <v>130.1</v>
      </c>
      <c r="P97" s="52" t="s">
        <v>188</v>
      </c>
      <c r="Q97" s="52"/>
      <c r="R97" s="52" t="s">
        <v>291</v>
      </c>
      <c r="S97" s="52" t="s">
        <v>666</v>
      </c>
      <c r="U97" s="26">
        <f>42.5/(42.5+21.3+19)*100</f>
        <v>51.328502415458942</v>
      </c>
      <c r="V97" s="26">
        <f>21.3/(42.5+21.3+19)*100</f>
        <v>25.724637681159422</v>
      </c>
      <c r="W97" s="26" t="s">
        <v>290</v>
      </c>
      <c r="AA97" s="26" t="s">
        <v>1678</v>
      </c>
      <c r="AB97" s="26" t="s">
        <v>250</v>
      </c>
      <c r="AC97" s="26" t="s">
        <v>299</v>
      </c>
      <c r="AG97" s="26" t="s">
        <v>298</v>
      </c>
      <c r="AH97" s="26" t="s">
        <v>297</v>
      </c>
      <c r="AI97" s="26" t="s">
        <v>693</v>
      </c>
      <c r="AM97" s="26" t="s">
        <v>160</v>
      </c>
      <c r="AN97" s="26">
        <v>3</v>
      </c>
      <c r="AO97" s="26">
        <v>3</v>
      </c>
      <c r="AT97" s="63"/>
      <c r="AU97" s="26" t="s">
        <v>294</v>
      </c>
      <c r="CC97" s="26">
        <f>0.64*1000</f>
        <v>640</v>
      </c>
      <c r="CD97" s="26">
        <f>0.91*1000</f>
        <v>910</v>
      </c>
      <c r="CE97" s="26" t="s">
        <v>227</v>
      </c>
      <c r="CL97" s="26">
        <f>(34.5+21)/2</f>
        <v>27.75</v>
      </c>
      <c r="CM97" s="26">
        <f>(46+41.6)/2</f>
        <v>43.8</v>
      </c>
      <c r="CN97" s="26" t="s">
        <v>300</v>
      </c>
      <c r="DP97" s="12"/>
      <c r="DR97" s="15"/>
      <c r="EN97" s="26">
        <v>9</v>
      </c>
    </row>
    <row r="98" spans="1:144" s="23" customFormat="1" x14ac:dyDescent="0.25">
      <c r="A98" s="23">
        <v>10</v>
      </c>
      <c r="B98" s="27" t="s">
        <v>301</v>
      </c>
      <c r="C98" s="23" t="s">
        <v>302</v>
      </c>
      <c r="D98" s="23">
        <v>2015</v>
      </c>
      <c r="E98" s="23">
        <v>2010</v>
      </c>
      <c r="F98" s="23" t="s">
        <v>303</v>
      </c>
      <c r="G98" s="23" t="s">
        <v>304</v>
      </c>
      <c r="H98" s="23">
        <v>43.064999999999998</v>
      </c>
      <c r="I98" s="23">
        <v>-89.534999999999997</v>
      </c>
      <c r="J98" s="23">
        <v>331.7</v>
      </c>
      <c r="P98" s="53" t="s">
        <v>186</v>
      </c>
      <c r="Q98" s="53"/>
      <c r="R98" s="53" t="s">
        <v>306</v>
      </c>
      <c r="S98" s="53" t="s">
        <v>657</v>
      </c>
      <c r="W98" s="23" t="s">
        <v>175</v>
      </c>
      <c r="X98" s="23">
        <v>7.1</v>
      </c>
      <c r="Y98" s="23">
        <v>2.9</v>
      </c>
      <c r="AA98" s="23" t="s">
        <v>1679</v>
      </c>
      <c r="AB98" s="23" t="s">
        <v>310</v>
      </c>
      <c r="AC98" s="23" t="s">
        <v>309</v>
      </c>
      <c r="AG98" s="23" t="s">
        <v>312</v>
      </c>
      <c r="AH98" s="23" t="s">
        <v>312</v>
      </c>
      <c r="AI98" s="23" t="s">
        <v>252</v>
      </c>
      <c r="AM98" s="23" t="s">
        <v>160</v>
      </c>
      <c r="AN98" s="23">
        <v>4</v>
      </c>
      <c r="AO98" s="23">
        <v>4</v>
      </c>
      <c r="AT98" s="64"/>
      <c r="AY98" s="23">
        <f>(40+24.2)/2*1000</f>
        <v>32100</v>
      </c>
      <c r="AZ98" s="23">
        <f>(31.5+25.7)/2*1000</f>
        <v>28600</v>
      </c>
      <c r="BA98" s="23" t="s">
        <v>316</v>
      </c>
      <c r="BH98" s="23">
        <v>11.22</v>
      </c>
      <c r="BI98" s="23">
        <v>8.83</v>
      </c>
      <c r="BJ98" s="23" t="s">
        <v>459</v>
      </c>
      <c r="DJ98" s="23">
        <v>2320</v>
      </c>
      <c r="DK98" s="23">
        <v>630</v>
      </c>
      <c r="DP98" s="12"/>
      <c r="DR98" s="15"/>
      <c r="EN98" s="23">
        <v>10</v>
      </c>
    </row>
    <row r="99" spans="1:144" s="23" customFormat="1" x14ac:dyDescent="0.25">
      <c r="A99" s="23">
        <v>10</v>
      </c>
      <c r="B99" s="27" t="s">
        <v>301</v>
      </c>
      <c r="C99" s="23" t="s">
        <v>302</v>
      </c>
      <c r="D99" s="23">
        <v>2015</v>
      </c>
      <c r="E99" s="23">
        <v>2011</v>
      </c>
      <c r="F99" s="23" t="s">
        <v>303</v>
      </c>
      <c r="G99" s="23" t="s">
        <v>304</v>
      </c>
      <c r="H99" s="23">
        <v>43.064999999999998</v>
      </c>
      <c r="I99" s="23">
        <v>-89.534999999999997</v>
      </c>
      <c r="J99" s="23">
        <v>331.7</v>
      </c>
      <c r="P99" s="53" t="s">
        <v>187</v>
      </c>
      <c r="Q99" s="53"/>
      <c r="R99" s="53" t="s">
        <v>307</v>
      </c>
      <c r="S99" s="53" t="s">
        <v>657</v>
      </c>
      <c r="W99" s="23" t="s">
        <v>175</v>
      </c>
      <c r="X99" s="23">
        <v>7.1</v>
      </c>
      <c r="Y99" s="23">
        <v>2.9</v>
      </c>
      <c r="AA99" s="23" t="s">
        <v>1679</v>
      </c>
      <c r="AB99" s="23" t="s">
        <v>310</v>
      </c>
      <c r="AC99" s="23" t="s">
        <v>309</v>
      </c>
      <c r="AG99" s="23" t="s">
        <v>312</v>
      </c>
      <c r="AH99" s="23" t="s">
        <v>312</v>
      </c>
      <c r="AI99" s="23" t="s">
        <v>252</v>
      </c>
      <c r="AM99" s="23" t="s">
        <v>160</v>
      </c>
      <c r="AN99" s="23">
        <v>4</v>
      </c>
      <c r="AO99" s="23">
        <v>4</v>
      </c>
      <c r="AT99" s="64"/>
      <c r="BH99" s="23">
        <v>17.41</v>
      </c>
      <c r="BI99" s="23">
        <v>15.03</v>
      </c>
      <c r="BJ99" s="23" t="s">
        <v>459</v>
      </c>
      <c r="DJ99" s="23">
        <v>1130</v>
      </c>
      <c r="DK99" s="23">
        <v>230</v>
      </c>
      <c r="DP99" s="12"/>
      <c r="DR99" s="15"/>
      <c r="EN99" s="23">
        <v>10</v>
      </c>
    </row>
    <row r="100" spans="1:144" s="23" customFormat="1" x14ac:dyDescent="0.25">
      <c r="A100" s="23">
        <v>10</v>
      </c>
      <c r="B100" s="27" t="s">
        <v>301</v>
      </c>
      <c r="C100" s="23" t="s">
        <v>302</v>
      </c>
      <c r="D100" s="23">
        <v>2015</v>
      </c>
      <c r="E100" s="23">
        <v>2011</v>
      </c>
      <c r="F100" s="23" t="s">
        <v>303</v>
      </c>
      <c r="G100" s="23" t="s">
        <v>305</v>
      </c>
      <c r="H100" s="23">
        <v>43.314</v>
      </c>
      <c r="I100" s="23">
        <v>-89.335999999999999</v>
      </c>
      <c r="J100" s="23">
        <v>326.5</v>
      </c>
      <c r="P100" s="53" t="s">
        <v>187</v>
      </c>
      <c r="Q100" s="53"/>
      <c r="R100" s="53" t="s">
        <v>308</v>
      </c>
      <c r="S100" s="53" t="s">
        <v>657</v>
      </c>
      <c r="W100" s="23" t="s">
        <v>175</v>
      </c>
      <c r="X100" s="23">
        <v>7.3</v>
      </c>
      <c r="Y100" s="23">
        <v>4</v>
      </c>
      <c r="AA100" s="23" t="s">
        <v>1679</v>
      </c>
      <c r="AB100" s="23" t="s">
        <v>310</v>
      </c>
      <c r="AC100" s="23" t="s">
        <v>309</v>
      </c>
      <c r="AG100" s="23" t="s">
        <v>312</v>
      </c>
      <c r="AH100" s="23" t="s">
        <v>312</v>
      </c>
      <c r="AI100" s="23" t="s">
        <v>252</v>
      </c>
      <c r="AM100" s="23" t="s">
        <v>160</v>
      </c>
      <c r="AN100" s="23">
        <v>4</v>
      </c>
      <c r="AO100" s="23">
        <v>4</v>
      </c>
      <c r="AT100" s="64"/>
      <c r="BH100" s="23">
        <v>27.1</v>
      </c>
      <c r="BI100" s="23">
        <v>18.3</v>
      </c>
      <c r="BJ100" s="23" t="s">
        <v>459</v>
      </c>
      <c r="DJ100" s="23">
        <v>610</v>
      </c>
      <c r="DK100" s="23">
        <v>60</v>
      </c>
      <c r="DP100" s="12"/>
      <c r="DR100" s="15"/>
      <c r="EN100" s="23">
        <v>10</v>
      </c>
    </row>
    <row r="101" spans="1:144" s="23" customFormat="1" x14ac:dyDescent="0.25">
      <c r="A101" s="23">
        <v>10</v>
      </c>
      <c r="B101" s="27" t="s">
        <v>301</v>
      </c>
      <c r="C101" s="23" t="s">
        <v>302</v>
      </c>
      <c r="D101" s="23">
        <v>2015</v>
      </c>
      <c r="E101" s="23">
        <v>2010</v>
      </c>
      <c r="F101" s="23" t="s">
        <v>303</v>
      </c>
      <c r="G101" s="23" t="s">
        <v>304</v>
      </c>
      <c r="H101" s="23">
        <v>43.064999999999998</v>
      </c>
      <c r="I101" s="23">
        <v>-89.534999999999997</v>
      </c>
      <c r="J101" s="23">
        <v>331.7</v>
      </c>
      <c r="P101" s="53" t="s">
        <v>186</v>
      </c>
      <c r="Q101" s="53"/>
      <c r="R101" s="53" t="s">
        <v>306</v>
      </c>
      <c r="S101" s="53" t="s">
        <v>657</v>
      </c>
      <c r="W101" s="23" t="s">
        <v>175</v>
      </c>
      <c r="X101" s="23">
        <v>7.1</v>
      </c>
      <c r="Y101" s="23">
        <v>2.9</v>
      </c>
      <c r="AA101" s="23" t="s">
        <v>1679</v>
      </c>
      <c r="AB101" s="23" t="s">
        <v>311</v>
      </c>
      <c r="AC101" s="23" t="s">
        <v>309</v>
      </c>
      <c r="AG101" s="23" t="s">
        <v>312</v>
      </c>
      <c r="AH101" s="23" t="s">
        <v>312</v>
      </c>
      <c r="AI101" s="23" t="s">
        <v>252</v>
      </c>
      <c r="AM101" s="23" t="s">
        <v>160</v>
      </c>
      <c r="AN101" s="23">
        <v>4</v>
      </c>
      <c r="AO101" s="23">
        <v>4</v>
      </c>
      <c r="AT101" s="64"/>
      <c r="AY101" s="23">
        <f t="shared" ref="AY101:AY107" si="7">(40+24.2)/2*1000</f>
        <v>32100</v>
      </c>
      <c r="AZ101" s="23">
        <f>(42.1+29.8)/2*1000</f>
        <v>35950</v>
      </c>
      <c r="BA101" s="23" t="s">
        <v>316</v>
      </c>
      <c r="BH101" s="23">
        <v>11.22</v>
      </c>
      <c r="BI101" s="23">
        <v>9.34</v>
      </c>
      <c r="BJ101" s="23" t="s">
        <v>459</v>
      </c>
      <c r="DJ101" s="23">
        <v>2320</v>
      </c>
      <c r="DK101" s="23">
        <v>2040</v>
      </c>
      <c r="DP101" s="12"/>
      <c r="DR101" s="15"/>
      <c r="EN101" s="23">
        <v>10</v>
      </c>
    </row>
    <row r="102" spans="1:144" s="23" customFormat="1" x14ac:dyDescent="0.25">
      <c r="A102" s="23">
        <v>10</v>
      </c>
      <c r="B102" s="27" t="s">
        <v>301</v>
      </c>
      <c r="C102" s="23" t="s">
        <v>302</v>
      </c>
      <c r="D102" s="23">
        <v>2015</v>
      </c>
      <c r="E102" s="23">
        <v>2011</v>
      </c>
      <c r="F102" s="23" t="s">
        <v>303</v>
      </c>
      <c r="G102" s="23" t="s">
        <v>304</v>
      </c>
      <c r="H102" s="23">
        <v>43.064999999999998</v>
      </c>
      <c r="I102" s="23">
        <v>-89.534999999999997</v>
      </c>
      <c r="J102" s="23">
        <v>331.7</v>
      </c>
      <c r="P102" s="53" t="s">
        <v>187</v>
      </c>
      <c r="Q102" s="53"/>
      <c r="R102" s="53" t="s">
        <v>307</v>
      </c>
      <c r="S102" s="53" t="s">
        <v>657</v>
      </c>
      <c r="W102" s="23" t="s">
        <v>175</v>
      </c>
      <c r="X102" s="23">
        <v>7.1</v>
      </c>
      <c r="Y102" s="23">
        <v>2.9</v>
      </c>
      <c r="AA102" s="23" t="s">
        <v>1679</v>
      </c>
      <c r="AB102" s="23" t="s">
        <v>311</v>
      </c>
      <c r="AC102" s="23" t="s">
        <v>309</v>
      </c>
      <c r="AG102" s="23" t="s">
        <v>312</v>
      </c>
      <c r="AH102" s="23" t="s">
        <v>312</v>
      </c>
      <c r="AI102" s="23" t="s">
        <v>252</v>
      </c>
      <c r="AM102" s="23" t="s">
        <v>160</v>
      </c>
      <c r="AN102" s="23">
        <v>4</v>
      </c>
      <c r="AO102" s="23">
        <v>4</v>
      </c>
      <c r="AT102" s="64"/>
      <c r="BH102" s="23">
        <v>17.41</v>
      </c>
      <c r="BI102" s="23">
        <v>15.54</v>
      </c>
      <c r="BJ102" s="23" t="s">
        <v>459</v>
      </c>
      <c r="DJ102" s="23">
        <v>1130</v>
      </c>
      <c r="DK102" s="23">
        <v>270</v>
      </c>
      <c r="DP102" s="12"/>
      <c r="DR102" s="15"/>
      <c r="EN102" s="23">
        <v>10</v>
      </c>
    </row>
    <row r="103" spans="1:144" s="23" customFormat="1" x14ac:dyDescent="0.25">
      <c r="A103" s="23">
        <v>10</v>
      </c>
      <c r="B103" s="27" t="s">
        <v>301</v>
      </c>
      <c r="C103" s="23" t="s">
        <v>302</v>
      </c>
      <c r="D103" s="23">
        <v>2015</v>
      </c>
      <c r="E103" s="23">
        <v>2011</v>
      </c>
      <c r="F103" s="23" t="s">
        <v>303</v>
      </c>
      <c r="G103" s="23" t="s">
        <v>305</v>
      </c>
      <c r="H103" s="23">
        <v>43.314</v>
      </c>
      <c r="I103" s="23">
        <v>-89.335999999999999</v>
      </c>
      <c r="J103" s="23">
        <v>326.5</v>
      </c>
      <c r="P103" s="53" t="s">
        <v>187</v>
      </c>
      <c r="Q103" s="53"/>
      <c r="R103" s="53" t="s">
        <v>308</v>
      </c>
      <c r="S103" s="53" t="s">
        <v>657</v>
      </c>
      <c r="W103" s="23" t="s">
        <v>175</v>
      </c>
      <c r="X103" s="23">
        <v>7.3</v>
      </c>
      <c r="Y103" s="23">
        <v>4</v>
      </c>
      <c r="AA103" s="23" t="s">
        <v>1679</v>
      </c>
      <c r="AB103" s="23" t="s">
        <v>311</v>
      </c>
      <c r="AC103" s="23" t="s">
        <v>309</v>
      </c>
      <c r="AG103" s="23" t="s">
        <v>312</v>
      </c>
      <c r="AH103" s="23" t="s">
        <v>312</v>
      </c>
      <c r="AI103" s="23" t="s">
        <v>252</v>
      </c>
      <c r="AM103" s="23" t="s">
        <v>160</v>
      </c>
      <c r="AN103" s="23">
        <v>4</v>
      </c>
      <c r="AO103" s="23">
        <v>4</v>
      </c>
      <c r="AT103" s="64"/>
      <c r="BH103" s="23">
        <v>27.1</v>
      </c>
      <c r="BI103" s="23">
        <v>19.45</v>
      </c>
      <c r="BJ103" s="23" t="s">
        <v>459</v>
      </c>
      <c r="DJ103" s="23">
        <v>610</v>
      </c>
      <c r="DK103" s="23">
        <v>330</v>
      </c>
      <c r="DP103" s="12"/>
      <c r="DR103" s="15"/>
      <c r="EN103" s="23">
        <v>10</v>
      </c>
    </row>
    <row r="104" spans="1:144" s="23" customFormat="1" x14ac:dyDescent="0.25">
      <c r="A104" s="23">
        <v>10</v>
      </c>
      <c r="B104" s="27" t="s">
        <v>301</v>
      </c>
      <c r="C104" s="23" t="s">
        <v>302</v>
      </c>
      <c r="D104" s="23">
        <v>2015</v>
      </c>
      <c r="E104" s="23">
        <v>2010</v>
      </c>
      <c r="F104" s="23" t="s">
        <v>303</v>
      </c>
      <c r="G104" s="23" t="s">
        <v>304</v>
      </c>
      <c r="H104" s="23">
        <v>43.064999999999998</v>
      </c>
      <c r="I104" s="23">
        <v>-89.534999999999997</v>
      </c>
      <c r="J104" s="23">
        <v>331.7</v>
      </c>
      <c r="P104" s="53" t="s">
        <v>186</v>
      </c>
      <c r="Q104" s="53"/>
      <c r="R104" s="53" t="s">
        <v>306</v>
      </c>
      <c r="S104" s="53" t="s">
        <v>657</v>
      </c>
      <c r="W104" s="23" t="s">
        <v>175</v>
      </c>
      <c r="X104" s="23">
        <v>7.1</v>
      </c>
      <c r="Y104" s="23">
        <v>2.9</v>
      </c>
      <c r="AA104" s="23" t="s">
        <v>1679</v>
      </c>
      <c r="AB104" s="23" t="s">
        <v>310</v>
      </c>
      <c r="AC104" s="23" t="s">
        <v>309</v>
      </c>
      <c r="AG104" s="23" t="s">
        <v>312</v>
      </c>
      <c r="AH104" s="23" t="s">
        <v>297</v>
      </c>
      <c r="AI104" s="23" t="s">
        <v>693</v>
      </c>
      <c r="AM104" s="23" t="s">
        <v>160</v>
      </c>
      <c r="AN104" s="23">
        <v>4</v>
      </c>
      <c r="AO104" s="23">
        <v>4</v>
      </c>
      <c r="AT104" s="64"/>
      <c r="AY104" s="23">
        <f t="shared" si="7"/>
        <v>32100</v>
      </c>
      <c r="AZ104" s="23">
        <f>(6.5+0.7+7.8+0)/4*1000</f>
        <v>3750</v>
      </c>
      <c r="BA104" s="23" t="s">
        <v>316</v>
      </c>
      <c r="BH104" s="23">
        <v>11.22</v>
      </c>
      <c r="BI104" s="23">
        <v>4.84</v>
      </c>
      <c r="BJ104" s="23" t="s">
        <v>459</v>
      </c>
      <c r="DP104" s="12"/>
      <c r="DR104" s="15"/>
      <c r="EN104" s="23">
        <v>10</v>
      </c>
    </row>
    <row r="105" spans="1:144" s="23" customFormat="1" x14ac:dyDescent="0.25">
      <c r="A105" s="23">
        <v>10</v>
      </c>
      <c r="B105" s="27" t="s">
        <v>301</v>
      </c>
      <c r="C105" s="23" t="s">
        <v>302</v>
      </c>
      <c r="D105" s="23">
        <v>2015</v>
      </c>
      <c r="E105" s="23">
        <v>2011</v>
      </c>
      <c r="F105" s="23" t="s">
        <v>303</v>
      </c>
      <c r="G105" s="23" t="s">
        <v>304</v>
      </c>
      <c r="H105" s="23">
        <v>43.064999999999998</v>
      </c>
      <c r="I105" s="23">
        <v>-89.534999999999997</v>
      </c>
      <c r="J105" s="23">
        <v>331.7</v>
      </c>
      <c r="P105" s="53" t="s">
        <v>187</v>
      </c>
      <c r="Q105" s="53"/>
      <c r="R105" s="53" t="s">
        <v>307</v>
      </c>
      <c r="S105" s="53" t="s">
        <v>657</v>
      </c>
      <c r="W105" s="23" t="s">
        <v>175</v>
      </c>
      <c r="X105" s="23">
        <v>7.1</v>
      </c>
      <c r="Y105" s="23">
        <v>2.9</v>
      </c>
      <c r="AA105" s="23" t="s">
        <v>1679</v>
      </c>
      <c r="AB105" s="23" t="s">
        <v>310</v>
      </c>
      <c r="AC105" s="23" t="s">
        <v>309</v>
      </c>
      <c r="AG105" s="23" t="s">
        <v>312</v>
      </c>
      <c r="AH105" s="23" t="s">
        <v>297</v>
      </c>
      <c r="AI105" s="23" t="s">
        <v>693</v>
      </c>
      <c r="AM105" s="23" t="s">
        <v>160</v>
      </c>
      <c r="AN105" s="23">
        <v>4</v>
      </c>
      <c r="AO105" s="23">
        <v>4</v>
      </c>
      <c r="AT105" s="64"/>
      <c r="BH105" s="23">
        <v>17.41</v>
      </c>
      <c r="BI105" s="23">
        <v>11.04</v>
      </c>
      <c r="BJ105" s="23" t="s">
        <v>459</v>
      </c>
      <c r="DP105" s="12"/>
      <c r="DR105" s="15"/>
      <c r="EN105" s="23">
        <v>10</v>
      </c>
    </row>
    <row r="106" spans="1:144" s="23" customFormat="1" x14ac:dyDescent="0.25">
      <c r="A106" s="23">
        <v>10</v>
      </c>
      <c r="B106" s="27" t="s">
        <v>301</v>
      </c>
      <c r="C106" s="23" t="s">
        <v>302</v>
      </c>
      <c r="D106" s="23">
        <v>2015</v>
      </c>
      <c r="E106" s="23">
        <v>2011</v>
      </c>
      <c r="F106" s="23" t="s">
        <v>303</v>
      </c>
      <c r="G106" s="23" t="s">
        <v>305</v>
      </c>
      <c r="H106" s="23">
        <v>43.314</v>
      </c>
      <c r="I106" s="23">
        <v>-89.335999999999999</v>
      </c>
      <c r="J106" s="23">
        <v>326.5</v>
      </c>
      <c r="P106" s="53" t="s">
        <v>187</v>
      </c>
      <c r="Q106" s="53"/>
      <c r="R106" s="53" t="s">
        <v>308</v>
      </c>
      <c r="S106" s="53" t="s">
        <v>657</v>
      </c>
      <c r="W106" s="23" t="s">
        <v>175</v>
      </c>
      <c r="X106" s="23">
        <v>7.3</v>
      </c>
      <c r="Y106" s="23">
        <v>4</v>
      </c>
      <c r="AA106" s="23" t="s">
        <v>1679</v>
      </c>
      <c r="AB106" s="23" t="s">
        <v>310</v>
      </c>
      <c r="AC106" s="23" t="s">
        <v>309</v>
      </c>
      <c r="AG106" s="23" t="s">
        <v>312</v>
      </c>
      <c r="AH106" s="23" t="s">
        <v>297</v>
      </c>
      <c r="AI106" s="23" t="s">
        <v>693</v>
      </c>
      <c r="AM106" s="23" t="s">
        <v>160</v>
      </c>
      <c r="AN106" s="23">
        <v>4</v>
      </c>
      <c r="AO106" s="23">
        <v>4</v>
      </c>
      <c r="AT106" s="64"/>
      <c r="BH106" s="23">
        <v>27.1</v>
      </c>
      <c r="BI106" s="23">
        <v>13.22</v>
      </c>
      <c r="BJ106" s="23" t="s">
        <v>459</v>
      </c>
      <c r="DP106" s="12"/>
      <c r="DR106" s="15"/>
      <c r="EN106" s="23">
        <v>10</v>
      </c>
    </row>
    <row r="107" spans="1:144" s="23" customFormat="1" x14ac:dyDescent="0.25">
      <c r="A107" s="23">
        <v>10</v>
      </c>
      <c r="B107" s="27" t="s">
        <v>301</v>
      </c>
      <c r="C107" s="23" t="s">
        <v>302</v>
      </c>
      <c r="D107" s="23">
        <v>2015</v>
      </c>
      <c r="E107" s="23">
        <v>2010</v>
      </c>
      <c r="F107" s="23" t="s">
        <v>303</v>
      </c>
      <c r="G107" s="23" t="s">
        <v>304</v>
      </c>
      <c r="H107" s="23">
        <v>43.064999999999998</v>
      </c>
      <c r="I107" s="23">
        <v>-89.534999999999997</v>
      </c>
      <c r="J107" s="23">
        <v>331.7</v>
      </c>
      <c r="P107" s="53" t="s">
        <v>186</v>
      </c>
      <c r="Q107" s="53"/>
      <c r="R107" s="53" t="s">
        <v>306</v>
      </c>
      <c r="S107" s="53" t="s">
        <v>657</v>
      </c>
      <c r="W107" s="23" t="s">
        <v>175</v>
      </c>
      <c r="X107" s="23">
        <v>7.1</v>
      </c>
      <c r="Y107" s="23">
        <v>2.9</v>
      </c>
      <c r="AA107" s="23" t="s">
        <v>1679</v>
      </c>
      <c r="AB107" s="23" t="s">
        <v>311</v>
      </c>
      <c r="AC107" s="23" t="s">
        <v>309</v>
      </c>
      <c r="AG107" s="23" t="s">
        <v>312</v>
      </c>
      <c r="AH107" s="23" t="s">
        <v>297</v>
      </c>
      <c r="AI107" s="23" t="s">
        <v>693</v>
      </c>
      <c r="AM107" s="23" t="s">
        <v>160</v>
      </c>
      <c r="AN107" s="23">
        <v>4</v>
      </c>
      <c r="AO107" s="23">
        <v>4</v>
      </c>
      <c r="AT107" s="64"/>
      <c r="AY107" s="23">
        <f t="shared" si="7"/>
        <v>32100</v>
      </c>
      <c r="AZ107" s="23">
        <f>(2.1+0+13.4+8.1)/4*1000</f>
        <v>5900</v>
      </c>
      <c r="BA107" s="23" t="s">
        <v>316</v>
      </c>
      <c r="BH107" s="23">
        <v>11.22</v>
      </c>
      <c r="BI107" s="23">
        <v>5.04</v>
      </c>
      <c r="BJ107" s="23" t="s">
        <v>459</v>
      </c>
      <c r="DP107" s="12"/>
      <c r="DR107" s="15"/>
      <c r="EN107" s="23">
        <v>10</v>
      </c>
    </row>
    <row r="108" spans="1:144" s="23" customFormat="1" x14ac:dyDescent="0.25">
      <c r="A108" s="23">
        <v>10</v>
      </c>
      <c r="B108" s="27" t="s">
        <v>301</v>
      </c>
      <c r="C108" s="23" t="s">
        <v>302</v>
      </c>
      <c r="D108" s="23">
        <v>2015</v>
      </c>
      <c r="E108" s="23">
        <v>2011</v>
      </c>
      <c r="F108" s="23" t="s">
        <v>303</v>
      </c>
      <c r="G108" s="23" t="s">
        <v>304</v>
      </c>
      <c r="H108" s="23">
        <v>43.064999999999998</v>
      </c>
      <c r="I108" s="23">
        <v>-89.534999999999997</v>
      </c>
      <c r="J108" s="23">
        <v>331.7</v>
      </c>
      <c r="P108" s="53" t="s">
        <v>187</v>
      </c>
      <c r="Q108" s="53"/>
      <c r="R108" s="53" t="s">
        <v>307</v>
      </c>
      <c r="S108" s="53" t="s">
        <v>657</v>
      </c>
      <c r="W108" s="23" t="s">
        <v>175</v>
      </c>
      <c r="X108" s="23">
        <v>7.1</v>
      </c>
      <c r="Y108" s="23">
        <v>2.9</v>
      </c>
      <c r="AA108" s="23" t="s">
        <v>1679</v>
      </c>
      <c r="AB108" s="23" t="s">
        <v>311</v>
      </c>
      <c r="AC108" s="23" t="s">
        <v>309</v>
      </c>
      <c r="AG108" s="23" t="s">
        <v>312</v>
      </c>
      <c r="AH108" s="23" t="s">
        <v>297</v>
      </c>
      <c r="AI108" s="23" t="s">
        <v>693</v>
      </c>
      <c r="AM108" s="23" t="s">
        <v>160</v>
      </c>
      <c r="AN108" s="23">
        <v>4</v>
      </c>
      <c r="AO108" s="23">
        <v>4</v>
      </c>
      <c r="AT108" s="64"/>
      <c r="BH108" s="23">
        <v>17.41</v>
      </c>
      <c r="BI108" s="23">
        <v>11.24</v>
      </c>
      <c r="BJ108" s="23" t="s">
        <v>459</v>
      </c>
      <c r="DP108" s="12"/>
      <c r="DR108" s="15"/>
      <c r="EN108" s="23">
        <v>10</v>
      </c>
    </row>
    <row r="109" spans="1:144" s="23" customFormat="1" x14ac:dyDescent="0.25">
      <c r="A109" s="23">
        <v>10</v>
      </c>
      <c r="B109" s="27" t="s">
        <v>301</v>
      </c>
      <c r="C109" s="23" t="s">
        <v>302</v>
      </c>
      <c r="D109" s="23">
        <v>2015</v>
      </c>
      <c r="E109" s="23">
        <v>2011</v>
      </c>
      <c r="F109" s="23" t="s">
        <v>303</v>
      </c>
      <c r="G109" s="23" t="s">
        <v>305</v>
      </c>
      <c r="H109" s="23">
        <v>43.314</v>
      </c>
      <c r="I109" s="23">
        <v>-89.335999999999999</v>
      </c>
      <c r="J109" s="23">
        <v>326.5</v>
      </c>
      <c r="P109" s="53" t="s">
        <v>187</v>
      </c>
      <c r="Q109" s="53"/>
      <c r="R109" s="53" t="s">
        <v>308</v>
      </c>
      <c r="S109" s="53" t="s">
        <v>657</v>
      </c>
      <c r="W109" s="23" t="s">
        <v>175</v>
      </c>
      <c r="X109" s="23">
        <v>7.3</v>
      </c>
      <c r="Y109" s="23">
        <v>4</v>
      </c>
      <c r="AA109" s="23" t="s">
        <v>1679</v>
      </c>
      <c r="AB109" s="23" t="s">
        <v>311</v>
      </c>
      <c r="AC109" s="23" t="s">
        <v>309</v>
      </c>
      <c r="AG109" s="23" t="s">
        <v>312</v>
      </c>
      <c r="AH109" s="23" t="s">
        <v>297</v>
      </c>
      <c r="AI109" s="23" t="s">
        <v>693</v>
      </c>
      <c r="AM109" s="23" t="s">
        <v>160</v>
      </c>
      <c r="AN109" s="23">
        <v>4</v>
      </c>
      <c r="AO109" s="23">
        <v>4</v>
      </c>
      <c r="AT109" s="64"/>
      <c r="BH109" s="23">
        <v>27.1</v>
      </c>
      <c r="BI109" s="23">
        <v>11.8</v>
      </c>
      <c r="BJ109" s="23" t="s">
        <v>459</v>
      </c>
      <c r="DP109" s="12"/>
      <c r="DR109" s="15"/>
      <c r="EN109" s="23">
        <v>10</v>
      </c>
    </row>
    <row r="110" spans="1:144" s="26" customFormat="1" x14ac:dyDescent="0.25">
      <c r="A110" s="26">
        <v>11</v>
      </c>
      <c r="B110" s="26" t="s">
        <v>317</v>
      </c>
      <c r="C110" s="26" t="s">
        <v>318</v>
      </c>
      <c r="D110" s="26">
        <v>2010</v>
      </c>
      <c r="E110" s="26">
        <v>2005</v>
      </c>
      <c r="F110" s="26" t="s">
        <v>168</v>
      </c>
      <c r="G110" s="26" t="s">
        <v>320</v>
      </c>
      <c r="H110" s="26">
        <v>39.03</v>
      </c>
      <c r="I110" s="26">
        <v>-76.91</v>
      </c>
      <c r="J110" s="26">
        <v>34.6</v>
      </c>
      <c r="P110" s="52" t="s">
        <v>186</v>
      </c>
      <c r="Q110" s="52"/>
      <c r="R110" s="52" t="s">
        <v>307</v>
      </c>
      <c r="S110" s="52" t="s">
        <v>657</v>
      </c>
      <c r="U110" s="26">
        <f t="shared" ref="U110:U127" si="8">(63+83)/2</f>
        <v>73</v>
      </c>
      <c r="V110" s="26">
        <f t="shared" ref="V110:V127" si="9">(7+27)/2</f>
        <v>17</v>
      </c>
      <c r="W110" s="26" t="s">
        <v>321</v>
      </c>
      <c r="AA110" s="26" t="s">
        <v>1680</v>
      </c>
      <c r="AB110" s="26" t="s">
        <v>173</v>
      </c>
      <c r="AC110" s="26" t="s">
        <v>323</v>
      </c>
      <c r="AJ110" s="26" t="s">
        <v>322</v>
      </c>
      <c r="AK110" s="26" t="s">
        <v>322</v>
      </c>
      <c r="AL110" s="26" t="s">
        <v>252</v>
      </c>
      <c r="AM110" s="26" t="s">
        <v>319</v>
      </c>
      <c r="AN110" s="26">
        <v>4</v>
      </c>
      <c r="AO110" s="26">
        <v>4</v>
      </c>
      <c r="AP110" s="26" t="s">
        <v>184</v>
      </c>
      <c r="AT110" s="63"/>
      <c r="AY110" s="26">
        <v>56000</v>
      </c>
      <c r="AZ110" s="26">
        <v>59600</v>
      </c>
      <c r="DP110" s="26">
        <f t="shared" ref="DP110:DP115" si="10">15.07*22.7273</f>
        <v>342.50041099999999</v>
      </c>
      <c r="DQ110" s="26">
        <f>19.33*22.7273</f>
        <v>439.31870899999996</v>
      </c>
      <c r="DR110" s="26" t="s">
        <v>350</v>
      </c>
      <c r="EN110" s="26">
        <v>11</v>
      </c>
    </row>
    <row r="111" spans="1:144" s="26" customFormat="1" x14ac:dyDescent="0.25">
      <c r="A111" s="26">
        <v>11</v>
      </c>
      <c r="B111" s="26" t="s">
        <v>317</v>
      </c>
      <c r="C111" s="26" t="s">
        <v>318</v>
      </c>
      <c r="D111" s="26">
        <v>2010</v>
      </c>
      <c r="E111" s="26">
        <v>2005</v>
      </c>
      <c r="F111" s="26" t="s">
        <v>168</v>
      </c>
      <c r="G111" s="26" t="s">
        <v>320</v>
      </c>
      <c r="H111" s="26">
        <v>39.03</v>
      </c>
      <c r="I111" s="26">
        <v>-76.91</v>
      </c>
      <c r="J111" s="26">
        <v>34.6</v>
      </c>
      <c r="P111" s="52" t="s">
        <v>186</v>
      </c>
      <c r="Q111" s="52"/>
      <c r="R111" s="52" t="s">
        <v>307</v>
      </c>
      <c r="S111" s="52" t="s">
        <v>657</v>
      </c>
      <c r="U111" s="26">
        <f t="shared" si="8"/>
        <v>73</v>
      </c>
      <c r="V111" s="26">
        <f t="shared" si="9"/>
        <v>17</v>
      </c>
      <c r="W111" s="26" t="s">
        <v>321</v>
      </c>
      <c r="AA111" s="26" t="s">
        <v>1680</v>
      </c>
      <c r="AB111" s="26" t="s">
        <v>324</v>
      </c>
      <c r="AC111" s="26" t="s">
        <v>323</v>
      </c>
      <c r="AJ111" s="26" t="s">
        <v>322</v>
      </c>
      <c r="AK111" s="26" t="s">
        <v>322</v>
      </c>
      <c r="AL111" s="26" t="s">
        <v>252</v>
      </c>
      <c r="AM111" s="26" t="s">
        <v>319</v>
      </c>
      <c r="AN111" s="26">
        <v>4</v>
      </c>
      <c r="AO111" s="26">
        <v>4</v>
      </c>
      <c r="AP111" s="26" t="s">
        <v>184</v>
      </c>
      <c r="AT111" s="63"/>
      <c r="AY111" s="26">
        <v>56000</v>
      </c>
      <c r="AZ111" s="26">
        <v>55100</v>
      </c>
      <c r="DP111" s="26">
        <f t="shared" si="10"/>
        <v>342.50041099999999</v>
      </c>
      <c r="DQ111" s="26">
        <f>18.39*22.7273</f>
        <v>417.95504699999998</v>
      </c>
      <c r="DR111" s="26" t="s">
        <v>350</v>
      </c>
      <c r="EN111" s="26">
        <v>11</v>
      </c>
    </row>
    <row r="112" spans="1:144" s="26" customFormat="1" x14ac:dyDescent="0.25">
      <c r="A112" s="26">
        <v>11</v>
      </c>
      <c r="B112" s="26" t="s">
        <v>317</v>
      </c>
      <c r="C112" s="26" t="s">
        <v>318</v>
      </c>
      <c r="D112" s="26">
        <v>2010</v>
      </c>
      <c r="E112" s="26">
        <v>2005</v>
      </c>
      <c r="F112" s="26" t="s">
        <v>168</v>
      </c>
      <c r="G112" s="26" t="s">
        <v>320</v>
      </c>
      <c r="H112" s="26">
        <v>39.03</v>
      </c>
      <c r="I112" s="26">
        <v>-76.91</v>
      </c>
      <c r="J112" s="26">
        <v>34.6</v>
      </c>
      <c r="P112" s="52" t="s">
        <v>186</v>
      </c>
      <c r="Q112" s="52"/>
      <c r="R112" s="52" t="s">
        <v>307</v>
      </c>
      <c r="S112" s="52" t="s">
        <v>657</v>
      </c>
      <c r="U112" s="26">
        <f t="shared" si="8"/>
        <v>73</v>
      </c>
      <c r="V112" s="26">
        <f t="shared" si="9"/>
        <v>17</v>
      </c>
      <c r="W112" s="26" t="s">
        <v>321</v>
      </c>
      <c r="AA112" s="26" t="s">
        <v>1680</v>
      </c>
      <c r="AB112" s="26" t="s">
        <v>325</v>
      </c>
      <c r="AC112" s="26" t="s">
        <v>323</v>
      </c>
      <c r="AJ112" s="26" t="s">
        <v>322</v>
      </c>
      <c r="AK112" s="26" t="s">
        <v>322</v>
      </c>
      <c r="AL112" s="26" t="s">
        <v>252</v>
      </c>
      <c r="AM112" s="26" t="s">
        <v>319</v>
      </c>
      <c r="AN112" s="26">
        <v>4</v>
      </c>
      <c r="AO112" s="26">
        <v>4</v>
      </c>
      <c r="AP112" s="26" t="s">
        <v>184</v>
      </c>
      <c r="AT112" s="63"/>
      <c r="AY112" s="26">
        <v>56000</v>
      </c>
      <c r="AZ112" s="26">
        <v>57900</v>
      </c>
      <c r="DP112" s="26">
        <f t="shared" si="10"/>
        <v>342.50041099999999</v>
      </c>
      <c r="DQ112" s="26">
        <f>16.72*22.7273</f>
        <v>380.00045599999999</v>
      </c>
      <c r="DR112" s="26" t="s">
        <v>350</v>
      </c>
      <c r="EN112" s="26">
        <v>11</v>
      </c>
    </row>
    <row r="113" spans="1:144" s="26" customFormat="1" x14ac:dyDescent="0.25">
      <c r="A113" s="26">
        <v>11</v>
      </c>
      <c r="B113" s="26" t="s">
        <v>317</v>
      </c>
      <c r="C113" s="26" t="s">
        <v>318</v>
      </c>
      <c r="D113" s="26">
        <v>2010</v>
      </c>
      <c r="E113" s="26">
        <v>2005</v>
      </c>
      <c r="F113" s="26" t="s">
        <v>168</v>
      </c>
      <c r="G113" s="26" t="s">
        <v>320</v>
      </c>
      <c r="H113" s="26">
        <v>39.03</v>
      </c>
      <c r="I113" s="26">
        <v>-76.91</v>
      </c>
      <c r="J113" s="26">
        <v>34.6</v>
      </c>
      <c r="P113" s="52" t="s">
        <v>186</v>
      </c>
      <c r="Q113" s="52"/>
      <c r="R113" s="52" t="s">
        <v>307</v>
      </c>
      <c r="S113" s="52" t="s">
        <v>657</v>
      </c>
      <c r="U113" s="26">
        <f t="shared" si="8"/>
        <v>73</v>
      </c>
      <c r="V113" s="26">
        <f t="shared" si="9"/>
        <v>17</v>
      </c>
      <c r="W113" s="26" t="s">
        <v>321</v>
      </c>
      <c r="AA113" s="26" t="s">
        <v>1680</v>
      </c>
      <c r="AB113" s="26" t="s">
        <v>326</v>
      </c>
      <c r="AC113" s="26" t="s">
        <v>323</v>
      </c>
      <c r="AJ113" s="26" t="s">
        <v>322</v>
      </c>
      <c r="AK113" s="26" t="s">
        <v>322</v>
      </c>
      <c r="AL113" s="26" t="s">
        <v>252</v>
      </c>
      <c r="AM113" s="26" t="s">
        <v>319</v>
      </c>
      <c r="AN113" s="26">
        <v>4</v>
      </c>
      <c r="AO113" s="26">
        <v>4</v>
      </c>
      <c r="AP113" s="26" t="s">
        <v>184</v>
      </c>
      <c r="AT113" s="63"/>
      <c r="AY113" s="26">
        <v>56000</v>
      </c>
      <c r="AZ113" s="26">
        <v>56000</v>
      </c>
      <c r="DP113" s="26">
        <f t="shared" si="10"/>
        <v>342.50041099999999</v>
      </c>
      <c r="DQ113" s="26">
        <f>20.38*22.7273</f>
        <v>463.18237399999998</v>
      </c>
      <c r="DR113" s="26" t="s">
        <v>350</v>
      </c>
      <c r="EN113" s="26">
        <v>11</v>
      </c>
    </row>
    <row r="114" spans="1:144" s="26" customFormat="1" x14ac:dyDescent="0.25">
      <c r="A114" s="26">
        <v>11</v>
      </c>
      <c r="B114" s="26" t="s">
        <v>317</v>
      </c>
      <c r="C114" s="26" t="s">
        <v>318</v>
      </c>
      <c r="D114" s="26">
        <v>2010</v>
      </c>
      <c r="E114" s="26">
        <v>2005</v>
      </c>
      <c r="F114" s="26" t="s">
        <v>168</v>
      </c>
      <c r="G114" s="26" t="s">
        <v>320</v>
      </c>
      <c r="H114" s="26">
        <v>39.03</v>
      </c>
      <c r="I114" s="26">
        <v>-76.91</v>
      </c>
      <c r="J114" s="26">
        <v>34.6</v>
      </c>
      <c r="P114" s="52" t="s">
        <v>186</v>
      </c>
      <c r="Q114" s="52"/>
      <c r="R114" s="52" t="s">
        <v>307</v>
      </c>
      <c r="S114" s="52" t="s">
        <v>657</v>
      </c>
      <c r="U114" s="26">
        <f t="shared" si="8"/>
        <v>73</v>
      </c>
      <c r="V114" s="26">
        <f t="shared" si="9"/>
        <v>17</v>
      </c>
      <c r="W114" s="26" t="s">
        <v>321</v>
      </c>
      <c r="AA114" s="26" t="s">
        <v>1680</v>
      </c>
      <c r="AB114" s="26" t="s">
        <v>327</v>
      </c>
      <c r="AC114" s="26" t="s">
        <v>323</v>
      </c>
      <c r="AJ114" s="26" t="s">
        <v>322</v>
      </c>
      <c r="AK114" s="26" t="s">
        <v>322</v>
      </c>
      <c r="AL114" s="26" t="s">
        <v>252</v>
      </c>
      <c r="AM114" s="26" t="s">
        <v>319</v>
      </c>
      <c r="AN114" s="26">
        <v>4</v>
      </c>
      <c r="AO114" s="26">
        <v>4</v>
      </c>
      <c r="AP114" s="26" t="s">
        <v>184</v>
      </c>
      <c r="AT114" s="63"/>
      <c r="AY114" s="26">
        <v>56000</v>
      </c>
      <c r="AZ114" s="26">
        <v>44400</v>
      </c>
      <c r="DP114" s="26">
        <f t="shared" si="10"/>
        <v>342.50041099999999</v>
      </c>
      <c r="DQ114" s="26">
        <f>19.04*22.7273</f>
        <v>432.72779199999997</v>
      </c>
      <c r="DR114" s="26" t="s">
        <v>350</v>
      </c>
      <c r="EN114" s="26">
        <v>11</v>
      </c>
    </row>
    <row r="115" spans="1:144" s="26" customFormat="1" x14ac:dyDescent="0.25">
      <c r="A115" s="26">
        <v>11</v>
      </c>
      <c r="B115" s="26" t="s">
        <v>317</v>
      </c>
      <c r="C115" s="26" t="s">
        <v>318</v>
      </c>
      <c r="D115" s="26">
        <v>2010</v>
      </c>
      <c r="E115" s="26">
        <v>2005</v>
      </c>
      <c r="F115" s="26" t="s">
        <v>168</v>
      </c>
      <c r="G115" s="26" t="s">
        <v>320</v>
      </c>
      <c r="H115" s="26">
        <v>39.03</v>
      </c>
      <c r="I115" s="26">
        <v>-76.91</v>
      </c>
      <c r="J115" s="26">
        <v>34.6</v>
      </c>
      <c r="P115" s="52" t="s">
        <v>186</v>
      </c>
      <c r="Q115" s="52"/>
      <c r="R115" s="52" t="s">
        <v>307</v>
      </c>
      <c r="S115" s="52" t="s">
        <v>657</v>
      </c>
      <c r="U115" s="26">
        <f t="shared" si="8"/>
        <v>73</v>
      </c>
      <c r="V115" s="26">
        <f t="shared" si="9"/>
        <v>17</v>
      </c>
      <c r="W115" s="26" t="s">
        <v>321</v>
      </c>
      <c r="AA115" s="26" t="s">
        <v>1680</v>
      </c>
      <c r="AB115" s="26" t="s">
        <v>328</v>
      </c>
      <c r="AC115" s="26" t="s">
        <v>323</v>
      </c>
      <c r="AJ115" s="26" t="s">
        <v>322</v>
      </c>
      <c r="AK115" s="26" t="s">
        <v>322</v>
      </c>
      <c r="AL115" s="26" t="s">
        <v>252</v>
      </c>
      <c r="AM115" s="26" t="s">
        <v>319</v>
      </c>
      <c r="AN115" s="26">
        <v>4</v>
      </c>
      <c r="AO115" s="26">
        <v>4</v>
      </c>
      <c r="AP115" s="26" t="s">
        <v>184</v>
      </c>
      <c r="AT115" s="63"/>
      <c r="AY115" s="26">
        <v>56000</v>
      </c>
      <c r="AZ115" s="26">
        <v>62300</v>
      </c>
      <c r="DP115" s="26">
        <f t="shared" si="10"/>
        <v>342.50041099999999</v>
      </c>
      <c r="DQ115" s="26">
        <f>17.39*22.7273</f>
        <v>395.22774700000002</v>
      </c>
      <c r="DR115" s="26" t="s">
        <v>350</v>
      </c>
      <c r="EN115" s="26">
        <v>11</v>
      </c>
    </row>
    <row r="116" spans="1:144" s="22" customFormat="1" x14ac:dyDescent="0.25">
      <c r="A116" s="26">
        <v>11</v>
      </c>
      <c r="B116" s="26" t="s">
        <v>317</v>
      </c>
      <c r="C116" s="26" t="s">
        <v>318</v>
      </c>
      <c r="D116" s="26">
        <v>2010</v>
      </c>
      <c r="E116" s="26">
        <v>2006</v>
      </c>
      <c r="F116" s="26" t="s">
        <v>168</v>
      </c>
      <c r="G116" s="26" t="s">
        <v>320</v>
      </c>
      <c r="H116" s="26">
        <v>39.03</v>
      </c>
      <c r="I116" s="26">
        <v>-76.91</v>
      </c>
      <c r="J116" s="26">
        <v>34.6</v>
      </c>
      <c r="K116" s="26"/>
      <c r="L116" s="26"/>
      <c r="M116" s="26"/>
      <c r="N116" s="26"/>
      <c r="O116" s="26"/>
      <c r="P116" s="52" t="s">
        <v>187</v>
      </c>
      <c r="Q116" s="52"/>
      <c r="R116" s="52" t="s">
        <v>307</v>
      </c>
      <c r="S116" s="52" t="s">
        <v>657</v>
      </c>
      <c r="T116" s="26"/>
      <c r="U116" s="26">
        <f t="shared" si="8"/>
        <v>73</v>
      </c>
      <c r="V116" s="26">
        <f t="shared" si="9"/>
        <v>17</v>
      </c>
      <c r="W116" s="26" t="s">
        <v>321</v>
      </c>
      <c r="X116" s="26"/>
      <c r="Y116" s="26"/>
      <c r="Z116" s="26"/>
      <c r="AA116" s="26" t="s">
        <v>1680</v>
      </c>
      <c r="AB116" s="26" t="s">
        <v>173</v>
      </c>
      <c r="AC116" s="26" t="s">
        <v>323</v>
      </c>
      <c r="AD116" s="26"/>
      <c r="AE116" s="26"/>
      <c r="AF116" s="26"/>
      <c r="AG116" s="26"/>
      <c r="AH116" s="26"/>
      <c r="AI116" s="26"/>
      <c r="AJ116" s="26" t="s">
        <v>322</v>
      </c>
      <c r="AK116" s="26" t="s">
        <v>322</v>
      </c>
      <c r="AL116" s="26" t="s">
        <v>252</v>
      </c>
      <c r="AM116" s="26" t="s">
        <v>319</v>
      </c>
      <c r="AN116" s="26">
        <v>4</v>
      </c>
      <c r="AO116" s="26">
        <v>4</v>
      </c>
      <c r="AP116" s="26" t="s">
        <v>184</v>
      </c>
      <c r="AT116" s="64"/>
      <c r="AY116" s="22">
        <v>83900</v>
      </c>
      <c r="AZ116" s="22">
        <v>80700</v>
      </c>
      <c r="DP116" s="12"/>
      <c r="DR116" s="15"/>
      <c r="EK116" s="26"/>
      <c r="EN116" s="26">
        <v>11</v>
      </c>
    </row>
    <row r="117" spans="1:144" s="22" customFormat="1" x14ac:dyDescent="0.25">
      <c r="A117" s="26">
        <v>11</v>
      </c>
      <c r="B117" s="26" t="s">
        <v>317</v>
      </c>
      <c r="C117" s="26" t="s">
        <v>318</v>
      </c>
      <c r="D117" s="26">
        <v>2010</v>
      </c>
      <c r="E117" s="26">
        <v>2006</v>
      </c>
      <c r="F117" s="26" t="s">
        <v>168</v>
      </c>
      <c r="G117" s="26" t="s">
        <v>320</v>
      </c>
      <c r="H117" s="26">
        <v>39.03</v>
      </c>
      <c r="I117" s="26">
        <v>-76.91</v>
      </c>
      <c r="J117" s="26">
        <v>34.6</v>
      </c>
      <c r="K117" s="26"/>
      <c r="L117" s="26"/>
      <c r="M117" s="26"/>
      <c r="N117" s="26"/>
      <c r="O117" s="26"/>
      <c r="P117" s="52" t="s">
        <v>187</v>
      </c>
      <c r="Q117" s="52"/>
      <c r="R117" s="52" t="s">
        <v>307</v>
      </c>
      <c r="S117" s="52" t="s">
        <v>657</v>
      </c>
      <c r="T117" s="26"/>
      <c r="U117" s="26">
        <f t="shared" si="8"/>
        <v>73</v>
      </c>
      <c r="V117" s="26">
        <f t="shared" si="9"/>
        <v>17</v>
      </c>
      <c r="W117" s="26" t="s">
        <v>321</v>
      </c>
      <c r="X117" s="26"/>
      <c r="Y117" s="26"/>
      <c r="Z117" s="26"/>
      <c r="AA117" s="26" t="s">
        <v>1680</v>
      </c>
      <c r="AB117" s="26" t="s">
        <v>324</v>
      </c>
      <c r="AC117" s="26" t="s">
        <v>323</v>
      </c>
      <c r="AD117" s="26"/>
      <c r="AE117" s="26"/>
      <c r="AF117" s="26"/>
      <c r="AG117" s="26"/>
      <c r="AH117" s="26"/>
      <c r="AI117" s="26"/>
      <c r="AJ117" s="26" t="s">
        <v>322</v>
      </c>
      <c r="AK117" s="26" t="s">
        <v>322</v>
      </c>
      <c r="AL117" s="26" t="s">
        <v>252</v>
      </c>
      <c r="AM117" s="26" t="s">
        <v>319</v>
      </c>
      <c r="AN117" s="26">
        <v>4</v>
      </c>
      <c r="AO117" s="26">
        <v>4</v>
      </c>
      <c r="AP117" s="26" t="s">
        <v>184</v>
      </c>
      <c r="AT117" s="64"/>
      <c r="AY117" s="22">
        <v>83900</v>
      </c>
      <c r="AZ117" s="22">
        <v>70900</v>
      </c>
      <c r="DP117" s="12"/>
      <c r="DR117" s="15"/>
      <c r="EK117" s="26"/>
      <c r="EN117" s="26">
        <v>11</v>
      </c>
    </row>
    <row r="118" spans="1:144" s="22" customFormat="1" x14ac:dyDescent="0.25">
      <c r="A118" s="26">
        <v>11</v>
      </c>
      <c r="B118" s="26" t="s">
        <v>317</v>
      </c>
      <c r="C118" s="26" t="s">
        <v>318</v>
      </c>
      <c r="D118" s="26">
        <v>2010</v>
      </c>
      <c r="E118" s="26">
        <v>2006</v>
      </c>
      <c r="F118" s="26" t="s">
        <v>168</v>
      </c>
      <c r="G118" s="26" t="s">
        <v>320</v>
      </c>
      <c r="H118" s="26">
        <v>39.03</v>
      </c>
      <c r="I118" s="26">
        <v>-76.91</v>
      </c>
      <c r="J118" s="26">
        <v>34.6</v>
      </c>
      <c r="K118" s="26"/>
      <c r="L118" s="26"/>
      <c r="M118" s="26"/>
      <c r="N118" s="26"/>
      <c r="O118" s="26"/>
      <c r="P118" s="52" t="s">
        <v>187</v>
      </c>
      <c r="Q118" s="52"/>
      <c r="R118" s="52" t="s">
        <v>307</v>
      </c>
      <c r="S118" s="52" t="s">
        <v>657</v>
      </c>
      <c r="T118" s="26"/>
      <c r="U118" s="26">
        <f t="shared" si="8"/>
        <v>73</v>
      </c>
      <c r="V118" s="26">
        <f t="shared" si="9"/>
        <v>17</v>
      </c>
      <c r="W118" s="26" t="s">
        <v>321</v>
      </c>
      <c r="X118" s="26"/>
      <c r="Y118" s="26"/>
      <c r="Z118" s="26"/>
      <c r="AA118" s="26" t="s">
        <v>1680</v>
      </c>
      <c r="AB118" s="26" t="s">
        <v>325</v>
      </c>
      <c r="AC118" s="26" t="s">
        <v>323</v>
      </c>
      <c r="AD118" s="26"/>
      <c r="AE118" s="26"/>
      <c r="AF118" s="26"/>
      <c r="AG118" s="26"/>
      <c r="AH118" s="26"/>
      <c r="AI118" s="26"/>
      <c r="AJ118" s="26" t="s">
        <v>322</v>
      </c>
      <c r="AK118" s="26" t="s">
        <v>322</v>
      </c>
      <c r="AL118" s="26" t="s">
        <v>252</v>
      </c>
      <c r="AM118" s="26" t="s">
        <v>319</v>
      </c>
      <c r="AN118" s="26">
        <v>4</v>
      </c>
      <c r="AO118" s="26">
        <v>4</v>
      </c>
      <c r="AP118" s="26" t="s">
        <v>184</v>
      </c>
      <c r="AT118" s="64"/>
      <c r="AY118" s="22">
        <v>83900</v>
      </c>
      <c r="AZ118" s="22">
        <v>84100</v>
      </c>
      <c r="DP118" s="12"/>
      <c r="DR118" s="15"/>
      <c r="EK118" s="26"/>
      <c r="EN118" s="26">
        <v>11</v>
      </c>
    </row>
    <row r="119" spans="1:144" s="22" customFormat="1" x14ac:dyDescent="0.25">
      <c r="A119" s="26">
        <v>11</v>
      </c>
      <c r="B119" s="26" t="s">
        <v>317</v>
      </c>
      <c r="C119" s="26" t="s">
        <v>318</v>
      </c>
      <c r="D119" s="26">
        <v>2010</v>
      </c>
      <c r="E119" s="26">
        <v>2006</v>
      </c>
      <c r="F119" s="26" t="s">
        <v>168</v>
      </c>
      <c r="G119" s="26" t="s">
        <v>320</v>
      </c>
      <c r="H119" s="26">
        <v>39.03</v>
      </c>
      <c r="I119" s="26">
        <v>-76.91</v>
      </c>
      <c r="J119" s="26">
        <v>34.6</v>
      </c>
      <c r="K119" s="26"/>
      <c r="L119" s="26"/>
      <c r="M119" s="26"/>
      <c r="N119" s="26"/>
      <c r="O119" s="26"/>
      <c r="P119" s="52" t="s">
        <v>187</v>
      </c>
      <c r="Q119" s="52"/>
      <c r="R119" s="52" t="s">
        <v>307</v>
      </c>
      <c r="S119" s="52" t="s">
        <v>657</v>
      </c>
      <c r="T119" s="26"/>
      <c r="U119" s="26">
        <f t="shared" si="8"/>
        <v>73</v>
      </c>
      <c r="V119" s="26">
        <f t="shared" si="9"/>
        <v>17</v>
      </c>
      <c r="W119" s="26" t="s">
        <v>321</v>
      </c>
      <c r="X119" s="26"/>
      <c r="Y119" s="26"/>
      <c r="Z119" s="26"/>
      <c r="AA119" s="26" t="s">
        <v>1680</v>
      </c>
      <c r="AB119" s="26" t="s">
        <v>326</v>
      </c>
      <c r="AC119" s="26" t="s">
        <v>323</v>
      </c>
      <c r="AD119" s="26"/>
      <c r="AE119" s="26"/>
      <c r="AF119" s="26"/>
      <c r="AG119" s="26"/>
      <c r="AH119" s="26"/>
      <c r="AI119" s="26"/>
      <c r="AJ119" s="26" t="s">
        <v>322</v>
      </c>
      <c r="AK119" s="26" t="s">
        <v>322</v>
      </c>
      <c r="AL119" s="26" t="s">
        <v>252</v>
      </c>
      <c r="AM119" s="26" t="s">
        <v>319</v>
      </c>
      <c r="AN119" s="26">
        <v>4</v>
      </c>
      <c r="AO119" s="26">
        <v>4</v>
      </c>
      <c r="AP119" s="26" t="s">
        <v>184</v>
      </c>
      <c r="AT119" s="64"/>
      <c r="AY119" s="22">
        <v>83900</v>
      </c>
      <c r="AZ119" s="22">
        <v>82100</v>
      </c>
      <c r="DP119" s="12"/>
      <c r="DR119" s="15"/>
      <c r="EK119" s="26"/>
      <c r="EN119" s="26">
        <v>11</v>
      </c>
    </row>
    <row r="120" spans="1:144" s="22" customFormat="1" x14ac:dyDescent="0.25">
      <c r="A120" s="26">
        <v>11</v>
      </c>
      <c r="B120" s="26" t="s">
        <v>317</v>
      </c>
      <c r="C120" s="26" t="s">
        <v>318</v>
      </c>
      <c r="D120" s="26">
        <v>2010</v>
      </c>
      <c r="E120" s="26">
        <v>2006</v>
      </c>
      <c r="F120" s="26" t="s">
        <v>168</v>
      </c>
      <c r="G120" s="26" t="s">
        <v>320</v>
      </c>
      <c r="H120" s="26">
        <v>39.03</v>
      </c>
      <c r="I120" s="26">
        <v>-76.91</v>
      </c>
      <c r="J120" s="26">
        <v>34.6</v>
      </c>
      <c r="K120" s="26"/>
      <c r="L120" s="26"/>
      <c r="M120" s="26"/>
      <c r="N120" s="26"/>
      <c r="O120" s="26"/>
      <c r="P120" s="52" t="s">
        <v>187</v>
      </c>
      <c r="Q120" s="52"/>
      <c r="R120" s="52" t="s">
        <v>307</v>
      </c>
      <c r="S120" s="52" t="s">
        <v>657</v>
      </c>
      <c r="T120" s="26"/>
      <c r="U120" s="26">
        <f t="shared" si="8"/>
        <v>73</v>
      </c>
      <c r="V120" s="26">
        <f t="shared" si="9"/>
        <v>17</v>
      </c>
      <c r="W120" s="26" t="s">
        <v>321</v>
      </c>
      <c r="X120" s="26"/>
      <c r="Y120" s="26"/>
      <c r="Z120" s="26"/>
      <c r="AA120" s="26" t="s">
        <v>1680</v>
      </c>
      <c r="AB120" s="26" t="s">
        <v>327</v>
      </c>
      <c r="AC120" s="26" t="s">
        <v>323</v>
      </c>
      <c r="AD120" s="26"/>
      <c r="AE120" s="26"/>
      <c r="AF120" s="26"/>
      <c r="AG120" s="26"/>
      <c r="AH120" s="26"/>
      <c r="AI120" s="26"/>
      <c r="AJ120" s="26" t="s">
        <v>322</v>
      </c>
      <c r="AK120" s="26" t="s">
        <v>322</v>
      </c>
      <c r="AL120" s="26" t="s">
        <v>252</v>
      </c>
      <c r="AM120" s="26" t="s">
        <v>319</v>
      </c>
      <c r="AN120" s="26">
        <v>4</v>
      </c>
      <c r="AO120" s="26">
        <v>4</v>
      </c>
      <c r="AP120" s="26" t="s">
        <v>184</v>
      </c>
      <c r="AT120" s="64"/>
      <c r="AY120" s="22">
        <v>83900</v>
      </c>
      <c r="AZ120" s="22">
        <v>59300</v>
      </c>
      <c r="DP120" s="12"/>
      <c r="DR120" s="15"/>
      <c r="EK120" s="26"/>
      <c r="EN120" s="26">
        <v>11</v>
      </c>
    </row>
    <row r="121" spans="1:144" s="22" customFormat="1" x14ac:dyDescent="0.25">
      <c r="A121" s="26">
        <v>11</v>
      </c>
      <c r="B121" s="26" t="s">
        <v>317</v>
      </c>
      <c r="C121" s="26" t="s">
        <v>318</v>
      </c>
      <c r="D121" s="26">
        <v>2010</v>
      </c>
      <c r="E121" s="26">
        <v>2006</v>
      </c>
      <c r="F121" s="26" t="s">
        <v>168</v>
      </c>
      <c r="G121" s="26" t="s">
        <v>320</v>
      </c>
      <c r="H121" s="26">
        <v>39.03</v>
      </c>
      <c r="I121" s="26">
        <v>-76.91</v>
      </c>
      <c r="J121" s="26">
        <v>34.6</v>
      </c>
      <c r="K121" s="26"/>
      <c r="L121" s="26"/>
      <c r="M121" s="26"/>
      <c r="N121" s="26"/>
      <c r="O121" s="26"/>
      <c r="P121" s="52" t="s">
        <v>187</v>
      </c>
      <c r="Q121" s="52"/>
      <c r="R121" s="52" t="s">
        <v>307</v>
      </c>
      <c r="S121" s="52" t="s">
        <v>657</v>
      </c>
      <c r="T121" s="26"/>
      <c r="U121" s="26">
        <f t="shared" si="8"/>
        <v>73</v>
      </c>
      <c r="V121" s="26">
        <f t="shared" si="9"/>
        <v>17</v>
      </c>
      <c r="W121" s="26" t="s">
        <v>321</v>
      </c>
      <c r="X121" s="26"/>
      <c r="Y121" s="26"/>
      <c r="Z121" s="26"/>
      <c r="AA121" s="26" t="s">
        <v>1680</v>
      </c>
      <c r="AB121" s="26" t="s">
        <v>328</v>
      </c>
      <c r="AC121" s="26" t="s">
        <v>323</v>
      </c>
      <c r="AD121" s="26"/>
      <c r="AE121" s="26"/>
      <c r="AF121" s="26"/>
      <c r="AG121" s="26"/>
      <c r="AH121" s="26"/>
      <c r="AI121" s="26"/>
      <c r="AJ121" s="26" t="s">
        <v>322</v>
      </c>
      <c r="AK121" s="26" t="s">
        <v>322</v>
      </c>
      <c r="AL121" s="26" t="s">
        <v>252</v>
      </c>
      <c r="AM121" s="26" t="s">
        <v>319</v>
      </c>
      <c r="AN121" s="26">
        <v>4</v>
      </c>
      <c r="AO121" s="26">
        <v>4</v>
      </c>
      <c r="AP121" s="26" t="s">
        <v>184</v>
      </c>
      <c r="AT121" s="64"/>
      <c r="AY121" s="22">
        <v>83900</v>
      </c>
      <c r="AZ121" s="22">
        <v>82600</v>
      </c>
      <c r="DP121" s="12"/>
      <c r="DR121" s="15"/>
      <c r="EK121" s="26"/>
      <c r="EN121" s="26">
        <v>11</v>
      </c>
    </row>
    <row r="122" spans="1:144" s="22" customFormat="1" x14ac:dyDescent="0.25">
      <c r="A122" s="26">
        <v>11</v>
      </c>
      <c r="B122" s="26" t="s">
        <v>317</v>
      </c>
      <c r="C122" s="26" t="s">
        <v>318</v>
      </c>
      <c r="D122" s="26">
        <v>2010</v>
      </c>
      <c r="E122" s="26">
        <v>2007</v>
      </c>
      <c r="F122" s="26" t="s">
        <v>168</v>
      </c>
      <c r="G122" s="26" t="s">
        <v>320</v>
      </c>
      <c r="H122" s="26">
        <v>39.03</v>
      </c>
      <c r="I122" s="26">
        <v>-76.91</v>
      </c>
      <c r="J122" s="26">
        <v>34.6</v>
      </c>
      <c r="K122" s="26"/>
      <c r="L122" s="26"/>
      <c r="M122" s="26"/>
      <c r="N122" s="26"/>
      <c r="O122" s="26"/>
      <c r="P122" s="52" t="s">
        <v>188</v>
      </c>
      <c r="Q122" s="52"/>
      <c r="R122" s="52" t="s">
        <v>307</v>
      </c>
      <c r="S122" s="52" t="s">
        <v>657</v>
      </c>
      <c r="T122" s="26"/>
      <c r="U122" s="26">
        <f t="shared" si="8"/>
        <v>73</v>
      </c>
      <c r="V122" s="26">
        <f t="shared" si="9"/>
        <v>17</v>
      </c>
      <c r="W122" s="26" t="s">
        <v>321</v>
      </c>
      <c r="X122" s="26"/>
      <c r="Y122" s="26"/>
      <c r="Z122" s="26"/>
      <c r="AA122" s="26" t="s">
        <v>1680</v>
      </c>
      <c r="AB122" s="26" t="s">
        <v>173</v>
      </c>
      <c r="AC122" s="26" t="s">
        <v>323</v>
      </c>
      <c r="AD122" s="26"/>
      <c r="AE122" s="26"/>
      <c r="AF122" s="26"/>
      <c r="AG122" s="26"/>
      <c r="AH122" s="26"/>
      <c r="AI122" s="26"/>
      <c r="AJ122" s="26" t="s">
        <v>322</v>
      </c>
      <c r="AK122" s="26" t="s">
        <v>322</v>
      </c>
      <c r="AL122" s="26" t="s">
        <v>252</v>
      </c>
      <c r="AM122" s="26" t="s">
        <v>319</v>
      </c>
      <c r="AN122" s="26">
        <v>4</v>
      </c>
      <c r="AO122" s="26">
        <v>4</v>
      </c>
      <c r="AP122" s="26" t="s">
        <v>184</v>
      </c>
      <c r="AT122" s="64"/>
      <c r="AY122" s="22">
        <v>88000</v>
      </c>
      <c r="AZ122" s="22">
        <v>77800</v>
      </c>
      <c r="DP122" s="12"/>
      <c r="DR122" s="15"/>
      <c r="EK122" s="26"/>
      <c r="EN122" s="26">
        <v>11</v>
      </c>
    </row>
    <row r="123" spans="1:144" s="22" customFormat="1" x14ac:dyDescent="0.25">
      <c r="A123" s="26">
        <v>11</v>
      </c>
      <c r="B123" s="26" t="s">
        <v>317</v>
      </c>
      <c r="C123" s="26" t="s">
        <v>318</v>
      </c>
      <c r="D123" s="26">
        <v>2010</v>
      </c>
      <c r="E123" s="26">
        <v>2007</v>
      </c>
      <c r="F123" s="26" t="s">
        <v>168</v>
      </c>
      <c r="G123" s="26" t="s">
        <v>320</v>
      </c>
      <c r="H123" s="26">
        <v>39.03</v>
      </c>
      <c r="I123" s="26">
        <v>-76.91</v>
      </c>
      <c r="J123" s="26">
        <v>34.6</v>
      </c>
      <c r="K123" s="26"/>
      <c r="L123" s="26"/>
      <c r="M123" s="26"/>
      <c r="N123" s="26"/>
      <c r="O123" s="26"/>
      <c r="P123" s="52" t="s">
        <v>188</v>
      </c>
      <c r="Q123" s="52"/>
      <c r="R123" s="52" t="s">
        <v>307</v>
      </c>
      <c r="S123" s="52" t="s">
        <v>657</v>
      </c>
      <c r="T123" s="26"/>
      <c r="U123" s="26">
        <f t="shared" si="8"/>
        <v>73</v>
      </c>
      <c r="V123" s="26">
        <f t="shared" si="9"/>
        <v>17</v>
      </c>
      <c r="W123" s="26" t="s">
        <v>321</v>
      </c>
      <c r="X123" s="26"/>
      <c r="Y123" s="26"/>
      <c r="Z123" s="26"/>
      <c r="AA123" s="26" t="s">
        <v>1680</v>
      </c>
      <c r="AB123" s="26" t="s">
        <v>324</v>
      </c>
      <c r="AC123" s="26" t="s">
        <v>323</v>
      </c>
      <c r="AD123" s="26"/>
      <c r="AE123" s="26"/>
      <c r="AF123" s="26"/>
      <c r="AG123" s="26"/>
      <c r="AH123" s="26"/>
      <c r="AI123" s="26"/>
      <c r="AJ123" s="26" t="s">
        <v>322</v>
      </c>
      <c r="AK123" s="26" t="s">
        <v>322</v>
      </c>
      <c r="AL123" s="26" t="s">
        <v>252</v>
      </c>
      <c r="AM123" s="26" t="s">
        <v>319</v>
      </c>
      <c r="AN123" s="26">
        <v>4</v>
      </c>
      <c r="AO123" s="26">
        <v>4</v>
      </c>
      <c r="AP123" s="26" t="s">
        <v>184</v>
      </c>
      <c r="AT123" s="64"/>
      <c r="AY123" s="22">
        <v>88000</v>
      </c>
      <c r="AZ123" s="22">
        <v>65600</v>
      </c>
      <c r="DP123" s="12"/>
      <c r="DR123" s="15"/>
      <c r="EK123" s="26"/>
      <c r="EN123" s="26">
        <v>11</v>
      </c>
    </row>
    <row r="124" spans="1:144" s="22" customFormat="1" x14ac:dyDescent="0.25">
      <c r="A124" s="26">
        <v>11</v>
      </c>
      <c r="B124" s="26" t="s">
        <v>317</v>
      </c>
      <c r="C124" s="26" t="s">
        <v>318</v>
      </c>
      <c r="D124" s="26">
        <v>2010</v>
      </c>
      <c r="E124" s="26">
        <v>2007</v>
      </c>
      <c r="F124" s="26" t="s">
        <v>168</v>
      </c>
      <c r="G124" s="26" t="s">
        <v>320</v>
      </c>
      <c r="H124" s="26">
        <v>39.03</v>
      </c>
      <c r="I124" s="26">
        <v>-76.91</v>
      </c>
      <c r="J124" s="26">
        <v>34.6</v>
      </c>
      <c r="K124" s="26"/>
      <c r="L124" s="26"/>
      <c r="M124" s="26"/>
      <c r="N124" s="26"/>
      <c r="O124" s="26"/>
      <c r="P124" s="52" t="s">
        <v>188</v>
      </c>
      <c r="Q124" s="52"/>
      <c r="R124" s="52" t="s">
        <v>307</v>
      </c>
      <c r="S124" s="52" t="s">
        <v>657</v>
      </c>
      <c r="T124" s="26"/>
      <c r="U124" s="26">
        <f t="shared" si="8"/>
        <v>73</v>
      </c>
      <c r="V124" s="26">
        <f t="shared" si="9"/>
        <v>17</v>
      </c>
      <c r="W124" s="26" t="s">
        <v>321</v>
      </c>
      <c r="X124" s="26"/>
      <c r="Y124" s="26"/>
      <c r="Z124" s="26"/>
      <c r="AA124" s="26" t="s">
        <v>1680</v>
      </c>
      <c r="AB124" s="26" t="s">
        <v>325</v>
      </c>
      <c r="AC124" s="26" t="s">
        <v>323</v>
      </c>
      <c r="AD124" s="26"/>
      <c r="AE124" s="26"/>
      <c r="AF124" s="26"/>
      <c r="AG124" s="26"/>
      <c r="AH124" s="26"/>
      <c r="AI124" s="26"/>
      <c r="AJ124" s="26" t="s">
        <v>322</v>
      </c>
      <c r="AK124" s="26" t="s">
        <v>322</v>
      </c>
      <c r="AL124" s="26" t="s">
        <v>252</v>
      </c>
      <c r="AM124" s="26" t="s">
        <v>319</v>
      </c>
      <c r="AN124" s="26">
        <v>4</v>
      </c>
      <c r="AO124" s="26">
        <v>4</v>
      </c>
      <c r="AP124" s="26" t="s">
        <v>184</v>
      </c>
      <c r="AT124" s="64"/>
      <c r="AY124" s="22">
        <v>88000</v>
      </c>
      <c r="AZ124" s="22">
        <v>82000</v>
      </c>
      <c r="DP124" s="12"/>
      <c r="DR124" s="15"/>
      <c r="EK124" s="26"/>
      <c r="EN124" s="26">
        <v>11</v>
      </c>
    </row>
    <row r="125" spans="1:144" s="22" customFormat="1" x14ac:dyDescent="0.25">
      <c r="A125" s="26">
        <v>11</v>
      </c>
      <c r="B125" s="26" t="s">
        <v>317</v>
      </c>
      <c r="C125" s="26" t="s">
        <v>318</v>
      </c>
      <c r="D125" s="26">
        <v>2010</v>
      </c>
      <c r="E125" s="26">
        <v>2007</v>
      </c>
      <c r="F125" s="26" t="s">
        <v>168</v>
      </c>
      <c r="G125" s="26" t="s">
        <v>320</v>
      </c>
      <c r="H125" s="26">
        <v>39.03</v>
      </c>
      <c r="I125" s="26">
        <v>-76.91</v>
      </c>
      <c r="J125" s="26">
        <v>34.6</v>
      </c>
      <c r="K125" s="26"/>
      <c r="L125" s="26"/>
      <c r="M125" s="26"/>
      <c r="N125" s="26"/>
      <c r="O125" s="26"/>
      <c r="P125" s="52" t="s">
        <v>188</v>
      </c>
      <c r="Q125" s="52"/>
      <c r="R125" s="52" t="s">
        <v>307</v>
      </c>
      <c r="S125" s="52" t="s">
        <v>657</v>
      </c>
      <c r="T125" s="26"/>
      <c r="U125" s="26">
        <f t="shared" si="8"/>
        <v>73</v>
      </c>
      <c r="V125" s="26">
        <f t="shared" si="9"/>
        <v>17</v>
      </c>
      <c r="W125" s="26" t="s">
        <v>321</v>
      </c>
      <c r="X125" s="26"/>
      <c r="Y125" s="26"/>
      <c r="Z125" s="26"/>
      <c r="AA125" s="26" t="s">
        <v>1680</v>
      </c>
      <c r="AB125" s="26" t="s">
        <v>326</v>
      </c>
      <c r="AC125" s="26" t="s">
        <v>323</v>
      </c>
      <c r="AD125" s="26"/>
      <c r="AE125" s="26"/>
      <c r="AF125" s="26"/>
      <c r="AG125" s="26"/>
      <c r="AH125" s="26"/>
      <c r="AI125" s="26"/>
      <c r="AJ125" s="26" t="s">
        <v>322</v>
      </c>
      <c r="AK125" s="26" t="s">
        <v>322</v>
      </c>
      <c r="AL125" s="26" t="s">
        <v>252</v>
      </c>
      <c r="AM125" s="26" t="s">
        <v>319</v>
      </c>
      <c r="AN125" s="26">
        <v>4</v>
      </c>
      <c r="AO125" s="26">
        <v>4</v>
      </c>
      <c r="AP125" s="26" t="s">
        <v>184</v>
      </c>
      <c r="AT125" s="64"/>
      <c r="AY125" s="22">
        <v>88000</v>
      </c>
      <c r="AZ125" s="22">
        <v>92200</v>
      </c>
      <c r="DP125" s="12"/>
      <c r="DR125" s="15"/>
      <c r="EK125" s="26"/>
      <c r="EN125" s="26">
        <v>11</v>
      </c>
    </row>
    <row r="126" spans="1:144" s="22" customFormat="1" x14ac:dyDescent="0.25">
      <c r="A126" s="26">
        <v>11</v>
      </c>
      <c r="B126" s="26" t="s">
        <v>317</v>
      </c>
      <c r="C126" s="26" t="s">
        <v>318</v>
      </c>
      <c r="D126" s="26">
        <v>2010</v>
      </c>
      <c r="E126" s="26">
        <v>2007</v>
      </c>
      <c r="F126" s="26" t="s">
        <v>168</v>
      </c>
      <c r="G126" s="26" t="s">
        <v>320</v>
      </c>
      <c r="H126" s="26">
        <v>39.03</v>
      </c>
      <c r="I126" s="26">
        <v>-76.91</v>
      </c>
      <c r="J126" s="26">
        <v>34.6</v>
      </c>
      <c r="K126" s="26"/>
      <c r="L126" s="26"/>
      <c r="M126" s="26"/>
      <c r="N126" s="26"/>
      <c r="O126" s="26"/>
      <c r="P126" s="52" t="s">
        <v>188</v>
      </c>
      <c r="Q126" s="52"/>
      <c r="R126" s="52" t="s">
        <v>307</v>
      </c>
      <c r="S126" s="52" t="s">
        <v>657</v>
      </c>
      <c r="T126" s="26"/>
      <c r="U126" s="26">
        <f t="shared" si="8"/>
        <v>73</v>
      </c>
      <c r="V126" s="26">
        <f t="shared" si="9"/>
        <v>17</v>
      </c>
      <c r="W126" s="26" t="s">
        <v>321</v>
      </c>
      <c r="X126" s="26"/>
      <c r="Y126" s="26"/>
      <c r="Z126" s="26"/>
      <c r="AA126" s="26" t="s">
        <v>1680</v>
      </c>
      <c r="AB126" s="26" t="s">
        <v>327</v>
      </c>
      <c r="AC126" s="26" t="s">
        <v>323</v>
      </c>
      <c r="AD126" s="26"/>
      <c r="AE126" s="26"/>
      <c r="AF126" s="26"/>
      <c r="AG126" s="26"/>
      <c r="AH126" s="26"/>
      <c r="AI126" s="26"/>
      <c r="AJ126" s="26" t="s">
        <v>322</v>
      </c>
      <c r="AK126" s="26" t="s">
        <v>322</v>
      </c>
      <c r="AL126" s="26" t="s">
        <v>252</v>
      </c>
      <c r="AM126" s="26" t="s">
        <v>319</v>
      </c>
      <c r="AN126" s="26">
        <v>4</v>
      </c>
      <c r="AO126" s="26">
        <v>4</v>
      </c>
      <c r="AP126" s="26" t="s">
        <v>184</v>
      </c>
      <c r="AT126" s="64"/>
      <c r="AY126" s="22">
        <v>88000</v>
      </c>
      <c r="AZ126" s="22">
        <v>80200</v>
      </c>
      <c r="DP126" s="12"/>
      <c r="DR126" s="15"/>
      <c r="EK126" s="26"/>
      <c r="EN126" s="26">
        <v>11</v>
      </c>
    </row>
    <row r="127" spans="1:144" s="22" customFormat="1" x14ac:dyDescent="0.25">
      <c r="A127" s="26">
        <v>11</v>
      </c>
      <c r="B127" s="26" t="s">
        <v>317</v>
      </c>
      <c r="C127" s="26" t="s">
        <v>318</v>
      </c>
      <c r="D127" s="26">
        <v>2010</v>
      </c>
      <c r="E127" s="26">
        <v>2007</v>
      </c>
      <c r="F127" s="26" t="s">
        <v>168</v>
      </c>
      <c r="G127" s="26" t="s">
        <v>320</v>
      </c>
      <c r="H127" s="26">
        <v>39.03</v>
      </c>
      <c r="I127" s="26">
        <v>-76.91</v>
      </c>
      <c r="J127" s="26">
        <v>34.6</v>
      </c>
      <c r="K127" s="26"/>
      <c r="L127" s="26"/>
      <c r="M127" s="26"/>
      <c r="N127" s="26"/>
      <c r="O127" s="26"/>
      <c r="P127" s="52" t="s">
        <v>188</v>
      </c>
      <c r="Q127" s="52"/>
      <c r="R127" s="52" t="s">
        <v>307</v>
      </c>
      <c r="S127" s="52" t="s">
        <v>657</v>
      </c>
      <c r="T127" s="26"/>
      <c r="U127" s="26">
        <f t="shared" si="8"/>
        <v>73</v>
      </c>
      <c r="V127" s="26">
        <f t="shared" si="9"/>
        <v>17</v>
      </c>
      <c r="W127" s="26" t="s">
        <v>321</v>
      </c>
      <c r="X127" s="26"/>
      <c r="Y127" s="26"/>
      <c r="Z127" s="26"/>
      <c r="AA127" s="26" t="s">
        <v>1680</v>
      </c>
      <c r="AB127" s="26" t="s">
        <v>328</v>
      </c>
      <c r="AC127" s="26" t="s">
        <v>323</v>
      </c>
      <c r="AD127" s="26"/>
      <c r="AE127" s="26"/>
      <c r="AF127" s="26"/>
      <c r="AG127" s="26"/>
      <c r="AH127" s="26"/>
      <c r="AI127" s="26"/>
      <c r="AJ127" s="26" t="s">
        <v>322</v>
      </c>
      <c r="AK127" s="26" t="s">
        <v>322</v>
      </c>
      <c r="AL127" s="26" t="s">
        <v>252</v>
      </c>
      <c r="AM127" s="26" t="s">
        <v>319</v>
      </c>
      <c r="AN127" s="26">
        <v>4</v>
      </c>
      <c r="AO127" s="26">
        <v>4</v>
      </c>
      <c r="AP127" s="26" t="s">
        <v>184</v>
      </c>
      <c r="AT127" s="64"/>
      <c r="AY127" s="22">
        <v>88000</v>
      </c>
      <c r="AZ127" s="22">
        <v>93000</v>
      </c>
      <c r="DP127" s="12"/>
      <c r="DR127" s="15"/>
      <c r="EK127" s="26"/>
      <c r="EN127" s="26">
        <v>11</v>
      </c>
    </row>
    <row r="128" spans="1:144" s="31" customFormat="1" x14ac:dyDescent="0.25">
      <c r="A128" s="31">
        <v>12</v>
      </c>
      <c r="B128" s="31" t="s">
        <v>351</v>
      </c>
      <c r="C128" s="31" t="s">
        <v>353</v>
      </c>
      <c r="D128" s="31">
        <v>1984</v>
      </c>
      <c r="E128" s="31">
        <v>1980</v>
      </c>
      <c r="F128" s="31" t="s">
        <v>354</v>
      </c>
      <c r="G128" s="31" t="s">
        <v>360</v>
      </c>
      <c r="H128" s="31">
        <v>34.36</v>
      </c>
      <c r="I128" s="31">
        <v>-80.010000000000005</v>
      </c>
      <c r="J128" s="31">
        <v>61.3</v>
      </c>
      <c r="P128" s="56" t="s">
        <v>187</v>
      </c>
      <c r="Q128" s="56"/>
      <c r="R128" s="56"/>
      <c r="S128" s="56" t="s">
        <v>657</v>
      </c>
      <c r="W128" s="31" t="s">
        <v>248</v>
      </c>
      <c r="AA128" s="31" t="s">
        <v>1681</v>
      </c>
      <c r="AB128" s="31" t="s">
        <v>352</v>
      </c>
      <c r="AC128" s="31" t="s">
        <v>1733</v>
      </c>
      <c r="AG128" s="31" t="s">
        <v>312</v>
      </c>
      <c r="AH128" s="31" t="s">
        <v>355</v>
      </c>
      <c r="AI128" s="31" t="s">
        <v>693</v>
      </c>
      <c r="AJ128" s="31" t="s">
        <v>322</v>
      </c>
      <c r="AK128" s="31" t="s">
        <v>322</v>
      </c>
      <c r="AL128" s="31" t="s">
        <v>252</v>
      </c>
      <c r="AN128" s="31">
        <v>3</v>
      </c>
      <c r="AO128" s="31">
        <v>3</v>
      </c>
      <c r="AP128" s="31" t="s">
        <v>247</v>
      </c>
      <c r="AT128" s="64"/>
      <c r="AY128" s="31">
        <f>0.85*1000</f>
        <v>850</v>
      </c>
      <c r="AZ128" s="31">
        <f>0.94*1000</f>
        <v>940</v>
      </c>
      <c r="BA128" s="31" t="s">
        <v>356</v>
      </c>
      <c r="BJ128" s="31" t="s">
        <v>358</v>
      </c>
      <c r="DD128" s="31">
        <f>12.35/100</f>
        <v>0.1235</v>
      </c>
      <c r="DE128" s="31">
        <f>4.74/100</f>
        <v>4.7400000000000005E-2</v>
      </c>
      <c r="DP128" s="12"/>
      <c r="DR128" s="15"/>
      <c r="EN128" s="31">
        <v>12</v>
      </c>
    </row>
    <row r="129" spans="1:144" s="31" customFormat="1" x14ac:dyDescent="0.25">
      <c r="A129" s="31">
        <v>12</v>
      </c>
      <c r="B129" s="31" t="s">
        <v>351</v>
      </c>
      <c r="C129" s="31" t="s">
        <v>353</v>
      </c>
      <c r="D129" s="31">
        <v>1984</v>
      </c>
      <c r="E129" s="31">
        <v>1980</v>
      </c>
      <c r="F129" s="31" t="s">
        <v>354</v>
      </c>
      <c r="G129" s="31" t="s">
        <v>360</v>
      </c>
      <c r="H129" s="31">
        <v>34.36</v>
      </c>
      <c r="I129" s="31">
        <v>-80.010000000000005</v>
      </c>
      <c r="J129" s="31">
        <v>61.3</v>
      </c>
      <c r="P129" s="56" t="s">
        <v>187</v>
      </c>
      <c r="Q129" s="56"/>
      <c r="R129" s="56"/>
      <c r="S129" s="56" t="s">
        <v>657</v>
      </c>
      <c r="W129" s="31" t="s">
        <v>248</v>
      </c>
      <c r="AA129" s="31" t="s">
        <v>1681</v>
      </c>
      <c r="AB129" s="31" t="s">
        <v>352</v>
      </c>
      <c r="AC129" s="31" t="s">
        <v>1734</v>
      </c>
      <c r="AG129" s="31" t="s">
        <v>312</v>
      </c>
      <c r="AH129" s="31" t="s">
        <v>355</v>
      </c>
      <c r="AI129" s="31" t="s">
        <v>693</v>
      </c>
      <c r="AJ129" s="31" t="s">
        <v>322</v>
      </c>
      <c r="AK129" s="31" t="s">
        <v>322</v>
      </c>
      <c r="AL129" s="31" t="s">
        <v>252</v>
      </c>
      <c r="AN129" s="31">
        <v>3</v>
      </c>
      <c r="AO129" s="31">
        <v>3</v>
      </c>
      <c r="AP129" s="31" t="s">
        <v>247</v>
      </c>
      <c r="AT129" s="64"/>
      <c r="AY129" s="31">
        <f>1.03*1000</f>
        <v>1030</v>
      </c>
      <c r="AZ129" s="31">
        <f>0.99*1000</f>
        <v>990</v>
      </c>
      <c r="BA129" s="31" t="s">
        <v>356</v>
      </c>
      <c r="BJ129" s="31" t="s">
        <v>358</v>
      </c>
      <c r="DP129" s="12"/>
      <c r="DR129" s="15"/>
      <c r="EN129" s="31">
        <v>12</v>
      </c>
    </row>
    <row r="130" spans="1:144" s="31" customFormat="1" x14ac:dyDescent="0.25">
      <c r="A130" s="31">
        <v>12</v>
      </c>
      <c r="B130" s="31" t="s">
        <v>351</v>
      </c>
      <c r="C130" s="31" t="s">
        <v>353</v>
      </c>
      <c r="D130" s="31">
        <v>1984</v>
      </c>
      <c r="E130" s="31">
        <v>1980</v>
      </c>
      <c r="F130" s="31" t="s">
        <v>354</v>
      </c>
      <c r="G130" s="31" t="s">
        <v>360</v>
      </c>
      <c r="H130" s="31">
        <v>34.36</v>
      </c>
      <c r="I130" s="31">
        <v>-80.010000000000005</v>
      </c>
      <c r="J130" s="31">
        <v>61.3</v>
      </c>
      <c r="P130" s="56" t="s">
        <v>187</v>
      </c>
      <c r="Q130" s="56"/>
      <c r="R130" s="56"/>
      <c r="S130" s="56" t="s">
        <v>657</v>
      </c>
      <c r="W130" s="31" t="s">
        <v>248</v>
      </c>
      <c r="AA130" s="31" t="s">
        <v>1681</v>
      </c>
      <c r="AB130" s="31" t="s">
        <v>352</v>
      </c>
      <c r="AC130" s="31" t="s">
        <v>1735</v>
      </c>
      <c r="AG130" s="31" t="s">
        <v>312</v>
      </c>
      <c r="AH130" s="31" t="s">
        <v>355</v>
      </c>
      <c r="AI130" s="31" t="s">
        <v>693</v>
      </c>
      <c r="AJ130" s="31" t="s">
        <v>322</v>
      </c>
      <c r="AK130" s="31" t="s">
        <v>322</v>
      </c>
      <c r="AL130" s="31" t="s">
        <v>252</v>
      </c>
      <c r="AN130" s="31">
        <v>3</v>
      </c>
      <c r="AO130" s="31">
        <v>3</v>
      </c>
      <c r="AP130" s="31" t="s">
        <v>247</v>
      </c>
      <c r="AT130" s="64"/>
      <c r="AY130" s="31">
        <f>1.08*1000</f>
        <v>1080</v>
      </c>
      <c r="AZ130" s="31">
        <f>1.19*1000</f>
        <v>1190</v>
      </c>
      <c r="BA130" s="31" t="s">
        <v>356</v>
      </c>
      <c r="BJ130" s="31" t="s">
        <v>358</v>
      </c>
      <c r="DP130" s="12"/>
      <c r="DR130" s="15"/>
      <c r="EN130" s="31">
        <v>12</v>
      </c>
    </row>
    <row r="131" spans="1:144" s="31" customFormat="1" x14ac:dyDescent="0.25">
      <c r="A131" s="31">
        <v>12</v>
      </c>
      <c r="B131" s="31" t="s">
        <v>351</v>
      </c>
      <c r="C131" s="31" t="s">
        <v>353</v>
      </c>
      <c r="D131" s="31">
        <v>1984</v>
      </c>
      <c r="E131" s="31">
        <v>1980</v>
      </c>
      <c r="F131" s="31" t="s">
        <v>354</v>
      </c>
      <c r="G131" s="31" t="s">
        <v>360</v>
      </c>
      <c r="H131" s="31">
        <v>34.36</v>
      </c>
      <c r="I131" s="31">
        <v>-80.010000000000005</v>
      </c>
      <c r="J131" s="31">
        <v>61.3</v>
      </c>
      <c r="P131" s="56" t="s">
        <v>187</v>
      </c>
      <c r="Q131" s="56"/>
      <c r="R131" s="56"/>
      <c r="S131" s="56" t="s">
        <v>657</v>
      </c>
      <c r="W131" s="31" t="s">
        <v>248</v>
      </c>
      <c r="AA131" s="31" t="s">
        <v>1681</v>
      </c>
      <c r="AB131" s="31" t="s">
        <v>352</v>
      </c>
      <c r="AC131" s="31" t="s">
        <v>1733</v>
      </c>
      <c r="AG131" s="31" t="s">
        <v>312</v>
      </c>
      <c r="AH131" s="31" t="s">
        <v>355</v>
      </c>
      <c r="AI131" s="31" t="s">
        <v>693</v>
      </c>
      <c r="AJ131" s="31" t="s">
        <v>322</v>
      </c>
      <c r="AK131" s="31" t="s">
        <v>322</v>
      </c>
      <c r="AL131" s="31" t="s">
        <v>252</v>
      </c>
      <c r="AN131" s="31">
        <v>3</v>
      </c>
      <c r="AO131" s="31">
        <v>3</v>
      </c>
      <c r="AP131" s="31" t="s">
        <v>247</v>
      </c>
      <c r="AT131" s="64"/>
      <c r="AY131" s="31">
        <f>0.96*1000</f>
        <v>960</v>
      </c>
      <c r="AZ131" s="31">
        <f>0.84*1000</f>
        <v>840</v>
      </c>
      <c r="BA131" s="31" t="s">
        <v>357</v>
      </c>
      <c r="BJ131" s="31" t="s">
        <v>358</v>
      </c>
      <c r="DP131" s="12"/>
      <c r="DR131" s="15"/>
      <c r="EN131" s="31">
        <v>12</v>
      </c>
    </row>
    <row r="132" spans="1:144" s="31" customFormat="1" x14ac:dyDescent="0.25">
      <c r="A132" s="31">
        <v>12</v>
      </c>
      <c r="B132" s="31" t="s">
        <v>351</v>
      </c>
      <c r="C132" s="31" t="s">
        <v>353</v>
      </c>
      <c r="D132" s="31">
        <v>1984</v>
      </c>
      <c r="E132" s="31">
        <v>1980</v>
      </c>
      <c r="F132" s="31" t="s">
        <v>354</v>
      </c>
      <c r="G132" s="31" t="s">
        <v>360</v>
      </c>
      <c r="H132" s="31">
        <v>34.36</v>
      </c>
      <c r="I132" s="31">
        <v>-80.010000000000005</v>
      </c>
      <c r="J132" s="31">
        <v>61.3</v>
      </c>
      <c r="P132" s="56" t="s">
        <v>187</v>
      </c>
      <c r="Q132" s="56"/>
      <c r="R132" s="56"/>
      <c r="S132" s="56" t="s">
        <v>657</v>
      </c>
      <c r="W132" s="31" t="s">
        <v>248</v>
      </c>
      <c r="AA132" s="31" t="s">
        <v>1681</v>
      </c>
      <c r="AB132" s="31" t="s">
        <v>352</v>
      </c>
      <c r="AC132" s="31" t="s">
        <v>1734</v>
      </c>
      <c r="AG132" s="31" t="s">
        <v>312</v>
      </c>
      <c r="AH132" s="31" t="s">
        <v>355</v>
      </c>
      <c r="AI132" s="31" t="s">
        <v>693</v>
      </c>
      <c r="AJ132" s="31" t="s">
        <v>322</v>
      </c>
      <c r="AK132" s="31" t="s">
        <v>322</v>
      </c>
      <c r="AL132" s="31" t="s">
        <v>252</v>
      </c>
      <c r="AN132" s="31">
        <v>3</v>
      </c>
      <c r="AO132" s="31">
        <v>3</v>
      </c>
      <c r="AP132" s="31" t="s">
        <v>247</v>
      </c>
      <c r="AT132" s="64"/>
      <c r="AY132" s="31">
        <f>0.93*1000</f>
        <v>930</v>
      </c>
      <c r="AZ132" s="31">
        <f>0.87*1000</f>
        <v>870</v>
      </c>
      <c r="BA132" s="31" t="s">
        <v>357</v>
      </c>
      <c r="BJ132" s="31" t="s">
        <v>358</v>
      </c>
      <c r="DP132" s="12"/>
      <c r="DR132" s="15"/>
      <c r="EN132" s="31">
        <v>12</v>
      </c>
    </row>
    <row r="133" spans="1:144" s="31" customFormat="1" x14ac:dyDescent="0.25">
      <c r="A133" s="31">
        <v>12</v>
      </c>
      <c r="B133" s="31" t="s">
        <v>351</v>
      </c>
      <c r="C133" s="31" t="s">
        <v>353</v>
      </c>
      <c r="D133" s="31">
        <v>1984</v>
      </c>
      <c r="E133" s="31">
        <v>1980</v>
      </c>
      <c r="F133" s="31" t="s">
        <v>354</v>
      </c>
      <c r="G133" s="31" t="s">
        <v>360</v>
      </c>
      <c r="H133" s="31">
        <v>34.36</v>
      </c>
      <c r="I133" s="31">
        <v>-80.010000000000005</v>
      </c>
      <c r="J133" s="31">
        <v>61.3</v>
      </c>
      <c r="P133" s="56" t="s">
        <v>187</v>
      </c>
      <c r="Q133" s="56"/>
      <c r="R133" s="56"/>
      <c r="S133" s="56" t="s">
        <v>657</v>
      </c>
      <c r="W133" s="31" t="s">
        <v>248</v>
      </c>
      <c r="AA133" s="31" t="s">
        <v>1681</v>
      </c>
      <c r="AB133" s="31" t="s">
        <v>352</v>
      </c>
      <c r="AC133" s="31" t="s">
        <v>1735</v>
      </c>
      <c r="AG133" s="31" t="s">
        <v>312</v>
      </c>
      <c r="AH133" s="31" t="s">
        <v>355</v>
      </c>
      <c r="AI133" s="31" t="s">
        <v>693</v>
      </c>
      <c r="AJ133" s="31" t="s">
        <v>322</v>
      </c>
      <c r="AK133" s="31" t="s">
        <v>322</v>
      </c>
      <c r="AL133" s="31" t="s">
        <v>252</v>
      </c>
      <c r="AN133" s="31">
        <v>3</v>
      </c>
      <c r="AO133" s="31">
        <v>3</v>
      </c>
      <c r="AP133" s="31" t="s">
        <v>247</v>
      </c>
      <c r="AT133" s="64"/>
      <c r="AY133" s="31">
        <f>1.01*1000</f>
        <v>1010</v>
      </c>
      <c r="AZ133" s="31">
        <f>0.89*1000</f>
        <v>890</v>
      </c>
      <c r="BA133" s="31" t="s">
        <v>357</v>
      </c>
      <c r="BJ133" s="31" t="s">
        <v>358</v>
      </c>
      <c r="DP133" s="12"/>
      <c r="DR133" s="15"/>
      <c r="EN133" s="31">
        <v>12</v>
      </c>
    </row>
    <row r="134" spans="1:144" s="31" customFormat="1" x14ac:dyDescent="0.25">
      <c r="A134" s="31">
        <v>12</v>
      </c>
      <c r="B134" s="31" t="s">
        <v>351</v>
      </c>
      <c r="C134" s="31" t="s">
        <v>353</v>
      </c>
      <c r="D134" s="31">
        <v>1984</v>
      </c>
      <c r="E134" s="31">
        <v>1980</v>
      </c>
      <c r="F134" s="31" t="s">
        <v>354</v>
      </c>
      <c r="G134" s="31" t="s">
        <v>360</v>
      </c>
      <c r="H134" s="31">
        <v>34.36</v>
      </c>
      <c r="I134" s="31">
        <v>-80.010000000000005</v>
      </c>
      <c r="J134" s="31">
        <v>61.3</v>
      </c>
      <c r="P134" s="56" t="s">
        <v>187</v>
      </c>
      <c r="Q134" s="56"/>
      <c r="R134" s="56"/>
      <c r="S134" s="56" t="s">
        <v>657</v>
      </c>
      <c r="W134" s="31" t="s">
        <v>248</v>
      </c>
      <c r="AA134" s="31" t="s">
        <v>1681</v>
      </c>
      <c r="AB134" s="31" t="s">
        <v>352</v>
      </c>
      <c r="AC134" s="31" t="s">
        <v>1733</v>
      </c>
      <c r="AG134" s="31" t="s">
        <v>312</v>
      </c>
      <c r="AH134" s="31" t="s">
        <v>355</v>
      </c>
      <c r="AI134" s="31" t="s">
        <v>693</v>
      </c>
      <c r="AJ134" s="31" t="s">
        <v>322</v>
      </c>
      <c r="AK134" s="31" t="s">
        <v>322</v>
      </c>
      <c r="AL134" s="31" t="s">
        <v>252</v>
      </c>
      <c r="AN134" s="31">
        <v>3</v>
      </c>
      <c r="AO134" s="31">
        <v>3</v>
      </c>
      <c r="AP134" s="31" t="s">
        <v>247</v>
      </c>
      <c r="AT134" s="64"/>
      <c r="AY134" s="31">
        <f>1.01*1000</f>
        <v>1010</v>
      </c>
      <c r="AZ134" s="31">
        <f>1.08*1000</f>
        <v>1080</v>
      </c>
      <c r="BA134" s="31" t="s">
        <v>356</v>
      </c>
      <c r="BJ134" s="31" t="s">
        <v>359</v>
      </c>
      <c r="DP134" s="12"/>
      <c r="DR134" s="15"/>
      <c r="EN134" s="31">
        <v>12</v>
      </c>
    </row>
    <row r="135" spans="1:144" s="31" customFormat="1" x14ac:dyDescent="0.25">
      <c r="A135" s="31">
        <v>12</v>
      </c>
      <c r="B135" s="31" t="s">
        <v>351</v>
      </c>
      <c r="C135" s="31" t="s">
        <v>353</v>
      </c>
      <c r="D135" s="31">
        <v>1984</v>
      </c>
      <c r="E135" s="31">
        <v>1980</v>
      </c>
      <c r="F135" s="31" t="s">
        <v>354</v>
      </c>
      <c r="G135" s="31" t="s">
        <v>360</v>
      </c>
      <c r="H135" s="31">
        <v>34.36</v>
      </c>
      <c r="I135" s="31">
        <v>-80.010000000000005</v>
      </c>
      <c r="J135" s="31">
        <v>61.3</v>
      </c>
      <c r="P135" s="56" t="s">
        <v>187</v>
      </c>
      <c r="Q135" s="56"/>
      <c r="R135" s="56"/>
      <c r="S135" s="56" t="s">
        <v>657</v>
      </c>
      <c r="W135" s="31" t="s">
        <v>248</v>
      </c>
      <c r="AA135" s="31" t="s">
        <v>1681</v>
      </c>
      <c r="AB135" s="31" t="s">
        <v>352</v>
      </c>
      <c r="AC135" s="31" t="s">
        <v>1734</v>
      </c>
      <c r="AG135" s="31" t="s">
        <v>312</v>
      </c>
      <c r="AH135" s="31" t="s">
        <v>355</v>
      </c>
      <c r="AI135" s="31" t="s">
        <v>693</v>
      </c>
      <c r="AJ135" s="31" t="s">
        <v>322</v>
      </c>
      <c r="AK135" s="31" t="s">
        <v>322</v>
      </c>
      <c r="AL135" s="31" t="s">
        <v>252</v>
      </c>
      <c r="AN135" s="31">
        <v>3</v>
      </c>
      <c r="AO135" s="31">
        <v>3</v>
      </c>
      <c r="AP135" s="31" t="s">
        <v>247</v>
      </c>
      <c r="AT135" s="64"/>
      <c r="AY135" s="31">
        <f>1.1*1000</f>
        <v>1100</v>
      </c>
      <c r="AZ135" s="31">
        <f>0.81*1000</f>
        <v>810</v>
      </c>
      <c r="BA135" s="31" t="s">
        <v>356</v>
      </c>
      <c r="BJ135" s="31" t="s">
        <v>359</v>
      </c>
      <c r="DP135" s="12"/>
      <c r="DR135" s="15"/>
      <c r="EN135" s="31">
        <v>12</v>
      </c>
    </row>
    <row r="136" spans="1:144" s="31" customFormat="1" x14ac:dyDescent="0.25">
      <c r="A136" s="31">
        <v>12</v>
      </c>
      <c r="B136" s="31" t="s">
        <v>351</v>
      </c>
      <c r="C136" s="31" t="s">
        <v>353</v>
      </c>
      <c r="D136" s="31">
        <v>1984</v>
      </c>
      <c r="E136" s="31">
        <v>1980</v>
      </c>
      <c r="F136" s="31" t="s">
        <v>354</v>
      </c>
      <c r="G136" s="31" t="s">
        <v>360</v>
      </c>
      <c r="H136" s="31">
        <v>34.36</v>
      </c>
      <c r="I136" s="31">
        <v>-80.010000000000005</v>
      </c>
      <c r="J136" s="31">
        <v>61.3</v>
      </c>
      <c r="P136" s="56" t="s">
        <v>187</v>
      </c>
      <c r="Q136" s="56"/>
      <c r="R136" s="56"/>
      <c r="S136" s="56" t="s">
        <v>657</v>
      </c>
      <c r="W136" s="31" t="s">
        <v>248</v>
      </c>
      <c r="AA136" s="31" t="s">
        <v>1681</v>
      </c>
      <c r="AB136" s="31" t="s">
        <v>352</v>
      </c>
      <c r="AC136" s="31" t="s">
        <v>1735</v>
      </c>
      <c r="AG136" s="31" t="s">
        <v>312</v>
      </c>
      <c r="AH136" s="31" t="s">
        <v>355</v>
      </c>
      <c r="AI136" s="31" t="s">
        <v>693</v>
      </c>
      <c r="AJ136" s="31" t="s">
        <v>322</v>
      </c>
      <c r="AK136" s="31" t="s">
        <v>322</v>
      </c>
      <c r="AL136" s="31" t="s">
        <v>252</v>
      </c>
      <c r="AN136" s="31">
        <v>3</v>
      </c>
      <c r="AO136" s="31">
        <v>3</v>
      </c>
      <c r="AP136" s="31" t="s">
        <v>247</v>
      </c>
      <c r="AT136" s="64"/>
      <c r="AY136" s="31">
        <f>1.08*1000</f>
        <v>1080</v>
      </c>
      <c r="AZ136" s="31">
        <f>0.92*1000</f>
        <v>920</v>
      </c>
      <c r="BA136" s="31" t="s">
        <v>356</v>
      </c>
      <c r="BJ136" s="31" t="s">
        <v>359</v>
      </c>
      <c r="DP136" s="12"/>
      <c r="DR136" s="15"/>
      <c r="EN136" s="31">
        <v>12</v>
      </c>
    </row>
    <row r="137" spans="1:144" s="31" customFormat="1" x14ac:dyDescent="0.25">
      <c r="A137" s="31">
        <v>12</v>
      </c>
      <c r="B137" s="31" t="s">
        <v>351</v>
      </c>
      <c r="C137" s="31" t="s">
        <v>353</v>
      </c>
      <c r="D137" s="31">
        <v>1984</v>
      </c>
      <c r="E137" s="31">
        <v>1980</v>
      </c>
      <c r="F137" s="31" t="s">
        <v>354</v>
      </c>
      <c r="G137" s="31" t="s">
        <v>360</v>
      </c>
      <c r="H137" s="31">
        <v>34.36</v>
      </c>
      <c r="I137" s="31">
        <v>-80.010000000000005</v>
      </c>
      <c r="J137" s="31">
        <v>61.3</v>
      </c>
      <c r="P137" s="56" t="s">
        <v>187</v>
      </c>
      <c r="Q137" s="56"/>
      <c r="R137" s="56"/>
      <c r="S137" s="56" t="s">
        <v>657</v>
      </c>
      <c r="W137" s="31" t="s">
        <v>248</v>
      </c>
      <c r="AA137" s="31" t="s">
        <v>1681</v>
      </c>
      <c r="AB137" s="31" t="s">
        <v>352</v>
      </c>
      <c r="AC137" s="31" t="s">
        <v>1733</v>
      </c>
      <c r="AG137" s="31" t="s">
        <v>312</v>
      </c>
      <c r="AH137" s="31" t="s">
        <v>355</v>
      </c>
      <c r="AI137" s="31" t="s">
        <v>693</v>
      </c>
      <c r="AJ137" s="31" t="s">
        <v>322</v>
      </c>
      <c r="AK137" s="31" t="s">
        <v>322</v>
      </c>
      <c r="AL137" s="31" t="s">
        <v>252</v>
      </c>
      <c r="AN137" s="31">
        <v>3</v>
      </c>
      <c r="AO137" s="31">
        <v>3</v>
      </c>
      <c r="AP137" s="31" t="s">
        <v>247</v>
      </c>
      <c r="AT137" s="64"/>
      <c r="AY137" s="31">
        <f>0.81*1000</f>
        <v>810</v>
      </c>
      <c r="AZ137" s="31">
        <f>0.99*1000</f>
        <v>990</v>
      </c>
      <c r="BA137" s="31" t="s">
        <v>357</v>
      </c>
      <c r="BJ137" s="31" t="s">
        <v>359</v>
      </c>
      <c r="DP137" s="12"/>
      <c r="DR137" s="15"/>
      <c r="EN137" s="31">
        <v>12</v>
      </c>
    </row>
    <row r="138" spans="1:144" s="31" customFormat="1" x14ac:dyDescent="0.25">
      <c r="A138" s="31">
        <v>12</v>
      </c>
      <c r="B138" s="31" t="s">
        <v>351</v>
      </c>
      <c r="C138" s="31" t="s">
        <v>353</v>
      </c>
      <c r="D138" s="31">
        <v>1984</v>
      </c>
      <c r="E138" s="31">
        <v>1980</v>
      </c>
      <c r="F138" s="31" t="s">
        <v>354</v>
      </c>
      <c r="G138" s="31" t="s">
        <v>360</v>
      </c>
      <c r="H138" s="31">
        <v>34.36</v>
      </c>
      <c r="I138" s="31">
        <v>-80.010000000000005</v>
      </c>
      <c r="J138" s="31">
        <v>61.3</v>
      </c>
      <c r="P138" s="56" t="s">
        <v>187</v>
      </c>
      <c r="Q138" s="56"/>
      <c r="R138" s="56"/>
      <c r="S138" s="56" t="s">
        <v>657</v>
      </c>
      <c r="W138" s="31" t="s">
        <v>248</v>
      </c>
      <c r="AA138" s="31" t="s">
        <v>1681</v>
      </c>
      <c r="AB138" s="31" t="s">
        <v>352</v>
      </c>
      <c r="AC138" s="31" t="s">
        <v>1734</v>
      </c>
      <c r="AG138" s="31" t="s">
        <v>312</v>
      </c>
      <c r="AH138" s="31" t="s">
        <v>355</v>
      </c>
      <c r="AI138" s="31" t="s">
        <v>693</v>
      </c>
      <c r="AJ138" s="31" t="s">
        <v>322</v>
      </c>
      <c r="AK138" s="31" t="s">
        <v>322</v>
      </c>
      <c r="AL138" s="31" t="s">
        <v>252</v>
      </c>
      <c r="AN138" s="31">
        <v>3</v>
      </c>
      <c r="AO138" s="31">
        <v>3</v>
      </c>
      <c r="AP138" s="31" t="s">
        <v>247</v>
      </c>
      <c r="AT138" s="64"/>
      <c r="AY138" s="31">
        <f>1.06*1000</f>
        <v>1060</v>
      </c>
      <c r="AZ138" s="31">
        <f>0.97*1000</f>
        <v>970</v>
      </c>
      <c r="BA138" s="31" t="s">
        <v>357</v>
      </c>
      <c r="BJ138" s="31" t="s">
        <v>359</v>
      </c>
      <c r="DP138" s="12"/>
      <c r="DR138" s="15"/>
      <c r="EN138" s="31">
        <v>12</v>
      </c>
    </row>
    <row r="139" spans="1:144" s="31" customFormat="1" x14ac:dyDescent="0.25">
      <c r="A139" s="31">
        <v>12</v>
      </c>
      <c r="B139" s="31" t="s">
        <v>351</v>
      </c>
      <c r="C139" s="31" t="s">
        <v>353</v>
      </c>
      <c r="D139" s="31">
        <v>1984</v>
      </c>
      <c r="E139" s="31">
        <v>1980</v>
      </c>
      <c r="F139" s="31" t="s">
        <v>354</v>
      </c>
      <c r="G139" s="31" t="s">
        <v>360</v>
      </c>
      <c r="H139" s="31">
        <v>34.36</v>
      </c>
      <c r="I139" s="31">
        <v>-80.010000000000005</v>
      </c>
      <c r="J139" s="31">
        <v>61.3</v>
      </c>
      <c r="P139" s="56" t="s">
        <v>187</v>
      </c>
      <c r="Q139" s="56"/>
      <c r="R139" s="56"/>
      <c r="S139" s="56" t="s">
        <v>657</v>
      </c>
      <c r="W139" s="31" t="s">
        <v>248</v>
      </c>
      <c r="AA139" s="31" t="s">
        <v>1681</v>
      </c>
      <c r="AB139" s="31" t="s">
        <v>352</v>
      </c>
      <c r="AC139" s="31" t="s">
        <v>1735</v>
      </c>
      <c r="AG139" s="31" t="s">
        <v>312</v>
      </c>
      <c r="AH139" s="31" t="s">
        <v>355</v>
      </c>
      <c r="AI139" s="31" t="s">
        <v>693</v>
      </c>
      <c r="AJ139" s="31" t="s">
        <v>322</v>
      </c>
      <c r="AK139" s="31" t="s">
        <v>322</v>
      </c>
      <c r="AL139" s="31" t="s">
        <v>252</v>
      </c>
      <c r="AN139" s="31">
        <v>3</v>
      </c>
      <c r="AO139" s="31">
        <v>3</v>
      </c>
      <c r="AP139" s="31" t="s">
        <v>247</v>
      </c>
      <c r="AT139" s="64"/>
      <c r="AY139" s="31">
        <f>1.14*1000</f>
        <v>1140</v>
      </c>
      <c r="AZ139" s="31">
        <f>1.02*1000</f>
        <v>1020</v>
      </c>
      <c r="BA139" s="31" t="s">
        <v>357</v>
      </c>
      <c r="BJ139" s="31" t="s">
        <v>359</v>
      </c>
      <c r="DP139" s="12"/>
      <c r="DR139" s="15"/>
      <c r="EN139" s="31">
        <v>12</v>
      </c>
    </row>
    <row r="140" spans="1:144" s="31" customFormat="1" x14ac:dyDescent="0.25">
      <c r="A140" s="31">
        <v>12</v>
      </c>
      <c r="B140" s="31" t="s">
        <v>351</v>
      </c>
      <c r="C140" s="31" t="s">
        <v>353</v>
      </c>
      <c r="D140" s="31">
        <v>1984</v>
      </c>
      <c r="E140" s="31">
        <v>1980</v>
      </c>
      <c r="F140" s="31" t="s">
        <v>354</v>
      </c>
      <c r="G140" s="31" t="s">
        <v>361</v>
      </c>
      <c r="H140" s="31">
        <v>34.200000000000003</v>
      </c>
      <c r="I140" s="31">
        <v>-79.760000000000005</v>
      </c>
      <c r="J140" s="31">
        <v>44.3</v>
      </c>
      <c r="P140" s="56" t="s">
        <v>188</v>
      </c>
      <c r="Q140" s="56"/>
      <c r="R140" s="56"/>
      <c r="S140" s="56" t="s">
        <v>657</v>
      </c>
      <c r="W140" s="31" t="s">
        <v>248</v>
      </c>
      <c r="AA140" s="31" t="s">
        <v>1681</v>
      </c>
      <c r="AB140" s="31" t="s">
        <v>352</v>
      </c>
      <c r="AC140" s="31" t="s">
        <v>1733</v>
      </c>
      <c r="AG140" s="31" t="s">
        <v>312</v>
      </c>
      <c r="AH140" s="31" t="s">
        <v>355</v>
      </c>
      <c r="AI140" s="31" t="s">
        <v>693</v>
      </c>
      <c r="AJ140" s="31" t="s">
        <v>322</v>
      </c>
      <c r="AK140" s="31" t="s">
        <v>322</v>
      </c>
      <c r="AL140" s="31" t="s">
        <v>252</v>
      </c>
      <c r="AN140" s="31">
        <v>3</v>
      </c>
      <c r="AO140" s="31">
        <v>3</v>
      </c>
      <c r="AP140" s="31" t="s">
        <v>247</v>
      </c>
      <c r="AT140" s="64"/>
      <c r="AY140" s="31">
        <f>2.06*1000</f>
        <v>2060</v>
      </c>
      <c r="AZ140" s="31">
        <f>1.6*1000</f>
        <v>1600</v>
      </c>
      <c r="BA140" s="31" t="s">
        <v>356</v>
      </c>
      <c r="BJ140" s="31" t="s">
        <v>358</v>
      </c>
      <c r="DP140" s="12"/>
      <c r="DR140" s="15"/>
      <c r="EN140" s="31">
        <v>12</v>
      </c>
    </row>
    <row r="141" spans="1:144" s="31" customFormat="1" x14ac:dyDescent="0.25">
      <c r="A141" s="31">
        <v>12</v>
      </c>
      <c r="B141" s="31" t="s">
        <v>351</v>
      </c>
      <c r="C141" s="31" t="s">
        <v>353</v>
      </c>
      <c r="D141" s="31">
        <v>1984</v>
      </c>
      <c r="E141" s="31">
        <v>1980</v>
      </c>
      <c r="F141" s="31" t="s">
        <v>354</v>
      </c>
      <c r="G141" s="31" t="s">
        <v>361</v>
      </c>
      <c r="H141" s="31">
        <v>34.200000000000003</v>
      </c>
      <c r="I141" s="31">
        <v>-79.760000000000005</v>
      </c>
      <c r="J141" s="31">
        <v>44.3</v>
      </c>
      <c r="P141" s="56" t="s">
        <v>188</v>
      </c>
      <c r="Q141" s="56"/>
      <c r="R141" s="56"/>
      <c r="S141" s="56" t="s">
        <v>657</v>
      </c>
      <c r="W141" s="31" t="s">
        <v>248</v>
      </c>
      <c r="AA141" s="31" t="s">
        <v>1681</v>
      </c>
      <c r="AB141" s="31" t="s">
        <v>352</v>
      </c>
      <c r="AC141" s="31" t="s">
        <v>1734</v>
      </c>
      <c r="AG141" s="31" t="s">
        <v>312</v>
      </c>
      <c r="AH141" s="31" t="s">
        <v>355</v>
      </c>
      <c r="AI141" s="31" t="s">
        <v>693</v>
      </c>
      <c r="AJ141" s="31" t="s">
        <v>322</v>
      </c>
      <c r="AK141" s="31" t="s">
        <v>322</v>
      </c>
      <c r="AL141" s="31" t="s">
        <v>252</v>
      </c>
      <c r="AN141" s="31">
        <v>3</v>
      </c>
      <c r="AO141" s="31">
        <v>3</v>
      </c>
      <c r="AP141" s="31" t="s">
        <v>247</v>
      </c>
      <c r="AT141" s="64"/>
      <c r="BJ141" s="31" t="s">
        <v>358</v>
      </c>
      <c r="DP141" s="12"/>
      <c r="DR141" s="15"/>
      <c r="EN141" s="31">
        <v>12</v>
      </c>
    </row>
    <row r="142" spans="1:144" s="31" customFormat="1" x14ac:dyDescent="0.25">
      <c r="A142" s="31">
        <v>12</v>
      </c>
      <c r="B142" s="31" t="s">
        <v>351</v>
      </c>
      <c r="C142" s="31" t="s">
        <v>353</v>
      </c>
      <c r="D142" s="31">
        <v>1984</v>
      </c>
      <c r="E142" s="31">
        <v>1980</v>
      </c>
      <c r="F142" s="31" t="s">
        <v>354</v>
      </c>
      <c r="G142" s="31" t="s">
        <v>361</v>
      </c>
      <c r="H142" s="31">
        <v>34.200000000000003</v>
      </c>
      <c r="I142" s="31">
        <v>-79.760000000000005</v>
      </c>
      <c r="J142" s="31">
        <v>44.3</v>
      </c>
      <c r="P142" s="56" t="s">
        <v>188</v>
      </c>
      <c r="Q142" s="56"/>
      <c r="R142" s="56"/>
      <c r="S142" s="56" t="s">
        <v>657</v>
      </c>
      <c r="W142" s="31" t="s">
        <v>248</v>
      </c>
      <c r="AA142" s="31" t="s">
        <v>1681</v>
      </c>
      <c r="AB142" s="31" t="s">
        <v>352</v>
      </c>
      <c r="AC142" s="31" t="s">
        <v>1735</v>
      </c>
      <c r="AG142" s="31" t="s">
        <v>312</v>
      </c>
      <c r="AH142" s="31" t="s">
        <v>355</v>
      </c>
      <c r="AI142" s="31" t="s">
        <v>693</v>
      </c>
      <c r="AJ142" s="31" t="s">
        <v>322</v>
      </c>
      <c r="AK142" s="31" t="s">
        <v>322</v>
      </c>
      <c r="AL142" s="31" t="s">
        <v>252</v>
      </c>
      <c r="AN142" s="31">
        <v>3</v>
      </c>
      <c r="AO142" s="31">
        <v>3</v>
      </c>
      <c r="AP142" s="31" t="s">
        <v>247</v>
      </c>
      <c r="AT142" s="64"/>
      <c r="AY142" s="31">
        <f>2*1000</f>
        <v>2000</v>
      </c>
      <c r="AZ142" s="31">
        <f>1.68*1000</f>
        <v>1680</v>
      </c>
      <c r="BA142" s="31" t="s">
        <v>356</v>
      </c>
      <c r="BJ142" s="31" t="s">
        <v>358</v>
      </c>
      <c r="DP142" s="12"/>
      <c r="DR142" s="15"/>
      <c r="EN142" s="31">
        <v>12</v>
      </c>
    </row>
    <row r="143" spans="1:144" s="31" customFormat="1" x14ac:dyDescent="0.25">
      <c r="A143" s="31">
        <v>12</v>
      </c>
      <c r="B143" s="31" t="s">
        <v>351</v>
      </c>
      <c r="C143" s="31" t="s">
        <v>353</v>
      </c>
      <c r="D143" s="31">
        <v>1984</v>
      </c>
      <c r="E143" s="31">
        <v>1980</v>
      </c>
      <c r="F143" s="31" t="s">
        <v>354</v>
      </c>
      <c r="G143" s="31" t="s">
        <v>361</v>
      </c>
      <c r="H143" s="31">
        <v>34.200000000000003</v>
      </c>
      <c r="I143" s="31">
        <v>-79.760000000000005</v>
      </c>
      <c r="J143" s="31">
        <v>44.3</v>
      </c>
      <c r="P143" s="56" t="s">
        <v>188</v>
      </c>
      <c r="Q143" s="56"/>
      <c r="R143" s="56"/>
      <c r="S143" s="56" t="s">
        <v>657</v>
      </c>
      <c r="W143" s="31" t="s">
        <v>248</v>
      </c>
      <c r="AA143" s="31" t="s">
        <v>1681</v>
      </c>
      <c r="AB143" s="31" t="s">
        <v>352</v>
      </c>
      <c r="AC143" s="31" t="s">
        <v>1733</v>
      </c>
      <c r="AG143" s="31" t="s">
        <v>312</v>
      </c>
      <c r="AH143" s="31" t="s">
        <v>355</v>
      </c>
      <c r="AI143" s="31" t="s">
        <v>693</v>
      </c>
      <c r="AJ143" s="31" t="s">
        <v>322</v>
      </c>
      <c r="AK143" s="31" t="s">
        <v>322</v>
      </c>
      <c r="AL143" s="31" t="s">
        <v>252</v>
      </c>
      <c r="AN143" s="31">
        <v>3</v>
      </c>
      <c r="AO143" s="31">
        <v>3</v>
      </c>
      <c r="AP143" s="31" t="s">
        <v>247</v>
      </c>
      <c r="AT143" s="64"/>
      <c r="AY143" s="31">
        <f>1.86*1000</f>
        <v>1860</v>
      </c>
      <c r="AZ143" s="31">
        <f>1.89*1000</f>
        <v>1890</v>
      </c>
      <c r="BA143" s="31" t="s">
        <v>357</v>
      </c>
      <c r="BJ143" s="31" t="s">
        <v>358</v>
      </c>
      <c r="DP143" s="12"/>
      <c r="DR143" s="15"/>
      <c r="EN143" s="31">
        <v>12</v>
      </c>
    </row>
    <row r="144" spans="1:144" s="31" customFormat="1" x14ac:dyDescent="0.25">
      <c r="A144" s="31">
        <v>12</v>
      </c>
      <c r="B144" s="31" t="s">
        <v>351</v>
      </c>
      <c r="C144" s="31" t="s">
        <v>353</v>
      </c>
      <c r="D144" s="31">
        <v>1984</v>
      </c>
      <c r="E144" s="31">
        <v>1980</v>
      </c>
      <c r="F144" s="31" t="s">
        <v>354</v>
      </c>
      <c r="G144" s="31" t="s">
        <v>361</v>
      </c>
      <c r="H144" s="31">
        <v>34.200000000000003</v>
      </c>
      <c r="I144" s="31">
        <v>-79.760000000000005</v>
      </c>
      <c r="J144" s="31">
        <v>44.3</v>
      </c>
      <c r="P144" s="56" t="s">
        <v>188</v>
      </c>
      <c r="Q144" s="56"/>
      <c r="R144" s="56"/>
      <c r="S144" s="56" t="s">
        <v>657</v>
      </c>
      <c r="W144" s="31" t="s">
        <v>248</v>
      </c>
      <c r="AA144" s="31" t="s">
        <v>1681</v>
      </c>
      <c r="AB144" s="31" t="s">
        <v>352</v>
      </c>
      <c r="AC144" s="31" t="s">
        <v>1734</v>
      </c>
      <c r="AG144" s="31" t="s">
        <v>312</v>
      </c>
      <c r="AH144" s="31" t="s">
        <v>355</v>
      </c>
      <c r="AI144" s="31" t="s">
        <v>693</v>
      </c>
      <c r="AJ144" s="31" t="s">
        <v>322</v>
      </c>
      <c r="AK144" s="31" t="s">
        <v>322</v>
      </c>
      <c r="AL144" s="31" t="s">
        <v>252</v>
      </c>
      <c r="AN144" s="31">
        <v>3</v>
      </c>
      <c r="AO144" s="31">
        <v>3</v>
      </c>
      <c r="AP144" s="31" t="s">
        <v>247</v>
      </c>
      <c r="AT144" s="64"/>
      <c r="AY144" s="31">
        <f>1.9*1000</f>
        <v>1900</v>
      </c>
      <c r="AZ144" s="31">
        <f>1.93*1000</f>
        <v>1930</v>
      </c>
      <c r="BA144" s="31" t="s">
        <v>357</v>
      </c>
      <c r="BJ144" s="31" t="s">
        <v>358</v>
      </c>
      <c r="DP144" s="12"/>
      <c r="DR144" s="15"/>
      <c r="EN144" s="31">
        <v>12</v>
      </c>
    </row>
    <row r="145" spans="1:144" s="31" customFormat="1" x14ac:dyDescent="0.25">
      <c r="A145" s="31">
        <v>12</v>
      </c>
      <c r="B145" s="31" t="s">
        <v>351</v>
      </c>
      <c r="C145" s="31" t="s">
        <v>353</v>
      </c>
      <c r="D145" s="31">
        <v>1984</v>
      </c>
      <c r="E145" s="31">
        <v>1980</v>
      </c>
      <c r="F145" s="31" t="s">
        <v>354</v>
      </c>
      <c r="G145" s="31" t="s">
        <v>361</v>
      </c>
      <c r="H145" s="31">
        <v>34.200000000000003</v>
      </c>
      <c r="I145" s="31">
        <v>-79.760000000000005</v>
      </c>
      <c r="J145" s="31">
        <v>44.3</v>
      </c>
      <c r="P145" s="56" t="s">
        <v>188</v>
      </c>
      <c r="Q145" s="56"/>
      <c r="R145" s="56"/>
      <c r="S145" s="56" t="s">
        <v>657</v>
      </c>
      <c r="W145" s="31" t="s">
        <v>248</v>
      </c>
      <c r="AA145" s="31" t="s">
        <v>1681</v>
      </c>
      <c r="AB145" s="31" t="s">
        <v>352</v>
      </c>
      <c r="AC145" s="31" t="s">
        <v>1735</v>
      </c>
      <c r="AG145" s="31" t="s">
        <v>312</v>
      </c>
      <c r="AH145" s="31" t="s">
        <v>355</v>
      </c>
      <c r="AI145" s="31" t="s">
        <v>693</v>
      </c>
      <c r="AJ145" s="31" t="s">
        <v>322</v>
      </c>
      <c r="AK145" s="31" t="s">
        <v>322</v>
      </c>
      <c r="AL145" s="31" t="s">
        <v>252</v>
      </c>
      <c r="AN145" s="31">
        <v>3</v>
      </c>
      <c r="AO145" s="31">
        <v>3</v>
      </c>
      <c r="AP145" s="31" t="s">
        <v>247</v>
      </c>
      <c r="AT145" s="64"/>
      <c r="AY145" s="31">
        <f>2.05*1000</f>
        <v>2050</v>
      </c>
      <c r="AZ145" s="31">
        <f>2.09*1000</f>
        <v>2090</v>
      </c>
      <c r="BA145" s="31" t="s">
        <v>357</v>
      </c>
      <c r="BJ145" s="31" t="s">
        <v>358</v>
      </c>
      <c r="DP145" s="12"/>
      <c r="DR145" s="15"/>
      <c r="EN145" s="31">
        <v>12</v>
      </c>
    </row>
    <row r="146" spans="1:144" s="31" customFormat="1" x14ac:dyDescent="0.25">
      <c r="A146" s="31">
        <v>12</v>
      </c>
      <c r="B146" s="31" t="s">
        <v>351</v>
      </c>
      <c r="C146" s="31" t="s">
        <v>353</v>
      </c>
      <c r="D146" s="31">
        <v>1984</v>
      </c>
      <c r="E146" s="31">
        <v>1980</v>
      </c>
      <c r="F146" s="31" t="s">
        <v>354</v>
      </c>
      <c r="G146" s="31" t="s">
        <v>361</v>
      </c>
      <c r="H146" s="31">
        <v>34.200000000000003</v>
      </c>
      <c r="I146" s="31">
        <v>-79.760000000000005</v>
      </c>
      <c r="J146" s="31">
        <v>44.3</v>
      </c>
      <c r="P146" s="56" t="s">
        <v>188</v>
      </c>
      <c r="Q146" s="56"/>
      <c r="R146" s="56"/>
      <c r="S146" s="56" t="s">
        <v>657</v>
      </c>
      <c r="W146" s="31" t="s">
        <v>248</v>
      </c>
      <c r="AA146" s="31" t="s">
        <v>1681</v>
      </c>
      <c r="AB146" s="31" t="s">
        <v>352</v>
      </c>
      <c r="AC146" s="31" t="s">
        <v>1733</v>
      </c>
      <c r="AG146" s="31" t="s">
        <v>312</v>
      </c>
      <c r="AH146" s="31" t="s">
        <v>355</v>
      </c>
      <c r="AI146" s="31" t="s">
        <v>693</v>
      </c>
      <c r="AJ146" s="31" t="s">
        <v>322</v>
      </c>
      <c r="AK146" s="31" t="s">
        <v>322</v>
      </c>
      <c r="AL146" s="31" t="s">
        <v>252</v>
      </c>
      <c r="AN146" s="31">
        <v>3</v>
      </c>
      <c r="AO146" s="31">
        <v>3</v>
      </c>
      <c r="AP146" s="31" t="s">
        <v>247</v>
      </c>
      <c r="AT146" s="64"/>
      <c r="AY146" s="31">
        <f>2*1000</f>
        <v>2000</v>
      </c>
      <c r="AZ146" s="31">
        <f>1.9*1000</f>
        <v>1900</v>
      </c>
      <c r="BA146" s="31" t="s">
        <v>356</v>
      </c>
      <c r="BJ146" s="31" t="s">
        <v>359</v>
      </c>
      <c r="DP146" s="12"/>
      <c r="DR146" s="15"/>
      <c r="EN146" s="31">
        <v>12</v>
      </c>
    </row>
    <row r="147" spans="1:144" s="31" customFormat="1" x14ac:dyDescent="0.25">
      <c r="A147" s="31">
        <v>12</v>
      </c>
      <c r="B147" s="31" t="s">
        <v>351</v>
      </c>
      <c r="C147" s="31" t="s">
        <v>353</v>
      </c>
      <c r="D147" s="31">
        <v>1984</v>
      </c>
      <c r="E147" s="31">
        <v>1980</v>
      </c>
      <c r="F147" s="31" t="s">
        <v>354</v>
      </c>
      <c r="G147" s="31" t="s">
        <v>361</v>
      </c>
      <c r="H147" s="31">
        <v>34.200000000000003</v>
      </c>
      <c r="I147" s="31">
        <v>-79.760000000000005</v>
      </c>
      <c r="J147" s="31">
        <v>44.3</v>
      </c>
      <c r="P147" s="56" t="s">
        <v>188</v>
      </c>
      <c r="Q147" s="56"/>
      <c r="R147" s="56"/>
      <c r="S147" s="56" t="s">
        <v>657</v>
      </c>
      <c r="W147" s="31" t="s">
        <v>248</v>
      </c>
      <c r="AA147" s="31" t="s">
        <v>1681</v>
      </c>
      <c r="AB147" s="31" t="s">
        <v>352</v>
      </c>
      <c r="AC147" s="31" t="s">
        <v>1734</v>
      </c>
      <c r="AG147" s="31" t="s">
        <v>312</v>
      </c>
      <c r="AH147" s="31" t="s">
        <v>355</v>
      </c>
      <c r="AI147" s="31" t="s">
        <v>693</v>
      </c>
      <c r="AJ147" s="31" t="s">
        <v>322</v>
      </c>
      <c r="AK147" s="31" t="s">
        <v>322</v>
      </c>
      <c r="AL147" s="31" t="s">
        <v>252</v>
      </c>
      <c r="AN147" s="31">
        <v>3</v>
      </c>
      <c r="AO147" s="31">
        <v>3</v>
      </c>
      <c r="AP147" s="31" t="s">
        <v>247</v>
      </c>
      <c r="AT147" s="64"/>
      <c r="AY147" s="31">
        <f>1.98*1000</f>
        <v>1980</v>
      </c>
      <c r="AZ147" s="31">
        <f>1.91*1000</f>
        <v>1910</v>
      </c>
      <c r="BA147" s="31" t="s">
        <v>356</v>
      </c>
      <c r="BJ147" s="31" t="s">
        <v>359</v>
      </c>
      <c r="DP147" s="12"/>
      <c r="DR147" s="15"/>
      <c r="EN147" s="31">
        <v>12</v>
      </c>
    </row>
    <row r="148" spans="1:144" s="31" customFormat="1" x14ac:dyDescent="0.25">
      <c r="A148" s="31">
        <v>12</v>
      </c>
      <c r="B148" s="31" t="s">
        <v>351</v>
      </c>
      <c r="C148" s="31" t="s">
        <v>353</v>
      </c>
      <c r="D148" s="31">
        <v>1984</v>
      </c>
      <c r="E148" s="31">
        <v>1980</v>
      </c>
      <c r="F148" s="31" t="s">
        <v>354</v>
      </c>
      <c r="G148" s="31" t="s">
        <v>361</v>
      </c>
      <c r="H148" s="31">
        <v>34.200000000000003</v>
      </c>
      <c r="I148" s="31">
        <v>-79.760000000000005</v>
      </c>
      <c r="J148" s="31">
        <v>44.3</v>
      </c>
      <c r="P148" s="56" t="s">
        <v>188</v>
      </c>
      <c r="Q148" s="56"/>
      <c r="R148" s="56"/>
      <c r="S148" s="56" t="s">
        <v>657</v>
      </c>
      <c r="W148" s="31" t="s">
        <v>248</v>
      </c>
      <c r="AA148" s="31" t="s">
        <v>1681</v>
      </c>
      <c r="AB148" s="31" t="s">
        <v>352</v>
      </c>
      <c r="AC148" s="31" t="s">
        <v>1735</v>
      </c>
      <c r="AG148" s="31" t="s">
        <v>312</v>
      </c>
      <c r="AH148" s="31" t="s">
        <v>355</v>
      </c>
      <c r="AI148" s="31" t="s">
        <v>693</v>
      </c>
      <c r="AJ148" s="31" t="s">
        <v>322</v>
      </c>
      <c r="AK148" s="31" t="s">
        <v>322</v>
      </c>
      <c r="AL148" s="31" t="s">
        <v>252</v>
      </c>
      <c r="AN148" s="31">
        <v>3</v>
      </c>
      <c r="AO148" s="31">
        <v>3</v>
      </c>
      <c r="AP148" s="31" t="s">
        <v>247</v>
      </c>
      <c r="AT148" s="64"/>
      <c r="AY148" s="31">
        <f>2.27*1000</f>
        <v>2270</v>
      </c>
      <c r="AZ148" s="31">
        <f>2.12*1000</f>
        <v>2120</v>
      </c>
      <c r="BA148" s="31" t="s">
        <v>356</v>
      </c>
      <c r="BJ148" s="31" t="s">
        <v>359</v>
      </c>
      <c r="DP148" s="12"/>
      <c r="DR148" s="15"/>
      <c r="EN148" s="31">
        <v>12</v>
      </c>
    </row>
    <row r="149" spans="1:144" s="31" customFormat="1" x14ac:dyDescent="0.25">
      <c r="A149" s="31">
        <v>12</v>
      </c>
      <c r="B149" s="31" t="s">
        <v>351</v>
      </c>
      <c r="C149" s="31" t="s">
        <v>353</v>
      </c>
      <c r="D149" s="31">
        <v>1984</v>
      </c>
      <c r="E149" s="31">
        <v>1980</v>
      </c>
      <c r="F149" s="31" t="s">
        <v>354</v>
      </c>
      <c r="G149" s="31" t="s">
        <v>361</v>
      </c>
      <c r="H149" s="31">
        <v>34.200000000000003</v>
      </c>
      <c r="I149" s="31">
        <v>-79.760000000000005</v>
      </c>
      <c r="J149" s="31">
        <v>44.3</v>
      </c>
      <c r="P149" s="56" t="s">
        <v>188</v>
      </c>
      <c r="Q149" s="56"/>
      <c r="R149" s="56"/>
      <c r="S149" s="56" t="s">
        <v>657</v>
      </c>
      <c r="W149" s="31" t="s">
        <v>248</v>
      </c>
      <c r="AA149" s="31" t="s">
        <v>1681</v>
      </c>
      <c r="AB149" s="31" t="s">
        <v>352</v>
      </c>
      <c r="AC149" s="31" t="s">
        <v>1733</v>
      </c>
      <c r="AG149" s="31" t="s">
        <v>312</v>
      </c>
      <c r="AH149" s="31" t="s">
        <v>355</v>
      </c>
      <c r="AI149" s="31" t="s">
        <v>693</v>
      </c>
      <c r="AJ149" s="31" t="s">
        <v>322</v>
      </c>
      <c r="AK149" s="31" t="s">
        <v>322</v>
      </c>
      <c r="AL149" s="31" t="s">
        <v>252</v>
      </c>
      <c r="AN149" s="31">
        <v>3</v>
      </c>
      <c r="AO149" s="31">
        <v>3</v>
      </c>
      <c r="AP149" s="31" t="s">
        <v>247</v>
      </c>
      <c r="AT149" s="64"/>
      <c r="AY149" s="31">
        <f>1.95*1000</f>
        <v>1950</v>
      </c>
      <c r="AZ149" s="31">
        <f>1.92*1000</f>
        <v>1920</v>
      </c>
      <c r="BA149" s="31" t="s">
        <v>357</v>
      </c>
      <c r="BJ149" s="31" t="s">
        <v>359</v>
      </c>
      <c r="DP149" s="12"/>
      <c r="DR149" s="15"/>
      <c r="EN149" s="31">
        <v>12</v>
      </c>
    </row>
    <row r="150" spans="1:144" s="31" customFormat="1" x14ac:dyDescent="0.25">
      <c r="A150" s="31">
        <v>12</v>
      </c>
      <c r="B150" s="31" t="s">
        <v>351</v>
      </c>
      <c r="C150" s="31" t="s">
        <v>353</v>
      </c>
      <c r="D150" s="31">
        <v>1984</v>
      </c>
      <c r="E150" s="31">
        <v>1980</v>
      </c>
      <c r="F150" s="31" t="s">
        <v>354</v>
      </c>
      <c r="G150" s="31" t="s">
        <v>361</v>
      </c>
      <c r="H150" s="31">
        <v>34.200000000000003</v>
      </c>
      <c r="I150" s="31">
        <v>-79.760000000000005</v>
      </c>
      <c r="J150" s="31">
        <v>44.3</v>
      </c>
      <c r="P150" s="56" t="s">
        <v>188</v>
      </c>
      <c r="Q150" s="56"/>
      <c r="R150" s="56"/>
      <c r="S150" s="56" t="s">
        <v>657</v>
      </c>
      <c r="W150" s="31" t="s">
        <v>248</v>
      </c>
      <c r="AA150" s="31" t="s">
        <v>1681</v>
      </c>
      <c r="AB150" s="31" t="s">
        <v>352</v>
      </c>
      <c r="AC150" s="31" t="s">
        <v>1734</v>
      </c>
      <c r="AG150" s="31" t="s">
        <v>312</v>
      </c>
      <c r="AH150" s="31" t="s">
        <v>355</v>
      </c>
      <c r="AI150" s="31" t="s">
        <v>693</v>
      </c>
      <c r="AJ150" s="31" t="s">
        <v>322</v>
      </c>
      <c r="AK150" s="31" t="s">
        <v>322</v>
      </c>
      <c r="AL150" s="31" t="s">
        <v>252</v>
      </c>
      <c r="AN150" s="31">
        <v>3</v>
      </c>
      <c r="AO150" s="31">
        <v>3</v>
      </c>
      <c r="AP150" s="31" t="s">
        <v>247</v>
      </c>
      <c r="AT150" s="64"/>
      <c r="AY150" s="31">
        <f>2.14*1000</f>
        <v>2140</v>
      </c>
      <c r="AZ150" s="31">
        <f>2.02*1000</f>
        <v>2020</v>
      </c>
      <c r="BA150" s="31" t="s">
        <v>357</v>
      </c>
      <c r="BJ150" s="31" t="s">
        <v>359</v>
      </c>
      <c r="DP150" s="12"/>
      <c r="DR150" s="15"/>
      <c r="EN150" s="31">
        <v>12</v>
      </c>
    </row>
    <row r="151" spans="1:144" s="31" customFormat="1" x14ac:dyDescent="0.25">
      <c r="A151" s="31">
        <v>12</v>
      </c>
      <c r="B151" s="31" t="s">
        <v>351</v>
      </c>
      <c r="C151" s="31" t="s">
        <v>353</v>
      </c>
      <c r="D151" s="31">
        <v>1984</v>
      </c>
      <c r="E151" s="31">
        <v>1980</v>
      </c>
      <c r="F151" s="31" t="s">
        <v>354</v>
      </c>
      <c r="G151" s="31" t="s">
        <v>361</v>
      </c>
      <c r="H151" s="31">
        <v>34.200000000000003</v>
      </c>
      <c r="I151" s="31">
        <v>-79.760000000000005</v>
      </c>
      <c r="J151" s="31">
        <v>44.3</v>
      </c>
      <c r="P151" s="56" t="s">
        <v>188</v>
      </c>
      <c r="Q151" s="56"/>
      <c r="R151" s="56"/>
      <c r="S151" s="56" t="s">
        <v>657</v>
      </c>
      <c r="W151" s="31" t="s">
        <v>248</v>
      </c>
      <c r="AA151" s="31" t="s">
        <v>1681</v>
      </c>
      <c r="AB151" s="31" t="s">
        <v>352</v>
      </c>
      <c r="AC151" s="31" t="s">
        <v>1735</v>
      </c>
      <c r="AG151" s="31" t="s">
        <v>312</v>
      </c>
      <c r="AH151" s="31" t="s">
        <v>355</v>
      </c>
      <c r="AI151" s="31" t="s">
        <v>693</v>
      </c>
      <c r="AJ151" s="31" t="s">
        <v>322</v>
      </c>
      <c r="AK151" s="31" t="s">
        <v>322</v>
      </c>
      <c r="AL151" s="31" t="s">
        <v>252</v>
      </c>
      <c r="AN151" s="31">
        <v>3</v>
      </c>
      <c r="AO151" s="31">
        <v>3</v>
      </c>
      <c r="AP151" s="31" t="s">
        <v>247</v>
      </c>
      <c r="AT151" s="64"/>
      <c r="AY151" s="31">
        <f>2.17*1000</f>
        <v>2170</v>
      </c>
      <c r="AZ151" s="31">
        <f>2*1000</f>
        <v>2000</v>
      </c>
      <c r="BA151" s="31" t="s">
        <v>357</v>
      </c>
      <c r="BJ151" s="31" t="s">
        <v>359</v>
      </c>
      <c r="DP151" s="12"/>
      <c r="DR151" s="15"/>
      <c r="EN151" s="31">
        <v>12</v>
      </c>
    </row>
    <row r="152" spans="1:144" s="26" customFormat="1" x14ac:dyDescent="0.25">
      <c r="A152" s="26">
        <v>13</v>
      </c>
      <c r="B152" s="26" t="s">
        <v>351</v>
      </c>
      <c r="C152" s="26" t="s">
        <v>362</v>
      </c>
      <c r="D152" s="26">
        <v>1991</v>
      </c>
      <c r="E152" s="26">
        <v>1987</v>
      </c>
      <c r="F152" s="37" t="s">
        <v>363</v>
      </c>
      <c r="G152" s="26" t="s">
        <v>364</v>
      </c>
      <c r="H152" s="26">
        <v>50.53</v>
      </c>
      <c r="I152" s="26">
        <f t="shared" ref="I152:I171" si="11">-103.67</f>
        <v>-103.67</v>
      </c>
      <c r="J152" s="26">
        <v>579.1</v>
      </c>
      <c r="P152" s="52" t="s">
        <v>186</v>
      </c>
      <c r="Q152" s="52"/>
      <c r="R152" s="52"/>
      <c r="S152" s="52" t="s">
        <v>657</v>
      </c>
      <c r="T152" s="26">
        <f>(0.95+1.22)/2</f>
        <v>1.085</v>
      </c>
      <c r="U152" s="26">
        <v>16.3</v>
      </c>
      <c r="V152" s="26">
        <v>20.6</v>
      </c>
      <c r="W152" s="26" t="s">
        <v>290</v>
      </c>
      <c r="AA152" s="26" t="s">
        <v>1682</v>
      </c>
      <c r="AB152" s="26" t="s">
        <v>365</v>
      </c>
      <c r="AC152" s="26" t="s">
        <v>156</v>
      </c>
      <c r="AD152" s="26" t="s">
        <v>368</v>
      </c>
      <c r="AE152" s="26" t="s">
        <v>376</v>
      </c>
      <c r="AF152" s="26" t="s">
        <v>693</v>
      </c>
      <c r="AJ152" s="26" t="s">
        <v>223</v>
      </c>
      <c r="AK152" s="26" t="s">
        <v>223</v>
      </c>
      <c r="AL152" s="26" t="s">
        <v>252</v>
      </c>
      <c r="AM152" s="26" t="s">
        <v>160</v>
      </c>
      <c r="AN152" s="26">
        <v>6</v>
      </c>
      <c r="AO152" s="26">
        <v>6</v>
      </c>
      <c r="AP152" s="26" t="s">
        <v>184</v>
      </c>
      <c r="AQ152" s="26">
        <f>112*1000</f>
        <v>112000</v>
      </c>
      <c r="AS152" s="26">
        <f>50/0.96</f>
        <v>52.083333333333336</v>
      </c>
      <c r="AT152" s="63"/>
      <c r="BE152" s="26">
        <f>36.3*0.00061*100</f>
        <v>2.2142999999999997</v>
      </c>
      <c r="BF152" s="26">
        <f>39.5*0.00061*100</f>
        <v>2.4095</v>
      </c>
      <c r="BH152" s="26">
        <f>BE152/12.5*10000</f>
        <v>1771.4399999999996</v>
      </c>
      <c r="BI152" s="26">
        <f>BF152/11.8*10000</f>
        <v>2041.9491525423728</v>
      </c>
      <c r="BJ152" s="26" t="s">
        <v>1070</v>
      </c>
      <c r="DP152" s="12"/>
      <c r="DR152" s="15"/>
      <c r="EB152" s="26">
        <f>184*0.61/24</f>
        <v>4.6766666666666667</v>
      </c>
      <c r="EC152" s="26">
        <f>214*0.61/24</f>
        <v>5.439166666666666</v>
      </c>
      <c r="EE152" s="26">
        <f>905*1000000/1627500</f>
        <v>556.06758832565288</v>
      </c>
      <c r="EF152" s="26">
        <f>987*1000000/1627500</f>
        <v>606.45161290322585</v>
      </c>
      <c r="EH152" s="26">
        <f>79*1000000/1627500</f>
        <v>48.540706605222731</v>
      </c>
      <c r="EI152" s="26">
        <f>125*1000000/1627500</f>
        <v>76.804915514592935</v>
      </c>
      <c r="EL152" s="26" t="s">
        <v>381</v>
      </c>
      <c r="EN152" s="26">
        <v>13</v>
      </c>
    </row>
    <row r="153" spans="1:144" s="26" customFormat="1" x14ac:dyDescent="0.25">
      <c r="A153" s="26">
        <v>13</v>
      </c>
      <c r="B153" s="26" t="s">
        <v>351</v>
      </c>
      <c r="C153" s="26" t="s">
        <v>362</v>
      </c>
      <c r="D153" s="26">
        <v>1991</v>
      </c>
      <c r="E153" s="26">
        <v>1987</v>
      </c>
      <c r="F153" s="37" t="s">
        <v>363</v>
      </c>
      <c r="G153" s="26" t="s">
        <v>364</v>
      </c>
      <c r="H153" s="26">
        <v>50.53</v>
      </c>
      <c r="I153" s="26">
        <f t="shared" si="11"/>
        <v>-103.67</v>
      </c>
      <c r="J153" s="26">
        <v>579.1</v>
      </c>
      <c r="P153" s="52" t="s">
        <v>186</v>
      </c>
      <c r="Q153" s="52"/>
      <c r="R153" s="52"/>
      <c r="S153" s="52" t="s">
        <v>657</v>
      </c>
      <c r="T153" s="26">
        <f t="shared" ref="T153:T171" si="12">(0.95+1.22)/2</f>
        <v>1.085</v>
      </c>
      <c r="U153" s="26">
        <v>16.3</v>
      </c>
      <c r="V153" s="26">
        <v>20.6</v>
      </c>
      <c r="W153" s="26" t="s">
        <v>290</v>
      </c>
      <c r="AA153" s="26" t="s">
        <v>1682</v>
      </c>
      <c r="AB153" s="26" t="s">
        <v>365</v>
      </c>
      <c r="AC153" s="26" t="s">
        <v>156</v>
      </c>
      <c r="AD153" s="26" t="s">
        <v>368</v>
      </c>
      <c r="AE153" s="26" t="s">
        <v>376</v>
      </c>
      <c r="AF153" s="26" t="s">
        <v>693</v>
      </c>
      <c r="AJ153" s="26" t="s">
        <v>366</v>
      </c>
      <c r="AK153" s="26" t="s">
        <v>223</v>
      </c>
      <c r="AL153" s="26" t="s">
        <v>693</v>
      </c>
      <c r="AM153" s="26" t="s">
        <v>160</v>
      </c>
      <c r="AN153" s="26">
        <v>6</v>
      </c>
      <c r="AO153" s="26">
        <v>6</v>
      </c>
      <c r="AP153" s="26" t="s">
        <v>184</v>
      </c>
      <c r="AQ153" s="26">
        <f t="shared" ref="AQ153:AQ161" si="13">112*1000</f>
        <v>112000</v>
      </c>
      <c r="AS153" s="26">
        <f t="shared" ref="AS153:AS161" si="14">50/0.96</f>
        <v>52.083333333333336</v>
      </c>
      <c r="AT153" s="63"/>
      <c r="BE153" s="26">
        <f>37.9*0.00061*100</f>
        <v>2.3118999999999996</v>
      </c>
      <c r="BF153" s="26">
        <f>39.5*0.00061*100</f>
        <v>2.4095</v>
      </c>
      <c r="BH153" s="26">
        <f>BE153/12.6*10000</f>
        <v>1834.8412698412696</v>
      </c>
      <c r="BI153" s="26">
        <f>BF153/11.8*10000</f>
        <v>2041.9491525423728</v>
      </c>
      <c r="BJ153" s="26" t="s">
        <v>1070</v>
      </c>
      <c r="DP153" s="12"/>
      <c r="DR153" s="15"/>
      <c r="EB153" s="26">
        <f>178*0.61/24</f>
        <v>4.5241666666666669</v>
      </c>
      <c r="EC153" s="26">
        <f t="shared" ref="EC153:EC156" si="15">214*0.61/24</f>
        <v>5.439166666666666</v>
      </c>
      <c r="EE153" s="26">
        <f>815*1000000/1627500</f>
        <v>500.76804915514595</v>
      </c>
      <c r="EF153" s="26">
        <f t="shared" ref="EF153:EF156" si="16">987*1000000/1627500</f>
        <v>606.45161290322585</v>
      </c>
      <c r="EH153" s="26">
        <f>75*1000000/1627500</f>
        <v>46.082949308755758</v>
      </c>
      <c r="EI153" s="26">
        <f t="shared" ref="EI153:EI156" si="17">125*1000000/1627500</f>
        <v>76.804915514592935</v>
      </c>
      <c r="EL153" s="26" t="s">
        <v>381</v>
      </c>
      <c r="EN153" s="26">
        <v>13</v>
      </c>
    </row>
    <row r="154" spans="1:144" s="26" customFormat="1" x14ac:dyDescent="0.25">
      <c r="A154" s="26">
        <v>13</v>
      </c>
      <c r="B154" s="26" t="s">
        <v>351</v>
      </c>
      <c r="C154" s="26" t="s">
        <v>362</v>
      </c>
      <c r="D154" s="26">
        <v>1991</v>
      </c>
      <c r="E154" s="26">
        <v>1987</v>
      </c>
      <c r="F154" s="37" t="s">
        <v>363</v>
      </c>
      <c r="G154" s="26" t="s">
        <v>364</v>
      </c>
      <c r="H154" s="26">
        <v>50.53</v>
      </c>
      <c r="I154" s="26">
        <f t="shared" si="11"/>
        <v>-103.67</v>
      </c>
      <c r="J154" s="26">
        <v>579.1</v>
      </c>
      <c r="P154" s="52" t="s">
        <v>186</v>
      </c>
      <c r="Q154" s="52"/>
      <c r="R154" s="52"/>
      <c r="S154" s="52" t="s">
        <v>657</v>
      </c>
      <c r="T154" s="26">
        <f t="shared" si="12"/>
        <v>1.085</v>
      </c>
      <c r="U154" s="26">
        <v>16.3</v>
      </c>
      <c r="V154" s="26">
        <v>20.6</v>
      </c>
      <c r="W154" s="26" t="s">
        <v>290</v>
      </c>
      <c r="AA154" s="26" t="s">
        <v>1682</v>
      </c>
      <c r="AB154" s="26" t="s">
        <v>365</v>
      </c>
      <c r="AC154" s="26" t="s">
        <v>156</v>
      </c>
      <c r="AD154" s="26" t="s">
        <v>367</v>
      </c>
      <c r="AE154" s="26" t="s">
        <v>376</v>
      </c>
      <c r="AF154" s="26" t="s">
        <v>693</v>
      </c>
      <c r="AJ154" s="26" t="s">
        <v>223</v>
      </c>
      <c r="AK154" s="26" t="s">
        <v>223</v>
      </c>
      <c r="AL154" s="26" t="s">
        <v>693</v>
      </c>
      <c r="AM154" s="26" t="s">
        <v>160</v>
      </c>
      <c r="AN154" s="26">
        <v>6</v>
      </c>
      <c r="AO154" s="26">
        <v>6</v>
      </c>
      <c r="AP154" s="26" t="s">
        <v>184</v>
      </c>
      <c r="AQ154" s="26">
        <f t="shared" si="13"/>
        <v>112000</v>
      </c>
      <c r="AS154" s="26">
        <f t="shared" si="14"/>
        <v>52.083333333333336</v>
      </c>
      <c r="AT154" s="63"/>
      <c r="BE154" s="26">
        <f>36.4*0.00061*100</f>
        <v>2.2203999999999997</v>
      </c>
      <c r="BF154" s="26">
        <f t="shared" ref="BF154:BF156" si="18">39.5*0.00061*100</f>
        <v>2.4095</v>
      </c>
      <c r="BH154" s="26">
        <f>BE154/12.5*10000</f>
        <v>1776.32</v>
      </c>
      <c r="BI154" s="26">
        <f>BF154/11.8*10000</f>
        <v>2041.9491525423728</v>
      </c>
      <c r="BJ154" s="26" t="s">
        <v>1070</v>
      </c>
      <c r="DP154" s="12"/>
      <c r="DR154" s="15"/>
      <c r="EB154" s="26">
        <f>200*0.61/24</f>
        <v>5.083333333333333</v>
      </c>
      <c r="EC154" s="26">
        <f t="shared" si="15"/>
        <v>5.439166666666666</v>
      </c>
      <c r="EE154" s="26">
        <f>804*1000000/1627500</f>
        <v>494.00921658986175</v>
      </c>
      <c r="EF154" s="26">
        <f t="shared" si="16"/>
        <v>606.45161290322585</v>
      </c>
      <c r="EH154" s="26">
        <f>89*1000000/1627500</f>
        <v>54.685099846390166</v>
      </c>
      <c r="EI154" s="26">
        <f t="shared" si="17"/>
        <v>76.804915514592935</v>
      </c>
      <c r="EL154" s="26" t="s">
        <v>381</v>
      </c>
      <c r="EN154" s="26">
        <v>13</v>
      </c>
    </row>
    <row r="155" spans="1:144" s="26" customFormat="1" x14ac:dyDescent="0.25">
      <c r="A155" s="26">
        <v>13</v>
      </c>
      <c r="B155" s="26" t="s">
        <v>351</v>
      </c>
      <c r="C155" s="26" t="s">
        <v>362</v>
      </c>
      <c r="D155" s="26">
        <v>1991</v>
      </c>
      <c r="E155" s="26">
        <v>1987</v>
      </c>
      <c r="F155" s="37" t="s">
        <v>363</v>
      </c>
      <c r="G155" s="26" t="s">
        <v>364</v>
      </c>
      <c r="H155" s="26">
        <v>50.53</v>
      </c>
      <c r="I155" s="26">
        <f t="shared" si="11"/>
        <v>-103.67</v>
      </c>
      <c r="J155" s="26">
        <v>579.1</v>
      </c>
      <c r="P155" s="52" t="s">
        <v>186</v>
      </c>
      <c r="Q155" s="52"/>
      <c r="R155" s="52"/>
      <c r="S155" s="52" t="s">
        <v>657</v>
      </c>
      <c r="T155" s="26">
        <f t="shared" si="12"/>
        <v>1.085</v>
      </c>
      <c r="U155" s="26">
        <v>16.3</v>
      </c>
      <c r="V155" s="26">
        <v>20.6</v>
      </c>
      <c r="W155" s="26" t="s">
        <v>290</v>
      </c>
      <c r="AA155" s="26" t="s">
        <v>1682</v>
      </c>
      <c r="AB155" s="26" t="s">
        <v>365</v>
      </c>
      <c r="AC155" s="26" t="s">
        <v>156</v>
      </c>
      <c r="AD155" s="26" t="s">
        <v>367</v>
      </c>
      <c r="AE155" s="26" t="s">
        <v>376</v>
      </c>
      <c r="AF155" s="26" t="s">
        <v>693</v>
      </c>
      <c r="AJ155" s="26" t="s">
        <v>366</v>
      </c>
      <c r="AK155" s="26" t="s">
        <v>223</v>
      </c>
      <c r="AL155" s="26" t="s">
        <v>693</v>
      </c>
      <c r="AM155" s="26" t="s">
        <v>160</v>
      </c>
      <c r="AN155" s="26">
        <v>6</v>
      </c>
      <c r="AO155" s="26">
        <v>6</v>
      </c>
      <c r="AP155" s="26" t="s">
        <v>184</v>
      </c>
      <c r="AQ155" s="26">
        <f t="shared" si="13"/>
        <v>112000</v>
      </c>
      <c r="AS155" s="26">
        <f t="shared" si="14"/>
        <v>52.083333333333336</v>
      </c>
      <c r="AT155" s="63"/>
      <c r="BE155" s="26">
        <f>38.5*0.00061*100</f>
        <v>2.3485</v>
      </c>
      <c r="BF155" s="26">
        <f t="shared" si="18"/>
        <v>2.4095</v>
      </c>
      <c r="BH155" s="26">
        <f>BE155/11.9*10000</f>
        <v>1973.5294117647059</v>
      </c>
      <c r="BI155" s="26">
        <f>BF155/11.8*10000</f>
        <v>2041.9491525423728</v>
      </c>
      <c r="BJ155" s="26" t="s">
        <v>1070</v>
      </c>
      <c r="DP155" s="12"/>
      <c r="DR155" s="15"/>
      <c r="EB155" s="26">
        <f>193*0.61/24</f>
        <v>4.9054166666666665</v>
      </c>
      <c r="EC155" s="26">
        <f t="shared" si="15"/>
        <v>5.439166666666666</v>
      </c>
      <c r="EE155" s="26">
        <f>891*1000000/1627500</f>
        <v>547.46543778801845</v>
      </c>
      <c r="EF155" s="26">
        <f t="shared" si="16"/>
        <v>606.45161290322585</v>
      </c>
      <c r="EH155" s="26">
        <f>88*1000000/1627500</f>
        <v>54.070660522273428</v>
      </c>
      <c r="EI155" s="26">
        <f t="shared" si="17"/>
        <v>76.804915514592935</v>
      </c>
      <c r="EL155" s="26" t="s">
        <v>381</v>
      </c>
      <c r="EN155" s="26">
        <v>13</v>
      </c>
    </row>
    <row r="156" spans="1:144" s="26" customFormat="1" x14ac:dyDescent="0.25">
      <c r="A156" s="26">
        <v>13</v>
      </c>
      <c r="B156" s="26" t="s">
        <v>351</v>
      </c>
      <c r="C156" s="26" t="s">
        <v>362</v>
      </c>
      <c r="D156" s="26">
        <v>1991</v>
      </c>
      <c r="E156" s="26">
        <v>1987</v>
      </c>
      <c r="F156" s="37" t="s">
        <v>363</v>
      </c>
      <c r="G156" s="26" t="s">
        <v>364</v>
      </c>
      <c r="H156" s="26">
        <v>50.53</v>
      </c>
      <c r="I156" s="26">
        <f t="shared" si="11"/>
        <v>-103.67</v>
      </c>
      <c r="J156" s="26">
        <v>579.1</v>
      </c>
      <c r="P156" s="52" t="s">
        <v>186</v>
      </c>
      <c r="Q156" s="52"/>
      <c r="R156" s="52"/>
      <c r="S156" s="52" t="s">
        <v>657</v>
      </c>
      <c r="T156" s="26">
        <f t="shared" si="12"/>
        <v>1.085</v>
      </c>
      <c r="U156" s="26">
        <v>16.3</v>
      </c>
      <c r="V156" s="26">
        <v>20.6</v>
      </c>
      <c r="W156" s="26" t="s">
        <v>290</v>
      </c>
      <c r="AA156" s="26" t="s">
        <v>1682</v>
      </c>
      <c r="AB156" s="26" t="s">
        <v>365</v>
      </c>
      <c r="AC156" s="26" t="s">
        <v>156</v>
      </c>
      <c r="AD156" s="26" t="s">
        <v>367</v>
      </c>
      <c r="AE156" s="26" t="s">
        <v>376</v>
      </c>
      <c r="AF156" s="26" t="s">
        <v>693</v>
      </c>
      <c r="AJ156" s="26" t="s">
        <v>369</v>
      </c>
      <c r="AK156" s="26" t="s">
        <v>223</v>
      </c>
      <c r="AL156" s="26" t="s">
        <v>693</v>
      </c>
      <c r="AM156" s="26" t="s">
        <v>160</v>
      </c>
      <c r="AN156" s="26">
        <v>6</v>
      </c>
      <c r="AO156" s="26">
        <v>6</v>
      </c>
      <c r="AP156" s="26" t="s">
        <v>184</v>
      </c>
      <c r="AQ156" s="26">
        <f t="shared" si="13"/>
        <v>112000</v>
      </c>
      <c r="AS156" s="26">
        <f t="shared" si="14"/>
        <v>52.083333333333336</v>
      </c>
      <c r="AT156" s="63"/>
      <c r="BE156" s="26">
        <f>38.2*0.00061*100</f>
        <v>2.3302</v>
      </c>
      <c r="BF156" s="26">
        <f t="shared" si="18"/>
        <v>2.4095</v>
      </c>
      <c r="BH156" s="26">
        <f>BE156/12.7*10000</f>
        <v>1834.8031496062995</v>
      </c>
      <c r="BI156" s="26">
        <f>BF156/11.8*10000</f>
        <v>2041.9491525423728</v>
      </c>
      <c r="BJ156" s="26" t="s">
        <v>1070</v>
      </c>
      <c r="DP156" s="12"/>
      <c r="DR156" s="15"/>
      <c r="EB156" s="26">
        <f>168*0.61/24</f>
        <v>4.2700000000000005</v>
      </c>
      <c r="EC156" s="26">
        <f t="shared" si="15"/>
        <v>5.439166666666666</v>
      </c>
      <c r="EE156" s="26">
        <f>833*1000000/1627500</f>
        <v>511.8279569892473</v>
      </c>
      <c r="EF156" s="26">
        <f t="shared" si="16"/>
        <v>606.45161290322585</v>
      </c>
      <c r="EH156" s="26">
        <f>80*1000000/1627500</f>
        <v>49.155145929339476</v>
      </c>
      <c r="EI156" s="26">
        <f t="shared" si="17"/>
        <v>76.804915514592935</v>
      </c>
      <c r="EL156" s="26" t="s">
        <v>381</v>
      </c>
      <c r="EN156" s="26">
        <v>13</v>
      </c>
    </row>
    <row r="157" spans="1:144" s="35" customFormat="1" x14ac:dyDescent="0.25">
      <c r="A157" s="35">
        <v>13</v>
      </c>
      <c r="B157" s="35" t="s">
        <v>351</v>
      </c>
      <c r="C157" s="35" t="s">
        <v>362</v>
      </c>
      <c r="D157" s="35">
        <v>1991</v>
      </c>
      <c r="E157" s="35">
        <v>1987</v>
      </c>
      <c r="F157" s="36" t="s">
        <v>363</v>
      </c>
      <c r="G157" s="35" t="s">
        <v>364</v>
      </c>
      <c r="H157" s="35">
        <v>50.53</v>
      </c>
      <c r="I157" s="35">
        <f t="shared" si="11"/>
        <v>-103.67</v>
      </c>
      <c r="J157" s="35">
        <v>579.1</v>
      </c>
      <c r="P157" s="54" t="s">
        <v>186</v>
      </c>
      <c r="Q157" s="54"/>
      <c r="R157" s="54"/>
      <c r="S157" s="54" t="s">
        <v>657</v>
      </c>
      <c r="T157" s="35">
        <f>(0.95+1.22)/2</f>
        <v>1.085</v>
      </c>
      <c r="U157" s="35">
        <v>16.3</v>
      </c>
      <c r="V157" s="35">
        <v>20.6</v>
      </c>
      <c r="W157" s="35" t="s">
        <v>290</v>
      </c>
      <c r="AA157" s="35" t="s">
        <v>1682</v>
      </c>
      <c r="AB157" s="35" t="s">
        <v>365</v>
      </c>
      <c r="AC157" s="35" t="s">
        <v>156</v>
      </c>
      <c r="AD157" s="35" t="s">
        <v>368</v>
      </c>
      <c r="AE157" s="35" t="s">
        <v>375</v>
      </c>
      <c r="AF157" s="35" t="s">
        <v>693</v>
      </c>
      <c r="AJ157" s="35" t="s">
        <v>223</v>
      </c>
      <c r="AK157" s="26" t="s">
        <v>223</v>
      </c>
      <c r="AL157" s="35" t="s">
        <v>252</v>
      </c>
      <c r="AM157" s="35" t="s">
        <v>160</v>
      </c>
      <c r="AN157" s="35">
        <v>6</v>
      </c>
      <c r="AO157" s="35">
        <v>6</v>
      </c>
      <c r="AP157" s="35" t="s">
        <v>184</v>
      </c>
      <c r="AQ157" s="35">
        <f t="shared" si="13"/>
        <v>112000</v>
      </c>
      <c r="AS157" s="35">
        <f t="shared" si="14"/>
        <v>52.083333333333336</v>
      </c>
      <c r="AT157" s="63"/>
      <c r="BE157" s="35">
        <f>36.3*0.00061*100</f>
        <v>2.2142999999999997</v>
      </c>
      <c r="BF157" s="35">
        <f>39.9*0.00061*100</f>
        <v>2.4339</v>
      </c>
      <c r="BH157" s="35">
        <f>BE157/12.5*10000</f>
        <v>1771.4399999999996</v>
      </c>
      <c r="BI157" s="35">
        <f>BF157/12*10000</f>
        <v>2028.25</v>
      </c>
      <c r="BJ157" s="35" t="s">
        <v>1070</v>
      </c>
      <c r="DP157" s="12"/>
      <c r="DR157" s="15"/>
      <c r="EB157" s="35">
        <f>184*0.61/24</f>
        <v>4.6766666666666667</v>
      </c>
      <c r="EC157" s="35">
        <f>199*0.61/24</f>
        <v>5.0579166666666664</v>
      </c>
      <c r="EE157" s="35">
        <f>905*1000000/1627500</f>
        <v>556.06758832565288</v>
      </c>
      <c r="EF157" s="35">
        <f>1094*1000000/1627500</f>
        <v>672.19662058371739</v>
      </c>
      <c r="EH157" s="35">
        <v>48.540706605222702</v>
      </c>
      <c r="EI157" s="35">
        <f>124*1000000/1627500</f>
        <v>76.19047619047619</v>
      </c>
      <c r="EL157" s="35" t="s">
        <v>381</v>
      </c>
      <c r="EN157" s="35">
        <v>13</v>
      </c>
    </row>
    <row r="158" spans="1:144" s="35" customFormat="1" x14ac:dyDescent="0.25">
      <c r="A158" s="35">
        <v>13</v>
      </c>
      <c r="B158" s="35" t="s">
        <v>351</v>
      </c>
      <c r="C158" s="35" t="s">
        <v>362</v>
      </c>
      <c r="D158" s="35">
        <v>1991</v>
      </c>
      <c r="E158" s="35">
        <v>1987</v>
      </c>
      <c r="F158" s="36" t="s">
        <v>363</v>
      </c>
      <c r="G158" s="35" t="s">
        <v>364</v>
      </c>
      <c r="H158" s="35">
        <v>50.53</v>
      </c>
      <c r="I158" s="35">
        <f t="shared" si="11"/>
        <v>-103.67</v>
      </c>
      <c r="J158" s="35">
        <v>579.1</v>
      </c>
      <c r="P158" s="54" t="s">
        <v>186</v>
      </c>
      <c r="Q158" s="54"/>
      <c r="R158" s="54"/>
      <c r="S158" s="54" t="s">
        <v>657</v>
      </c>
      <c r="T158" s="35">
        <f t="shared" si="12"/>
        <v>1.085</v>
      </c>
      <c r="U158" s="35">
        <v>16.3</v>
      </c>
      <c r="V158" s="35">
        <v>20.6</v>
      </c>
      <c r="W158" s="35" t="s">
        <v>290</v>
      </c>
      <c r="AA158" s="35" t="s">
        <v>1682</v>
      </c>
      <c r="AB158" s="35" t="s">
        <v>365</v>
      </c>
      <c r="AC158" s="35" t="s">
        <v>156</v>
      </c>
      <c r="AD158" s="35" t="s">
        <v>368</v>
      </c>
      <c r="AE158" s="35" t="s">
        <v>375</v>
      </c>
      <c r="AF158" s="35" t="s">
        <v>693</v>
      </c>
      <c r="AJ158" s="35" t="s">
        <v>366</v>
      </c>
      <c r="AK158" s="26" t="s">
        <v>223</v>
      </c>
      <c r="AL158" s="35" t="s">
        <v>693</v>
      </c>
      <c r="AM158" s="35" t="s">
        <v>160</v>
      </c>
      <c r="AN158" s="35">
        <v>6</v>
      </c>
      <c r="AO158" s="35">
        <v>6</v>
      </c>
      <c r="AP158" s="35" t="s">
        <v>184</v>
      </c>
      <c r="AQ158" s="35">
        <f t="shared" si="13"/>
        <v>112000</v>
      </c>
      <c r="AS158" s="35">
        <f t="shared" si="14"/>
        <v>52.083333333333336</v>
      </c>
      <c r="AT158" s="63"/>
      <c r="BE158" s="35">
        <f>37.9*0.00061*100</f>
        <v>2.3118999999999996</v>
      </c>
      <c r="BF158" s="35">
        <f t="shared" ref="BF158:BF161" si="19">39.9*0.00061*100</f>
        <v>2.4339</v>
      </c>
      <c r="BH158" s="35">
        <f>BE158/12.6*10000</f>
        <v>1834.8412698412696</v>
      </c>
      <c r="BI158" s="35">
        <f>BF158/12*10000</f>
        <v>2028.25</v>
      </c>
      <c r="BJ158" s="35" t="s">
        <v>1070</v>
      </c>
      <c r="DP158" s="12"/>
      <c r="DR158" s="15"/>
      <c r="EB158" s="35">
        <f>178*0.61/24</f>
        <v>4.5241666666666669</v>
      </c>
      <c r="EC158" s="35">
        <f t="shared" ref="EC158:EC161" si="20">199*0.61/24</f>
        <v>5.0579166666666664</v>
      </c>
      <c r="EE158" s="35">
        <f>815*1000000/1627500</f>
        <v>500.76804915514595</v>
      </c>
      <c r="EF158" s="35">
        <f t="shared" ref="EF158:EF161" si="21">1094*1000000/1627500</f>
        <v>672.19662058371739</v>
      </c>
      <c r="EH158" s="35">
        <v>46.082949308755758</v>
      </c>
      <c r="EI158" s="35">
        <f t="shared" ref="EI158:EI161" si="22">124*1000000/1627500</f>
        <v>76.19047619047619</v>
      </c>
      <c r="EL158" s="35" t="s">
        <v>381</v>
      </c>
      <c r="EN158" s="35">
        <v>13</v>
      </c>
    </row>
    <row r="159" spans="1:144" s="35" customFormat="1" x14ac:dyDescent="0.25">
      <c r="A159" s="35">
        <v>13</v>
      </c>
      <c r="B159" s="35" t="s">
        <v>351</v>
      </c>
      <c r="C159" s="35" t="s">
        <v>362</v>
      </c>
      <c r="D159" s="35">
        <v>1991</v>
      </c>
      <c r="E159" s="35">
        <v>1987</v>
      </c>
      <c r="F159" s="36" t="s">
        <v>363</v>
      </c>
      <c r="G159" s="35" t="s">
        <v>364</v>
      </c>
      <c r="H159" s="35">
        <v>50.53</v>
      </c>
      <c r="I159" s="35">
        <f t="shared" si="11"/>
        <v>-103.67</v>
      </c>
      <c r="J159" s="35">
        <v>579.1</v>
      </c>
      <c r="P159" s="54" t="s">
        <v>186</v>
      </c>
      <c r="Q159" s="54"/>
      <c r="R159" s="54"/>
      <c r="S159" s="54" t="s">
        <v>657</v>
      </c>
      <c r="T159" s="35">
        <f t="shared" si="12"/>
        <v>1.085</v>
      </c>
      <c r="U159" s="35">
        <v>16.3</v>
      </c>
      <c r="V159" s="35">
        <v>20.6</v>
      </c>
      <c r="W159" s="35" t="s">
        <v>290</v>
      </c>
      <c r="AA159" s="35" t="s">
        <v>1682</v>
      </c>
      <c r="AB159" s="35" t="s">
        <v>365</v>
      </c>
      <c r="AC159" s="35" t="s">
        <v>156</v>
      </c>
      <c r="AD159" s="35" t="s">
        <v>367</v>
      </c>
      <c r="AE159" s="35" t="s">
        <v>375</v>
      </c>
      <c r="AF159" s="35" t="s">
        <v>693</v>
      </c>
      <c r="AJ159" s="35" t="s">
        <v>223</v>
      </c>
      <c r="AK159" s="26" t="s">
        <v>223</v>
      </c>
      <c r="AL159" s="35" t="s">
        <v>693</v>
      </c>
      <c r="AM159" s="35" t="s">
        <v>160</v>
      </c>
      <c r="AN159" s="35">
        <v>6</v>
      </c>
      <c r="AO159" s="35">
        <v>6</v>
      </c>
      <c r="AP159" s="35" t="s">
        <v>184</v>
      </c>
      <c r="AQ159" s="35">
        <f t="shared" si="13"/>
        <v>112000</v>
      </c>
      <c r="AS159" s="35">
        <f t="shared" si="14"/>
        <v>52.083333333333336</v>
      </c>
      <c r="AT159" s="63"/>
      <c r="BE159" s="35">
        <f>36.4*0.00061*100</f>
        <v>2.2203999999999997</v>
      </c>
      <c r="BF159" s="35">
        <f t="shared" si="19"/>
        <v>2.4339</v>
      </c>
      <c r="BH159" s="35">
        <f>BE159/12.5*10000</f>
        <v>1776.32</v>
      </c>
      <c r="BI159" s="35">
        <f>BF159/12*10000</f>
        <v>2028.25</v>
      </c>
      <c r="BJ159" s="35" t="s">
        <v>1070</v>
      </c>
      <c r="DP159" s="12"/>
      <c r="DR159" s="15"/>
      <c r="EB159" s="35">
        <f>200*0.61/24</f>
        <v>5.083333333333333</v>
      </c>
      <c r="EC159" s="35">
        <f t="shared" si="20"/>
        <v>5.0579166666666664</v>
      </c>
      <c r="EE159" s="35">
        <f>804*1000000/1627500</f>
        <v>494.00921658986175</v>
      </c>
      <c r="EF159" s="35">
        <f t="shared" si="21"/>
        <v>672.19662058371739</v>
      </c>
      <c r="EH159" s="35">
        <v>54.685099846390166</v>
      </c>
      <c r="EI159" s="35">
        <f t="shared" si="22"/>
        <v>76.19047619047619</v>
      </c>
      <c r="EL159" s="35" t="s">
        <v>381</v>
      </c>
      <c r="EN159" s="35">
        <v>13</v>
      </c>
    </row>
    <row r="160" spans="1:144" s="35" customFormat="1" x14ac:dyDescent="0.25">
      <c r="A160" s="35">
        <v>13</v>
      </c>
      <c r="B160" s="35" t="s">
        <v>351</v>
      </c>
      <c r="C160" s="35" t="s">
        <v>362</v>
      </c>
      <c r="D160" s="35">
        <v>1991</v>
      </c>
      <c r="E160" s="35">
        <v>1987</v>
      </c>
      <c r="F160" s="36" t="s">
        <v>363</v>
      </c>
      <c r="G160" s="35" t="s">
        <v>364</v>
      </c>
      <c r="H160" s="35">
        <v>50.53</v>
      </c>
      <c r="I160" s="35">
        <f t="shared" si="11"/>
        <v>-103.67</v>
      </c>
      <c r="J160" s="35">
        <v>579.1</v>
      </c>
      <c r="P160" s="54" t="s">
        <v>186</v>
      </c>
      <c r="Q160" s="54"/>
      <c r="R160" s="54"/>
      <c r="S160" s="54" t="s">
        <v>657</v>
      </c>
      <c r="T160" s="35">
        <f t="shared" si="12"/>
        <v>1.085</v>
      </c>
      <c r="U160" s="35">
        <v>16.3</v>
      </c>
      <c r="V160" s="35">
        <v>20.6</v>
      </c>
      <c r="W160" s="35" t="s">
        <v>290</v>
      </c>
      <c r="AA160" s="35" t="s">
        <v>1682</v>
      </c>
      <c r="AB160" s="35" t="s">
        <v>365</v>
      </c>
      <c r="AC160" s="35" t="s">
        <v>156</v>
      </c>
      <c r="AD160" s="35" t="s">
        <v>367</v>
      </c>
      <c r="AE160" s="35" t="s">
        <v>375</v>
      </c>
      <c r="AF160" s="35" t="s">
        <v>693</v>
      </c>
      <c r="AJ160" s="35" t="s">
        <v>366</v>
      </c>
      <c r="AK160" s="26" t="s">
        <v>223</v>
      </c>
      <c r="AL160" s="35" t="s">
        <v>693</v>
      </c>
      <c r="AM160" s="35" t="s">
        <v>160</v>
      </c>
      <c r="AN160" s="35">
        <v>6</v>
      </c>
      <c r="AO160" s="35">
        <v>6</v>
      </c>
      <c r="AP160" s="35" t="s">
        <v>184</v>
      </c>
      <c r="AQ160" s="35">
        <f t="shared" si="13"/>
        <v>112000</v>
      </c>
      <c r="AS160" s="35">
        <f t="shared" si="14"/>
        <v>52.083333333333336</v>
      </c>
      <c r="AT160" s="63"/>
      <c r="BE160" s="35">
        <f>38.5*0.00061*100</f>
        <v>2.3485</v>
      </c>
      <c r="BF160" s="35">
        <f t="shared" si="19"/>
        <v>2.4339</v>
      </c>
      <c r="BH160" s="35">
        <f>BE160/11.9*10000</f>
        <v>1973.5294117647059</v>
      </c>
      <c r="BI160" s="35">
        <f>BF160/12*10000</f>
        <v>2028.25</v>
      </c>
      <c r="BJ160" s="35" t="s">
        <v>1070</v>
      </c>
      <c r="DP160" s="12"/>
      <c r="DR160" s="15"/>
      <c r="EB160" s="35">
        <f>193*0.61/24</f>
        <v>4.9054166666666665</v>
      </c>
      <c r="EC160" s="35">
        <f t="shared" si="20"/>
        <v>5.0579166666666664</v>
      </c>
      <c r="EE160" s="35">
        <f>891*1000000/1627500</f>
        <v>547.46543778801845</v>
      </c>
      <c r="EF160" s="35">
        <f t="shared" si="21"/>
        <v>672.19662058371739</v>
      </c>
      <c r="EH160" s="35">
        <v>54.070660522273428</v>
      </c>
      <c r="EI160" s="35">
        <f t="shared" si="22"/>
        <v>76.19047619047619</v>
      </c>
      <c r="EL160" s="35" t="s">
        <v>381</v>
      </c>
      <c r="EN160" s="35">
        <v>13</v>
      </c>
    </row>
    <row r="161" spans="1:144" s="35" customFormat="1" x14ac:dyDescent="0.25">
      <c r="A161" s="35">
        <v>13</v>
      </c>
      <c r="B161" s="35" t="s">
        <v>351</v>
      </c>
      <c r="C161" s="35" t="s">
        <v>362</v>
      </c>
      <c r="D161" s="35">
        <v>1991</v>
      </c>
      <c r="E161" s="35">
        <v>1987</v>
      </c>
      <c r="F161" s="36" t="s">
        <v>363</v>
      </c>
      <c r="G161" s="35" t="s">
        <v>364</v>
      </c>
      <c r="H161" s="35">
        <v>50.53</v>
      </c>
      <c r="I161" s="35">
        <f t="shared" si="11"/>
        <v>-103.67</v>
      </c>
      <c r="J161" s="35">
        <v>579.1</v>
      </c>
      <c r="P161" s="54" t="s">
        <v>186</v>
      </c>
      <c r="Q161" s="54"/>
      <c r="R161" s="54"/>
      <c r="S161" s="54" t="s">
        <v>657</v>
      </c>
      <c r="T161" s="35">
        <f t="shared" si="12"/>
        <v>1.085</v>
      </c>
      <c r="U161" s="35">
        <v>16.3</v>
      </c>
      <c r="V161" s="35">
        <v>20.6</v>
      </c>
      <c r="W161" s="35" t="s">
        <v>290</v>
      </c>
      <c r="AA161" s="35" t="s">
        <v>1682</v>
      </c>
      <c r="AB161" s="35" t="s">
        <v>365</v>
      </c>
      <c r="AC161" s="35" t="s">
        <v>156</v>
      </c>
      <c r="AD161" s="35" t="s">
        <v>367</v>
      </c>
      <c r="AE161" s="35" t="s">
        <v>375</v>
      </c>
      <c r="AF161" s="35" t="s">
        <v>693</v>
      </c>
      <c r="AJ161" s="35" t="s">
        <v>369</v>
      </c>
      <c r="AK161" s="26" t="s">
        <v>223</v>
      </c>
      <c r="AL161" s="35" t="s">
        <v>693</v>
      </c>
      <c r="AM161" s="35" t="s">
        <v>160</v>
      </c>
      <c r="AN161" s="35">
        <v>6</v>
      </c>
      <c r="AO161" s="35">
        <v>6</v>
      </c>
      <c r="AP161" s="35" t="s">
        <v>184</v>
      </c>
      <c r="AQ161" s="35">
        <f t="shared" si="13"/>
        <v>112000</v>
      </c>
      <c r="AS161" s="35">
        <f t="shared" si="14"/>
        <v>52.083333333333336</v>
      </c>
      <c r="AT161" s="63"/>
      <c r="BE161" s="35">
        <f>38.2*0.00061*100</f>
        <v>2.3302</v>
      </c>
      <c r="BF161" s="35">
        <f t="shared" si="19"/>
        <v>2.4339</v>
      </c>
      <c r="BH161" s="35">
        <f>BE161/12.7*10000</f>
        <v>1834.8031496062995</v>
      </c>
      <c r="BI161" s="35">
        <f>BF161/12*10000</f>
        <v>2028.25</v>
      </c>
      <c r="BJ161" s="35" t="s">
        <v>1070</v>
      </c>
      <c r="DP161" s="12"/>
      <c r="DR161" s="15"/>
      <c r="EB161" s="35">
        <f>168*0.61/24</f>
        <v>4.2700000000000005</v>
      </c>
      <c r="EC161" s="35">
        <f t="shared" si="20"/>
        <v>5.0579166666666664</v>
      </c>
      <c r="EE161" s="35">
        <f>833*1000000/1627500</f>
        <v>511.8279569892473</v>
      </c>
      <c r="EF161" s="35">
        <f t="shared" si="21"/>
        <v>672.19662058371739</v>
      </c>
      <c r="EH161" s="35">
        <v>49.155145929339476</v>
      </c>
      <c r="EI161" s="35">
        <f t="shared" si="22"/>
        <v>76.19047619047619</v>
      </c>
      <c r="EL161" s="35" t="s">
        <v>381</v>
      </c>
      <c r="EN161" s="35">
        <v>13</v>
      </c>
    </row>
    <row r="162" spans="1:144" s="26" customFormat="1" x14ac:dyDescent="0.25">
      <c r="A162" s="26">
        <v>13</v>
      </c>
      <c r="B162" s="26" t="s">
        <v>351</v>
      </c>
      <c r="C162" s="26" t="s">
        <v>362</v>
      </c>
      <c r="D162" s="26">
        <v>1991</v>
      </c>
      <c r="E162" s="26">
        <v>1987</v>
      </c>
      <c r="F162" s="37" t="s">
        <v>363</v>
      </c>
      <c r="G162" s="26" t="s">
        <v>364</v>
      </c>
      <c r="H162" s="26">
        <v>50.53</v>
      </c>
      <c r="I162" s="26">
        <f t="shared" si="11"/>
        <v>-103.67</v>
      </c>
      <c r="J162" s="26">
        <v>579.1</v>
      </c>
      <c r="P162" s="52" t="s">
        <v>186</v>
      </c>
      <c r="Q162" s="52"/>
      <c r="R162" s="52"/>
      <c r="S162" s="52" t="s">
        <v>657</v>
      </c>
      <c r="T162" s="26">
        <f>(0.95+1.22)/2</f>
        <v>1.085</v>
      </c>
      <c r="U162" s="26">
        <v>16.3</v>
      </c>
      <c r="V162" s="26">
        <v>20.6</v>
      </c>
      <c r="W162" s="26" t="s">
        <v>290</v>
      </c>
      <c r="AA162" s="26" t="s">
        <v>1682</v>
      </c>
      <c r="AB162" s="26" t="s">
        <v>377</v>
      </c>
      <c r="AC162" s="26" t="s">
        <v>156</v>
      </c>
      <c r="AD162" s="26" t="s">
        <v>368</v>
      </c>
      <c r="AE162" s="26" t="s">
        <v>378</v>
      </c>
      <c r="AF162" s="26" t="s">
        <v>693</v>
      </c>
      <c r="AJ162" s="26" t="s">
        <v>223</v>
      </c>
      <c r="AK162" s="26" t="s">
        <v>223</v>
      </c>
      <c r="AL162" s="26" t="s">
        <v>252</v>
      </c>
      <c r="AM162" s="26" t="s">
        <v>160</v>
      </c>
      <c r="AN162" s="26">
        <v>6</v>
      </c>
      <c r="AO162" s="26">
        <v>6</v>
      </c>
      <c r="AP162" s="26" t="s">
        <v>184</v>
      </c>
      <c r="AQ162" s="26">
        <f>117*1000</f>
        <v>117000</v>
      </c>
      <c r="AS162" s="26">
        <f>49/1.47</f>
        <v>33.333333333333336</v>
      </c>
      <c r="AT162" s="63"/>
      <c r="BE162" s="26">
        <f>36.3*0.00061*100</f>
        <v>2.2142999999999997</v>
      </c>
      <c r="BF162" s="26">
        <f>41.5*0.00061*100</f>
        <v>2.5314999999999999</v>
      </c>
      <c r="BH162" s="26">
        <f>BE162/12.5*10000</f>
        <v>1771.4399999999996</v>
      </c>
      <c r="BI162" s="26">
        <f>BF162/12.2*10000</f>
        <v>2075</v>
      </c>
      <c r="BJ162" s="26" t="s">
        <v>1070</v>
      </c>
      <c r="DP162" s="12"/>
      <c r="DR162" s="15"/>
      <c r="EB162" s="26">
        <f>184*0.61/24</f>
        <v>4.6766666666666667</v>
      </c>
      <c r="EC162" s="26">
        <f>227*0.61/24</f>
        <v>5.7695833333333333</v>
      </c>
      <c r="EE162" s="26">
        <f>905*1000000/1627500</f>
        <v>556.06758832565288</v>
      </c>
      <c r="EF162" s="26">
        <f>1074*1000000/1627500</f>
        <v>659.90783410138249</v>
      </c>
      <c r="EH162" s="26">
        <v>48.540706605222702</v>
      </c>
      <c r="EI162" s="26">
        <f>128*1000000/1627500</f>
        <v>78.64823348694317</v>
      </c>
      <c r="EL162" s="26" t="s">
        <v>381</v>
      </c>
      <c r="EN162" s="26">
        <v>13</v>
      </c>
    </row>
    <row r="163" spans="1:144" s="26" customFormat="1" x14ac:dyDescent="0.25">
      <c r="A163" s="26">
        <v>13</v>
      </c>
      <c r="B163" s="26" t="s">
        <v>351</v>
      </c>
      <c r="C163" s="26" t="s">
        <v>362</v>
      </c>
      <c r="D163" s="26">
        <v>1991</v>
      </c>
      <c r="E163" s="26">
        <v>1987</v>
      </c>
      <c r="F163" s="37" t="s">
        <v>363</v>
      </c>
      <c r="G163" s="26" t="s">
        <v>364</v>
      </c>
      <c r="H163" s="26">
        <v>50.53</v>
      </c>
      <c r="I163" s="26">
        <f t="shared" si="11"/>
        <v>-103.67</v>
      </c>
      <c r="J163" s="26">
        <v>579.1</v>
      </c>
      <c r="P163" s="52" t="s">
        <v>186</v>
      </c>
      <c r="Q163" s="52"/>
      <c r="R163" s="52"/>
      <c r="S163" s="52" t="s">
        <v>657</v>
      </c>
      <c r="T163" s="26">
        <f t="shared" si="12"/>
        <v>1.085</v>
      </c>
      <c r="U163" s="26">
        <v>16.3</v>
      </c>
      <c r="V163" s="26">
        <v>20.6</v>
      </c>
      <c r="W163" s="26" t="s">
        <v>290</v>
      </c>
      <c r="AA163" s="26" t="s">
        <v>1682</v>
      </c>
      <c r="AB163" s="26" t="s">
        <v>377</v>
      </c>
      <c r="AC163" s="26" t="s">
        <v>156</v>
      </c>
      <c r="AD163" s="26" t="s">
        <v>368</v>
      </c>
      <c r="AE163" s="26" t="s">
        <v>378</v>
      </c>
      <c r="AF163" s="26" t="s">
        <v>693</v>
      </c>
      <c r="AJ163" s="26" t="s">
        <v>366</v>
      </c>
      <c r="AK163" s="26" t="s">
        <v>223</v>
      </c>
      <c r="AL163" s="26" t="s">
        <v>693</v>
      </c>
      <c r="AM163" s="26" t="s">
        <v>160</v>
      </c>
      <c r="AN163" s="26">
        <v>6</v>
      </c>
      <c r="AO163" s="26">
        <v>6</v>
      </c>
      <c r="AP163" s="26" t="s">
        <v>184</v>
      </c>
      <c r="AQ163" s="26">
        <f t="shared" ref="AQ163:AQ171" si="23">117*1000</f>
        <v>117000</v>
      </c>
      <c r="AS163" s="26">
        <f t="shared" ref="AS163:AS171" si="24">49/1.47</f>
        <v>33.333333333333336</v>
      </c>
      <c r="AT163" s="63"/>
      <c r="BE163" s="26">
        <f>37.9*0.00061*100</f>
        <v>2.3118999999999996</v>
      </c>
      <c r="BF163" s="26">
        <f t="shared" ref="BF163:BF166" si="25">41.5*0.00061*100</f>
        <v>2.5314999999999999</v>
      </c>
      <c r="BH163" s="26">
        <f>BE163/12.6*10000</f>
        <v>1834.8412698412696</v>
      </c>
      <c r="BI163" s="26">
        <f>BF163/12.2*10000</f>
        <v>2075</v>
      </c>
      <c r="BJ163" s="26" t="s">
        <v>1070</v>
      </c>
      <c r="DP163" s="12"/>
      <c r="DR163" s="15"/>
      <c r="EB163" s="26">
        <f>178*0.61/24</f>
        <v>4.5241666666666669</v>
      </c>
      <c r="EC163" s="26">
        <f t="shared" ref="EC163:EC166" si="26">227*0.61/24</f>
        <v>5.7695833333333333</v>
      </c>
      <c r="EE163" s="26">
        <f>815*1000000/1627500</f>
        <v>500.76804915514595</v>
      </c>
      <c r="EF163" s="26">
        <f t="shared" ref="EF163:EF166" si="27">1074*1000000/1627500</f>
        <v>659.90783410138249</v>
      </c>
      <c r="EH163" s="26">
        <v>46.082949308755758</v>
      </c>
      <c r="EI163" s="26">
        <f t="shared" ref="EI163:EI166" si="28">128*1000000/1627500</f>
        <v>78.64823348694317</v>
      </c>
      <c r="EL163" s="26" t="s">
        <v>381</v>
      </c>
      <c r="EN163" s="26">
        <v>13</v>
      </c>
    </row>
    <row r="164" spans="1:144" s="26" customFormat="1" x14ac:dyDescent="0.25">
      <c r="A164" s="26">
        <v>13</v>
      </c>
      <c r="B164" s="26" t="s">
        <v>351</v>
      </c>
      <c r="C164" s="26" t="s">
        <v>362</v>
      </c>
      <c r="D164" s="26">
        <v>1991</v>
      </c>
      <c r="E164" s="26">
        <v>1987</v>
      </c>
      <c r="F164" s="37" t="s">
        <v>363</v>
      </c>
      <c r="G164" s="26" t="s">
        <v>364</v>
      </c>
      <c r="H164" s="26">
        <v>50.53</v>
      </c>
      <c r="I164" s="26">
        <f t="shared" si="11"/>
        <v>-103.67</v>
      </c>
      <c r="J164" s="26">
        <v>579.1</v>
      </c>
      <c r="P164" s="52" t="s">
        <v>186</v>
      </c>
      <c r="Q164" s="52"/>
      <c r="R164" s="52"/>
      <c r="S164" s="52" t="s">
        <v>657</v>
      </c>
      <c r="T164" s="26">
        <f t="shared" si="12"/>
        <v>1.085</v>
      </c>
      <c r="U164" s="26">
        <v>16.3</v>
      </c>
      <c r="V164" s="26">
        <v>20.6</v>
      </c>
      <c r="W164" s="26" t="s">
        <v>290</v>
      </c>
      <c r="AA164" s="26" t="s">
        <v>1682</v>
      </c>
      <c r="AB164" s="26" t="s">
        <v>377</v>
      </c>
      <c r="AC164" s="26" t="s">
        <v>156</v>
      </c>
      <c r="AD164" s="26" t="s">
        <v>367</v>
      </c>
      <c r="AE164" s="26" t="s">
        <v>378</v>
      </c>
      <c r="AF164" s="26" t="s">
        <v>693</v>
      </c>
      <c r="AJ164" s="26" t="s">
        <v>223</v>
      </c>
      <c r="AK164" s="26" t="s">
        <v>223</v>
      </c>
      <c r="AL164" s="26" t="s">
        <v>693</v>
      </c>
      <c r="AM164" s="26" t="s">
        <v>160</v>
      </c>
      <c r="AN164" s="26">
        <v>6</v>
      </c>
      <c r="AO164" s="26">
        <v>6</v>
      </c>
      <c r="AP164" s="26" t="s">
        <v>184</v>
      </c>
      <c r="AQ164" s="26">
        <f t="shared" si="23"/>
        <v>117000</v>
      </c>
      <c r="AS164" s="26">
        <f t="shared" si="24"/>
        <v>33.333333333333336</v>
      </c>
      <c r="AT164" s="63"/>
      <c r="BE164" s="26">
        <f>36.4*0.00061*100</f>
        <v>2.2203999999999997</v>
      </c>
      <c r="BF164" s="26">
        <f t="shared" si="25"/>
        <v>2.5314999999999999</v>
      </c>
      <c r="BH164" s="26">
        <f>BE164/12.5*10000</f>
        <v>1776.32</v>
      </c>
      <c r="BI164" s="26">
        <f>BF164/12.2*10000</f>
        <v>2075</v>
      </c>
      <c r="BJ164" s="26" t="s">
        <v>1070</v>
      </c>
      <c r="DP164" s="12"/>
      <c r="DR164" s="15"/>
      <c r="EB164" s="26">
        <f>200*0.61/24</f>
        <v>5.083333333333333</v>
      </c>
      <c r="EC164" s="26">
        <f t="shared" si="26"/>
        <v>5.7695833333333333</v>
      </c>
      <c r="EE164" s="26">
        <f>804*1000000/1627500</f>
        <v>494.00921658986175</v>
      </c>
      <c r="EF164" s="26">
        <f t="shared" si="27"/>
        <v>659.90783410138249</v>
      </c>
      <c r="EH164" s="26">
        <v>54.685099846390166</v>
      </c>
      <c r="EI164" s="26">
        <f t="shared" si="28"/>
        <v>78.64823348694317</v>
      </c>
      <c r="EL164" s="26" t="s">
        <v>381</v>
      </c>
      <c r="EN164" s="26">
        <v>13</v>
      </c>
    </row>
    <row r="165" spans="1:144" s="26" customFormat="1" x14ac:dyDescent="0.25">
      <c r="A165" s="26">
        <v>13</v>
      </c>
      <c r="B165" s="26" t="s">
        <v>351</v>
      </c>
      <c r="C165" s="26" t="s">
        <v>362</v>
      </c>
      <c r="D165" s="26">
        <v>1991</v>
      </c>
      <c r="E165" s="26">
        <v>1987</v>
      </c>
      <c r="F165" s="37" t="s">
        <v>363</v>
      </c>
      <c r="G165" s="26" t="s">
        <v>364</v>
      </c>
      <c r="H165" s="26">
        <v>50.53</v>
      </c>
      <c r="I165" s="26">
        <f t="shared" si="11"/>
        <v>-103.67</v>
      </c>
      <c r="J165" s="26">
        <v>579.1</v>
      </c>
      <c r="P165" s="52" t="s">
        <v>186</v>
      </c>
      <c r="Q165" s="52"/>
      <c r="R165" s="52"/>
      <c r="S165" s="52" t="s">
        <v>657</v>
      </c>
      <c r="T165" s="26">
        <f t="shared" si="12"/>
        <v>1.085</v>
      </c>
      <c r="U165" s="26">
        <v>16.3</v>
      </c>
      <c r="V165" s="26">
        <v>20.6</v>
      </c>
      <c r="W165" s="26" t="s">
        <v>290</v>
      </c>
      <c r="AA165" s="26" t="s">
        <v>1682</v>
      </c>
      <c r="AB165" s="26" t="s">
        <v>377</v>
      </c>
      <c r="AC165" s="26" t="s">
        <v>156</v>
      </c>
      <c r="AD165" s="26" t="s">
        <v>367</v>
      </c>
      <c r="AE165" s="26" t="s">
        <v>378</v>
      </c>
      <c r="AF165" s="26" t="s">
        <v>693</v>
      </c>
      <c r="AJ165" s="26" t="s">
        <v>366</v>
      </c>
      <c r="AK165" s="26" t="s">
        <v>223</v>
      </c>
      <c r="AL165" s="26" t="s">
        <v>693</v>
      </c>
      <c r="AM165" s="26" t="s">
        <v>160</v>
      </c>
      <c r="AN165" s="26">
        <v>6</v>
      </c>
      <c r="AO165" s="26">
        <v>6</v>
      </c>
      <c r="AP165" s="26" t="s">
        <v>184</v>
      </c>
      <c r="AQ165" s="26">
        <f t="shared" si="23"/>
        <v>117000</v>
      </c>
      <c r="AS165" s="26">
        <f t="shared" si="24"/>
        <v>33.333333333333336</v>
      </c>
      <c r="AT165" s="63"/>
      <c r="BE165" s="26">
        <f>38.5*0.00061*100</f>
        <v>2.3485</v>
      </c>
      <c r="BF165" s="26">
        <f t="shared" si="25"/>
        <v>2.5314999999999999</v>
      </c>
      <c r="BH165" s="26">
        <f>BE165/11.9*10000</f>
        <v>1973.5294117647059</v>
      </c>
      <c r="BI165" s="26">
        <f>BF165/12.2*10000</f>
        <v>2075</v>
      </c>
      <c r="BJ165" s="26" t="s">
        <v>1070</v>
      </c>
      <c r="DP165" s="12"/>
      <c r="DR165" s="15"/>
      <c r="EB165" s="26">
        <f>193*0.61/24</f>
        <v>4.9054166666666665</v>
      </c>
      <c r="EC165" s="26">
        <f t="shared" si="26"/>
        <v>5.7695833333333333</v>
      </c>
      <c r="EE165" s="26">
        <f>891*1000000/1627500</f>
        <v>547.46543778801845</v>
      </c>
      <c r="EF165" s="26">
        <f t="shared" si="27"/>
        <v>659.90783410138249</v>
      </c>
      <c r="EH165" s="26">
        <v>54.070660522273428</v>
      </c>
      <c r="EI165" s="26">
        <f t="shared" si="28"/>
        <v>78.64823348694317</v>
      </c>
      <c r="EL165" s="26" t="s">
        <v>381</v>
      </c>
      <c r="EN165" s="26">
        <v>13</v>
      </c>
    </row>
    <row r="166" spans="1:144" s="26" customFormat="1" x14ac:dyDescent="0.25">
      <c r="A166" s="26">
        <v>13</v>
      </c>
      <c r="B166" s="26" t="s">
        <v>351</v>
      </c>
      <c r="C166" s="26" t="s">
        <v>362</v>
      </c>
      <c r="D166" s="26">
        <v>1991</v>
      </c>
      <c r="E166" s="26">
        <v>1987</v>
      </c>
      <c r="F166" s="37" t="s">
        <v>363</v>
      </c>
      <c r="G166" s="26" t="s">
        <v>364</v>
      </c>
      <c r="H166" s="26">
        <v>50.53</v>
      </c>
      <c r="I166" s="26">
        <f t="shared" si="11"/>
        <v>-103.67</v>
      </c>
      <c r="J166" s="26">
        <v>579.1</v>
      </c>
      <c r="P166" s="52" t="s">
        <v>186</v>
      </c>
      <c r="Q166" s="52"/>
      <c r="R166" s="52"/>
      <c r="S166" s="52" t="s">
        <v>657</v>
      </c>
      <c r="T166" s="26">
        <f t="shared" si="12"/>
        <v>1.085</v>
      </c>
      <c r="U166" s="26">
        <v>16.3</v>
      </c>
      <c r="V166" s="26">
        <v>20.6</v>
      </c>
      <c r="W166" s="26" t="s">
        <v>290</v>
      </c>
      <c r="AA166" s="26" t="s">
        <v>1682</v>
      </c>
      <c r="AB166" s="26" t="s">
        <v>377</v>
      </c>
      <c r="AC166" s="26" t="s">
        <v>156</v>
      </c>
      <c r="AD166" s="26" t="s">
        <v>367</v>
      </c>
      <c r="AE166" s="26" t="s">
        <v>378</v>
      </c>
      <c r="AF166" s="26" t="s">
        <v>693</v>
      </c>
      <c r="AJ166" s="26" t="s">
        <v>369</v>
      </c>
      <c r="AK166" s="26" t="s">
        <v>223</v>
      </c>
      <c r="AL166" s="26" t="s">
        <v>693</v>
      </c>
      <c r="AM166" s="26" t="s">
        <v>160</v>
      </c>
      <c r="AN166" s="26">
        <v>6</v>
      </c>
      <c r="AO166" s="26">
        <v>6</v>
      </c>
      <c r="AP166" s="26" t="s">
        <v>184</v>
      </c>
      <c r="AQ166" s="26">
        <f t="shared" si="23"/>
        <v>117000</v>
      </c>
      <c r="AS166" s="26">
        <f t="shared" si="24"/>
        <v>33.333333333333336</v>
      </c>
      <c r="AT166" s="63"/>
      <c r="BE166" s="26">
        <f>38.2*0.00061*100</f>
        <v>2.3302</v>
      </c>
      <c r="BF166" s="26">
        <f t="shared" si="25"/>
        <v>2.5314999999999999</v>
      </c>
      <c r="BH166" s="26">
        <f>BE166/12.7*10000</f>
        <v>1834.8031496062995</v>
      </c>
      <c r="BI166" s="26">
        <f>BF166/12.2*10000</f>
        <v>2075</v>
      </c>
      <c r="BJ166" s="26" t="s">
        <v>1070</v>
      </c>
      <c r="DP166" s="12"/>
      <c r="DR166" s="15"/>
      <c r="EB166" s="26">
        <f>168*0.61/24</f>
        <v>4.2700000000000005</v>
      </c>
      <c r="EC166" s="26">
        <f t="shared" si="26"/>
        <v>5.7695833333333333</v>
      </c>
      <c r="EE166" s="26">
        <f>833*1000000/1627500</f>
        <v>511.8279569892473</v>
      </c>
      <c r="EF166" s="26">
        <f t="shared" si="27"/>
        <v>659.90783410138249</v>
      </c>
      <c r="EH166" s="26">
        <v>49.155145929339476</v>
      </c>
      <c r="EI166" s="26">
        <f t="shared" si="28"/>
        <v>78.64823348694317</v>
      </c>
      <c r="EL166" s="26" t="s">
        <v>381</v>
      </c>
      <c r="EN166" s="26">
        <v>13</v>
      </c>
    </row>
    <row r="167" spans="1:144" s="35" customFormat="1" x14ac:dyDescent="0.25">
      <c r="A167" s="35">
        <v>13</v>
      </c>
      <c r="B167" s="35" t="s">
        <v>351</v>
      </c>
      <c r="C167" s="35" t="s">
        <v>362</v>
      </c>
      <c r="D167" s="35">
        <v>1991</v>
      </c>
      <c r="E167" s="35">
        <v>1987</v>
      </c>
      <c r="F167" s="36" t="s">
        <v>363</v>
      </c>
      <c r="G167" s="35" t="s">
        <v>364</v>
      </c>
      <c r="H167" s="35">
        <v>50.53</v>
      </c>
      <c r="I167" s="35">
        <f t="shared" si="11"/>
        <v>-103.67</v>
      </c>
      <c r="J167" s="35">
        <v>579.1</v>
      </c>
      <c r="P167" s="54" t="s">
        <v>186</v>
      </c>
      <c r="Q167" s="54"/>
      <c r="R167" s="54"/>
      <c r="S167" s="54" t="s">
        <v>657</v>
      </c>
      <c r="T167" s="35">
        <f>(0.95+1.22)/2</f>
        <v>1.085</v>
      </c>
      <c r="U167" s="35">
        <v>16.3</v>
      </c>
      <c r="V167" s="35">
        <v>20.6</v>
      </c>
      <c r="W167" s="35" t="s">
        <v>290</v>
      </c>
      <c r="AA167" s="35" t="s">
        <v>1682</v>
      </c>
      <c r="AB167" s="35" t="s">
        <v>377</v>
      </c>
      <c r="AC167" s="35" t="s">
        <v>156</v>
      </c>
      <c r="AD167" s="35" t="s">
        <v>368</v>
      </c>
      <c r="AE167" s="35" t="s">
        <v>379</v>
      </c>
      <c r="AF167" s="35" t="s">
        <v>693</v>
      </c>
      <c r="AJ167" s="35" t="s">
        <v>223</v>
      </c>
      <c r="AK167" s="26" t="s">
        <v>223</v>
      </c>
      <c r="AL167" s="35" t="s">
        <v>252</v>
      </c>
      <c r="AM167" s="35" t="s">
        <v>160</v>
      </c>
      <c r="AN167" s="35">
        <v>6</v>
      </c>
      <c r="AO167" s="35">
        <v>6</v>
      </c>
      <c r="AP167" s="35" t="s">
        <v>184</v>
      </c>
      <c r="AQ167" s="35">
        <f t="shared" si="23"/>
        <v>117000</v>
      </c>
      <c r="AS167" s="35">
        <f t="shared" si="24"/>
        <v>33.333333333333336</v>
      </c>
      <c r="AT167" s="63"/>
      <c r="BE167" s="35">
        <f>36.3*0.00061*100</f>
        <v>2.2142999999999997</v>
      </c>
      <c r="BF167" s="35">
        <f>42.2*0.00061*100</f>
        <v>2.5742000000000003</v>
      </c>
      <c r="BH167" s="35">
        <f>BE167/12.5*10000</f>
        <v>1771.4399999999996</v>
      </c>
      <c r="BI167" s="35">
        <f>BF167/11.5*10000</f>
        <v>2238.434782608696</v>
      </c>
      <c r="BJ167" s="35" t="s">
        <v>1070</v>
      </c>
      <c r="DP167" s="12"/>
      <c r="DR167" s="15"/>
      <c r="EB167" s="35">
        <f>184*0.61/24</f>
        <v>4.6766666666666667</v>
      </c>
      <c r="EC167" s="35">
        <f>206*0.61/24</f>
        <v>5.2358333333333329</v>
      </c>
      <c r="EE167" s="35">
        <f>905*1000000/1627500</f>
        <v>556.06758832565288</v>
      </c>
      <c r="EF167" s="35">
        <f>1036*1000000/1627500</f>
        <v>636.55913978494618</v>
      </c>
      <c r="EH167" s="35">
        <v>48.540706605222731</v>
      </c>
      <c r="EI167" s="35">
        <f>136*1000000/1627500</f>
        <v>83.563748079877115</v>
      </c>
      <c r="EL167" s="35" t="s">
        <v>381</v>
      </c>
      <c r="EN167" s="35">
        <v>13</v>
      </c>
    </row>
    <row r="168" spans="1:144" s="35" customFormat="1" x14ac:dyDescent="0.25">
      <c r="A168" s="35">
        <v>13</v>
      </c>
      <c r="B168" s="35" t="s">
        <v>351</v>
      </c>
      <c r="C168" s="35" t="s">
        <v>362</v>
      </c>
      <c r="D168" s="35">
        <v>1991</v>
      </c>
      <c r="E168" s="35">
        <v>1987</v>
      </c>
      <c r="F168" s="36" t="s">
        <v>363</v>
      </c>
      <c r="G168" s="35" t="s">
        <v>364</v>
      </c>
      <c r="H168" s="35">
        <v>50.53</v>
      </c>
      <c r="I168" s="35">
        <f t="shared" si="11"/>
        <v>-103.67</v>
      </c>
      <c r="J168" s="35">
        <v>579.1</v>
      </c>
      <c r="P168" s="54" t="s">
        <v>186</v>
      </c>
      <c r="Q168" s="54"/>
      <c r="R168" s="54"/>
      <c r="S168" s="54" t="s">
        <v>657</v>
      </c>
      <c r="T168" s="35">
        <f t="shared" si="12"/>
        <v>1.085</v>
      </c>
      <c r="U168" s="35">
        <v>16.3</v>
      </c>
      <c r="V168" s="35">
        <v>20.6</v>
      </c>
      <c r="W168" s="35" t="s">
        <v>290</v>
      </c>
      <c r="AA168" s="35" t="s">
        <v>1682</v>
      </c>
      <c r="AB168" s="35" t="s">
        <v>377</v>
      </c>
      <c r="AC168" s="35" t="s">
        <v>156</v>
      </c>
      <c r="AD168" s="35" t="s">
        <v>368</v>
      </c>
      <c r="AE168" s="35" t="s">
        <v>379</v>
      </c>
      <c r="AF168" s="35" t="s">
        <v>693</v>
      </c>
      <c r="AJ168" s="35" t="s">
        <v>366</v>
      </c>
      <c r="AK168" s="26" t="s">
        <v>223</v>
      </c>
      <c r="AL168" s="35" t="s">
        <v>693</v>
      </c>
      <c r="AM168" s="35" t="s">
        <v>160</v>
      </c>
      <c r="AN168" s="35">
        <v>6</v>
      </c>
      <c r="AO168" s="35">
        <v>6</v>
      </c>
      <c r="AP168" s="35" t="s">
        <v>184</v>
      </c>
      <c r="AQ168" s="35">
        <f t="shared" si="23"/>
        <v>117000</v>
      </c>
      <c r="AS168" s="35">
        <f t="shared" si="24"/>
        <v>33.333333333333336</v>
      </c>
      <c r="AT168" s="63"/>
      <c r="BE168" s="35">
        <f>37.9*0.00061*100</f>
        <v>2.3118999999999996</v>
      </c>
      <c r="BF168" s="35">
        <f t="shared" ref="BF168:BF171" si="29">42.2*0.00061*100</f>
        <v>2.5742000000000003</v>
      </c>
      <c r="BH168" s="35">
        <f>BE168/12.6*10000</f>
        <v>1834.8412698412696</v>
      </c>
      <c r="BI168" s="35">
        <f>BF168/11.5*10000</f>
        <v>2238.434782608696</v>
      </c>
      <c r="BJ168" s="35" t="s">
        <v>1070</v>
      </c>
      <c r="DP168" s="12"/>
      <c r="DR168" s="15"/>
      <c r="EB168" s="35">
        <f>178*0.61/24</f>
        <v>4.5241666666666669</v>
      </c>
      <c r="EC168" s="35">
        <f t="shared" ref="EC168:EC171" si="30">206*0.61/24</f>
        <v>5.2358333333333329</v>
      </c>
      <c r="EE168" s="35">
        <f>815*1000000/1627500</f>
        <v>500.76804915514595</v>
      </c>
      <c r="EF168" s="35">
        <f t="shared" ref="EF168:EF171" si="31">1036*1000000/1627500</f>
        <v>636.55913978494618</v>
      </c>
      <c r="EH168" s="35">
        <v>46.082949308755758</v>
      </c>
      <c r="EI168" s="35">
        <f t="shared" ref="EI168:EI171" si="32">136*1000000/1627500</f>
        <v>83.563748079877115</v>
      </c>
      <c r="EL168" s="35" t="s">
        <v>381</v>
      </c>
      <c r="EN168" s="35">
        <v>13</v>
      </c>
    </row>
    <row r="169" spans="1:144" s="35" customFormat="1" x14ac:dyDescent="0.25">
      <c r="A169" s="35">
        <v>13</v>
      </c>
      <c r="B169" s="35" t="s">
        <v>351</v>
      </c>
      <c r="C169" s="35" t="s">
        <v>362</v>
      </c>
      <c r="D169" s="35">
        <v>1991</v>
      </c>
      <c r="E169" s="35">
        <v>1987</v>
      </c>
      <c r="F169" s="36" t="s">
        <v>363</v>
      </c>
      <c r="G169" s="35" t="s">
        <v>364</v>
      </c>
      <c r="H169" s="35">
        <v>50.53</v>
      </c>
      <c r="I169" s="35">
        <f t="shared" si="11"/>
        <v>-103.67</v>
      </c>
      <c r="J169" s="35">
        <v>579.1</v>
      </c>
      <c r="P169" s="54" t="s">
        <v>186</v>
      </c>
      <c r="Q169" s="54"/>
      <c r="R169" s="54"/>
      <c r="S169" s="54" t="s">
        <v>657</v>
      </c>
      <c r="T169" s="35">
        <f t="shared" si="12"/>
        <v>1.085</v>
      </c>
      <c r="U169" s="35">
        <v>16.3</v>
      </c>
      <c r="V169" s="35">
        <v>20.6</v>
      </c>
      <c r="W169" s="35" t="s">
        <v>290</v>
      </c>
      <c r="AA169" s="35" t="s">
        <v>1682</v>
      </c>
      <c r="AB169" s="35" t="s">
        <v>377</v>
      </c>
      <c r="AC169" s="35" t="s">
        <v>156</v>
      </c>
      <c r="AD169" s="35" t="s">
        <v>367</v>
      </c>
      <c r="AE169" s="35" t="s">
        <v>379</v>
      </c>
      <c r="AF169" s="35" t="s">
        <v>693</v>
      </c>
      <c r="AJ169" s="35" t="s">
        <v>223</v>
      </c>
      <c r="AK169" s="26" t="s">
        <v>223</v>
      </c>
      <c r="AL169" s="35" t="s">
        <v>693</v>
      </c>
      <c r="AM169" s="35" t="s">
        <v>160</v>
      </c>
      <c r="AN169" s="35">
        <v>6</v>
      </c>
      <c r="AO169" s="35">
        <v>6</v>
      </c>
      <c r="AP169" s="35" t="s">
        <v>184</v>
      </c>
      <c r="AQ169" s="35">
        <f t="shared" si="23"/>
        <v>117000</v>
      </c>
      <c r="AS169" s="35">
        <f t="shared" si="24"/>
        <v>33.333333333333336</v>
      </c>
      <c r="AT169" s="63"/>
      <c r="BE169" s="35">
        <f>36.4*0.00061*100</f>
        <v>2.2203999999999997</v>
      </c>
      <c r="BF169" s="35">
        <f t="shared" si="29"/>
        <v>2.5742000000000003</v>
      </c>
      <c r="BH169" s="35">
        <f>BE169/12.5*10000</f>
        <v>1776.32</v>
      </c>
      <c r="BI169" s="35">
        <f>BF169/11.5*10000</f>
        <v>2238.434782608696</v>
      </c>
      <c r="BJ169" s="35" t="s">
        <v>1070</v>
      </c>
      <c r="DP169" s="12"/>
      <c r="DR169" s="15"/>
      <c r="EB169" s="35">
        <f>200*0.61/24</f>
        <v>5.083333333333333</v>
      </c>
      <c r="EC169" s="35">
        <f t="shared" si="30"/>
        <v>5.2358333333333329</v>
      </c>
      <c r="EE169" s="35">
        <f>804*1000000/1627500</f>
        <v>494.00921658986175</v>
      </c>
      <c r="EF169" s="35">
        <f t="shared" si="31"/>
        <v>636.55913978494618</v>
      </c>
      <c r="EH169" s="35">
        <v>54.685099846390166</v>
      </c>
      <c r="EI169" s="35">
        <f t="shared" si="32"/>
        <v>83.563748079877115</v>
      </c>
      <c r="EL169" s="35" t="s">
        <v>381</v>
      </c>
      <c r="EN169" s="35">
        <v>13</v>
      </c>
    </row>
    <row r="170" spans="1:144" s="35" customFormat="1" x14ac:dyDescent="0.25">
      <c r="A170" s="35">
        <v>13</v>
      </c>
      <c r="B170" s="35" t="s">
        <v>351</v>
      </c>
      <c r="C170" s="35" t="s">
        <v>362</v>
      </c>
      <c r="D170" s="35">
        <v>1991</v>
      </c>
      <c r="E170" s="35">
        <v>1987</v>
      </c>
      <c r="F170" s="36" t="s">
        <v>363</v>
      </c>
      <c r="G170" s="35" t="s">
        <v>364</v>
      </c>
      <c r="H170" s="35">
        <v>50.53</v>
      </c>
      <c r="I170" s="35">
        <f t="shared" si="11"/>
        <v>-103.67</v>
      </c>
      <c r="J170" s="35">
        <v>579.1</v>
      </c>
      <c r="P170" s="54" t="s">
        <v>186</v>
      </c>
      <c r="Q170" s="54"/>
      <c r="R170" s="54"/>
      <c r="S170" s="54" t="s">
        <v>657</v>
      </c>
      <c r="T170" s="35">
        <f t="shared" si="12"/>
        <v>1.085</v>
      </c>
      <c r="U170" s="35">
        <v>16.3</v>
      </c>
      <c r="V170" s="35">
        <v>20.6</v>
      </c>
      <c r="W170" s="35" t="s">
        <v>290</v>
      </c>
      <c r="AA170" s="35" t="s">
        <v>1682</v>
      </c>
      <c r="AB170" s="35" t="s">
        <v>377</v>
      </c>
      <c r="AC170" s="35" t="s">
        <v>156</v>
      </c>
      <c r="AD170" s="35" t="s">
        <v>367</v>
      </c>
      <c r="AE170" s="35" t="s">
        <v>379</v>
      </c>
      <c r="AF170" s="35" t="s">
        <v>693</v>
      </c>
      <c r="AJ170" s="35" t="s">
        <v>366</v>
      </c>
      <c r="AK170" s="26" t="s">
        <v>223</v>
      </c>
      <c r="AL170" s="35" t="s">
        <v>693</v>
      </c>
      <c r="AM170" s="35" t="s">
        <v>160</v>
      </c>
      <c r="AN170" s="35">
        <v>6</v>
      </c>
      <c r="AO170" s="35">
        <v>6</v>
      </c>
      <c r="AP170" s="35" t="s">
        <v>184</v>
      </c>
      <c r="AQ170" s="35">
        <f t="shared" si="23"/>
        <v>117000</v>
      </c>
      <c r="AS170" s="35">
        <f t="shared" si="24"/>
        <v>33.333333333333336</v>
      </c>
      <c r="AT170" s="63"/>
      <c r="BE170" s="35">
        <f>38.5*0.00061*100</f>
        <v>2.3485</v>
      </c>
      <c r="BF170" s="35">
        <f t="shared" si="29"/>
        <v>2.5742000000000003</v>
      </c>
      <c r="BH170" s="35">
        <f>BE170/11.9*10000</f>
        <v>1973.5294117647059</v>
      </c>
      <c r="BI170" s="35">
        <f>BF170/11.5*10000</f>
        <v>2238.434782608696</v>
      </c>
      <c r="BJ170" s="35" t="s">
        <v>1070</v>
      </c>
      <c r="DP170" s="12"/>
      <c r="DR170" s="15"/>
      <c r="EB170" s="35">
        <f>193*0.61/24</f>
        <v>4.9054166666666665</v>
      </c>
      <c r="EC170" s="35">
        <f t="shared" si="30"/>
        <v>5.2358333333333329</v>
      </c>
      <c r="EE170" s="35">
        <f>891*1000000/1627500</f>
        <v>547.46543778801845</v>
      </c>
      <c r="EF170" s="35">
        <f t="shared" si="31"/>
        <v>636.55913978494618</v>
      </c>
      <c r="EH170" s="35">
        <v>54.070660522273428</v>
      </c>
      <c r="EI170" s="35">
        <f t="shared" si="32"/>
        <v>83.563748079877115</v>
      </c>
      <c r="EL170" s="35" t="s">
        <v>381</v>
      </c>
      <c r="EN170" s="35">
        <v>13</v>
      </c>
    </row>
    <row r="171" spans="1:144" s="35" customFormat="1" x14ac:dyDescent="0.25">
      <c r="A171" s="35">
        <v>13</v>
      </c>
      <c r="B171" s="35" t="s">
        <v>351</v>
      </c>
      <c r="C171" s="35" t="s">
        <v>362</v>
      </c>
      <c r="D171" s="35">
        <v>1991</v>
      </c>
      <c r="E171" s="35">
        <v>1987</v>
      </c>
      <c r="F171" s="36" t="s">
        <v>363</v>
      </c>
      <c r="G171" s="35" t="s">
        <v>364</v>
      </c>
      <c r="H171" s="35">
        <v>50.53</v>
      </c>
      <c r="I171" s="35">
        <f t="shared" si="11"/>
        <v>-103.67</v>
      </c>
      <c r="J171" s="35">
        <v>579.1</v>
      </c>
      <c r="P171" s="54" t="s">
        <v>186</v>
      </c>
      <c r="Q171" s="54"/>
      <c r="R171" s="54"/>
      <c r="S171" s="54" t="s">
        <v>657</v>
      </c>
      <c r="T171" s="35">
        <f t="shared" si="12"/>
        <v>1.085</v>
      </c>
      <c r="U171" s="35">
        <v>16.3</v>
      </c>
      <c r="V171" s="35">
        <v>20.6</v>
      </c>
      <c r="W171" s="35" t="s">
        <v>290</v>
      </c>
      <c r="AA171" s="35" t="s">
        <v>1682</v>
      </c>
      <c r="AB171" s="35" t="s">
        <v>377</v>
      </c>
      <c r="AC171" s="35" t="s">
        <v>156</v>
      </c>
      <c r="AD171" s="35" t="s">
        <v>367</v>
      </c>
      <c r="AE171" s="35" t="s">
        <v>379</v>
      </c>
      <c r="AF171" s="35" t="s">
        <v>693</v>
      </c>
      <c r="AJ171" s="35" t="s">
        <v>369</v>
      </c>
      <c r="AK171" s="26" t="s">
        <v>223</v>
      </c>
      <c r="AL171" s="35" t="s">
        <v>693</v>
      </c>
      <c r="AM171" s="35" t="s">
        <v>160</v>
      </c>
      <c r="AN171" s="35">
        <v>6</v>
      </c>
      <c r="AO171" s="35">
        <v>6</v>
      </c>
      <c r="AP171" s="35" t="s">
        <v>184</v>
      </c>
      <c r="AQ171" s="35">
        <f t="shared" si="23"/>
        <v>117000</v>
      </c>
      <c r="AS171" s="35">
        <f t="shared" si="24"/>
        <v>33.333333333333336</v>
      </c>
      <c r="AT171" s="63"/>
      <c r="BE171" s="35">
        <f>38.2*0.00061*100</f>
        <v>2.3302</v>
      </c>
      <c r="BF171" s="35">
        <f t="shared" si="29"/>
        <v>2.5742000000000003</v>
      </c>
      <c r="BH171" s="35">
        <f>BE171/12.7*10000</f>
        <v>1834.8031496062995</v>
      </c>
      <c r="BI171" s="35">
        <f>BF171/11.5*10000</f>
        <v>2238.434782608696</v>
      </c>
      <c r="BJ171" s="35" t="s">
        <v>1070</v>
      </c>
      <c r="DP171" s="12"/>
      <c r="DR171" s="15"/>
      <c r="EB171" s="35">
        <f>168*0.61/24</f>
        <v>4.2700000000000005</v>
      </c>
      <c r="EC171" s="35">
        <f t="shared" si="30"/>
        <v>5.2358333333333329</v>
      </c>
      <c r="EE171" s="35">
        <f>833*1000000/1627500</f>
        <v>511.8279569892473</v>
      </c>
      <c r="EF171" s="35">
        <f t="shared" si="31"/>
        <v>636.55913978494618</v>
      </c>
      <c r="EH171" s="35">
        <v>49.155145929339476</v>
      </c>
      <c r="EI171" s="35">
        <f t="shared" si="32"/>
        <v>83.563748079877115</v>
      </c>
      <c r="EL171" s="35" t="s">
        <v>381</v>
      </c>
      <c r="EN171" s="35">
        <v>13</v>
      </c>
    </row>
    <row r="172" spans="1:144" s="23" customFormat="1" x14ac:dyDescent="0.25">
      <c r="A172" s="23">
        <v>14</v>
      </c>
      <c r="B172" s="23" t="s">
        <v>384</v>
      </c>
      <c r="C172" s="23" t="s">
        <v>385</v>
      </c>
      <c r="D172" s="23">
        <v>2011</v>
      </c>
      <c r="E172" s="23">
        <v>2008</v>
      </c>
      <c r="F172" s="23" t="s">
        <v>387</v>
      </c>
      <c r="G172" s="23" t="s">
        <v>386</v>
      </c>
      <c r="H172" s="23">
        <v>46.88</v>
      </c>
      <c r="I172" s="23">
        <v>-102.79</v>
      </c>
      <c r="J172" s="23">
        <v>735.8</v>
      </c>
      <c r="P172" s="53" t="s">
        <v>186</v>
      </c>
      <c r="Q172" s="53"/>
      <c r="R172" s="53"/>
      <c r="S172" s="53"/>
      <c r="W172" s="23" t="s">
        <v>182</v>
      </c>
      <c r="AB172" s="23" t="s">
        <v>326</v>
      </c>
      <c r="AC172" s="23" t="s">
        <v>309</v>
      </c>
      <c r="AG172" s="23" t="s">
        <v>297</v>
      </c>
      <c r="AH172" s="23" t="s">
        <v>297</v>
      </c>
      <c r="AI172" s="23" t="s">
        <v>252</v>
      </c>
      <c r="AM172" s="23" t="s">
        <v>160</v>
      </c>
      <c r="AQ172" s="23">
        <v>1728</v>
      </c>
      <c r="AT172" s="64" t="s">
        <v>388</v>
      </c>
      <c r="DJ172" s="23">
        <v>309</v>
      </c>
      <c r="DK172" s="23">
        <v>584</v>
      </c>
      <c r="DP172" s="12"/>
      <c r="DR172" s="15"/>
      <c r="EL172" s="23" t="s">
        <v>941</v>
      </c>
      <c r="EN172" s="23">
        <v>14</v>
      </c>
    </row>
    <row r="173" spans="1:144" s="23" customFormat="1" x14ac:dyDescent="0.25">
      <c r="A173" s="23">
        <v>14</v>
      </c>
      <c r="B173" s="23" t="s">
        <v>384</v>
      </c>
      <c r="C173" s="23" t="s">
        <v>385</v>
      </c>
      <c r="D173" s="23">
        <v>2011</v>
      </c>
      <c r="E173" s="23">
        <v>2008</v>
      </c>
      <c r="F173" s="23" t="s">
        <v>387</v>
      </c>
      <c r="G173" s="23" t="s">
        <v>386</v>
      </c>
      <c r="H173" s="23">
        <v>46.88</v>
      </c>
      <c r="I173" s="23">
        <v>-102.79</v>
      </c>
      <c r="J173" s="23">
        <v>735.8</v>
      </c>
      <c r="P173" s="53" t="s">
        <v>186</v>
      </c>
      <c r="Q173" s="53"/>
      <c r="R173" s="53"/>
      <c r="S173" s="53"/>
      <c r="W173" s="23" t="s">
        <v>182</v>
      </c>
      <c r="AB173" s="23" t="s">
        <v>326</v>
      </c>
      <c r="AC173" s="23" t="s">
        <v>309</v>
      </c>
      <c r="AG173" s="23" t="s">
        <v>297</v>
      </c>
      <c r="AH173" s="23" t="s">
        <v>297</v>
      </c>
      <c r="AI173" s="23" t="s">
        <v>252</v>
      </c>
      <c r="AM173" s="23" t="s">
        <v>160</v>
      </c>
      <c r="AQ173" s="23">
        <v>1728</v>
      </c>
      <c r="AT173" s="64" t="s">
        <v>389</v>
      </c>
      <c r="DJ173" s="23">
        <v>196</v>
      </c>
      <c r="DK173" s="23">
        <v>584</v>
      </c>
      <c r="DP173" s="12"/>
      <c r="DR173" s="15"/>
      <c r="EL173" s="23" t="s">
        <v>941</v>
      </c>
      <c r="EN173" s="23">
        <v>14</v>
      </c>
    </row>
    <row r="174" spans="1:144" s="23" customFormat="1" x14ac:dyDescent="0.25">
      <c r="A174" s="23">
        <v>14</v>
      </c>
      <c r="B174" s="23" t="s">
        <v>384</v>
      </c>
      <c r="C174" s="23" t="s">
        <v>385</v>
      </c>
      <c r="D174" s="23">
        <v>2011</v>
      </c>
      <c r="E174" s="23">
        <v>2008</v>
      </c>
      <c r="F174" s="23" t="s">
        <v>387</v>
      </c>
      <c r="G174" s="23" t="s">
        <v>386</v>
      </c>
      <c r="H174" s="23">
        <v>46.88</v>
      </c>
      <c r="I174" s="23">
        <v>-102.79</v>
      </c>
      <c r="J174" s="23">
        <v>735.8</v>
      </c>
      <c r="P174" s="53" t="s">
        <v>186</v>
      </c>
      <c r="Q174" s="53"/>
      <c r="R174" s="53"/>
      <c r="S174" s="53"/>
      <c r="W174" s="23" t="s">
        <v>182</v>
      </c>
      <c r="AB174" s="23" t="s">
        <v>326</v>
      </c>
      <c r="AC174" s="23" t="s">
        <v>309</v>
      </c>
      <c r="AG174" s="23" t="s">
        <v>297</v>
      </c>
      <c r="AH174" s="23" t="s">
        <v>297</v>
      </c>
      <c r="AI174" s="23" t="s">
        <v>252</v>
      </c>
      <c r="AM174" s="23" t="s">
        <v>160</v>
      </c>
      <c r="AQ174" s="23">
        <v>1728</v>
      </c>
      <c r="AT174" s="64" t="s">
        <v>390</v>
      </c>
      <c r="DJ174" s="23">
        <v>569</v>
      </c>
      <c r="DK174" s="23">
        <v>584</v>
      </c>
      <c r="DP174" s="12"/>
      <c r="DR174" s="15"/>
      <c r="EL174" s="23" t="s">
        <v>941</v>
      </c>
      <c r="EN174" s="23">
        <v>14</v>
      </c>
    </row>
    <row r="175" spans="1:144" s="38" customFormat="1" x14ac:dyDescent="0.25">
      <c r="A175" s="38">
        <v>14</v>
      </c>
      <c r="B175" s="38" t="s">
        <v>384</v>
      </c>
      <c r="C175" s="38" t="s">
        <v>385</v>
      </c>
      <c r="D175" s="38">
        <v>2011</v>
      </c>
      <c r="E175" s="38">
        <v>2008</v>
      </c>
      <c r="F175" s="38" t="s">
        <v>387</v>
      </c>
      <c r="G175" s="38" t="s">
        <v>386</v>
      </c>
      <c r="H175" s="38">
        <v>46.88</v>
      </c>
      <c r="I175" s="38">
        <v>-102.79</v>
      </c>
      <c r="J175" s="38">
        <v>735.8</v>
      </c>
      <c r="P175" s="57" t="s">
        <v>186</v>
      </c>
      <c r="Q175" s="57"/>
      <c r="R175" s="57"/>
      <c r="S175" s="57"/>
      <c r="W175" s="38" t="s">
        <v>182</v>
      </c>
      <c r="AB175" s="38" t="s">
        <v>391</v>
      </c>
      <c r="AC175" s="38" t="s">
        <v>309</v>
      </c>
      <c r="AG175" s="38" t="s">
        <v>297</v>
      </c>
      <c r="AH175" s="38" t="s">
        <v>297</v>
      </c>
      <c r="AI175" s="38" t="s">
        <v>252</v>
      </c>
      <c r="AM175" s="38" t="s">
        <v>160</v>
      </c>
      <c r="AQ175" s="38">
        <v>3615</v>
      </c>
      <c r="AT175" s="64" t="s">
        <v>388</v>
      </c>
      <c r="DJ175" s="23">
        <v>309</v>
      </c>
      <c r="DK175" s="38">
        <v>153</v>
      </c>
      <c r="DP175" s="12"/>
      <c r="DR175" s="15"/>
      <c r="EL175" s="38" t="s">
        <v>941</v>
      </c>
      <c r="EN175" s="38">
        <v>14</v>
      </c>
    </row>
    <row r="176" spans="1:144" s="38" customFormat="1" x14ac:dyDescent="0.25">
      <c r="A176" s="38">
        <v>14</v>
      </c>
      <c r="B176" s="38" t="s">
        <v>384</v>
      </c>
      <c r="C176" s="38" t="s">
        <v>385</v>
      </c>
      <c r="D176" s="38">
        <v>2011</v>
      </c>
      <c r="E176" s="38">
        <v>2008</v>
      </c>
      <c r="F176" s="38" t="s">
        <v>387</v>
      </c>
      <c r="G176" s="38" t="s">
        <v>386</v>
      </c>
      <c r="H176" s="38">
        <v>46.88</v>
      </c>
      <c r="I176" s="38">
        <v>-102.79</v>
      </c>
      <c r="J176" s="38">
        <v>735.8</v>
      </c>
      <c r="P176" s="57" t="s">
        <v>186</v>
      </c>
      <c r="Q176" s="57"/>
      <c r="R176" s="57"/>
      <c r="S176" s="57"/>
      <c r="W176" s="38" t="s">
        <v>182</v>
      </c>
      <c r="AB176" s="38" t="s">
        <v>391</v>
      </c>
      <c r="AC176" s="38" t="s">
        <v>309</v>
      </c>
      <c r="AG176" s="38" t="s">
        <v>297</v>
      </c>
      <c r="AH176" s="38" t="s">
        <v>297</v>
      </c>
      <c r="AI176" s="38" t="s">
        <v>252</v>
      </c>
      <c r="AM176" s="38" t="s">
        <v>160</v>
      </c>
      <c r="AQ176" s="38">
        <v>3615</v>
      </c>
      <c r="AT176" s="64" t="s">
        <v>389</v>
      </c>
      <c r="DJ176" s="23">
        <v>196</v>
      </c>
      <c r="DK176" s="38">
        <v>153</v>
      </c>
      <c r="DP176" s="12"/>
      <c r="DR176" s="15"/>
      <c r="EL176" s="38" t="s">
        <v>941</v>
      </c>
      <c r="EN176" s="38">
        <v>14</v>
      </c>
    </row>
    <row r="177" spans="1:144" s="38" customFormat="1" x14ac:dyDescent="0.25">
      <c r="A177" s="38">
        <v>14</v>
      </c>
      <c r="B177" s="38" t="s">
        <v>384</v>
      </c>
      <c r="C177" s="38" t="s">
        <v>385</v>
      </c>
      <c r="D177" s="38">
        <v>2011</v>
      </c>
      <c r="E177" s="38">
        <v>2008</v>
      </c>
      <c r="F177" s="38" t="s">
        <v>387</v>
      </c>
      <c r="G177" s="38" t="s">
        <v>386</v>
      </c>
      <c r="H177" s="38">
        <v>46.88</v>
      </c>
      <c r="I177" s="38">
        <v>-102.79</v>
      </c>
      <c r="J177" s="38">
        <v>735.8</v>
      </c>
      <c r="P177" s="57" t="s">
        <v>186</v>
      </c>
      <c r="Q177" s="57"/>
      <c r="R177" s="57"/>
      <c r="S177" s="57"/>
      <c r="W177" s="38" t="s">
        <v>182</v>
      </c>
      <c r="AB177" s="38" t="s">
        <v>391</v>
      </c>
      <c r="AC177" s="38" t="s">
        <v>309</v>
      </c>
      <c r="AG177" s="38" t="s">
        <v>297</v>
      </c>
      <c r="AH177" s="38" t="s">
        <v>297</v>
      </c>
      <c r="AI177" s="38" t="s">
        <v>252</v>
      </c>
      <c r="AM177" s="38" t="s">
        <v>160</v>
      </c>
      <c r="AQ177" s="38">
        <v>3615</v>
      </c>
      <c r="AT177" s="64" t="s">
        <v>390</v>
      </c>
      <c r="DJ177" s="23">
        <v>569</v>
      </c>
      <c r="DK177" s="38">
        <v>153</v>
      </c>
      <c r="DP177" s="12"/>
      <c r="DR177" s="15"/>
      <c r="EL177" s="38" t="s">
        <v>941</v>
      </c>
      <c r="EN177" s="38">
        <v>14</v>
      </c>
    </row>
    <row r="178" spans="1:144" s="23" customFormat="1" x14ac:dyDescent="0.25">
      <c r="A178" s="23">
        <v>14</v>
      </c>
      <c r="B178" s="23" t="s">
        <v>384</v>
      </c>
      <c r="C178" s="23" t="s">
        <v>385</v>
      </c>
      <c r="D178" s="23">
        <v>2011</v>
      </c>
      <c r="E178" s="23">
        <v>2008</v>
      </c>
      <c r="F178" s="23" t="s">
        <v>387</v>
      </c>
      <c r="G178" s="23" t="s">
        <v>386</v>
      </c>
      <c r="H178" s="23">
        <v>46.88</v>
      </c>
      <c r="I178" s="23">
        <v>-102.79</v>
      </c>
      <c r="J178" s="23">
        <v>735.8</v>
      </c>
      <c r="P178" s="53" t="s">
        <v>186</v>
      </c>
      <c r="Q178" s="53"/>
      <c r="R178" s="53"/>
      <c r="S178" s="53"/>
      <c r="W178" s="23" t="s">
        <v>182</v>
      </c>
      <c r="AB178" s="23" t="s">
        <v>613</v>
      </c>
      <c r="AC178" s="23" t="s">
        <v>309</v>
      </c>
      <c r="AG178" s="23" t="s">
        <v>297</v>
      </c>
      <c r="AH178" s="23" t="s">
        <v>297</v>
      </c>
      <c r="AI178" s="23" t="s">
        <v>252</v>
      </c>
      <c r="AM178" s="23" t="s">
        <v>160</v>
      </c>
      <c r="AQ178" s="23">
        <v>4113</v>
      </c>
      <c r="AT178" s="64" t="s">
        <v>388</v>
      </c>
      <c r="DJ178" s="23">
        <v>309</v>
      </c>
      <c r="DK178" s="23">
        <v>274</v>
      </c>
      <c r="DP178" s="12"/>
      <c r="DR178" s="15"/>
      <c r="EL178" s="23" t="s">
        <v>941</v>
      </c>
      <c r="EN178" s="23">
        <v>14</v>
      </c>
    </row>
    <row r="179" spans="1:144" s="23" customFormat="1" x14ac:dyDescent="0.25">
      <c r="A179" s="23">
        <v>14</v>
      </c>
      <c r="B179" s="23" t="s">
        <v>384</v>
      </c>
      <c r="C179" s="23" t="s">
        <v>385</v>
      </c>
      <c r="D179" s="23">
        <v>2011</v>
      </c>
      <c r="E179" s="23">
        <v>2008</v>
      </c>
      <c r="F179" s="23" t="s">
        <v>387</v>
      </c>
      <c r="G179" s="23" t="s">
        <v>386</v>
      </c>
      <c r="H179" s="23">
        <v>46.88</v>
      </c>
      <c r="I179" s="23">
        <v>-102.79</v>
      </c>
      <c r="J179" s="23">
        <v>735.8</v>
      </c>
      <c r="P179" s="53" t="s">
        <v>186</v>
      </c>
      <c r="Q179" s="53"/>
      <c r="R179" s="53"/>
      <c r="S179" s="53"/>
      <c r="W179" s="23" t="s">
        <v>182</v>
      </c>
      <c r="AB179" s="23" t="s">
        <v>613</v>
      </c>
      <c r="AC179" s="23" t="s">
        <v>309</v>
      </c>
      <c r="AG179" s="23" t="s">
        <v>297</v>
      </c>
      <c r="AH179" s="23" t="s">
        <v>297</v>
      </c>
      <c r="AI179" s="23" t="s">
        <v>252</v>
      </c>
      <c r="AM179" s="23" t="s">
        <v>160</v>
      </c>
      <c r="AQ179" s="23">
        <v>4113</v>
      </c>
      <c r="AT179" s="64" t="s">
        <v>389</v>
      </c>
      <c r="DJ179" s="23">
        <v>196</v>
      </c>
      <c r="DK179" s="23">
        <v>274</v>
      </c>
      <c r="DP179" s="12"/>
      <c r="DR179" s="15"/>
      <c r="EL179" s="23" t="s">
        <v>941</v>
      </c>
      <c r="EN179" s="23">
        <v>14</v>
      </c>
    </row>
    <row r="180" spans="1:144" s="23" customFormat="1" x14ac:dyDescent="0.25">
      <c r="A180" s="23">
        <v>14</v>
      </c>
      <c r="B180" s="23" t="s">
        <v>384</v>
      </c>
      <c r="C180" s="23" t="s">
        <v>385</v>
      </c>
      <c r="D180" s="23">
        <v>2011</v>
      </c>
      <c r="E180" s="23">
        <v>2008</v>
      </c>
      <c r="F180" s="23" t="s">
        <v>387</v>
      </c>
      <c r="G180" s="23" t="s">
        <v>386</v>
      </c>
      <c r="H180" s="23">
        <v>46.88</v>
      </c>
      <c r="I180" s="23">
        <v>-102.79</v>
      </c>
      <c r="J180" s="23">
        <v>735.8</v>
      </c>
      <c r="P180" s="53" t="s">
        <v>186</v>
      </c>
      <c r="Q180" s="53"/>
      <c r="R180" s="53"/>
      <c r="S180" s="53"/>
      <c r="W180" s="23" t="s">
        <v>182</v>
      </c>
      <c r="AB180" s="23" t="s">
        <v>613</v>
      </c>
      <c r="AC180" s="23" t="s">
        <v>309</v>
      </c>
      <c r="AG180" s="23" t="s">
        <v>297</v>
      </c>
      <c r="AH180" s="23" t="s">
        <v>297</v>
      </c>
      <c r="AI180" s="23" t="s">
        <v>252</v>
      </c>
      <c r="AM180" s="23" t="s">
        <v>160</v>
      </c>
      <c r="AQ180" s="23">
        <v>4113</v>
      </c>
      <c r="AT180" s="64" t="s">
        <v>390</v>
      </c>
      <c r="DJ180" s="23">
        <v>569</v>
      </c>
      <c r="DK180" s="23">
        <v>274</v>
      </c>
      <c r="DP180" s="12"/>
      <c r="DR180" s="15"/>
      <c r="EL180" s="23" t="s">
        <v>941</v>
      </c>
      <c r="EN180" s="23">
        <v>14</v>
      </c>
    </row>
    <row r="181" spans="1:144" s="5" customFormat="1" x14ac:dyDescent="0.25">
      <c r="A181" s="38">
        <v>14</v>
      </c>
      <c r="B181" s="38" t="s">
        <v>384</v>
      </c>
      <c r="C181" s="38" t="s">
        <v>385</v>
      </c>
      <c r="D181" s="38">
        <v>2011</v>
      </c>
      <c r="E181" s="38">
        <v>2008</v>
      </c>
      <c r="F181" s="38" t="s">
        <v>387</v>
      </c>
      <c r="G181" s="38" t="s">
        <v>386</v>
      </c>
      <c r="H181" s="38">
        <v>46.88</v>
      </c>
      <c r="I181" s="38">
        <v>-102.79</v>
      </c>
      <c r="J181" s="38">
        <v>735.8</v>
      </c>
      <c r="K181" s="38"/>
      <c r="L181" s="38"/>
      <c r="M181" s="38"/>
      <c r="N181" s="38"/>
      <c r="O181" s="38"/>
      <c r="P181" s="57" t="s">
        <v>186</v>
      </c>
      <c r="Q181" s="57"/>
      <c r="R181" s="57"/>
      <c r="S181" s="57"/>
      <c r="T181" s="38"/>
      <c r="U181" s="38"/>
      <c r="V181" s="38"/>
      <c r="W181" s="38" t="s">
        <v>182</v>
      </c>
      <c r="X181" s="38"/>
      <c r="Y181" s="38"/>
      <c r="Z181" s="38"/>
      <c r="AA181" s="38"/>
      <c r="AB181" s="38" t="s">
        <v>1510</v>
      </c>
      <c r="AC181" s="38" t="s">
        <v>309</v>
      </c>
      <c r="AD181" s="38"/>
      <c r="AE181" s="38"/>
      <c r="AF181" s="38"/>
      <c r="AG181" s="38" t="s">
        <v>297</v>
      </c>
      <c r="AH181" s="38" t="s">
        <v>297</v>
      </c>
      <c r="AI181" s="38" t="s">
        <v>252</v>
      </c>
      <c r="AJ181" s="38"/>
      <c r="AK181" s="38"/>
      <c r="AL181" s="38"/>
      <c r="AM181" s="38" t="s">
        <v>160</v>
      </c>
      <c r="AQ181" s="5">
        <v>3535</v>
      </c>
      <c r="AT181" s="64" t="s">
        <v>388</v>
      </c>
      <c r="DJ181" s="23">
        <v>309</v>
      </c>
      <c r="DK181" s="5">
        <v>286</v>
      </c>
      <c r="DP181" s="12"/>
      <c r="DR181" s="15"/>
      <c r="EK181" s="38"/>
      <c r="EL181" s="38" t="s">
        <v>941</v>
      </c>
      <c r="EN181" s="38">
        <v>14</v>
      </c>
    </row>
    <row r="182" spans="1:144" s="5" customFormat="1" x14ac:dyDescent="0.25">
      <c r="A182" s="38">
        <v>14</v>
      </c>
      <c r="B182" s="38" t="s">
        <v>384</v>
      </c>
      <c r="C182" s="38" t="s">
        <v>385</v>
      </c>
      <c r="D182" s="38">
        <v>2011</v>
      </c>
      <c r="E182" s="38">
        <v>2008</v>
      </c>
      <c r="F182" s="38" t="s">
        <v>387</v>
      </c>
      <c r="G182" s="38" t="s">
        <v>386</v>
      </c>
      <c r="H182" s="38">
        <v>46.88</v>
      </c>
      <c r="I182" s="38">
        <v>-102.79</v>
      </c>
      <c r="J182" s="38">
        <v>735.8</v>
      </c>
      <c r="K182" s="38"/>
      <c r="L182" s="38"/>
      <c r="M182" s="38"/>
      <c r="N182" s="38"/>
      <c r="O182" s="38"/>
      <c r="P182" s="57" t="s">
        <v>186</v>
      </c>
      <c r="Q182" s="57"/>
      <c r="R182" s="57"/>
      <c r="S182" s="57"/>
      <c r="T182" s="38"/>
      <c r="U182" s="38"/>
      <c r="V182" s="38"/>
      <c r="W182" s="38" t="s">
        <v>182</v>
      </c>
      <c r="X182" s="38"/>
      <c r="Y182" s="38"/>
      <c r="Z182" s="38"/>
      <c r="AA182" s="38"/>
      <c r="AB182" s="38" t="s">
        <v>1510</v>
      </c>
      <c r="AC182" s="38" t="s">
        <v>309</v>
      </c>
      <c r="AD182" s="38"/>
      <c r="AE182" s="38"/>
      <c r="AF182" s="38"/>
      <c r="AG182" s="38" t="s">
        <v>297</v>
      </c>
      <c r="AH182" s="38" t="s">
        <v>297</v>
      </c>
      <c r="AI182" s="38" t="s">
        <v>252</v>
      </c>
      <c r="AJ182" s="38"/>
      <c r="AK182" s="38"/>
      <c r="AL182" s="38"/>
      <c r="AM182" s="38" t="s">
        <v>160</v>
      </c>
      <c r="AQ182" s="5">
        <v>3535</v>
      </c>
      <c r="AT182" s="64" t="s">
        <v>389</v>
      </c>
      <c r="DJ182" s="23">
        <v>196</v>
      </c>
      <c r="DK182" s="5">
        <v>286</v>
      </c>
      <c r="DP182" s="12"/>
      <c r="DR182" s="15"/>
      <c r="EK182" s="38"/>
      <c r="EL182" s="38" t="s">
        <v>941</v>
      </c>
      <c r="EN182" s="38">
        <v>14</v>
      </c>
    </row>
    <row r="183" spans="1:144" s="5" customFormat="1" x14ac:dyDescent="0.25">
      <c r="A183" s="38">
        <v>14</v>
      </c>
      <c r="B183" s="38" t="s">
        <v>384</v>
      </c>
      <c r="C183" s="38" t="s">
        <v>385</v>
      </c>
      <c r="D183" s="38">
        <v>2011</v>
      </c>
      <c r="E183" s="38">
        <v>2008</v>
      </c>
      <c r="F183" s="38" t="s">
        <v>387</v>
      </c>
      <c r="G183" s="38" t="s">
        <v>386</v>
      </c>
      <c r="H183" s="38">
        <v>46.88</v>
      </c>
      <c r="I183" s="38">
        <v>-102.79</v>
      </c>
      <c r="J183" s="38">
        <v>735.8</v>
      </c>
      <c r="K183" s="38"/>
      <c r="L183" s="38"/>
      <c r="M183" s="38"/>
      <c r="N183" s="38"/>
      <c r="O183" s="38"/>
      <c r="P183" s="57" t="s">
        <v>186</v>
      </c>
      <c r="Q183" s="57"/>
      <c r="R183" s="57"/>
      <c r="S183" s="57"/>
      <c r="T183" s="38"/>
      <c r="U183" s="38"/>
      <c r="V183" s="38"/>
      <c r="W183" s="38" t="s">
        <v>182</v>
      </c>
      <c r="X183" s="38"/>
      <c r="Y183" s="38"/>
      <c r="Z183" s="38"/>
      <c r="AA183" s="38"/>
      <c r="AB183" s="38" t="s">
        <v>1510</v>
      </c>
      <c r="AC183" s="38" t="s">
        <v>309</v>
      </c>
      <c r="AD183" s="38"/>
      <c r="AE183" s="38"/>
      <c r="AF183" s="38"/>
      <c r="AG183" s="38" t="s">
        <v>297</v>
      </c>
      <c r="AH183" s="38" t="s">
        <v>297</v>
      </c>
      <c r="AI183" s="38" t="s">
        <v>252</v>
      </c>
      <c r="AJ183" s="38"/>
      <c r="AK183" s="38"/>
      <c r="AL183" s="38"/>
      <c r="AM183" s="38" t="s">
        <v>160</v>
      </c>
      <c r="AQ183" s="5">
        <v>3535</v>
      </c>
      <c r="AT183" s="64" t="s">
        <v>390</v>
      </c>
      <c r="DJ183" s="23">
        <v>569</v>
      </c>
      <c r="DK183" s="5">
        <v>286</v>
      </c>
      <c r="DP183" s="12"/>
      <c r="DR183" s="15"/>
      <c r="EK183" s="38"/>
      <c r="EL183" s="38" t="s">
        <v>941</v>
      </c>
      <c r="EN183" s="38">
        <v>14</v>
      </c>
    </row>
    <row r="184" spans="1:144" s="23" customFormat="1" x14ac:dyDescent="0.25">
      <c r="A184" s="23">
        <v>14</v>
      </c>
      <c r="B184" s="23" t="s">
        <v>384</v>
      </c>
      <c r="C184" s="23" t="s">
        <v>385</v>
      </c>
      <c r="D184" s="23">
        <v>2011</v>
      </c>
      <c r="E184" s="23">
        <v>2008</v>
      </c>
      <c r="F184" s="23" t="s">
        <v>387</v>
      </c>
      <c r="G184" s="23" t="s">
        <v>386</v>
      </c>
      <c r="H184" s="23">
        <v>46.88</v>
      </c>
      <c r="I184" s="23">
        <v>-102.79</v>
      </c>
      <c r="J184" s="23">
        <v>735.8</v>
      </c>
      <c r="P184" s="53" t="s">
        <v>186</v>
      </c>
      <c r="Q184" s="53"/>
      <c r="R184" s="53"/>
      <c r="S184" s="53"/>
      <c r="W184" s="23" t="s">
        <v>182</v>
      </c>
      <c r="AB184" s="23" t="s">
        <v>1510</v>
      </c>
      <c r="AC184" s="23" t="s">
        <v>309</v>
      </c>
      <c r="AG184" s="23" t="s">
        <v>297</v>
      </c>
      <c r="AH184" s="23" t="s">
        <v>297</v>
      </c>
      <c r="AI184" s="23" t="s">
        <v>252</v>
      </c>
      <c r="AM184" s="23" t="s">
        <v>160</v>
      </c>
      <c r="AQ184" s="23">
        <v>2765</v>
      </c>
      <c r="AT184" s="64" t="s">
        <v>388</v>
      </c>
      <c r="DJ184" s="23">
        <v>309</v>
      </c>
      <c r="DK184" s="23">
        <v>172</v>
      </c>
      <c r="DP184" s="12"/>
      <c r="DR184" s="15"/>
      <c r="EL184" s="23" t="s">
        <v>941</v>
      </c>
      <c r="EN184" s="23">
        <v>14</v>
      </c>
    </row>
    <row r="185" spans="1:144" s="23" customFormat="1" x14ac:dyDescent="0.25">
      <c r="A185" s="23">
        <v>14</v>
      </c>
      <c r="B185" s="23" t="s">
        <v>384</v>
      </c>
      <c r="C185" s="23" t="s">
        <v>385</v>
      </c>
      <c r="D185" s="23">
        <v>2011</v>
      </c>
      <c r="E185" s="23">
        <v>2008</v>
      </c>
      <c r="F185" s="23" t="s">
        <v>387</v>
      </c>
      <c r="G185" s="23" t="s">
        <v>386</v>
      </c>
      <c r="H185" s="23">
        <v>46.88</v>
      </c>
      <c r="I185" s="23">
        <v>-102.79</v>
      </c>
      <c r="J185" s="23">
        <v>735.8</v>
      </c>
      <c r="P185" s="53" t="s">
        <v>186</v>
      </c>
      <c r="Q185" s="53"/>
      <c r="R185" s="53"/>
      <c r="S185" s="53"/>
      <c r="W185" s="23" t="s">
        <v>182</v>
      </c>
      <c r="AB185" s="23" t="s">
        <v>1510</v>
      </c>
      <c r="AC185" s="23" t="s">
        <v>309</v>
      </c>
      <c r="AG185" s="23" t="s">
        <v>297</v>
      </c>
      <c r="AH185" s="23" t="s">
        <v>297</v>
      </c>
      <c r="AI185" s="23" t="s">
        <v>252</v>
      </c>
      <c r="AM185" s="23" t="s">
        <v>160</v>
      </c>
      <c r="AQ185" s="23">
        <v>2765</v>
      </c>
      <c r="AT185" s="64" t="s">
        <v>389</v>
      </c>
      <c r="DJ185" s="23">
        <v>196</v>
      </c>
      <c r="DK185" s="23">
        <v>172</v>
      </c>
      <c r="DP185" s="12"/>
      <c r="DR185" s="15"/>
      <c r="EL185" s="23" t="s">
        <v>941</v>
      </c>
      <c r="EN185" s="23">
        <v>14</v>
      </c>
    </row>
    <row r="186" spans="1:144" s="23" customFormat="1" x14ac:dyDescent="0.25">
      <c r="A186" s="23">
        <v>14</v>
      </c>
      <c r="B186" s="23" t="s">
        <v>384</v>
      </c>
      <c r="C186" s="23" t="s">
        <v>385</v>
      </c>
      <c r="D186" s="23">
        <v>2011</v>
      </c>
      <c r="E186" s="23">
        <v>2008</v>
      </c>
      <c r="F186" s="23" t="s">
        <v>387</v>
      </c>
      <c r="G186" s="23" t="s">
        <v>386</v>
      </c>
      <c r="H186" s="23">
        <v>46.88</v>
      </c>
      <c r="I186" s="23">
        <v>-102.79</v>
      </c>
      <c r="J186" s="23">
        <v>735.8</v>
      </c>
      <c r="P186" s="53" t="s">
        <v>186</v>
      </c>
      <c r="Q186" s="53"/>
      <c r="R186" s="53"/>
      <c r="S186" s="53"/>
      <c r="W186" s="23" t="s">
        <v>182</v>
      </c>
      <c r="AB186" s="23" t="s">
        <v>1510</v>
      </c>
      <c r="AC186" s="23" t="s">
        <v>309</v>
      </c>
      <c r="AG186" s="23" t="s">
        <v>297</v>
      </c>
      <c r="AH186" s="23" t="s">
        <v>297</v>
      </c>
      <c r="AI186" s="23" t="s">
        <v>252</v>
      </c>
      <c r="AM186" s="23" t="s">
        <v>160</v>
      </c>
      <c r="AQ186" s="23">
        <v>2765</v>
      </c>
      <c r="AT186" s="64" t="s">
        <v>390</v>
      </c>
      <c r="DJ186" s="23">
        <v>569</v>
      </c>
      <c r="DK186" s="23">
        <v>172</v>
      </c>
      <c r="DP186" s="12"/>
      <c r="DR186" s="15"/>
      <c r="EL186" s="23" t="s">
        <v>941</v>
      </c>
      <c r="EN186" s="23">
        <v>14</v>
      </c>
    </row>
    <row r="187" spans="1:144" s="5" customFormat="1" x14ac:dyDescent="0.25">
      <c r="A187" s="38">
        <v>14</v>
      </c>
      <c r="B187" s="38" t="s">
        <v>384</v>
      </c>
      <c r="C187" s="38" t="s">
        <v>385</v>
      </c>
      <c r="D187" s="38">
        <v>2011</v>
      </c>
      <c r="E187" s="38">
        <v>2009</v>
      </c>
      <c r="F187" s="38" t="s">
        <v>387</v>
      </c>
      <c r="G187" s="38" t="s">
        <v>386</v>
      </c>
      <c r="H187" s="38">
        <v>46.88</v>
      </c>
      <c r="I187" s="38">
        <v>-102.79</v>
      </c>
      <c r="J187" s="38">
        <v>735.8</v>
      </c>
      <c r="K187" s="38"/>
      <c r="L187" s="38"/>
      <c r="M187" s="38"/>
      <c r="N187" s="38"/>
      <c r="O187" s="38"/>
      <c r="P187" s="57" t="s">
        <v>187</v>
      </c>
      <c r="Q187" s="57"/>
      <c r="R187" s="57"/>
      <c r="S187" s="57"/>
      <c r="T187" s="38"/>
      <c r="U187" s="38"/>
      <c r="V187" s="38"/>
      <c r="W187" s="38" t="s">
        <v>182</v>
      </c>
      <c r="X187" s="38"/>
      <c r="Y187" s="38"/>
      <c r="Z187" s="38"/>
      <c r="AA187" s="38"/>
      <c r="AB187" s="38" t="s">
        <v>326</v>
      </c>
      <c r="AC187" s="38" t="s">
        <v>309</v>
      </c>
      <c r="AD187" s="38"/>
      <c r="AE187" s="38"/>
      <c r="AF187" s="38"/>
      <c r="AG187" s="38" t="s">
        <v>297</v>
      </c>
      <c r="AH187" s="38" t="s">
        <v>297</v>
      </c>
      <c r="AI187" s="38" t="s">
        <v>252</v>
      </c>
      <c r="AJ187" s="38"/>
      <c r="AK187" s="38"/>
      <c r="AL187" s="38"/>
      <c r="AM187" s="38" t="s">
        <v>160</v>
      </c>
      <c r="AQ187" s="5">
        <v>702</v>
      </c>
      <c r="AT187" s="64" t="s">
        <v>388</v>
      </c>
      <c r="DJ187" s="5">
        <v>589</v>
      </c>
      <c r="DK187" s="5">
        <v>1689</v>
      </c>
      <c r="DP187" s="12"/>
      <c r="DR187" s="15"/>
      <c r="EK187" s="38"/>
      <c r="EL187" s="38" t="s">
        <v>941</v>
      </c>
      <c r="EN187" s="38">
        <v>14</v>
      </c>
    </row>
    <row r="188" spans="1:144" s="5" customFormat="1" x14ac:dyDescent="0.25">
      <c r="A188" s="38">
        <v>14</v>
      </c>
      <c r="B188" s="38" t="s">
        <v>384</v>
      </c>
      <c r="C188" s="38" t="s">
        <v>385</v>
      </c>
      <c r="D188" s="38">
        <v>2011</v>
      </c>
      <c r="E188" s="38">
        <v>2009</v>
      </c>
      <c r="F188" s="38" t="s">
        <v>387</v>
      </c>
      <c r="G188" s="38" t="s">
        <v>386</v>
      </c>
      <c r="H188" s="38">
        <v>46.88</v>
      </c>
      <c r="I188" s="38">
        <v>-102.79</v>
      </c>
      <c r="J188" s="38">
        <v>735.8</v>
      </c>
      <c r="K188" s="38"/>
      <c r="L188" s="38"/>
      <c r="M188" s="38"/>
      <c r="N188" s="38"/>
      <c r="O188" s="38"/>
      <c r="P188" s="57" t="s">
        <v>187</v>
      </c>
      <c r="Q188" s="57"/>
      <c r="R188" s="57"/>
      <c r="S188" s="57"/>
      <c r="T188" s="38"/>
      <c r="U188" s="38"/>
      <c r="V188" s="38"/>
      <c r="W188" s="38" t="s">
        <v>182</v>
      </c>
      <c r="X188" s="38"/>
      <c r="Y188" s="38"/>
      <c r="Z188" s="38"/>
      <c r="AA188" s="38"/>
      <c r="AB188" s="38" t="s">
        <v>326</v>
      </c>
      <c r="AC188" s="38" t="s">
        <v>309</v>
      </c>
      <c r="AD188" s="38"/>
      <c r="AE188" s="38"/>
      <c r="AF188" s="38"/>
      <c r="AG188" s="38" t="s">
        <v>297</v>
      </c>
      <c r="AH188" s="38" t="s">
        <v>297</v>
      </c>
      <c r="AI188" s="38" t="s">
        <v>252</v>
      </c>
      <c r="AJ188" s="38"/>
      <c r="AK188" s="38"/>
      <c r="AL188" s="38"/>
      <c r="AM188" s="38" t="s">
        <v>160</v>
      </c>
      <c r="AQ188" s="5">
        <v>702</v>
      </c>
      <c r="AT188" s="64" t="s">
        <v>389</v>
      </c>
      <c r="DJ188" s="5">
        <v>944</v>
      </c>
      <c r="DK188" s="5">
        <v>1689</v>
      </c>
      <c r="DP188" s="12"/>
      <c r="DR188" s="15"/>
      <c r="EK188" s="38"/>
      <c r="EL188" s="38" t="s">
        <v>941</v>
      </c>
      <c r="EN188" s="38">
        <v>14</v>
      </c>
    </row>
    <row r="189" spans="1:144" s="5" customFormat="1" x14ac:dyDescent="0.25">
      <c r="A189" s="38">
        <v>14</v>
      </c>
      <c r="B189" s="38" t="s">
        <v>384</v>
      </c>
      <c r="C189" s="38" t="s">
        <v>385</v>
      </c>
      <c r="D189" s="38">
        <v>2011</v>
      </c>
      <c r="E189" s="38">
        <v>2009</v>
      </c>
      <c r="F189" s="38" t="s">
        <v>387</v>
      </c>
      <c r="G189" s="38" t="s">
        <v>386</v>
      </c>
      <c r="H189" s="38">
        <v>46.88</v>
      </c>
      <c r="I189" s="38">
        <v>-102.79</v>
      </c>
      <c r="J189" s="38">
        <v>735.8</v>
      </c>
      <c r="K189" s="38"/>
      <c r="L189" s="38"/>
      <c r="M189" s="38"/>
      <c r="N189" s="38"/>
      <c r="O189" s="38"/>
      <c r="P189" s="57" t="s">
        <v>187</v>
      </c>
      <c r="Q189" s="57"/>
      <c r="R189" s="57"/>
      <c r="S189" s="57"/>
      <c r="T189" s="38"/>
      <c r="U189" s="38"/>
      <c r="V189" s="38"/>
      <c r="W189" s="38" t="s">
        <v>182</v>
      </c>
      <c r="X189" s="38"/>
      <c r="Y189" s="38"/>
      <c r="Z189" s="38"/>
      <c r="AA189" s="38"/>
      <c r="AB189" s="38" t="s">
        <v>326</v>
      </c>
      <c r="AC189" s="38" t="s">
        <v>309</v>
      </c>
      <c r="AD189" s="38"/>
      <c r="AE189" s="38"/>
      <c r="AF189" s="38"/>
      <c r="AG189" s="38" t="s">
        <v>297</v>
      </c>
      <c r="AH189" s="38" t="s">
        <v>297</v>
      </c>
      <c r="AI189" s="38" t="s">
        <v>252</v>
      </c>
      <c r="AJ189" s="38"/>
      <c r="AK189" s="38"/>
      <c r="AL189" s="38"/>
      <c r="AM189" s="38" t="s">
        <v>160</v>
      </c>
      <c r="AQ189" s="5">
        <v>702</v>
      </c>
      <c r="AT189" s="64" t="s">
        <v>390</v>
      </c>
      <c r="DJ189" s="5">
        <v>404</v>
      </c>
      <c r="DK189" s="5">
        <v>1689</v>
      </c>
      <c r="DP189" s="12"/>
      <c r="DR189" s="15"/>
      <c r="EK189" s="38"/>
      <c r="EL189" s="38" t="s">
        <v>941</v>
      </c>
      <c r="EN189" s="38">
        <v>14</v>
      </c>
    </row>
    <row r="190" spans="1:144" s="23" customFormat="1" x14ac:dyDescent="0.25">
      <c r="A190" s="23">
        <v>14</v>
      </c>
      <c r="B190" s="23" t="s">
        <v>384</v>
      </c>
      <c r="C190" s="23" t="s">
        <v>385</v>
      </c>
      <c r="D190" s="23">
        <v>2011</v>
      </c>
      <c r="E190" s="23">
        <v>2009</v>
      </c>
      <c r="F190" s="23" t="s">
        <v>387</v>
      </c>
      <c r="G190" s="23" t="s">
        <v>386</v>
      </c>
      <c r="H190" s="23">
        <v>46.88</v>
      </c>
      <c r="I190" s="23">
        <v>-102.79</v>
      </c>
      <c r="J190" s="23">
        <v>735.8</v>
      </c>
      <c r="P190" s="53" t="s">
        <v>187</v>
      </c>
      <c r="Q190" s="53"/>
      <c r="R190" s="53"/>
      <c r="S190" s="53"/>
      <c r="W190" s="23" t="s">
        <v>182</v>
      </c>
      <c r="AB190" s="23" t="s">
        <v>326</v>
      </c>
      <c r="AC190" s="23" t="s">
        <v>309</v>
      </c>
      <c r="AG190" s="23" t="s">
        <v>297</v>
      </c>
      <c r="AH190" s="23" t="s">
        <v>297</v>
      </c>
      <c r="AI190" s="23" t="s">
        <v>252</v>
      </c>
      <c r="AM190" s="23" t="s">
        <v>160</v>
      </c>
      <c r="AQ190" s="23">
        <v>4919</v>
      </c>
      <c r="AT190" s="64" t="s">
        <v>388</v>
      </c>
      <c r="DJ190" s="5">
        <v>589</v>
      </c>
      <c r="DK190" s="23">
        <v>75</v>
      </c>
      <c r="DP190" s="12"/>
      <c r="DR190" s="15"/>
      <c r="EL190" s="23" t="s">
        <v>941</v>
      </c>
      <c r="EN190" s="23">
        <v>14</v>
      </c>
    </row>
    <row r="191" spans="1:144" s="23" customFormat="1" x14ac:dyDescent="0.25">
      <c r="A191" s="23">
        <v>14</v>
      </c>
      <c r="B191" s="23" t="s">
        <v>384</v>
      </c>
      <c r="C191" s="23" t="s">
        <v>385</v>
      </c>
      <c r="D191" s="23">
        <v>2011</v>
      </c>
      <c r="E191" s="23">
        <v>2009</v>
      </c>
      <c r="F191" s="23" t="s">
        <v>387</v>
      </c>
      <c r="G191" s="23" t="s">
        <v>386</v>
      </c>
      <c r="H191" s="23">
        <v>46.88</v>
      </c>
      <c r="I191" s="23">
        <v>-102.79</v>
      </c>
      <c r="J191" s="23">
        <v>735.8</v>
      </c>
      <c r="P191" s="53" t="s">
        <v>187</v>
      </c>
      <c r="Q191" s="53"/>
      <c r="R191" s="53"/>
      <c r="S191" s="53"/>
      <c r="W191" s="23" t="s">
        <v>182</v>
      </c>
      <c r="AB191" s="23" t="s">
        <v>326</v>
      </c>
      <c r="AC191" s="23" t="s">
        <v>309</v>
      </c>
      <c r="AG191" s="23" t="s">
        <v>297</v>
      </c>
      <c r="AH191" s="23" t="s">
        <v>297</v>
      </c>
      <c r="AI191" s="23" t="s">
        <v>252</v>
      </c>
      <c r="AM191" s="23" t="s">
        <v>160</v>
      </c>
      <c r="AQ191" s="23">
        <v>4919</v>
      </c>
      <c r="AT191" s="64" t="s">
        <v>389</v>
      </c>
      <c r="DJ191" s="5">
        <v>944</v>
      </c>
      <c r="DK191" s="23">
        <v>75</v>
      </c>
      <c r="DP191" s="12"/>
      <c r="DR191" s="15"/>
      <c r="EL191" s="23" t="s">
        <v>941</v>
      </c>
      <c r="EN191" s="23">
        <v>14</v>
      </c>
    </row>
    <row r="192" spans="1:144" s="23" customFormat="1" x14ac:dyDescent="0.25">
      <c r="A192" s="23">
        <v>14</v>
      </c>
      <c r="B192" s="23" t="s">
        <v>384</v>
      </c>
      <c r="C192" s="23" t="s">
        <v>385</v>
      </c>
      <c r="D192" s="23">
        <v>2011</v>
      </c>
      <c r="E192" s="23">
        <v>2009</v>
      </c>
      <c r="F192" s="23" t="s">
        <v>387</v>
      </c>
      <c r="G192" s="23" t="s">
        <v>386</v>
      </c>
      <c r="H192" s="23">
        <v>46.88</v>
      </c>
      <c r="I192" s="23">
        <v>-102.79</v>
      </c>
      <c r="J192" s="23">
        <v>735.8</v>
      </c>
      <c r="P192" s="53" t="s">
        <v>187</v>
      </c>
      <c r="Q192" s="53"/>
      <c r="R192" s="53"/>
      <c r="S192" s="53"/>
      <c r="W192" s="23" t="s">
        <v>182</v>
      </c>
      <c r="AB192" s="23" t="s">
        <v>326</v>
      </c>
      <c r="AC192" s="23" t="s">
        <v>309</v>
      </c>
      <c r="AG192" s="23" t="s">
        <v>297</v>
      </c>
      <c r="AH192" s="23" t="s">
        <v>297</v>
      </c>
      <c r="AI192" s="23" t="s">
        <v>252</v>
      </c>
      <c r="AM192" s="23" t="s">
        <v>160</v>
      </c>
      <c r="AQ192" s="23">
        <v>4919</v>
      </c>
      <c r="AT192" s="64" t="s">
        <v>390</v>
      </c>
      <c r="DJ192" s="5">
        <v>404</v>
      </c>
      <c r="DK192" s="23">
        <v>75</v>
      </c>
      <c r="DP192" s="12"/>
      <c r="DR192" s="15"/>
      <c r="EL192" s="23" t="s">
        <v>941</v>
      </c>
      <c r="EN192" s="23">
        <v>14</v>
      </c>
    </row>
    <row r="193" spans="1:144" s="5" customFormat="1" x14ac:dyDescent="0.25">
      <c r="A193" s="38">
        <v>14</v>
      </c>
      <c r="B193" s="38" t="s">
        <v>384</v>
      </c>
      <c r="C193" s="38" t="s">
        <v>385</v>
      </c>
      <c r="D193" s="38">
        <v>2011</v>
      </c>
      <c r="E193" s="38">
        <v>2009</v>
      </c>
      <c r="F193" s="38" t="s">
        <v>387</v>
      </c>
      <c r="G193" s="38" t="s">
        <v>386</v>
      </c>
      <c r="H193" s="38">
        <v>46.88</v>
      </c>
      <c r="I193" s="38">
        <v>-102.79</v>
      </c>
      <c r="J193" s="38">
        <v>735.8</v>
      </c>
      <c r="K193" s="38"/>
      <c r="L193" s="38"/>
      <c r="M193" s="38"/>
      <c r="N193" s="38"/>
      <c r="O193" s="38"/>
      <c r="P193" s="57" t="s">
        <v>187</v>
      </c>
      <c r="Q193" s="57"/>
      <c r="R193" s="57"/>
      <c r="S193" s="57"/>
      <c r="T193" s="38"/>
      <c r="U193" s="38"/>
      <c r="V193" s="38"/>
      <c r="W193" s="38" t="s">
        <v>182</v>
      </c>
      <c r="X193" s="38"/>
      <c r="Y193" s="38"/>
      <c r="Z193" s="38"/>
      <c r="AA193" s="38"/>
      <c r="AB193" s="38" t="s">
        <v>391</v>
      </c>
      <c r="AC193" s="38" t="s">
        <v>309</v>
      </c>
      <c r="AD193" s="38"/>
      <c r="AE193" s="38"/>
      <c r="AF193" s="38"/>
      <c r="AG193" s="38" t="s">
        <v>297</v>
      </c>
      <c r="AH193" s="38" t="s">
        <v>297</v>
      </c>
      <c r="AI193" s="38" t="s">
        <v>252</v>
      </c>
      <c r="AJ193" s="38"/>
      <c r="AK193" s="38"/>
      <c r="AL193" s="38"/>
      <c r="AM193" s="38" t="s">
        <v>160</v>
      </c>
      <c r="AQ193" s="5">
        <v>3182</v>
      </c>
      <c r="AT193" s="64" t="s">
        <v>388</v>
      </c>
      <c r="DJ193" s="5">
        <v>589</v>
      </c>
      <c r="DK193" s="5">
        <v>460</v>
      </c>
      <c r="DP193" s="12"/>
      <c r="DR193" s="15"/>
      <c r="EK193" s="38"/>
      <c r="EL193" s="38" t="s">
        <v>941</v>
      </c>
      <c r="EN193" s="38">
        <v>14</v>
      </c>
    </row>
    <row r="194" spans="1:144" s="5" customFormat="1" x14ac:dyDescent="0.25">
      <c r="A194" s="38">
        <v>14</v>
      </c>
      <c r="B194" s="38" t="s">
        <v>384</v>
      </c>
      <c r="C194" s="38" t="s">
        <v>385</v>
      </c>
      <c r="D194" s="38">
        <v>2011</v>
      </c>
      <c r="E194" s="38">
        <v>2009</v>
      </c>
      <c r="F194" s="38" t="s">
        <v>387</v>
      </c>
      <c r="G194" s="38" t="s">
        <v>386</v>
      </c>
      <c r="H194" s="38">
        <v>46.88</v>
      </c>
      <c r="I194" s="38">
        <v>-102.79</v>
      </c>
      <c r="J194" s="38">
        <v>735.8</v>
      </c>
      <c r="K194" s="38"/>
      <c r="L194" s="38"/>
      <c r="M194" s="38"/>
      <c r="N194" s="38"/>
      <c r="O194" s="38"/>
      <c r="P194" s="57" t="s">
        <v>187</v>
      </c>
      <c r="Q194" s="57"/>
      <c r="R194" s="57"/>
      <c r="S194" s="57"/>
      <c r="T194" s="38"/>
      <c r="U194" s="38"/>
      <c r="V194" s="38"/>
      <c r="W194" s="38" t="s">
        <v>182</v>
      </c>
      <c r="X194" s="38"/>
      <c r="Y194" s="38"/>
      <c r="Z194" s="38"/>
      <c r="AA194" s="38"/>
      <c r="AB194" s="38" t="s">
        <v>391</v>
      </c>
      <c r="AC194" s="38" t="s">
        <v>309</v>
      </c>
      <c r="AD194" s="38"/>
      <c r="AE194" s="38"/>
      <c r="AF194" s="38"/>
      <c r="AG194" s="38" t="s">
        <v>297</v>
      </c>
      <c r="AH194" s="38" t="s">
        <v>297</v>
      </c>
      <c r="AI194" s="38" t="s">
        <v>252</v>
      </c>
      <c r="AJ194" s="38"/>
      <c r="AK194" s="38"/>
      <c r="AL194" s="38"/>
      <c r="AM194" s="38" t="s">
        <v>160</v>
      </c>
      <c r="AQ194" s="5">
        <v>3182</v>
      </c>
      <c r="AT194" s="64" t="s">
        <v>389</v>
      </c>
      <c r="DJ194" s="5">
        <v>944</v>
      </c>
      <c r="DK194" s="5">
        <v>460</v>
      </c>
      <c r="DP194" s="12"/>
      <c r="DR194" s="15"/>
      <c r="EK194" s="38"/>
      <c r="EL194" s="38" t="s">
        <v>941</v>
      </c>
      <c r="EN194" s="38">
        <v>14</v>
      </c>
    </row>
    <row r="195" spans="1:144" s="5" customFormat="1" x14ac:dyDescent="0.25">
      <c r="A195" s="38">
        <v>14</v>
      </c>
      <c r="B195" s="38" t="s">
        <v>384</v>
      </c>
      <c r="C195" s="38" t="s">
        <v>385</v>
      </c>
      <c r="D195" s="38">
        <v>2011</v>
      </c>
      <c r="E195" s="38">
        <v>2009</v>
      </c>
      <c r="F195" s="38" t="s">
        <v>387</v>
      </c>
      <c r="G195" s="38" t="s">
        <v>386</v>
      </c>
      <c r="H195" s="38">
        <v>46.88</v>
      </c>
      <c r="I195" s="38">
        <v>-102.79</v>
      </c>
      <c r="J195" s="38">
        <v>735.8</v>
      </c>
      <c r="K195" s="38"/>
      <c r="L195" s="38"/>
      <c r="M195" s="38"/>
      <c r="N195" s="38"/>
      <c r="O195" s="38"/>
      <c r="P195" s="57" t="s">
        <v>187</v>
      </c>
      <c r="Q195" s="57"/>
      <c r="R195" s="57"/>
      <c r="S195" s="57"/>
      <c r="T195" s="38"/>
      <c r="U195" s="38"/>
      <c r="V195" s="38"/>
      <c r="W195" s="38" t="s">
        <v>182</v>
      </c>
      <c r="X195" s="38"/>
      <c r="Y195" s="38"/>
      <c r="Z195" s="38"/>
      <c r="AA195" s="38"/>
      <c r="AB195" s="38" t="s">
        <v>391</v>
      </c>
      <c r="AC195" s="38" t="s">
        <v>309</v>
      </c>
      <c r="AD195" s="38"/>
      <c r="AE195" s="38"/>
      <c r="AF195" s="38"/>
      <c r="AG195" s="38" t="s">
        <v>297</v>
      </c>
      <c r="AH195" s="38" t="s">
        <v>297</v>
      </c>
      <c r="AI195" s="38" t="s">
        <v>252</v>
      </c>
      <c r="AJ195" s="38"/>
      <c r="AK195" s="38"/>
      <c r="AL195" s="38"/>
      <c r="AM195" s="38" t="s">
        <v>160</v>
      </c>
      <c r="AQ195" s="5">
        <v>3182</v>
      </c>
      <c r="AT195" s="64" t="s">
        <v>390</v>
      </c>
      <c r="DJ195" s="5">
        <v>404</v>
      </c>
      <c r="DK195" s="5">
        <v>460</v>
      </c>
      <c r="DP195" s="12"/>
      <c r="DR195" s="15"/>
      <c r="EK195" s="38"/>
      <c r="EL195" s="38" t="s">
        <v>941</v>
      </c>
      <c r="EN195" s="38">
        <v>14</v>
      </c>
    </row>
    <row r="196" spans="1:144" s="23" customFormat="1" x14ac:dyDescent="0.25">
      <c r="A196" s="23">
        <v>14</v>
      </c>
      <c r="B196" s="23" t="s">
        <v>384</v>
      </c>
      <c r="C196" s="23" t="s">
        <v>385</v>
      </c>
      <c r="D196" s="23">
        <v>2011</v>
      </c>
      <c r="E196" s="23">
        <v>2009</v>
      </c>
      <c r="F196" s="23" t="s">
        <v>387</v>
      </c>
      <c r="G196" s="23" t="s">
        <v>386</v>
      </c>
      <c r="H196" s="23">
        <v>46.88</v>
      </c>
      <c r="I196" s="23">
        <v>-102.79</v>
      </c>
      <c r="J196" s="23">
        <v>735.8</v>
      </c>
      <c r="P196" s="53" t="s">
        <v>187</v>
      </c>
      <c r="Q196" s="53"/>
      <c r="R196" s="53"/>
      <c r="S196" s="53"/>
      <c r="W196" s="23" t="s">
        <v>182</v>
      </c>
      <c r="AB196" s="23" t="s">
        <v>1510</v>
      </c>
      <c r="AC196" s="23" t="s">
        <v>309</v>
      </c>
      <c r="AG196" s="23" t="s">
        <v>297</v>
      </c>
      <c r="AH196" s="23" t="s">
        <v>297</v>
      </c>
      <c r="AI196" s="23" t="s">
        <v>252</v>
      </c>
      <c r="AM196" s="23" t="s">
        <v>160</v>
      </c>
      <c r="AQ196" s="23">
        <v>4716</v>
      </c>
      <c r="AT196" s="64" t="s">
        <v>388</v>
      </c>
      <c r="DJ196" s="5">
        <v>589</v>
      </c>
      <c r="DK196" s="23">
        <v>297</v>
      </c>
      <c r="DP196" s="12"/>
      <c r="DR196" s="15"/>
      <c r="EL196" s="23" t="s">
        <v>941</v>
      </c>
      <c r="EN196" s="23">
        <v>14</v>
      </c>
    </row>
    <row r="197" spans="1:144" s="23" customFormat="1" x14ac:dyDescent="0.25">
      <c r="A197" s="23">
        <v>14</v>
      </c>
      <c r="B197" s="23" t="s">
        <v>384</v>
      </c>
      <c r="C197" s="23" t="s">
        <v>385</v>
      </c>
      <c r="D197" s="23">
        <v>2011</v>
      </c>
      <c r="E197" s="23">
        <v>2009</v>
      </c>
      <c r="F197" s="23" t="s">
        <v>387</v>
      </c>
      <c r="G197" s="23" t="s">
        <v>386</v>
      </c>
      <c r="H197" s="23">
        <v>46.88</v>
      </c>
      <c r="I197" s="23">
        <v>-102.79</v>
      </c>
      <c r="J197" s="23">
        <v>735.8</v>
      </c>
      <c r="P197" s="53" t="s">
        <v>187</v>
      </c>
      <c r="Q197" s="53"/>
      <c r="R197" s="53"/>
      <c r="S197" s="53"/>
      <c r="W197" s="23" t="s">
        <v>182</v>
      </c>
      <c r="AB197" s="23" t="s">
        <v>1510</v>
      </c>
      <c r="AC197" s="23" t="s">
        <v>309</v>
      </c>
      <c r="AG197" s="23" t="s">
        <v>297</v>
      </c>
      <c r="AH197" s="23" t="s">
        <v>297</v>
      </c>
      <c r="AI197" s="23" t="s">
        <v>252</v>
      </c>
      <c r="AM197" s="23" t="s">
        <v>160</v>
      </c>
      <c r="AQ197" s="23">
        <v>4716</v>
      </c>
      <c r="AT197" s="64" t="s">
        <v>389</v>
      </c>
      <c r="DJ197" s="5">
        <v>944</v>
      </c>
      <c r="DK197" s="23">
        <v>297</v>
      </c>
      <c r="DP197" s="12"/>
      <c r="DR197" s="15"/>
      <c r="EL197" s="23" t="s">
        <v>941</v>
      </c>
      <c r="EN197" s="23">
        <v>14</v>
      </c>
    </row>
    <row r="198" spans="1:144" s="23" customFormat="1" x14ac:dyDescent="0.25">
      <c r="A198" s="23">
        <v>14</v>
      </c>
      <c r="B198" s="23" t="s">
        <v>384</v>
      </c>
      <c r="C198" s="23" t="s">
        <v>385</v>
      </c>
      <c r="D198" s="23">
        <v>2011</v>
      </c>
      <c r="E198" s="23">
        <v>2009</v>
      </c>
      <c r="F198" s="23" t="s">
        <v>387</v>
      </c>
      <c r="G198" s="23" t="s">
        <v>386</v>
      </c>
      <c r="H198" s="23">
        <v>46.88</v>
      </c>
      <c r="I198" s="23">
        <v>-102.79</v>
      </c>
      <c r="J198" s="23">
        <v>735.8</v>
      </c>
      <c r="P198" s="53" t="s">
        <v>187</v>
      </c>
      <c r="Q198" s="53"/>
      <c r="R198" s="53"/>
      <c r="S198" s="53"/>
      <c r="W198" s="23" t="s">
        <v>182</v>
      </c>
      <c r="AB198" s="23" t="s">
        <v>1510</v>
      </c>
      <c r="AC198" s="23" t="s">
        <v>309</v>
      </c>
      <c r="AG198" s="23" t="s">
        <v>297</v>
      </c>
      <c r="AH198" s="23" t="s">
        <v>297</v>
      </c>
      <c r="AI198" s="23" t="s">
        <v>252</v>
      </c>
      <c r="AM198" s="23" t="s">
        <v>160</v>
      </c>
      <c r="AQ198" s="23">
        <v>4716</v>
      </c>
      <c r="AT198" s="64" t="s">
        <v>390</v>
      </c>
      <c r="DJ198" s="5">
        <v>404</v>
      </c>
      <c r="DK198" s="23">
        <v>297</v>
      </c>
      <c r="DP198" s="12"/>
      <c r="DR198" s="15"/>
      <c r="EL198" s="23" t="s">
        <v>941</v>
      </c>
      <c r="EN198" s="23">
        <v>14</v>
      </c>
    </row>
    <row r="199" spans="1:144" s="38" customFormat="1" x14ac:dyDescent="0.25">
      <c r="A199" s="38">
        <v>14</v>
      </c>
      <c r="B199" s="38" t="s">
        <v>384</v>
      </c>
      <c r="C199" s="38" t="s">
        <v>385</v>
      </c>
      <c r="D199" s="38">
        <v>2011</v>
      </c>
      <c r="E199" s="38">
        <v>2009</v>
      </c>
      <c r="F199" s="38" t="s">
        <v>387</v>
      </c>
      <c r="G199" s="38" t="s">
        <v>386</v>
      </c>
      <c r="H199" s="38">
        <v>46.88</v>
      </c>
      <c r="I199" s="38">
        <v>-102.79</v>
      </c>
      <c r="J199" s="38">
        <v>735.8</v>
      </c>
      <c r="P199" s="57" t="s">
        <v>187</v>
      </c>
      <c r="Q199" s="57"/>
      <c r="R199" s="57"/>
      <c r="S199" s="57"/>
      <c r="W199" s="38" t="s">
        <v>182</v>
      </c>
      <c r="AB199" s="38" t="s">
        <v>1510</v>
      </c>
      <c r="AC199" s="38" t="s">
        <v>309</v>
      </c>
      <c r="AG199" s="38" t="s">
        <v>297</v>
      </c>
      <c r="AH199" s="38" t="s">
        <v>297</v>
      </c>
      <c r="AI199" s="38" t="s">
        <v>252</v>
      </c>
      <c r="AM199" s="38" t="s">
        <v>160</v>
      </c>
      <c r="AQ199" s="38">
        <v>3052</v>
      </c>
      <c r="AT199" s="64" t="s">
        <v>388</v>
      </c>
      <c r="DJ199" s="5">
        <v>589</v>
      </c>
      <c r="DK199" s="38">
        <v>342</v>
      </c>
      <c r="DP199" s="12"/>
      <c r="DR199" s="15"/>
      <c r="EL199" s="38" t="s">
        <v>941</v>
      </c>
      <c r="EN199" s="38">
        <v>14</v>
      </c>
    </row>
    <row r="200" spans="1:144" s="38" customFormat="1" x14ac:dyDescent="0.25">
      <c r="A200" s="38">
        <v>14</v>
      </c>
      <c r="B200" s="38" t="s">
        <v>384</v>
      </c>
      <c r="C200" s="38" t="s">
        <v>385</v>
      </c>
      <c r="D200" s="38">
        <v>2011</v>
      </c>
      <c r="E200" s="38">
        <v>2009</v>
      </c>
      <c r="F200" s="38" t="s">
        <v>387</v>
      </c>
      <c r="G200" s="38" t="s">
        <v>386</v>
      </c>
      <c r="H200" s="38">
        <v>46.88</v>
      </c>
      <c r="I200" s="38">
        <v>-102.79</v>
      </c>
      <c r="J200" s="38">
        <v>735.8</v>
      </c>
      <c r="P200" s="57" t="s">
        <v>187</v>
      </c>
      <c r="Q200" s="57"/>
      <c r="R200" s="57"/>
      <c r="S200" s="57"/>
      <c r="W200" s="38" t="s">
        <v>182</v>
      </c>
      <c r="AB200" s="38" t="s">
        <v>1510</v>
      </c>
      <c r="AC200" s="38" t="s">
        <v>309</v>
      </c>
      <c r="AG200" s="38" t="s">
        <v>297</v>
      </c>
      <c r="AH200" s="38" t="s">
        <v>297</v>
      </c>
      <c r="AI200" s="38" t="s">
        <v>252</v>
      </c>
      <c r="AM200" s="38" t="s">
        <v>160</v>
      </c>
      <c r="AQ200" s="38">
        <v>3052</v>
      </c>
      <c r="AT200" s="64" t="s">
        <v>389</v>
      </c>
      <c r="DJ200" s="5">
        <v>944</v>
      </c>
      <c r="DK200" s="38">
        <v>342</v>
      </c>
      <c r="DP200" s="12"/>
      <c r="DR200" s="15"/>
      <c r="EL200" s="38" t="s">
        <v>941</v>
      </c>
      <c r="EN200" s="38">
        <v>14</v>
      </c>
    </row>
    <row r="201" spans="1:144" s="38" customFormat="1" x14ac:dyDescent="0.25">
      <c r="A201" s="38">
        <v>14</v>
      </c>
      <c r="B201" s="38" t="s">
        <v>384</v>
      </c>
      <c r="C201" s="38" t="s">
        <v>385</v>
      </c>
      <c r="D201" s="38">
        <v>2011</v>
      </c>
      <c r="E201" s="38">
        <v>2009</v>
      </c>
      <c r="F201" s="38" t="s">
        <v>387</v>
      </c>
      <c r="G201" s="38" t="s">
        <v>386</v>
      </c>
      <c r="H201" s="38">
        <v>46.88</v>
      </c>
      <c r="I201" s="38">
        <v>-102.79</v>
      </c>
      <c r="J201" s="38">
        <v>735.8</v>
      </c>
      <c r="P201" s="57" t="s">
        <v>187</v>
      </c>
      <c r="Q201" s="57"/>
      <c r="R201" s="57"/>
      <c r="S201" s="57"/>
      <c r="W201" s="38" t="s">
        <v>182</v>
      </c>
      <c r="AB201" s="38" t="s">
        <v>1510</v>
      </c>
      <c r="AC201" s="38" t="s">
        <v>309</v>
      </c>
      <c r="AG201" s="38" t="s">
        <v>297</v>
      </c>
      <c r="AH201" s="38" t="s">
        <v>297</v>
      </c>
      <c r="AI201" s="38" t="s">
        <v>252</v>
      </c>
      <c r="AM201" s="38" t="s">
        <v>160</v>
      </c>
      <c r="AQ201" s="38">
        <v>3052</v>
      </c>
      <c r="AT201" s="64" t="s">
        <v>390</v>
      </c>
      <c r="DJ201" s="5">
        <v>404</v>
      </c>
      <c r="DK201" s="38">
        <v>342</v>
      </c>
      <c r="DP201" s="12"/>
      <c r="DR201" s="15"/>
      <c r="EL201" s="38" t="s">
        <v>941</v>
      </c>
      <c r="EN201" s="38">
        <v>14</v>
      </c>
    </row>
    <row r="202" spans="1:144" s="23" customFormat="1" x14ac:dyDescent="0.25">
      <c r="A202" s="23">
        <v>14</v>
      </c>
      <c r="B202" s="23" t="s">
        <v>384</v>
      </c>
      <c r="C202" s="23" t="s">
        <v>385</v>
      </c>
      <c r="D202" s="23">
        <v>2011</v>
      </c>
      <c r="E202" s="23">
        <v>2010</v>
      </c>
      <c r="F202" s="23" t="s">
        <v>387</v>
      </c>
      <c r="G202" s="23" t="s">
        <v>386</v>
      </c>
      <c r="H202" s="23">
        <v>46.88</v>
      </c>
      <c r="I202" s="23">
        <v>-102.79</v>
      </c>
      <c r="J202" s="23">
        <v>735.8</v>
      </c>
      <c r="P202" s="53" t="s">
        <v>188</v>
      </c>
      <c r="Q202" s="53"/>
      <c r="R202" s="53"/>
      <c r="S202" s="53"/>
      <c r="W202" s="23" t="s">
        <v>182</v>
      </c>
      <c r="AB202" s="23" t="s">
        <v>326</v>
      </c>
      <c r="AC202" s="23" t="s">
        <v>309</v>
      </c>
      <c r="AG202" s="23" t="s">
        <v>297</v>
      </c>
      <c r="AH202" s="23" t="s">
        <v>297</v>
      </c>
      <c r="AI202" s="23" t="s">
        <v>252</v>
      </c>
      <c r="AM202" s="23" t="s">
        <v>160</v>
      </c>
      <c r="AQ202" s="23">
        <v>1633</v>
      </c>
      <c r="AT202" s="64" t="s">
        <v>388</v>
      </c>
      <c r="DJ202" s="23">
        <v>796</v>
      </c>
      <c r="DK202" s="23">
        <v>2436</v>
      </c>
      <c r="DP202" s="12"/>
      <c r="DR202" s="15"/>
      <c r="EL202" s="23" t="s">
        <v>941</v>
      </c>
      <c r="EN202" s="23">
        <v>14</v>
      </c>
    </row>
    <row r="203" spans="1:144" s="23" customFormat="1" x14ac:dyDescent="0.25">
      <c r="A203" s="23">
        <v>14</v>
      </c>
      <c r="B203" s="23" t="s">
        <v>384</v>
      </c>
      <c r="C203" s="23" t="s">
        <v>385</v>
      </c>
      <c r="D203" s="23">
        <v>2011</v>
      </c>
      <c r="E203" s="23">
        <v>2010</v>
      </c>
      <c r="F203" s="23" t="s">
        <v>387</v>
      </c>
      <c r="G203" s="23" t="s">
        <v>386</v>
      </c>
      <c r="H203" s="23">
        <v>46.88</v>
      </c>
      <c r="I203" s="23">
        <v>-102.79</v>
      </c>
      <c r="J203" s="23">
        <v>735.8</v>
      </c>
      <c r="P203" s="53" t="s">
        <v>188</v>
      </c>
      <c r="Q203" s="53"/>
      <c r="R203" s="53"/>
      <c r="S203" s="53"/>
      <c r="W203" s="23" t="s">
        <v>182</v>
      </c>
      <c r="AB203" s="23" t="s">
        <v>326</v>
      </c>
      <c r="AC203" s="23" t="s">
        <v>309</v>
      </c>
      <c r="AG203" s="23" t="s">
        <v>297</v>
      </c>
      <c r="AH203" s="23" t="s">
        <v>297</v>
      </c>
      <c r="AI203" s="23" t="s">
        <v>252</v>
      </c>
      <c r="AM203" s="23" t="s">
        <v>160</v>
      </c>
      <c r="AQ203" s="23">
        <v>1633</v>
      </c>
      <c r="AT203" s="64" t="s">
        <v>389</v>
      </c>
      <c r="DJ203" s="23">
        <v>1738</v>
      </c>
      <c r="DK203" s="23">
        <v>2436</v>
      </c>
      <c r="DP203" s="12"/>
      <c r="DR203" s="15"/>
      <c r="EL203" s="23" t="s">
        <v>941</v>
      </c>
      <c r="EN203" s="23">
        <v>14</v>
      </c>
    </row>
    <row r="204" spans="1:144" s="23" customFormat="1" x14ac:dyDescent="0.25">
      <c r="A204" s="23">
        <v>14</v>
      </c>
      <c r="B204" s="23" t="s">
        <v>384</v>
      </c>
      <c r="C204" s="23" t="s">
        <v>385</v>
      </c>
      <c r="D204" s="23">
        <v>2011</v>
      </c>
      <c r="E204" s="23">
        <v>2010</v>
      </c>
      <c r="F204" s="23" t="s">
        <v>387</v>
      </c>
      <c r="G204" s="23" t="s">
        <v>386</v>
      </c>
      <c r="H204" s="23">
        <v>46.88</v>
      </c>
      <c r="I204" s="23">
        <v>-102.79</v>
      </c>
      <c r="J204" s="23">
        <v>735.8</v>
      </c>
      <c r="P204" s="53" t="s">
        <v>188</v>
      </c>
      <c r="Q204" s="53"/>
      <c r="R204" s="53"/>
      <c r="S204" s="53"/>
      <c r="W204" s="23" t="s">
        <v>182</v>
      </c>
      <c r="AB204" s="23" t="s">
        <v>326</v>
      </c>
      <c r="AC204" s="23" t="s">
        <v>309</v>
      </c>
      <c r="AG204" s="23" t="s">
        <v>297</v>
      </c>
      <c r="AH204" s="23" t="s">
        <v>297</v>
      </c>
      <c r="AI204" s="23" t="s">
        <v>252</v>
      </c>
      <c r="AM204" s="23" t="s">
        <v>160</v>
      </c>
      <c r="AQ204" s="23">
        <v>1633</v>
      </c>
      <c r="AT204" s="64" t="s">
        <v>390</v>
      </c>
      <c r="DJ204" s="23">
        <v>1677</v>
      </c>
      <c r="DK204" s="23">
        <v>2436</v>
      </c>
      <c r="DP204" s="12"/>
      <c r="DR204" s="15"/>
      <c r="EL204" s="23" t="s">
        <v>941</v>
      </c>
      <c r="EN204" s="23">
        <v>14</v>
      </c>
    </row>
    <row r="205" spans="1:144" s="38" customFormat="1" x14ac:dyDescent="0.25">
      <c r="A205" s="38">
        <v>14</v>
      </c>
      <c r="B205" s="38" t="s">
        <v>384</v>
      </c>
      <c r="C205" s="38" t="s">
        <v>385</v>
      </c>
      <c r="D205" s="38">
        <v>2011</v>
      </c>
      <c r="E205" s="38">
        <v>2010</v>
      </c>
      <c r="F205" s="38" t="s">
        <v>387</v>
      </c>
      <c r="G205" s="38" t="s">
        <v>386</v>
      </c>
      <c r="H205" s="38">
        <v>46.88</v>
      </c>
      <c r="I205" s="38">
        <v>-102.79</v>
      </c>
      <c r="J205" s="38">
        <v>735.8</v>
      </c>
      <c r="P205" s="57" t="s">
        <v>188</v>
      </c>
      <c r="Q205" s="57"/>
      <c r="R205" s="57"/>
      <c r="S205" s="57"/>
      <c r="W205" s="38" t="s">
        <v>182</v>
      </c>
      <c r="AB205" s="38" t="s">
        <v>391</v>
      </c>
      <c r="AC205" s="38" t="s">
        <v>309</v>
      </c>
      <c r="AG205" s="38" t="s">
        <v>297</v>
      </c>
      <c r="AH205" s="38" t="s">
        <v>297</v>
      </c>
      <c r="AI205" s="38" t="s">
        <v>252</v>
      </c>
      <c r="AM205" s="38" t="s">
        <v>160</v>
      </c>
      <c r="AQ205" s="38">
        <v>4052</v>
      </c>
      <c r="AT205" s="64" t="s">
        <v>388</v>
      </c>
      <c r="DJ205" s="23">
        <v>796</v>
      </c>
      <c r="DK205" s="38">
        <v>640</v>
      </c>
      <c r="DP205" s="12"/>
      <c r="DR205" s="15"/>
      <c r="EL205" s="38" t="s">
        <v>941</v>
      </c>
      <c r="EN205" s="38">
        <v>14</v>
      </c>
    </row>
    <row r="206" spans="1:144" s="38" customFormat="1" x14ac:dyDescent="0.25">
      <c r="A206" s="38">
        <v>14</v>
      </c>
      <c r="B206" s="38" t="s">
        <v>384</v>
      </c>
      <c r="C206" s="38" t="s">
        <v>385</v>
      </c>
      <c r="D206" s="38">
        <v>2011</v>
      </c>
      <c r="E206" s="38">
        <v>2010</v>
      </c>
      <c r="F206" s="38" t="s">
        <v>387</v>
      </c>
      <c r="G206" s="38" t="s">
        <v>386</v>
      </c>
      <c r="H206" s="38">
        <v>46.88</v>
      </c>
      <c r="I206" s="38">
        <v>-102.79</v>
      </c>
      <c r="J206" s="38">
        <v>735.8</v>
      </c>
      <c r="P206" s="57" t="s">
        <v>188</v>
      </c>
      <c r="Q206" s="57"/>
      <c r="R206" s="57"/>
      <c r="S206" s="57"/>
      <c r="W206" s="38" t="s">
        <v>182</v>
      </c>
      <c r="AB206" s="38" t="s">
        <v>391</v>
      </c>
      <c r="AC206" s="38" t="s">
        <v>309</v>
      </c>
      <c r="AG206" s="38" t="s">
        <v>297</v>
      </c>
      <c r="AH206" s="38" t="s">
        <v>297</v>
      </c>
      <c r="AI206" s="38" t="s">
        <v>252</v>
      </c>
      <c r="AM206" s="38" t="s">
        <v>160</v>
      </c>
      <c r="AQ206" s="38">
        <v>4052</v>
      </c>
      <c r="AT206" s="64" t="s">
        <v>389</v>
      </c>
      <c r="DJ206" s="23">
        <v>1738</v>
      </c>
      <c r="DK206" s="38">
        <v>640</v>
      </c>
      <c r="DP206" s="12"/>
      <c r="DR206" s="15"/>
      <c r="EL206" s="38" t="s">
        <v>941</v>
      </c>
      <c r="EN206" s="38">
        <v>14</v>
      </c>
    </row>
    <row r="207" spans="1:144" s="38" customFormat="1" x14ac:dyDescent="0.25">
      <c r="A207" s="38">
        <v>14</v>
      </c>
      <c r="B207" s="38" t="s">
        <v>384</v>
      </c>
      <c r="C207" s="38" t="s">
        <v>385</v>
      </c>
      <c r="D207" s="38">
        <v>2011</v>
      </c>
      <c r="E207" s="38">
        <v>2010</v>
      </c>
      <c r="F207" s="38" t="s">
        <v>387</v>
      </c>
      <c r="G207" s="38" t="s">
        <v>386</v>
      </c>
      <c r="H207" s="38">
        <v>46.88</v>
      </c>
      <c r="I207" s="38">
        <v>-102.79</v>
      </c>
      <c r="J207" s="38">
        <v>735.8</v>
      </c>
      <c r="P207" s="57" t="s">
        <v>188</v>
      </c>
      <c r="Q207" s="57"/>
      <c r="R207" s="57"/>
      <c r="S207" s="57"/>
      <c r="W207" s="38" t="s">
        <v>182</v>
      </c>
      <c r="AB207" s="38" t="s">
        <v>391</v>
      </c>
      <c r="AC207" s="38" t="s">
        <v>309</v>
      </c>
      <c r="AG207" s="38" t="s">
        <v>297</v>
      </c>
      <c r="AH207" s="38" t="s">
        <v>297</v>
      </c>
      <c r="AI207" s="38" t="s">
        <v>252</v>
      </c>
      <c r="AM207" s="38" t="s">
        <v>160</v>
      </c>
      <c r="AQ207" s="38">
        <v>4052</v>
      </c>
      <c r="AT207" s="64" t="s">
        <v>390</v>
      </c>
      <c r="DJ207" s="23">
        <v>1677</v>
      </c>
      <c r="DK207" s="38">
        <v>640</v>
      </c>
      <c r="DP207" s="12"/>
      <c r="DR207" s="15"/>
      <c r="EL207" s="38" t="s">
        <v>941</v>
      </c>
      <c r="EN207" s="38">
        <v>14</v>
      </c>
    </row>
    <row r="208" spans="1:144" s="23" customFormat="1" x14ac:dyDescent="0.25">
      <c r="A208" s="23">
        <v>14</v>
      </c>
      <c r="B208" s="23" t="s">
        <v>384</v>
      </c>
      <c r="C208" s="23" t="s">
        <v>385</v>
      </c>
      <c r="D208" s="23">
        <v>2011</v>
      </c>
      <c r="E208" s="23">
        <v>2010</v>
      </c>
      <c r="F208" s="23" t="s">
        <v>387</v>
      </c>
      <c r="G208" s="23" t="s">
        <v>386</v>
      </c>
      <c r="H208" s="23">
        <v>46.88</v>
      </c>
      <c r="I208" s="23">
        <v>-102.79</v>
      </c>
      <c r="J208" s="23">
        <v>735.8</v>
      </c>
      <c r="P208" s="53" t="s">
        <v>188</v>
      </c>
      <c r="Q208" s="53"/>
      <c r="R208" s="53"/>
      <c r="S208" s="53"/>
      <c r="W208" s="23" t="s">
        <v>182</v>
      </c>
      <c r="AB208" s="23" t="s">
        <v>613</v>
      </c>
      <c r="AC208" s="23" t="s">
        <v>309</v>
      </c>
      <c r="AG208" s="23" t="s">
        <v>297</v>
      </c>
      <c r="AH208" s="23" t="s">
        <v>297</v>
      </c>
      <c r="AI208" s="23" t="s">
        <v>252</v>
      </c>
      <c r="AM208" s="23" t="s">
        <v>160</v>
      </c>
      <c r="AQ208" s="23">
        <v>3821</v>
      </c>
      <c r="AT208" s="64" t="s">
        <v>388</v>
      </c>
      <c r="DJ208" s="23">
        <v>796</v>
      </c>
      <c r="DK208" s="23">
        <v>800</v>
      </c>
      <c r="DP208" s="12"/>
      <c r="DR208" s="15"/>
      <c r="EL208" s="23" t="s">
        <v>941</v>
      </c>
      <c r="EN208" s="23">
        <v>14</v>
      </c>
    </row>
    <row r="209" spans="1:144" s="23" customFormat="1" x14ac:dyDescent="0.25">
      <c r="A209" s="23">
        <v>14</v>
      </c>
      <c r="B209" s="23" t="s">
        <v>384</v>
      </c>
      <c r="C209" s="23" t="s">
        <v>385</v>
      </c>
      <c r="D209" s="23">
        <v>2011</v>
      </c>
      <c r="E209" s="23">
        <v>2010</v>
      </c>
      <c r="F209" s="23" t="s">
        <v>387</v>
      </c>
      <c r="G209" s="23" t="s">
        <v>386</v>
      </c>
      <c r="H209" s="23">
        <v>46.88</v>
      </c>
      <c r="I209" s="23">
        <v>-102.79</v>
      </c>
      <c r="J209" s="23">
        <v>735.8</v>
      </c>
      <c r="P209" s="53" t="s">
        <v>188</v>
      </c>
      <c r="Q209" s="53"/>
      <c r="R209" s="53"/>
      <c r="S209" s="53"/>
      <c r="W209" s="23" t="s">
        <v>182</v>
      </c>
      <c r="AB209" s="23" t="s">
        <v>613</v>
      </c>
      <c r="AC209" s="23" t="s">
        <v>309</v>
      </c>
      <c r="AG209" s="23" t="s">
        <v>297</v>
      </c>
      <c r="AH209" s="23" t="s">
        <v>297</v>
      </c>
      <c r="AI209" s="23" t="s">
        <v>252</v>
      </c>
      <c r="AM209" s="23" t="s">
        <v>160</v>
      </c>
      <c r="AQ209" s="23">
        <v>3821</v>
      </c>
      <c r="AT209" s="64" t="s">
        <v>389</v>
      </c>
      <c r="DJ209" s="23">
        <v>1738</v>
      </c>
      <c r="DK209" s="23">
        <v>800</v>
      </c>
      <c r="DP209" s="12"/>
      <c r="DR209" s="15"/>
      <c r="EL209" s="23" t="s">
        <v>941</v>
      </c>
      <c r="EN209" s="23">
        <v>14</v>
      </c>
    </row>
    <row r="210" spans="1:144" s="23" customFormat="1" x14ac:dyDescent="0.25">
      <c r="A210" s="23">
        <v>14</v>
      </c>
      <c r="B210" s="23" t="s">
        <v>384</v>
      </c>
      <c r="C210" s="23" t="s">
        <v>385</v>
      </c>
      <c r="D210" s="23">
        <v>2011</v>
      </c>
      <c r="E210" s="23">
        <v>2010</v>
      </c>
      <c r="F210" s="23" t="s">
        <v>387</v>
      </c>
      <c r="G210" s="23" t="s">
        <v>386</v>
      </c>
      <c r="H210" s="23">
        <v>46.88</v>
      </c>
      <c r="I210" s="23">
        <v>-102.79</v>
      </c>
      <c r="J210" s="23">
        <v>735.8</v>
      </c>
      <c r="P210" s="53" t="s">
        <v>188</v>
      </c>
      <c r="Q210" s="53"/>
      <c r="R210" s="53"/>
      <c r="S210" s="53"/>
      <c r="W210" s="23" t="s">
        <v>182</v>
      </c>
      <c r="AB210" s="23" t="s">
        <v>613</v>
      </c>
      <c r="AC210" s="23" t="s">
        <v>309</v>
      </c>
      <c r="AG210" s="23" t="s">
        <v>297</v>
      </c>
      <c r="AH210" s="23" t="s">
        <v>297</v>
      </c>
      <c r="AI210" s="23" t="s">
        <v>252</v>
      </c>
      <c r="AM210" s="23" t="s">
        <v>160</v>
      </c>
      <c r="AQ210" s="23">
        <v>3821</v>
      </c>
      <c r="AT210" s="64" t="s">
        <v>390</v>
      </c>
      <c r="DJ210" s="23">
        <v>1677</v>
      </c>
      <c r="DK210" s="23">
        <v>800</v>
      </c>
      <c r="DP210" s="12"/>
      <c r="DR210" s="15"/>
      <c r="EL210" s="23" t="s">
        <v>941</v>
      </c>
      <c r="EN210" s="23">
        <v>14</v>
      </c>
    </row>
    <row r="211" spans="1:144" s="38" customFormat="1" x14ac:dyDescent="0.25">
      <c r="A211" s="38">
        <v>14</v>
      </c>
      <c r="B211" s="38" t="s">
        <v>384</v>
      </c>
      <c r="C211" s="38" t="s">
        <v>385</v>
      </c>
      <c r="D211" s="38">
        <v>2011</v>
      </c>
      <c r="E211" s="38">
        <v>2010</v>
      </c>
      <c r="F211" s="38" t="s">
        <v>387</v>
      </c>
      <c r="G211" s="38" t="s">
        <v>386</v>
      </c>
      <c r="H211" s="38">
        <v>46.88</v>
      </c>
      <c r="I211" s="38">
        <v>-102.79</v>
      </c>
      <c r="J211" s="38">
        <v>735.8</v>
      </c>
      <c r="P211" s="57" t="s">
        <v>188</v>
      </c>
      <c r="Q211" s="57"/>
      <c r="R211" s="57"/>
      <c r="S211" s="57"/>
      <c r="W211" s="38" t="s">
        <v>182</v>
      </c>
      <c r="AB211" s="38" t="s">
        <v>1510</v>
      </c>
      <c r="AC211" s="38" t="s">
        <v>309</v>
      </c>
      <c r="AG211" s="38" t="s">
        <v>297</v>
      </c>
      <c r="AH211" s="38" t="s">
        <v>297</v>
      </c>
      <c r="AI211" s="38" t="s">
        <v>252</v>
      </c>
      <c r="AM211" s="38" t="s">
        <v>160</v>
      </c>
      <c r="AQ211" s="38">
        <v>4039</v>
      </c>
      <c r="AT211" s="64" t="s">
        <v>388</v>
      </c>
      <c r="DJ211" s="23">
        <v>796</v>
      </c>
      <c r="DK211" s="38">
        <v>717</v>
      </c>
      <c r="DP211" s="12"/>
      <c r="DR211" s="15"/>
      <c r="EL211" s="38" t="s">
        <v>941</v>
      </c>
      <c r="EN211" s="38">
        <v>14</v>
      </c>
    </row>
    <row r="212" spans="1:144" s="38" customFormat="1" x14ac:dyDescent="0.25">
      <c r="A212" s="38">
        <v>14</v>
      </c>
      <c r="B212" s="38" t="s">
        <v>384</v>
      </c>
      <c r="C212" s="38" t="s">
        <v>385</v>
      </c>
      <c r="D212" s="38">
        <v>2011</v>
      </c>
      <c r="E212" s="38">
        <v>2010</v>
      </c>
      <c r="F212" s="38" t="s">
        <v>387</v>
      </c>
      <c r="G212" s="38" t="s">
        <v>386</v>
      </c>
      <c r="H212" s="38">
        <v>46.88</v>
      </c>
      <c r="I212" s="38">
        <v>-102.79</v>
      </c>
      <c r="J212" s="38">
        <v>735.8</v>
      </c>
      <c r="P212" s="57" t="s">
        <v>188</v>
      </c>
      <c r="Q212" s="57"/>
      <c r="R212" s="57"/>
      <c r="S212" s="57"/>
      <c r="W212" s="38" t="s">
        <v>182</v>
      </c>
      <c r="AB212" s="38" t="s">
        <v>1510</v>
      </c>
      <c r="AC212" s="38" t="s">
        <v>309</v>
      </c>
      <c r="AG212" s="38" t="s">
        <v>297</v>
      </c>
      <c r="AH212" s="38" t="s">
        <v>297</v>
      </c>
      <c r="AI212" s="38" t="s">
        <v>252</v>
      </c>
      <c r="AM212" s="38" t="s">
        <v>160</v>
      </c>
      <c r="AQ212" s="38">
        <v>4039</v>
      </c>
      <c r="AT212" s="64" t="s">
        <v>389</v>
      </c>
      <c r="DJ212" s="23">
        <v>1738</v>
      </c>
      <c r="DK212" s="38">
        <v>717</v>
      </c>
      <c r="DP212" s="12"/>
      <c r="DR212" s="15"/>
      <c r="EL212" s="38" t="s">
        <v>941</v>
      </c>
      <c r="EN212" s="38">
        <v>14</v>
      </c>
    </row>
    <row r="213" spans="1:144" s="38" customFormat="1" x14ac:dyDescent="0.25">
      <c r="A213" s="38">
        <v>14</v>
      </c>
      <c r="B213" s="38" t="s">
        <v>384</v>
      </c>
      <c r="C213" s="38" t="s">
        <v>385</v>
      </c>
      <c r="D213" s="38">
        <v>2011</v>
      </c>
      <c r="E213" s="38">
        <v>2010</v>
      </c>
      <c r="F213" s="38" t="s">
        <v>387</v>
      </c>
      <c r="G213" s="38" t="s">
        <v>386</v>
      </c>
      <c r="H213" s="38">
        <v>46.88</v>
      </c>
      <c r="I213" s="38">
        <v>-102.79</v>
      </c>
      <c r="J213" s="38">
        <v>735.8</v>
      </c>
      <c r="P213" s="57" t="s">
        <v>188</v>
      </c>
      <c r="Q213" s="57"/>
      <c r="R213" s="57"/>
      <c r="S213" s="57"/>
      <c r="W213" s="38" t="s">
        <v>182</v>
      </c>
      <c r="AB213" s="38" t="s">
        <v>1510</v>
      </c>
      <c r="AC213" s="38" t="s">
        <v>309</v>
      </c>
      <c r="AG213" s="38" t="s">
        <v>297</v>
      </c>
      <c r="AH213" s="38" t="s">
        <v>297</v>
      </c>
      <c r="AI213" s="38" t="s">
        <v>252</v>
      </c>
      <c r="AM213" s="38" t="s">
        <v>160</v>
      </c>
      <c r="AQ213" s="38">
        <v>4039</v>
      </c>
      <c r="AT213" s="64" t="s">
        <v>390</v>
      </c>
      <c r="DJ213" s="23">
        <v>1677</v>
      </c>
      <c r="DK213" s="38">
        <v>717</v>
      </c>
      <c r="DP213" s="12"/>
      <c r="DR213" s="15"/>
      <c r="EL213" s="38" t="s">
        <v>941</v>
      </c>
      <c r="EN213" s="38">
        <v>14</v>
      </c>
    </row>
    <row r="214" spans="1:144" s="23" customFormat="1" x14ac:dyDescent="0.25">
      <c r="A214" s="23">
        <v>14</v>
      </c>
      <c r="B214" s="23" t="s">
        <v>384</v>
      </c>
      <c r="C214" s="23" t="s">
        <v>385</v>
      </c>
      <c r="D214" s="23">
        <v>2011</v>
      </c>
      <c r="E214" s="23">
        <v>2010</v>
      </c>
      <c r="F214" s="23" t="s">
        <v>387</v>
      </c>
      <c r="G214" s="23" t="s">
        <v>386</v>
      </c>
      <c r="H214" s="23">
        <v>46.88</v>
      </c>
      <c r="I214" s="23">
        <v>-102.79</v>
      </c>
      <c r="J214" s="23">
        <v>735.8</v>
      </c>
      <c r="P214" s="53" t="s">
        <v>188</v>
      </c>
      <c r="Q214" s="53"/>
      <c r="R214" s="53"/>
      <c r="S214" s="53"/>
      <c r="W214" s="23" t="s">
        <v>182</v>
      </c>
      <c r="AB214" s="23" t="s">
        <v>1510</v>
      </c>
      <c r="AC214" s="23" t="s">
        <v>309</v>
      </c>
      <c r="AG214" s="23" t="s">
        <v>297</v>
      </c>
      <c r="AH214" s="23" t="s">
        <v>297</v>
      </c>
      <c r="AI214" s="23" t="s">
        <v>252</v>
      </c>
      <c r="AM214" s="23" t="s">
        <v>160</v>
      </c>
      <c r="AQ214" s="23">
        <v>3554</v>
      </c>
      <c r="AT214" s="64" t="s">
        <v>388</v>
      </c>
      <c r="DJ214" s="23">
        <v>796</v>
      </c>
      <c r="DK214" s="23">
        <v>991</v>
      </c>
      <c r="DP214" s="12"/>
      <c r="DR214" s="15"/>
      <c r="EL214" s="23" t="s">
        <v>941</v>
      </c>
      <c r="EN214" s="23">
        <v>14</v>
      </c>
    </row>
    <row r="215" spans="1:144" s="23" customFormat="1" x14ac:dyDescent="0.25">
      <c r="A215" s="23">
        <v>14</v>
      </c>
      <c r="B215" s="23" t="s">
        <v>384</v>
      </c>
      <c r="C215" s="23" t="s">
        <v>385</v>
      </c>
      <c r="D215" s="23">
        <v>2011</v>
      </c>
      <c r="E215" s="23">
        <v>2010</v>
      </c>
      <c r="F215" s="23" t="s">
        <v>387</v>
      </c>
      <c r="G215" s="23" t="s">
        <v>386</v>
      </c>
      <c r="H215" s="23">
        <v>46.88</v>
      </c>
      <c r="I215" s="23">
        <v>-102.79</v>
      </c>
      <c r="J215" s="23">
        <v>735.8</v>
      </c>
      <c r="P215" s="53" t="s">
        <v>188</v>
      </c>
      <c r="Q215" s="53"/>
      <c r="R215" s="53"/>
      <c r="S215" s="53"/>
      <c r="W215" s="23" t="s">
        <v>182</v>
      </c>
      <c r="AB215" s="23" t="s">
        <v>1510</v>
      </c>
      <c r="AC215" s="23" t="s">
        <v>309</v>
      </c>
      <c r="AG215" s="23" t="s">
        <v>297</v>
      </c>
      <c r="AH215" s="23" t="s">
        <v>297</v>
      </c>
      <c r="AI215" s="23" t="s">
        <v>252</v>
      </c>
      <c r="AM215" s="23" t="s">
        <v>160</v>
      </c>
      <c r="AQ215" s="23">
        <v>3554</v>
      </c>
      <c r="AT215" s="64" t="s">
        <v>389</v>
      </c>
      <c r="DJ215" s="23">
        <v>1738</v>
      </c>
      <c r="DK215" s="23">
        <v>991</v>
      </c>
      <c r="DP215" s="12"/>
      <c r="DR215" s="15"/>
      <c r="EL215" s="23" t="s">
        <v>941</v>
      </c>
      <c r="EN215" s="23">
        <v>14</v>
      </c>
    </row>
    <row r="216" spans="1:144" s="23" customFormat="1" x14ac:dyDescent="0.25">
      <c r="A216" s="23">
        <v>14</v>
      </c>
      <c r="B216" s="23" t="s">
        <v>384</v>
      </c>
      <c r="C216" s="23" t="s">
        <v>385</v>
      </c>
      <c r="D216" s="23">
        <v>2011</v>
      </c>
      <c r="E216" s="23">
        <v>2010</v>
      </c>
      <c r="F216" s="23" t="s">
        <v>387</v>
      </c>
      <c r="G216" s="23" t="s">
        <v>386</v>
      </c>
      <c r="H216" s="23">
        <v>46.88</v>
      </c>
      <c r="I216" s="23">
        <v>-102.79</v>
      </c>
      <c r="J216" s="23">
        <v>735.8</v>
      </c>
      <c r="P216" s="53" t="s">
        <v>188</v>
      </c>
      <c r="Q216" s="53"/>
      <c r="R216" s="53"/>
      <c r="S216" s="53"/>
      <c r="W216" s="23" t="s">
        <v>182</v>
      </c>
      <c r="AB216" s="23" t="s">
        <v>1510</v>
      </c>
      <c r="AC216" s="23" t="s">
        <v>309</v>
      </c>
      <c r="AG216" s="23" t="s">
        <v>297</v>
      </c>
      <c r="AH216" s="23" t="s">
        <v>297</v>
      </c>
      <c r="AI216" s="23" t="s">
        <v>252</v>
      </c>
      <c r="AM216" s="23" t="s">
        <v>160</v>
      </c>
      <c r="AQ216" s="23">
        <v>3554</v>
      </c>
      <c r="AT216" s="64" t="s">
        <v>390</v>
      </c>
      <c r="DJ216" s="23">
        <v>1677</v>
      </c>
      <c r="DK216" s="23">
        <v>991</v>
      </c>
      <c r="DP216" s="12"/>
      <c r="DR216" s="15"/>
      <c r="EL216" s="23" t="s">
        <v>941</v>
      </c>
      <c r="EN216" s="23">
        <v>14</v>
      </c>
    </row>
    <row r="217" spans="1:144" s="26" customFormat="1" x14ac:dyDescent="0.25">
      <c r="A217" s="26">
        <v>15</v>
      </c>
      <c r="B217" s="26" t="s">
        <v>392</v>
      </c>
      <c r="C217" s="26" t="s">
        <v>393</v>
      </c>
      <c r="D217" s="26">
        <v>2005</v>
      </c>
      <c r="E217" s="26">
        <v>2001</v>
      </c>
      <c r="F217" s="26" t="s">
        <v>394</v>
      </c>
      <c r="G217" s="26" t="s">
        <v>395</v>
      </c>
      <c r="H217" s="26">
        <f>40+44/60</f>
        <v>40.733333333333334</v>
      </c>
      <c r="I217" s="26">
        <f>-77-57/60</f>
        <v>-77.95</v>
      </c>
      <c r="J217" s="26">
        <v>375.2</v>
      </c>
      <c r="P217" s="52" t="s">
        <v>186</v>
      </c>
      <c r="Q217" s="52"/>
      <c r="R217" s="52"/>
      <c r="S217" s="52" t="s">
        <v>667</v>
      </c>
      <c r="W217" s="26" t="s">
        <v>175</v>
      </c>
      <c r="AA217" s="26" t="s">
        <v>1683</v>
      </c>
      <c r="AB217" s="26" t="s">
        <v>173</v>
      </c>
      <c r="AC217" s="26" t="s">
        <v>174</v>
      </c>
      <c r="AG217" s="26" t="s">
        <v>297</v>
      </c>
      <c r="AH217" s="26" t="s">
        <v>297</v>
      </c>
      <c r="AI217" s="26" t="s">
        <v>252</v>
      </c>
      <c r="AJ217" s="26" t="s">
        <v>396</v>
      </c>
      <c r="AK217" s="26" t="s">
        <v>396</v>
      </c>
      <c r="AL217" s="26" t="s">
        <v>252</v>
      </c>
      <c r="AN217" s="26">
        <v>4</v>
      </c>
      <c r="AO217" s="26">
        <v>4</v>
      </c>
      <c r="AP217" s="26" t="s">
        <v>247</v>
      </c>
      <c r="AR217" s="26">
        <f>1143</f>
        <v>1143</v>
      </c>
      <c r="AT217" s="63"/>
      <c r="AU217" s="26" t="s">
        <v>397</v>
      </c>
      <c r="AY217" s="26">
        <f>11.51*1000</f>
        <v>11510</v>
      </c>
      <c r="AZ217" s="26">
        <f>12.2*1000</f>
        <v>12200</v>
      </c>
      <c r="BB217" s="26">
        <v>1.48</v>
      </c>
      <c r="BC217" s="26">
        <v>1.48</v>
      </c>
      <c r="DJ217" s="26">
        <f>9.9*10</f>
        <v>99</v>
      </c>
      <c r="DK217" s="26">
        <f>1.3*10</f>
        <v>13</v>
      </c>
      <c r="DL217" s="26" t="s">
        <v>431</v>
      </c>
      <c r="DP217" s="12"/>
      <c r="DR217" s="15"/>
      <c r="EN217" s="26">
        <v>15</v>
      </c>
    </row>
    <row r="218" spans="1:144" s="26" customFormat="1" x14ac:dyDescent="0.25">
      <c r="A218" s="26">
        <v>15</v>
      </c>
      <c r="B218" s="26" t="s">
        <v>392</v>
      </c>
      <c r="C218" s="26" t="s">
        <v>393</v>
      </c>
      <c r="D218" s="26">
        <v>2005</v>
      </c>
      <c r="E218" s="26">
        <v>2001</v>
      </c>
      <c r="F218" s="26" t="s">
        <v>394</v>
      </c>
      <c r="G218" s="26" t="s">
        <v>395</v>
      </c>
      <c r="H218" s="26">
        <f>40+44/60</f>
        <v>40.733333333333334</v>
      </c>
      <c r="I218" s="26">
        <f>-77-57/60</f>
        <v>-77.95</v>
      </c>
      <c r="J218" s="26">
        <v>375.2</v>
      </c>
      <c r="P218" s="52" t="s">
        <v>186</v>
      </c>
      <c r="Q218" s="52"/>
      <c r="R218" s="52"/>
      <c r="S218" s="52" t="s">
        <v>667</v>
      </c>
      <c r="W218" s="26" t="s">
        <v>175</v>
      </c>
      <c r="AA218" s="26" t="s">
        <v>1683</v>
      </c>
      <c r="AB218" s="26" t="s">
        <v>173</v>
      </c>
      <c r="AC218" s="26" t="s">
        <v>174</v>
      </c>
      <c r="AG218" s="26" t="s">
        <v>297</v>
      </c>
      <c r="AH218" s="26" t="s">
        <v>297</v>
      </c>
      <c r="AI218" s="26" t="s">
        <v>252</v>
      </c>
      <c r="AJ218" s="26" t="s">
        <v>396</v>
      </c>
      <c r="AK218" s="26" t="s">
        <v>396</v>
      </c>
      <c r="AL218" s="26" t="s">
        <v>252</v>
      </c>
      <c r="AN218" s="26">
        <v>4</v>
      </c>
      <c r="AO218" s="26">
        <v>4</v>
      </c>
      <c r="AP218" s="26" t="s">
        <v>247</v>
      </c>
      <c r="AR218" s="26">
        <v>1833</v>
      </c>
      <c r="AT218" s="63"/>
      <c r="AU218" s="26" t="s">
        <v>398</v>
      </c>
      <c r="AY218" s="26">
        <f>11.4*1000</f>
        <v>11400</v>
      </c>
      <c r="AZ218" s="26">
        <f>11.87*1000</f>
        <v>11870</v>
      </c>
      <c r="BB218" s="26">
        <v>1.48</v>
      </c>
      <c r="BC218" s="26">
        <v>1.4</v>
      </c>
      <c r="DJ218" s="26">
        <f>0.4*10</f>
        <v>4</v>
      </c>
      <c r="DK218" s="26">
        <f>1.5*10</f>
        <v>15</v>
      </c>
      <c r="DL218" s="26" t="s">
        <v>431</v>
      </c>
      <c r="DP218" s="12"/>
      <c r="DR218" s="15"/>
      <c r="EN218" s="26">
        <v>15</v>
      </c>
    </row>
    <row r="219" spans="1:144" s="39" customFormat="1" x14ac:dyDescent="0.25">
      <c r="A219" s="39">
        <v>15</v>
      </c>
      <c r="B219" s="39" t="s">
        <v>392</v>
      </c>
      <c r="C219" s="39" t="s">
        <v>393</v>
      </c>
      <c r="D219" s="39">
        <v>2005</v>
      </c>
      <c r="E219" s="39">
        <v>2002</v>
      </c>
      <c r="F219" s="39" t="s">
        <v>394</v>
      </c>
      <c r="G219" s="39" t="s">
        <v>395</v>
      </c>
      <c r="H219" s="39">
        <v>40.733333333333334</v>
      </c>
      <c r="I219" s="39">
        <v>-77.95</v>
      </c>
      <c r="J219" s="39">
        <v>375.2</v>
      </c>
      <c r="P219" s="58" t="s">
        <v>187</v>
      </c>
      <c r="Q219" s="58"/>
      <c r="R219" s="58"/>
      <c r="S219" s="58" t="s">
        <v>667</v>
      </c>
      <c r="W219" s="39" t="s">
        <v>175</v>
      </c>
      <c r="AA219" s="39" t="s">
        <v>1683</v>
      </c>
      <c r="AB219" s="39" t="s">
        <v>173</v>
      </c>
      <c r="AC219" s="39" t="s">
        <v>174</v>
      </c>
      <c r="AG219" s="39" t="s">
        <v>297</v>
      </c>
      <c r="AH219" s="39" t="s">
        <v>297</v>
      </c>
      <c r="AI219" s="39" t="s">
        <v>252</v>
      </c>
      <c r="AJ219" s="39" t="s">
        <v>396</v>
      </c>
      <c r="AK219" s="39" t="s">
        <v>396</v>
      </c>
      <c r="AL219" s="39" t="s">
        <v>252</v>
      </c>
      <c r="AN219" s="39">
        <v>4</v>
      </c>
      <c r="AO219" s="39">
        <v>4</v>
      </c>
      <c r="AP219" s="39" t="s">
        <v>247</v>
      </c>
      <c r="AT219" s="63"/>
      <c r="AU219" s="39" t="s">
        <v>397</v>
      </c>
      <c r="AY219" s="39">
        <f>7.55*1000</f>
        <v>7550</v>
      </c>
      <c r="AZ219" s="39">
        <f>8.71*1000</f>
        <v>8710</v>
      </c>
      <c r="DJ219" s="39">
        <f>2.5*10</f>
        <v>25</v>
      </c>
      <c r="DK219" s="39">
        <f>2.8*10</f>
        <v>28</v>
      </c>
      <c r="DL219" s="26" t="s">
        <v>431</v>
      </c>
      <c r="DP219" s="12"/>
      <c r="DR219" s="15"/>
      <c r="EN219" s="39">
        <v>15</v>
      </c>
    </row>
    <row r="220" spans="1:144" s="39" customFormat="1" x14ac:dyDescent="0.25">
      <c r="A220" s="39">
        <v>15</v>
      </c>
      <c r="B220" s="39" t="s">
        <v>392</v>
      </c>
      <c r="C220" s="39" t="s">
        <v>393</v>
      </c>
      <c r="D220" s="39">
        <v>2005</v>
      </c>
      <c r="E220" s="39">
        <v>2002</v>
      </c>
      <c r="F220" s="39" t="s">
        <v>394</v>
      </c>
      <c r="G220" s="39" t="s">
        <v>395</v>
      </c>
      <c r="H220" s="39">
        <v>40.733333333333334</v>
      </c>
      <c r="I220" s="39">
        <v>-77.95</v>
      </c>
      <c r="J220" s="39">
        <v>375.2</v>
      </c>
      <c r="P220" s="58" t="s">
        <v>187</v>
      </c>
      <c r="Q220" s="58"/>
      <c r="R220" s="58"/>
      <c r="S220" s="58" t="s">
        <v>667</v>
      </c>
      <c r="W220" s="39" t="s">
        <v>175</v>
      </c>
      <c r="AA220" s="39" t="s">
        <v>1683</v>
      </c>
      <c r="AB220" s="39" t="s">
        <v>173</v>
      </c>
      <c r="AC220" s="39" t="s">
        <v>174</v>
      </c>
      <c r="AG220" s="39" t="s">
        <v>297</v>
      </c>
      <c r="AH220" s="39" t="s">
        <v>297</v>
      </c>
      <c r="AI220" s="39" t="s">
        <v>252</v>
      </c>
      <c r="AJ220" s="39" t="s">
        <v>396</v>
      </c>
      <c r="AK220" s="39" t="s">
        <v>396</v>
      </c>
      <c r="AL220" s="39" t="s">
        <v>252</v>
      </c>
      <c r="AN220" s="39">
        <v>4</v>
      </c>
      <c r="AO220" s="39">
        <v>4</v>
      </c>
      <c r="AP220" s="39" t="s">
        <v>247</v>
      </c>
      <c r="AR220" s="39">
        <v>3740</v>
      </c>
      <c r="AT220" s="63"/>
      <c r="AU220" s="39" t="s">
        <v>398</v>
      </c>
      <c r="AY220" s="39">
        <f>8.97*1000</f>
        <v>8970</v>
      </c>
      <c r="AZ220" s="39">
        <f>7.66*1000</f>
        <v>7660</v>
      </c>
      <c r="DJ220" s="39">
        <f>2.5*10</f>
        <v>25</v>
      </c>
      <c r="DK220" s="39">
        <f>3*10</f>
        <v>30</v>
      </c>
      <c r="DL220" s="26" t="s">
        <v>431</v>
      </c>
      <c r="DP220" s="12"/>
      <c r="DR220" s="15"/>
      <c r="EN220" s="39">
        <v>15</v>
      </c>
    </row>
    <row r="221" spans="1:144" s="26" customFormat="1" x14ac:dyDescent="0.25">
      <c r="A221" s="26">
        <v>15</v>
      </c>
      <c r="B221" s="26" t="s">
        <v>392</v>
      </c>
      <c r="C221" s="26" t="s">
        <v>393</v>
      </c>
      <c r="D221" s="26">
        <v>2005</v>
      </c>
      <c r="E221" s="26">
        <v>2003</v>
      </c>
      <c r="F221" s="26" t="s">
        <v>394</v>
      </c>
      <c r="G221" s="26" t="s">
        <v>395</v>
      </c>
      <c r="H221" s="26">
        <f>40+44/60</f>
        <v>40.733333333333334</v>
      </c>
      <c r="I221" s="26">
        <f>-77-57/60</f>
        <v>-77.95</v>
      </c>
      <c r="J221" s="26">
        <v>375.2</v>
      </c>
      <c r="P221" s="52" t="s">
        <v>188</v>
      </c>
      <c r="Q221" s="52"/>
      <c r="R221" s="52"/>
      <c r="S221" s="52" t="s">
        <v>667</v>
      </c>
      <c r="W221" s="26" t="s">
        <v>175</v>
      </c>
      <c r="AA221" s="26" t="s">
        <v>1683</v>
      </c>
      <c r="AB221" s="26" t="s">
        <v>173</v>
      </c>
      <c r="AC221" s="26" t="s">
        <v>174</v>
      </c>
      <c r="AG221" s="26" t="s">
        <v>297</v>
      </c>
      <c r="AH221" s="26" t="s">
        <v>297</v>
      </c>
      <c r="AI221" s="26" t="s">
        <v>252</v>
      </c>
      <c r="AJ221" s="26" t="s">
        <v>396</v>
      </c>
      <c r="AK221" s="26" t="s">
        <v>396</v>
      </c>
      <c r="AL221" s="26" t="s">
        <v>252</v>
      </c>
      <c r="AN221" s="26">
        <v>4</v>
      </c>
      <c r="AO221" s="26">
        <v>4</v>
      </c>
      <c r="AP221" s="26" t="s">
        <v>247</v>
      </c>
      <c r="AR221" s="26">
        <v>1568</v>
      </c>
      <c r="AT221" s="63"/>
      <c r="AU221" s="26" t="s">
        <v>397</v>
      </c>
      <c r="AY221" s="26">
        <f>9.94*1000</f>
        <v>9940</v>
      </c>
      <c r="AZ221" s="26">
        <f>9.97*1000</f>
        <v>9970</v>
      </c>
      <c r="DJ221" s="26">
        <f>8.8*10</f>
        <v>88</v>
      </c>
      <c r="DK221" s="26">
        <f>8.9*10</f>
        <v>89</v>
      </c>
      <c r="DL221" s="26" t="s">
        <v>431</v>
      </c>
      <c r="DP221" s="12"/>
      <c r="DR221" s="15"/>
      <c r="EN221" s="26">
        <v>15</v>
      </c>
    </row>
    <row r="222" spans="1:144" s="26" customFormat="1" x14ac:dyDescent="0.25">
      <c r="A222" s="26">
        <v>15</v>
      </c>
      <c r="B222" s="26" t="s">
        <v>392</v>
      </c>
      <c r="C222" s="26" t="s">
        <v>393</v>
      </c>
      <c r="D222" s="26">
        <v>2005</v>
      </c>
      <c r="E222" s="26">
        <v>2003</v>
      </c>
      <c r="F222" s="26" t="s">
        <v>394</v>
      </c>
      <c r="G222" s="26" t="s">
        <v>395</v>
      </c>
      <c r="H222" s="26">
        <f>40+44/60</f>
        <v>40.733333333333334</v>
      </c>
      <c r="I222" s="26">
        <f>-77-57/60</f>
        <v>-77.95</v>
      </c>
      <c r="J222" s="26">
        <v>375.2</v>
      </c>
      <c r="P222" s="52" t="s">
        <v>188</v>
      </c>
      <c r="Q222" s="52"/>
      <c r="R222" s="52"/>
      <c r="S222" s="52" t="s">
        <v>667</v>
      </c>
      <c r="W222" s="26" t="s">
        <v>175</v>
      </c>
      <c r="AA222" s="26" t="s">
        <v>1683</v>
      </c>
      <c r="AB222" s="26" t="s">
        <v>173</v>
      </c>
      <c r="AC222" s="26" t="s">
        <v>174</v>
      </c>
      <c r="AG222" s="26" t="s">
        <v>297</v>
      </c>
      <c r="AH222" s="26" t="s">
        <v>297</v>
      </c>
      <c r="AI222" s="26" t="s">
        <v>252</v>
      </c>
      <c r="AJ222" s="26" t="s">
        <v>396</v>
      </c>
      <c r="AK222" s="26" t="s">
        <v>396</v>
      </c>
      <c r="AL222" s="26" t="s">
        <v>252</v>
      </c>
      <c r="AN222" s="26">
        <v>4</v>
      </c>
      <c r="AO222" s="26">
        <v>4</v>
      </c>
      <c r="AP222" s="26" t="s">
        <v>247</v>
      </c>
      <c r="AR222" s="26">
        <v>7075</v>
      </c>
      <c r="AT222" s="63"/>
      <c r="AU222" s="26" t="s">
        <v>398</v>
      </c>
      <c r="AY222" s="26">
        <f>8.81*1000</f>
        <v>8810</v>
      </c>
      <c r="AZ222" s="26">
        <f>9.69*1000</f>
        <v>9690</v>
      </c>
      <c r="DJ222" s="26">
        <f>11.8*10</f>
        <v>118</v>
      </c>
      <c r="DK222" s="26">
        <f>7.6*10</f>
        <v>76</v>
      </c>
      <c r="DL222" s="26" t="s">
        <v>431</v>
      </c>
      <c r="DP222" s="12"/>
      <c r="DR222" s="15"/>
      <c r="EN222" s="26">
        <v>15</v>
      </c>
    </row>
    <row r="223" spans="1:144" s="38" customFormat="1" x14ac:dyDescent="0.25">
      <c r="A223" s="38">
        <v>16</v>
      </c>
      <c r="B223" s="38" t="s">
        <v>399</v>
      </c>
      <c r="C223" s="38" t="s">
        <v>400</v>
      </c>
      <c r="D223" s="38">
        <v>1998</v>
      </c>
      <c r="E223" s="38">
        <v>1996</v>
      </c>
      <c r="F223" s="38" t="s">
        <v>401</v>
      </c>
      <c r="G223" s="38" t="s">
        <v>402</v>
      </c>
      <c r="H223" s="38">
        <v>37.200000000000003</v>
      </c>
      <c r="I223" s="38">
        <v>-80.56</v>
      </c>
      <c r="J223" s="38">
        <v>505</v>
      </c>
      <c r="P223" s="57" t="s">
        <v>186</v>
      </c>
      <c r="Q223" s="57"/>
      <c r="R223" s="57"/>
      <c r="S223" s="57" t="s">
        <v>657</v>
      </c>
      <c r="T223" s="38">
        <f>(1.76+1.67)/2</f>
        <v>1.7149999999999999</v>
      </c>
      <c r="W223" s="38" t="s">
        <v>175</v>
      </c>
      <c r="AA223" s="38" t="s">
        <v>1684</v>
      </c>
      <c r="AB223" s="38" t="s">
        <v>406</v>
      </c>
      <c r="AC223" s="38" t="s">
        <v>309</v>
      </c>
      <c r="AG223" s="38" t="s">
        <v>403</v>
      </c>
      <c r="AH223" s="38" t="s">
        <v>403</v>
      </c>
      <c r="AI223" s="38" t="s">
        <v>252</v>
      </c>
      <c r="AJ223" s="38" t="s">
        <v>404</v>
      </c>
      <c r="AK223" s="38" t="s">
        <v>404</v>
      </c>
      <c r="AM223" s="38" t="s">
        <v>405</v>
      </c>
      <c r="AN223" s="38">
        <v>4</v>
      </c>
      <c r="AO223" s="38">
        <v>4</v>
      </c>
      <c r="AP223" s="38" t="s">
        <v>184</v>
      </c>
      <c r="AT223" s="64"/>
      <c r="AU223" s="38" t="s">
        <v>412</v>
      </c>
      <c r="BB223" s="38">
        <f>(1.23+1.37+1.44+1.46)/4</f>
        <v>1.375</v>
      </c>
      <c r="BC223" s="38">
        <f>(1.25+1.33+1.37+1.41)/4</f>
        <v>1.34</v>
      </c>
      <c r="CF223" s="38">
        <f>(24.4+14.9+11.6+10.4)/4</f>
        <v>15.324999999999999</v>
      </c>
      <c r="CG223" s="38">
        <f>(22.9+17.1+13.9+12.2)/4</f>
        <v>16.524999999999999</v>
      </c>
      <c r="CH223" s="38" t="s">
        <v>410</v>
      </c>
      <c r="CI223" s="38">
        <f>(29.1+33.3+34+34.7)/4</f>
        <v>32.775000000000006</v>
      </c>
      <c r="CJ223" s="38">
        <f>(30.1+32.6+34.2+34.7)/4</f>
        <v>32.900000000000006</v>
      </c>
      <c r="CK223" s="38" t="s">
        <v>409</v>
      </c>
      <c r="CO223" s="38">
        <f>(76+22.2+2+1.5)/4</f>
        <v>25.425000000000001</v>
      </c>
      <c r="CP223" s="38">
        <f>(92.9+24.3+8.3+5.4)/4</f>
        <v>32.725000000000001</v>
      </c>
      <c r="DD223" s="38">
        <f>(16+18)/2/100</f>
        <v>0.17</v>
      </c>
      <c r="DE223" s="38">
        <f>(14.8+18.8)/2/100</f>
        <v>0.16800000000000001</v>
      </c>
      <c r="DP223" s="12"/>
      <c r="DR223" s="15"/>
      <c r="EL223" s="38" t="s">
        <v>1156</v>
      </c>
      <c r="EN223" s="38">
        <v>16</v>
      </c>
    </row>
    <row r="224" spans="1:144" s="38" customFormat="1" x14ac:dyDescent="0.25">
      <c r="A224" s="38">
        <v>16</v>
      </c>
      <c r="B224" s="38" t="s">
        <v>399</v>
      </c>
      <c r="C224" s="38" t="s">
        <v>400</v>
      </c>
      <c r="D224" s="38">
        <v>1998</v>
      </c>
      <c r="E224" s="38">
        <v>1996</v>
      </c>
      <c r="F224" s="38" t="s">
        <v>401</v>
      </c>
      <c r="G224" s="38" t="s">
        <v>402</v>
      </c>
      <c r="H224" s="38">
        <v>37.200000000000003</v>
      </c>
      <c r="I224" s="38">
        <v>-80.56</v>
      </c>
      <c r="J224" s="38">
        <v>505</v>
      </c>
      <c r="P224" s="57" t="s">
        <v>186</v>
      </c>
      <c r="Q224" s="57"/>
      <c r="R224" s="57"/>
      <c r="S224" s="57" t="s">
        <v>657</v>
      </c>
      <c r="T224" s="38">
        <f t="shared" ref="T224:T225" si="33">(1.76+1.67)/2</f>
        <v>1.7149999999999999</v>
      </c>
      <c r="W224" s="38" t="s">
        <v>175</v>
      </c>
      <c r="AA224" s="38" t="s">
        <v>1684</v>
      </c>
      <c r="AB224" s="38" t="s">
        <v>407</v>
      </c>
      <c r="AC224" s="38" t="s">
        <v>309</v>
      </c>
      <c r="AG224" s="38" t="s">
        <v>403</v>
      </c>
      <c r="AH224" s="38" t="s">
        <v>403</v>
      </c>
      <c r="AI224" s="38" t="s">
        <v>252</v>
      </c>
      <c r="AJ224" s="38" t="s">
        <v>404</v>
      </c>
      <c r="AK224" s="38" t="s">
        <v>404</v>
      </c>
      <c r="AM224" s="38" t="s">
        <v>405</v>
      </c>
      <c r="AN224" s="38">
        <v>4</v>
      </c>
      <c r="AO224" s="38">
        <v>4</v>
      </c>
      <c r="AP224" s="38" t="s">
        <v>184</v>
      </c>
      <c r="AT224" s="64"/>
      <c r="AU224" s="38" t="s">
        <v>412</v>
      </c>
      <c r="BB224" s="38">
        <f t="shared" ref="BB224:BB225" si="34">(1.23+1.37+1.44+1.46)/4</f>
        <v>1.375</v>
      </c>
      <c r="BC224" s="38">
        <f>(1.29+1.36+1.4+1.41)/4</f>
        <v>1.3650000000000002</v>
      </c>
      <c r="CF224" s="38">
        <f t="shared" ref="CF224:CF225" si="35">(24.4+14.9+11.6+10.4)/4</f>
        <v>15.324999999999999</v>
      </c>
      <c r="CG224" s="38">
        <f>(19.3+16.2+12.8+12.3)/4</f>
        <v>15.149999999999999</v>
      </c>
      <c r="CH224" s="38" t="s">
        <v>410</v>
      </c>
      <c r="CI224" s="38">
        <f t="shared" ref="CI224:CI225" si="36">(29.1+33.3+34+34.7)/4</f>
        <v>32.775000000000006</v>
      </c>
      <c r="CJ224" s="38">
        <f>(32+32.6+34.4+34.4)/4</f>
        <v>33.35</v>
      </c>
      <c r="CK224" s="38" t="s">
        <v>409</v>
      </c>
      <c r="CO224" s="38">
        <f t="shared" ref="CO224:CO225" si="37">(76+22.2+2+1.5)/4</f>
        <v>25.425000000000001</v>
      </c>
      <c r="CP224" s="38">
        <f>(38.5+15.8+4.9+4.1)/4</f>
        <v>15.824999999999999</v>
      </c>
      <c r="DD224" s="38">
        <f t="shared" ref="DD224:DD225" si="38">(16+18)/2/100</f>
        <v>0.17</v>
      </c>
      <c r="DE224" s="38">
        <f>(12.1+16.6)/2/100</f>
        <v>0.14350000000000002</v>
      </c>
      <c r="DP224" s="12"/>
      <c r="DR224" s="15"/>
      <c r="EL224" s="38" t="s">
        <v>1156</v>
      </c>
      <c r="EN224" s="38">
        <v>16</v>
      </c>
    </row>
    <row r="225" spans="1:144" s="38" customFormat="1" x14ac:dyDescent="0.25">
      <c r="A225" s="38">
        <v>16</v>
      </c>
      <c r="B225" s="38" t="s">
        <v>399</v>
      </c>
      <c r="C225" s="38" t="s">
        <v>400</v>
      </c>
      <c r="D225" s="38">
        <v>1998</v>
      </c>
      <c r="E225" s="38">
        <v>1996</v>
      </c>
      <c r="F225" s="38" t="s">
        <v>401</v>
      </c>
      <c r="G225" s="38" t="s">
        <v>402</v>
      </c>
      <c r="H225" s="38">
        <v>37.200000000000003</v>
      </c>
      <c r="I225" s="38">
        <v>-80.56</v>
      </c>
      <c r="J225" s="38">
        <v>505</v>
      </c>
      <c r="P225" s="57" t="s">
        <v>186</v>
      </c>
      <c r="Q225" s="57"/>
      <c r="R225" s="57"/>
      <c r="S225" s="57" t="s">
        <v>657</v>
      </c>
      <c r="T225" s="38">
        <f t="shared" si="33"/>
        <v>1.7149999999999999</v>
      </c>
      <c r="W225" s="38" t="s">
        <v>175</v>
      </c>
      <c r="AA225" s="38" t="s">
        <v>1684</v>
      </c>
      <c r="AB225" s="38" t="s">
        <v>408</v>
      </c>
      <c r="AC225" s="38" t="s">
        <v>309</v>
      </c>
      <c r="AG225" s="38" t="s">
        <v>403</v>
      </c>
      <c r="AH225" s="38" t="s">
        <v>403</v>
      </c>
      <c r="AI225" s="38" t="s">
        <v>252</v>
      </c>
      <c r="AJ225" s="38" t="s">
        <v>404</v>
      </c>
      <c r="AK225" s="38" t="s">
        <v>404</v>
      </c>
      <c r="AM225" s="38" t="s">
        <v>405</v>
      </c>
      <c r="AN225" s="38">
        <v>4</v>
      </c>
      <c r="AO225" s="38">
        <v>4</v>
      </c>
      <c r="AP225" s="38" t="s">
        <v>184</v>
      </c>
      <c r="AT225" s="64"/>
      <c r="AU225" s="38" t="s">
        <v>412</v>
      </c>
      <c r="BB225" s="38">
        <f t="shared" si="34"/>
        <v>1.375</v>
      </c>
      <c r="BC225" s="38">
        <f>(1.31+1.34+1.36+1.4)/4</f>
        <v>1.3525</v>
      </c>
      <c r="CF225" s="38">
        <f t="shared" si="35"/>
        <v>15.324999999999999</v>
      </c>
      <c r="CG225" s="38">
        <f>(18.8+16.4+15.7+13.9)/4</f>
        <v>16.200000000000003</v>
      </c>
      <c r="CH225" s="38" t="s">
        <v>410</v>
      </c>
      <c r="CI225" s="38">
        <f t="shared" si="36"/>
        <v>32.775000000000006</v>
      </c>
      <c r="CJ225" s="38">
        <f>(31.6+32.8+32.8+33.5)/4</f>
        <v>32.674999999999997</v>
      </c>
      <c r="CK225" s="38" t="s">
        <v>409</v>
      </c>
      <c r="CO225" s="38">
        <f t="shared" si="37"/>
        <v>25.425000000000001</v>
      </c>
      <c r="CP225" s="38">
        <f>(34.8+15.1+9.1+6.5)/4</f>
        <v>16.375</v>
      </c>
      <c r="DD225" s="38">
        <f t="shared" si="38"/>
        <v>0.17</v>
      </c>
      <c r="DE225" s="38">
        <f>(13+16.2)/2/100</f>
        <v>0.14599999999999999</v>
      </c>
      <c r="DP225" s="12"/>
      <c r="DR225" s="15"/>
      <c r="EL225" s="38" t="s">
        <v>1156</v>
      </c>
      <c r="EN225" s="38">
        <v>16</v>
      </c>
    </row>
    <row r="226" spans="1:144" s="35" customFormat="1" x14ac:dyDescent="0.25">
      <c r="A226" s="35">
        <v>17</v>
      </c>
      <c r="B226" s="35" t="s">
        <v>413</v>
      </c>
      <c r="C226" s="35" t="s">
        <v>414</v>
      </c>
      <c r="D226" s="35">
        <v>2016</v>
      </c>
      <c r="E226" s="35">
        <v>2011</v>
      </c>
      <c r="F226" s="35" t="s">
        <v>394</v>
      </c>
      <c r="G226" s="35" t="s">
        <v>415</v>
      </c>
      <c r="H226" s="35">
        <f t="shared" ref="H226:H259" si="39">40+43/60</f>
        <v>40.716666666666669</v>
      </c>
      <c r="I226" s="35">
        <f t="shared" ref="I226:I259" si="40">-77-55/60</f>
        <v>-77.916666666666671</v>
      </c>
      <c r="J226" s="35">
        <v>350</v>
      </c>
      <c r="N226" s="35">
        <v>975</v>
      </c>
      <c r="P226" s="54" t="s">
        <v>186</v>
      </c>
      <c r="Q226" s="54"/>
      <c r="R226" s="54"/>
      <c r="S226" s="54" t="s">
        <v>668</v>
      </c>
      <c r="W226" s="35" t="s">
        <v>417</v>
      </c>
      <c r="AA226" s="35" t="s">
        <v>1685</v>
      </c>
      <c r="AB226" s="35" t="s">
        <v>479</v>
      </c>
      <c r="AC226" s="35" t="s">
        <v>174</v>
      </c>
      <c r="AD226" s="35" t="s">
        <v>416</v>
      </c>
      <c r="AE226" s="35" t="s">
        <v>416</v>
      </c>
      <c r="AF226" s="35" t="s">
        <v>252</v>
      </c>
      <c r="AJ226" s="35" t="s">
        <v>418</v>
      </c>
      <c r="AK226" s="35" t="s">
        <v>418</v>
      </c>
      <c r="AL226" s="35" t="s">
        <v>252</v>
      </c>
      <c r="AM226" s="35" t="s">
        <v>222</v>
      </c>
      <c r="AN226" s="35">
        <v>4</v>
      </c>
      <c r="AO226" s="35">
        <v>4</v>
      </c>
      <c r="AP226" s="35" t="s">
        <v>184</v>
      </c>
      <c r="AR226" s="35">
        <v>61</v>
      </c>
      <c r="AS226" s="35">
        <v>9.3000000000000007</v>
      </c>
      <c r="AT226" s="63"/>
      <c r="AY226" s="35">
        <v>6975</v>
      </c>
      <c r="AZ226" s="35">
        <v>6876</v>
      </c>
      <c r="BH226" s="35">
        <f>13.25*0.614</f>
        <v>8.1355000000000004</v>
      </c>
      <c r="BI226" s="35">
        <v>8.64</v>
      </c>
      <c r="BJ226" s="35" t="s">
        <v>462</v>
      </c>
      <c r="BM226" s="35" t="s">
        <v>463</v>
      </c>
      <c r="CU226" s="35">
        <v>48.16</v>
      </c>
      <c r="CV226" s="35">
        <v>42.8294</v>
      </c>
      <c r="CW226" s="35" t="s">
        <v>432</v>
      </c>
      <c r="DJ226" s="35">
        <v>2820.6</v>
      </c>
      <c r="DK226" s="35">
        <v>3011.35</v>
      </c>
      <c r="DL226" s="35">
        <f>(2964.03-2820.6)*SQRT(4)</f>
        <v>286.86000000000058</v>
      </c>
      <c r="DP226" s="12"/>
      <c r="DR226" s="15"/>
      <c r="EL226" s="35" t="s">
        <v>463</v>
      </c>
      <c r="EN226" s="35">
        <v>17</v>
      </c>
    </row>
    <row r="227" spans="1:144" s="35" customFormat="1" x14ac:dyDescent="0.25">
      <c r="A227" s="35">
        <v>17</v>
      </c>
      <c r="B227" s="35" t="s">
        <v>413</v>
      </c>
      <c r="C227" s="35" t="s">
        <v>414</v>
      </c>
      <c r="D227" s="35">
        <v>2016</v>
      </c>
      <c r="E227" s="35">
        <v>2011</v>
      </c>
      <c r="F227" s="35" t="s">
        <v>394</v>
      </c>
      <c r="G227" s="35" t="s">
        <v>415</v>
      </c>
      <c r="H227" s="35">
        <f t="shared" si="39"/>
        <v>40.716666666666669</v>
      </c>
      <c r="I227" s="35">
        <f t="shared" si="40"/>
        <v>-77.916666666666671</v>
      </c>
      <c r="J227" s="35">
        <v>350</v>
      </c>
      <c r="N227" s="35">
        <v>975</v>
      </c>
      <c r="P227" s="54" t="s">
        <v>186</v>
      </c>
      <c r="Q227" s="54"/>
      <c r="R227" s="54"/>
      <c r="S227" s="54" t="s">
        <v>668</v>
      </c>
      <c r="W227" s="35" t="s">
        <v>417</v>
      </c>
      <c r="AA227" s="35" t="s">
        <v>1685</v>
      </c>
      <c r="AB227" s="35" t="s">
        <v>1504</v>
      </c>
      <c r="AC227" s="35" t="s">
        <v>174</v>
      </c>
      <c r="AD227" s="35" t="s">
        <v>416</v>
      </c>
      <c r="AE227" s="35" t="s">
        <v>416</v>
      </c>
      <c r="AF227" s="35" t="s">
        <v>252</v>
      </c>
      <c r="AJ227" s="35" t="s">
        <v>418</v>
      </c>
      <c r="AK227" s="35" t="s">
        <v>418</v>
      </c>
      <c r="AL227" s="35" t="s">
        <v>252</v>
      </c>
      <c r="AM227" s="35" t="s">
        <v>222</v>
      </c>
      <c r="AN227" s="35">
        <v>4</v>
      </c>
      <c r="AO227" s="35">
        <v>4</v>
      </c>
      <c r="AP227" s="35" t="s">
        <v>184</v>
      </c>
      <c r="AR227" s="35">
        <v>418</v>
      </c>
      <c r="AS227" s="35">
        <v>9.5</v>
      </c>
      <c r="AT227" s="63"/>
      <c r="AY227" s="35">
        <v>6975</v>
      </c>
      <c r="AZ227" s="35">
        <v>6678</v>
      </c>
      <c r="BH227" s="35">
        <f t="shared" ref="BH227:BH241" si="41">13.25*0.614</f>
        <v>8.1355000000000004</v>
      </c>
      <c r="BI227" s="35">
        <v>8.43</v>
      </c>
      <c r="BJ227" s="35" t="s">
        <v>462</v>
      </c>
      <c r="BM227" s="35" t="s">
        <v>463</v>
      </c>
      <c r="CU227" s="35">
        <v>48.16</v>
      </c>
      <c r="CV227" s="35">
        <v>35.291600000000003</v>
      </c>
      <c r="CW227" s="35" t="s">
        <v>432</v>
      </c>
      <c r="DJ227" s="35">
        <v>2820.6</v>
      </c>
      <c r="DK227" s="35">
        <v>2322.3200000000002</v>
      </c>
      <c r="DL227" s="35">
        <f t="shared" ref="DL227:DL242" si="42">(2964.03-2820.6)*SQRT(4)</f>
        <v>286.86000000000058</v>
      </c>
      <c r="DP227" s="12"/>
      <c r="DR227" s="15"/>
      <c r="EL227" s="35" t="s">
        <v>463</v>
      </c>
      <c r="EN227" s="35">
        <v>17</v>
      </c>
    </row>
    <row r="228" spans="1:144" s="35" customFormat="1" x14ac:dyDescent="0.25">
      <c r="A228" s="35">
        <v>17</v>
      </c>
      <c r="B228" s="35" t="s">
        <v>413</v>
      </c>
      <c r="C228" s="35" t="s">
        <v>414</v>
      </c>
      <c r="D228" s="35">
        <v>2016</v>
      </c>
      <c r="E228" s="35">
        <v>2011</v>
      </c>
      <c r="F228" s="35" t="s">
        <v>394</v>
      </c>
      <c r="G228" s="35" t="s">
        <v>415</v>
      </c>
      <c r="H228" s="35">
        <f t="shared" si="39"/>
        <v>40.716666666666669</v>
      </c>
      <c r="I228" s="35">
        <f t="shared" si="40"/>
        <v>-77.916666666666671</v>
      </c>
      <c r="J228" s="35">
        <v>350</v>
      </c>
      <c r="N228" s="35">
        <v>975</v>
      </c>
      <c r="P228" s="54" t="s">
        <v>186</v>
      </c>
      <c r="Q228" s="54"/>
      <c r="R228" s="54"/>
      <c r="S228" s="54" t="s">
        <v>668</v>
      </c>
      <c r="W228" s="35" t="s">
        <v>417</v>
      </c>
      <c r="AA228" s="35" t="s">
        <v>1685</v>
      </c>
      <c r="AB228" s="35" t="s">
        <v>1508</v>
      </c>
      <c r="AC228" s="35" t="s">
        <v>174</v>
      </c>
      <c r="AD228" s="35" t="s">
        <v>416</v>
      </c>
      <c r="AE228" s="35" t="s">
        <v>416</v>
      </c>
      <c r="AF228" s="35" t="s">
        <v>252</v>
      </c>
      <c r="AJ228" s="35" t="s">
        <v>418</v>
      </c>
      <c r="AK228" s="35" t="s">
        <v>418</v>
      </c>
      <c r="AL228" s="35" t="s">
        <v>252</v>
      </c>
      <c r="AM228" s="35" t="s">
        <v>222</v>
      </c>
      <c r="AN228" s="35">
        <v>4</v>
      </c>
      <c r="AO228" s="35">
        <v>4</v>
      </c>
      <c r="AP228" s="35" t="s">
        <v>184</v>
      </c>
      <c r="AR228" s="35">
        <v>4045</v>
      </c>
      <c r="AS228" s="35">
        <v>10.3</v>
      </c>
      <c r="AT228" s="63"/>
      <c r="AY228" s="35">
        <v>6975</v>
      </c>
      <c r="AZ228" s="35">
        <v>9653</v>
      </c>
      <c r="BH228" s="35">
        <f t="shared" si="41"/>
        <v>8.1355000000000004</v>
      </c>
      <c r="BI228" s="35">
        <v>18.399999999999999</v>
      </c>
      <c r="BJ228" s="35" t="s">
        <v>462</v>
      </c>
      <c r="BM228" s="35" t="s">
        <v>463</v>
      </c>
      <c r="CU228" s="35">
        <v>48.16</v>
      </c>
      <c r="CV228" s="35">
        <v>33.94</v>
      </c>
      <c r="CW228" s="35" t="s">
        <v>432</v>
      </c>
      <c r="DJ228" s="35">
        <v>2820.6</v>
      </c>
      <c r="DK228" s="35">
        <v>992.58</v>
      </c>
      <c r="DL228" s="35">
        <f t="shared" si="42"/>
        <v>286.86000000000058</v>
      </c>
      <c r="DP228" s="12"/>
      <c r="DR228" s="15"/>
      <c r="EL228" s="35" t="s">
        <v>463</v>
      </c>
      <c r="EN228" s="35">
        <v>17</v>
      </c>
    </row>
    <row r="229" spans="1:144" s="35" customFormat="1" x14ac:dyDescent="0.25">
      <c r="A229" s="35">
        <v>17</v>
      </c>
      <c r="B229" s="35" t="s">
        <v>413</v>
      </c>
      <c r="C229" s="35" t="s">
        <v>414</v>
      </c>
      <c r="D229" s="35">
        <v>2016</v>
      </c>
      <c r="E229" s="35">
        <v>2011</v>
      </c>
      <c r="F229" s="35" t="s">
        <v>394</v>
      </c>
      <c r="G229" s="35" t="s">
        <v>415</v>
      </c>
      <c r="H229" s="35">
        <f t="shared" si="39"/>
        <v>40.716666666666669</v>
      </c>
      <c r="I229" s="35">
        <f t="shared" si="40"/>
        <v>-77.916666666666671</v>
      </c>
      <c r="J229" s="35">
        <v>350</v>
      </c>
      <c r="N229" s="35">
        <v>975</v>
      </c>
      <c r="P229" s="54" t="s">
        <v>186</v>
      </c>
      <c r="Q229" s="54"/>
      <c r="R229" s="54"/>
      <c r="S229" s="54" t="s">
        <v>668</v>
      </c>
      <c r="W229" s="35" t="s">
        <v>417</v>
      </c>
      <c r="AA229" s="35" t="s">
        <v>1685</v>
      </c>
      <c r="AB229" s="35" t="s">
        <v>326</v>
      </c>
      <c r="AC229" s="35" t="s">
        <v>174</v>
      </c>
      <c r="AD229" s="35" t="s">
        <v>416</v>
      </c>
      <c r="AE229" s="35" t="s">
        <v>416</v>
      </c>
      <c r="AF229" s="35" t="s">
        <v>252</v>
      </c>
      <c r="AJ229" s="35" t="s">
        <v>418</v>
      </c>
      <c r="AK229" s="35" t="s">
        <v>418</v>
      </c>
      <c r="AL229" s="35" t="s">
        <v>252</v>
      </c>
      <c r="AM229" s="35" t="s">
        <v>222</v>
      </c>
      <c r="AN229" s="35">
        <v>4</v>
      </c>
      <c r="AO229" s="35">
        <v>4</v>
      </c>
      <c r="AP229" s="35" t="s">
        <v>184</v>
      </c>
      <c r="AR229" s="35">
        <v>4531</v>
      </c>
      <c r="AS229" s="35">
        <v>9</v>
      </c>
      <c r="AT229" s="63"/>
      <c r="AY229" s="35">
        <v>6975</v>
      </c>
      <c r="AZ229" s="35">
        <v>9884</v>
      </c>
      <c r="BH229" s="35">
        <f t="shared" si="41"/>
        <v>8.1355000000000004</v>
      </c>
      <c r="BI229" s="35">
        <v>27.04</v>
      </c>
      <c r="BJ229" s="35" t="s">
        <v>462</v>
      </c>
      <c r="BM229" s="35" t="s">
        <v>463</v>
      </c>
      <c r="CU229" s="35">
        <v>48.16</v>
      </c>
      <c r="CV229" s="35">
        <v>34.36</v>
      </c>
      <c r="CW229" s="35" t="s">
        <v>432</v>
      </c>
      <c r="DJ229" s="35">
        <v>2820.6</v>
      </c>
      <c r="DK229" s="35">
        <v>236.61</v>
      </c>
      <c r="DL229" s="35">
        <f t="shared" si="42"/>
        <v>286.86000000000058</v>
      </c>
      <c r="DP229" s="12"/>
      <c r="DR229" s="15"/>
      <c r="EL229" s="35" t="s">
        <v>463</v>
      </c>
      <c r="EN229" s="35">
        <v>17</v>
      </c>
    </row>
    <row r="230" spans="1:144" s="35" customFormat="1" x14ac:dyDescent="0.25">
      <c r="A230" s="35">
        <v>17</v>
      </c>
      <c r="B230" s="35" t="s">
        <v>413</v>
      </c>
      <c r="C230" s="35" t="s">
        <v>414</v>
      </c>
      <c r="D230" s="35">
        <v>2016</v>
      </c>
      <c r="E230" s="35">
        <v>2011</v>
      </c>
      <c r="F230" s="35" t="s">
        <v>394</v>
      </c>
      <c r="G230" s="35" t="s">
        <v>415</v>
      </c>
      <c r="H230" s="35">
        <f t="shared" si="39"/>
        <v>40.716666666666669</v>
      </c>
      <c r="I230" s="35">
        <f t="shared" si="40"/>
        <v>-77.916666666666671</v>
      </c>
      <c r="J230" s="35">
        <v>350</v>
      </c>
      <c r="N230" s="35">
        <v>975</v>
      </c>
      <c r="P230" s="54" t="s">
        <v>186</v>
      </c>
      <c r="Q230" s="54"/>
      <c r="R230" s="54"/>
      <c r="S230" s="54" t="s">
        <v>668</v>
      </c>
      <c r="W230" s="35" t="s">
        <v>417</v>
      </c>
      <c r="AA230" s="35" t="s">
        <v>1685</v>
      </c>
      <c r="AB230" s="35" t="s">
        <v>419</v>
      </c>
      <c r="AC230" s="35" t="s">
        <v>174</v>
      </c>
      <c r="AD230" s="35" t="s">
        <v>416</v>
      </c>
      <c r="AE230" s="35" t="s">
        <v>416</v>
      </c>
      <c r="AF230" s="35" t="s">
        <v>252</v>
      </c>
      <c r="AJ230" s="35" t="s">
        <v>418</v>
      </c>
      <c r="AK230" s="35" t="s">
        <v>418</v>
      </c>
      <c r="AL230" s="35" t="s">
        <v>252</v>
      </c>
      <c r="AM230" s="35" t="s">
        <v>222</v>
      </c>
      <c r="AN230" s="35">
        <v>4</v>
      </c>
      <c r="AO230" s="35">
        <v>4</v>
      </c>
      <c r="AP230" s="35" t="s">
        <v>184</v>
      </c>
      <c r="AR230" s="35">
        <v>1381</v>
      </c>
      <c r="AS230" s="35">
        <v>15.7</v>
      </c>
      <c r="AT230" s="63"/>
      <c r="AY230" s="35">
        <v>6975</v>
      </c>
      <c r="AZ230" s="35">
        <v>8033</v>
      </c>
      <c r="BH230" s="35">
        <f t="shared" si="41"/>
        <v>8.1355000000000004</v>
      </c>
      <c r="BI230" s="35">
        <v>10.45</v>
      </c>
      <c r="BJ230" s="35" t="s">
        <v>462</v>
      </c>
      <c r="BM230" s="35" t="s">
        <v>463</v>
      </c>
      <c r="CU230" s="35">
        <v>48.16</v>
      </c>
      <c r="CV230" s="35">
        <v>47.6</v>
      </c>
      <c r="CW230" s="35" t="s">
        <v>432</v>
      </c>
      <c r="DJ230" s="35">
        <v>2820.6</v>
      </c>
      <c r="DK230" s="35">
        <v>2225.16</v>
      </c>
      <c r="DL230" s="35">
        <f t="shared" si="42"/>
        <v>286.86000000000058</v>
      </c>
      <c r="DP230" s="12"/>
      <c r="DR230" s="15"/>
      <c r="EL230" s="35" t="s">
        <v>463</v>
      </c>
      <c r="EN230" s="35">
        <v>17</v>
      </c>
    </row>
    <row r="231" spans="1:144" s="35" customFormat="1" x14ac:dyDescent="0.25">
      <c r="A231" s="35">
        <v>17</v>
      </c>
      <c r="B231" s="35" t="s">
        <v>413</v>
      </c>
      <c r="C231" s="35" t="s">
        <v>414</v>
      </c>
      <c r="D231" s="35">
        <v>2016</v>
      </c>
      <c r="E231" s="35">
        <v>2011</v>
      </c>
      <c r="F231" s="35" t="s">
        <v>394</v>
      </c>
      <c r="G231" s="35" t="s">
        <v>415</v>
      </c>
      <c r="H231" s="35">
        <f t="shared" si="39"/>
        <v>40.716666666666669</v>
      </c>
      <c r="I231" s="35">
        <f t="shared" si="40"/>
        <v>-77.916666666666671</v>
      </c>
      <c r="J231" s="35">
        <v>350</v>
      </c>
      <c r="N231" s="35">
        <v>975</v>
      </c>
      <c r="P231" s="54" t="s">
        <v>186</v>
      </c>
      <c r="Q231" s="54"/>
      <c r="R231" s="54"/>
      <c r="S231" s="54" t="s">
        <v>668</v>
      </c>
      <c r="W231" s="35" t="s">
        <v>417</v>
      </c>
      <c r="AA231" s="35" t="s">
        <v>1685</v>
      </c>
      <c r="AB231" s="35" t="s">
        <v>420</v>
      </c>
      <c r="AC231" s="35" t="s">
        <v>174</v>
      </c>
      <c r="AD231" s="35" t="s">
        <v>416</v>
      </c>
      <c r="AE231" s="35" t="s">
        <v>416</v>
      </c>
      <c r="AF231" s="35" t="s">
        <v>252</v>
      </c>
      <c r="AJ231" s="35" t="s">
        <v>418</v>
      </c>
      <c r="AK231" s="35" t="s">
        <v>418</v>
      </c>
      <c r="AL231" s="35" t="s">
        <v>252</v>
      </c>
      <c r="AM231" s="35" t="s">
        <v>222</v>
      </c>
      <c r="AN231" s="35">
        <v>4</v>
      </c>
      <c r="AO231" s="35">
        <v>4</v>
      </c>
      <c r="AP231" s="35" t="s">
        <v>184</v>
      </c>
      <c r="AR231" s="35">
        <v>1901</v>
      </c>
      <c r="AS231" s="35">
        <v>17.899999999999999</v>
      </c>
      <c r="AT231" s="63"/>
      <c r="AY231" s="35">
        <v>6975</v>
      </c>
      <c r="AZ231" s="35">
        <v>8033</v>
      </c>
      <c r="BH231" s="35">
        <f t="shared" si="41"/>
        <v>8.1355000000000004</v>
      </c>
      <c r="BI231" s="35">
        <v>9.73</v>
      </c>
      <c r="BJ231" s="35" t="s">
        <v>462</v>
      </c>
      <c r="BM231" s="35" t="s">
        <v>463</v>
      </c>
      <c r="CU231" s="35">
        <v>48.16</v>
      </c>
      <c r="CV231" s="35">
        <v>21.05</v>
      </c>
      <c r="CW231" s="35" t="s">
        <v>432</v>
      </c>
      <c r="DJ231" s="35">
        <v>2820.6</v>
      </c>
      <c r="DK231" s="35">
        <v>541.59</v>
      </c>
      <c r="DL231" s="35">
        <f t="shared" si="42"/>
        <v>286.86000000000058</v>
      </c>
      <c r="DP231" s="12"/>
      <c r="DR231" s="15"/>
      <c r="EL231" s="35" t="s">
        <v>463</v>
      </c>
      <c r="EN231" s="35">
        <v>17</v>
      </c>
    </row>
    <row r="232" spans="1:144" s="35" customFormat="1" x14ac:dyDescent="0.25">
      <c r="A232" s="35">
        <v>17</v>
      </c>
      <c r="B232" s="35" t="s">
        <v>413</v>
      </c>
      <c r="C232" s="35" t="s">
        <v>414</v>
      </c>
      <c r="D232" s="35">
        <v>2016</v>
      </c>
      <c r="E232" s="35">
        <v>2011</v>
      </c>
      <c r="F232" s="35" t="s">
        <v>394</v>
      </c>
      <c r="G232" s="35" t="s">
        <v>415</v>
      </c>
      <c r="H232" s="35">
        <f t="shared" si="39"/>
        <v>40.716666666666669</v>
      </c>
      <c r="I232" s="35">
        <f t="shared" si="40"/>
        <v>-77.916666666666671</v>
      </c>
      <c r="J232" s="35">
        <v>350</v>
      </c>
      <c r="N232" s="35">
        <v>975</v>
      </c>
      <c r="P232" s="54" t="s">
        <v>186</v>
      </c>
      <c r="Q232" s="54"/>
      <c r="R232" s="54"/>
      <c r="S232" s="54" t="s">
        <v>668</v>
      </c>
      <c r="W232" s="35" t="s">
        <v>417</v>
      </c>
      <c r="AA232" s="35" t="s">
        <v>1685</v>
      </c>
      <c r="AB232" s="35" t="s">
        <v>716</v>
      </c>
      <c r="AC232" s="35" t="s">
        <v>174</v>
      </c>
      <c r="AD232" s="35" t="s">
        <v>416</v>
      </c>
      <c r="AE232" s="35" t="s">
        <v>416</v>
      </c>
      <c r="AF232" s="35" t="s">
        <v>252</v>
      </c>
      <c r="AJ232" s="35" t="s">
        <v>418</v>
      </c>
      <c r="AK232" s="35" t="s">
        <v>418</v>
      </c>
      <c r="AL232" s="35" t="s">
        <v>252</v>
      </c>
      <c r="AM232" s="35" t="s">
        <v>222</v>
      </c>
      <c r="AN232" s="35">
        <v>4</v>
      </c>
      <c r="AO232" s="35">
        <v>4</v>
      </c>
      <c r="AP232" s="35" t="s">
        <v>184</v>
      </c>
      <c r="AR232" s="35">
        <v>7165</v>
      </c>
      <c r="AS232" s="35">
        <v>24.2</v>
      </c>
      <c r="AT232" s="63"/>
      <c r="AY232" s="35">
        <v>6975</v>
      </c>
      <c r="AZ232" s="35">
        <v>7372</v>
      </c>
      <c r="BH232" s="35">
        <f t="shared" si="41"/>
        <v>8.1355000000000004</v>
      </c>
      <c r="BI232" s="35">
        <v>8.7100000000000009</v>
      </c>
      <c r="BJ232" s="35" t="s">
        <v>462</v>
      </c>
      <c r="BM232" s="35" t="s">
        <v>463</v>
      </c>
      <c r="CU232" s="35">
        <v>48.16</v>
      </c>
      <c r="CV232" s="35">
        <v>2.02</v>
      </c>
      <c r="CW232" s="35" t="s">
        <v>432</v>
      </c>
      <c r="DJ232" s="35">
        <v>2820.6</v>
      </c>
      <c r="DK232" s="35">
        <v>129.88999999999999</v>
      </c>
      <c r="DL232" s="35">
        <f t="shared" si="42"/>
        <v>286.86000000000058</v>
      </c>
      <c r="DP232" s="12"/>
      <c r="DR232" s="15"/>
      <c r="EL232" s="35" t="s">
        <v>463</v>
      </c>
      <c r="EN232" s="35">
        <v>17</v>
      </c>
    </row>
    <row r="233" spans="1:144" s="35" customFormat="1" x14ac:dyDescent="0.25">
      <c r="A233" s="35">
        <v>17</v>
      </c>
      <c r="B233" s="35" t="s">
        <v>413</v>
      </c>
      <c r="C233" s="35" t="s">
        <v>414</v>
      </c>
      <c r="D233" s="35">
        <v>2016</v>
      </c>
      <c r="E233" s="35">
        <v>2011</v>
      </c>
      <c r="F233" s="35" t="s">
        <v>394</v>
      </c>
      <c r="G233" s="35" t="s">
        <v>415</v>
      </c>
      <c r="H233" s="35">
        <f t="shared" si="39"/>
        <v>40.716666666666669</v>
      </c>
      <c r="I233" s="35">
        <f t="shared" si="40"/>
        <v>-77.916666666666671</v>
      </c>
      <c r="J233" s="35">
        <v>350</v>
      </c>
      <c r="N233" s="35">
        <v>975</v>
      </c>
      <c r="P233" s="54" t="s">
        <v>186</v>
      </c>
      <c r="Q233" s="54"/>
      <c r="R233" s="54"/>
      <c r="S233" s="54" t="s">
        <v>668</v>
      </c>
      <c r="W233" s="35" t="s">
        <v>417</v>
      </c>
      <c r="AA233" s="35" t="s">
        <v>1685</v>
      </c>
      <c r="AB233" s="35" t="s">
        <v>173</v>
      </c>
      <c r="AC233" s="35" t="s">
        <v>174</v>
      </c>
      <c r="AD233" s="35" t="s">
        <v>416</v>
      </c>
      <c r="AE233" s="35" t="s">
        <v>416</v>
      </c>
      <c r="AF233" s="35" t="s">
        <v>252</v>
      </c>
      <c r="AJ233" s="35" t="s">
        <v>418</v>
      </c>
      <c r="AK233" s="35" t="s">
        <v>418</v>
      </c>
      <c r="AL233" s="35" t="s">
        <v>252</v>
      </c>
      <c r="AM233" s="35" t="s">
        <v>222</v>
      </c>
      <c r="AN233" s="35">
        <v>4</v>
      </c>
      <c r="AO233" s="35">
        <v>4</v>
      </c>
      <c r="AP233" s="35" t="s">
        <v>184</v>
      </c>
      <c r="AR233" s="35">
        <v>7343</v>
      </c>
      <c r="AS233" s="35">
        <v>42.9</v>
      </c>
      <c r="AT233" s="63"/>
      <c r="AY233" s="35">
        <v>6975</v>
      </c>
      <c r="AZ233" s="35">
        <v>4876</v>
      </c>
      <c r="BH233" s="35">
        <f t="shared" si="41"/>
        <v>8.1355000000000004</v>
      </c>
      <c r="BI233" s="35">
        <v>7.99</v>
      </c>
      <c r="BJ233" s="35" t="s">
        <v>462</v>
      </c>
      <c r="BM233" s="35" t="s">
        <v>463</v>
      </c>
      <c r="CU233" s="35">
        <v>48.16</v>
      </c>
      <c r="CV233" s="35">
        <v>0.23</v>
      </c>
      <c r="CW233" s="35" t="s">
        <v>432</v>
      </c>
      <c r="DJ233" s="35">
        <v>2820.6</v>
      </c>
      <c r="DK233" s="35">
        <v>33.74</v>
      </c>
      <c r="DL233" s="35">
        <f t="shared" si="42"/>
        <v>286.86000000000058</v>
      </c>
      <c r="DP233" s="12"/>
      <c r="DR233" s="15"/>
      <c r="EL233" s="35" t="s">
        <v>463</v>
      </c>
      <c r="EN233" s="35">
        <v>17</v>
      </c>
    </row>
    <row r="234" spans="1:144" s="35" customFormat="1" x14ac:dyDescent="0.25">
      <c r="A234" s="35">
        <v>17</v>
      </c>
      <c r="B234" s="35" t="s">
        <v>413</v>
      </c>
      <c r="C234" s="35" t="s">
        <v>414</v>
      </c>
      <c r="D234" s="35">
        <v>2016</v>
      </c>
      <c r="E234" s="35">
        <v>2011</v>
      </c>
      <c r="F234" s="35" t="s">
        <v>394</v>
      </c>
      <c r="G234" s="35" t="s">
        <v>415</v>
      </c>
      <c r="H234" s="35">
        <f t="shared" si="39"/>
        <v>40.716666666666669</v>
      </c>
      <c r="I234" s="35">
        <f t="shared" si="40"/>
        <v>-77.916666666666671</v>
      </c>
      <c r="J234" s="35">
        <v>350</v>
      </c>
      <c r="N234" s="35">
        <v>975</v>
      </c>
      <c r="P234" s="54" t="s">
        <v>186</v>
      </c>
      <c r="Q234" s="54"/>
      <c r="R234" s="54"/>
      <c r="S234" s="54" t="s">
        <v>668</v>
      </c>
      <c r="W234" s="35" t="s">
        <v>417</v>
      </c>
      <c r="AA234" s="35" t="s">
        <v>1685</v>
      </c>
      <c r="AB234" s="35" t="s">
        <v>421</v>
      </c>
      <c r="AC234" s="35" t="s">
        <v>174</v>
      </c>
      <c r="AD234" s="35" t="s">
        <v>416</v>
      </c>
      <c r="AE234" s="35" t="s">
        <v>416</v>
      </c>
      <c r="AF234" s="35" t="s">
        <v>252</v>
      </c>
      <c r="AJ234" s="35" t="s">
        <v>418</v>
      </c>
      <c r="AK234" s="35" t="s">
        <v>418</v>
      </c>
      <c r="AL234" s="35" t="s">
        <v>252</v>
      </c>
      <c r="AM234" s="35" t="s">
        <v>222</v>
      </c>
      <c r="AN234" s="35">
        <v>4</v>
      </c>
      <c r="AO234" s="35">
        <v>4</v>
      </c>
      <c r="AP234" s="35" t="s">
        <v>184</v>
      </c>
      <c r="AR234" s="35">
        <v>1829</v>
      </c>
      <c r="AS234" s="35">
        <v>16.399999999999999</v>
      </c>
      <c r="AT234" s="63"/>
      <c r="AY234" s="35">
        <v>6975</v>
      </c>
      <c r="AZ234" s="35">
        <v>7702</v>
      </c>
      <c r="BH234" s="35">
        <f t="shared" si="41"/>
        <v>8.1355000000000004</v>
      </c>
      <c r="BI234" s="35">
        <v>9.82</v>
      </c>
      <c r="BJ234" s="35" t="s">
        <v>462</v>
      </c>
      <c r="BM234" s="35" t="s">
        <v>463</v>
      </c>
      <c r="CU234" s="35">
        <v>48.16</v>
      </c>
      <c r="CV234" s="35">
        <v>22.75</v>
      </c>
      <c r="CW234" s="35" t="s">
        <v>432</v>
      </c>
      <c r="DJ234" s="35">
        <v>2820.6</v>
      </c>
      <c r="DK234" s="35">
        <v>444.43</v>
      </c>
      <c r="DL234" s="35">
        <f t="shared" si="42"/>
        <v>286.86000000000058</v>
      </c>
      <c r="DP234" s="12"/>
      <c r="DR234" s="15"/>
      <c r="EL234" s="35" t="s">
        <v>463</v>
      </c>
      <c r="EN234" s="35">
        <v>17</v>
      </c>
    </row>
    <row r="235" spans="1:144" s="35" customFormat="1" x14ac:dyDescent="0.25">
      <c r="A235" s="35">
        <v>17</v>
      </c>
      <c r="B235" s="35" t="s">
        <v>413</v>
      </c>
      <c r="C235" s="35" t="s">
        <v>414</v>
      </c>
      <c r="D235" s="35">
        <v>2016</v>
      </c>
      <c r="E235" s="35">
        <v>2011</v>
      </c>
      <c r="F235" s="35" t="s">
        <v>394</v>
      </c>
      <c r="G235" s="35" t="s">
        <v>415</v>
      </c>
      <c r="H235" s="35">
        <f t="shared" si="39"/>
        <v>40.716666666666669</v>
      </c>
      <c r="I235" s="35">
        <f t="shared" si="40"/>
        <v>-77.916666666666671</v>
      </c>
      <c r="J235" s="35">
        <v>350</v>
      </c>
      <c r="N235" s="35">
        <v>975</v>
      </c>
      <c r="P235" s="54" t="s">
        <v>186</v>
      </c>
      <c r="Q235" s="54"/>
      <c r="R235" s="54"/>
      <c r="S235" s="54" t="s">
        <v>668</v>
      </c>
      <c r="W235" s="35" t="s">
        <v>417</v>
      </c>
      <c r="AA235" s="35" t="s">
        <v>1685</v>
      </c>
      <c r="AB235" s="35" t="s">
        <v>422</v>
      </c>
      <c r="AC235" s="35" t="s">
        <v>174</v>
      </c>
      <c r="AD235" s="35" t="s">
        <v>416</v>
      </c>
      <c r="AE235" s="35" t="s">
        <v>416</v>
      </c>
      <c r="AF235" s="35" t="s">
        <v>252</v>
      </c>
      <c r="AJ235" s="35" t="s">
        <v>418</v>
      </c>
      <c r="AK235" s="35" t="s">
        <v>418</v>
      </c>
      <c r="AL235" s="35" t="s">
        <v>252</v>
      </c>
      <c r="AM235" s="35" t="s">
        <v>222</v>
      </c>
      <c r="AN235" s="35">
        <v>4</v>
      </c>
      <c r="AO235" s="35">
        <v>4</v>
      </c>
      <c r="AP235" s="35" t="s">
        <v>184</v>
      </c>
      <c r="AR235" s="35">
        <v>7415</v>
      </c>
      <c r="AS235" s="35">
        <v>43.1</v>
      </c>
      <c r="AT235" s="63"/>
      <c r="AY235" s="35">
        <v>6975</v>
      </c>
      <c r="AZ235" s="35">
        <v>5917</v>
      </c>
      <c r="BH235" s="35">
        <f t="shared" si="41"/>
        <v>8.1355000000000004</v>
      </c>
      <c r="BI235" s="35">
        <v>5.54</v>
      </c>
      <c r="BJ235" s="35" t="s">
        <v>462</v>
      </c>
      <c r="BM235" s="35" t="s">
        <v>463</v>
      </c>
      <c r="CU235" s="35">
        <v>48.16</v>
      </c>
      <c r="CV235" s="35">
        <v>1.07</v>
      </c>
      <c r="CW235" s="35" t="s">
        <v>432</v>
      </c>
      <c r="DJ235" s="35">
        <v>2820.6</v>
      </c>
      <c r="DK235" s="35">
        <v>13.61</v>
      </c>
      <c r="DL235" s="35">
        <f t="shared" si="42"/>
        <v>286.86000000000058</v>
      </c>
      <c r="DP235" s="12"/>
      <c r="DR235" s="15"/>
      <c r="EL235" s="35" t="s">
        <v>463</v>
      </c>
      <c r="EN235" s="35">
        <v>17</v>
      </c>
    </row>
    <row r="236" spans="1:144" s="35" customFormat="1" x14ac:dyDescent="0.25">
      <c r="A236" s="35">
        <v>17</v>
      </c>
      <c r="B236" s="35" t="s">
        <v>413</v>
      </c>
      <c r="C236" s="35" t="s">
        <v>414</v>
      </c>
      <c r="D236" s="35">
        <v>2016</v>
      </c>
      <c r="E236" s="35">
        <v>2011</v>
      </c>
      <c r="F236" s="35" t="s">
        <v>394</v>
      </c>
      <c r="G236" s="35" t="s">
        <v>415</v>
      </c>
      <c r="H236" s="35">
        <f t="shared" si="39"/>
        <v>40.716666666666669</v>
      </c>
      <c r="I236" s="35">
        <f t="shared" si="40"/>
        <v>-77.916666666666671</v>
      </c>
      <c r="J236" s="35">
        <v>350</v>
      </c>
      <c r="N236" s="35">
        <v>975</v>
      </c>
      <c r="P236" s="54" t="s">
        <v>186</v>
      </c>
      <c r="Q236" s="54"/>
      <c r="R236" s="54"/>
      <c r="S236" s="54" t="s">
        <v>668</v>
      </c>
      <c r="W236" s="35" t="s">
        <v>417</v>
      </c>
      <c r="AA236" s="35" t="s">
        <v>1685</v>
      </c>
      <c r="AB236" s="35" t="s">
        <v>423</v>
      </c>
      <c r="AC236" s="35" t="s">
        <v>174</v>
      </c>
      <c r="AD236" s="35" t="s">
        <v>416</v>
      </c>
      <c r="AE236" s="35" t="s">
        <v>416</v>
      </c>
      <c r="AF236" s="35" t="s">
        <v>252</v>
      </c>
      <c r="AJ236" s="35" t="s">
        <v>418</v>
      </c>
      <c r="AK236" s="35" t="s">
        <v>418</v>
      </c>
      <c r="AL236" s="35" t="s">
        <v>252</v>
      </c>
      <c r="AM236" s="35" t="s">
        <v>222</v>
      </c>
      <c r="AN236" s="35">
        <v>4</v>
      </c>
      <c r="AO236" s="35">
        <v>4</v>
      </c>
      <c r="AP236" s="35" t="s">
        <v>184</v>
      </c>
      <c r="AR236" s="35">
        <v>5850</v>
      </c>
      <c r="AS236" s="35">
        <v>29.9</v>
      </c>
      <c r="AT236" s="63"/>
      <c r="AY236" s="35">
        <v>6975</v>
      </c>
      <c r="AZ236" s="35">
        <v>6645</v>
      </c>
      <c r="BH236" s="35">
        <f t="shared" si="41"/>
        <v>8.1355000000000004</v>
      </c>
      <c r="BI236" s="35">
        <v>6.65</v>
      </c>
      <c r="BJ236" s="35" t="s">
        <v>462</v>
      </c>
      <c r="BM236" s="35" t="s">
        <v>463</v>
      </c>
      <c r="CU236" s="35">
        <v>48.16</v>
      </c>
      <c r="CV236" s="35">
        <v>5.4</v>
      </c>
      <c r="CW236" s="35" t="s">
        <v>432</v>
      </c>
      <c r="DJ236" s="35">
        <v>2820.6</v>
      </c>
      <c r="DK236" s="35">
        <v>22.66</v>
      </c>
      <c r="DL236" s="35">
        <f t="shared" si="42"/>
        <v>286.86000000000058</v>
      </c>
      <c r="DP236" s="12"/>
      <c r="DR236" s="15"/>
      <c r="EL236" s="35" t="s">
        <v>463</v>
      </c>
      <c r="EN236" s="35">
        <v>17</v>
      </c>
    </row>
    <row r="237" spans="1:144" s="35" customFormat="1" x14ac:dyDescent="0.25">
      <c r="A237" s="35">
        <v>17</v>
      </c>
      <c r="B237" s="35" t="s">
        <v>413</v>
      </c>
      <c r="C237" s="35" t="s">
        <v>414</v>
      </c>
      <c r="D237" s="35">
        <v>2016</v>
      </c>
      <c r="E237" s="35">
        <v>2011</v>
      </c>
      <c r="F237" s="35" t="s">
        <v>394</v>
      </c>
      <c r="G237" s="35" t="s">
        <v>415</v>
      </c>
      <c r="H237" s="35">
        <f t="shared" si="39"/>
        <v>40.716666666666669</v>
      </c>
      <c r="I237" s="35">
        <f t="shared" si="40"/>
        <v>-77.916666666666671</v>
      </c>
      <c r="J237" s="35">
        <v>350</v>
      </c>
      <c r="N237" s="35">
        <v>975</v>
      </c>
      <c r="P237" s="54" t="s">
        <v>186</v>
      </c>
      <c r="Q237" s="54"/>
      <c r="R237" s="54"/>
      <c r="S237" s="54" t="s">
        <v>668</v>
      </c>
      <c r="W237" s="35" t="s">
        <v>417</v>
      </c>
      <c r="AA237" s="35" t="s">
        <v>1685</v>
      </c>
      <c r="AB237" s="35" t="s">
        <v>424</v>
      </c>
      <c r="AC237" s="35" t="s">
        <v>174</v>
      </c>
      <c r="AD237" s="35" t="s">
        <v>416</v>
      </c>
      <c r="AE237" s="35" t="s">
        <v>416</v>
      </c>
      <c r="AF237" s="35" t="s">
        <v>252</v>
      </c>
      <c r="AJ237" s="35" t="s">
        <v>418</v>
      </c>
      <c r="AK237" s="35" t="s">
        <v>418</v>
      </c>
      <c r="AL237" s="35" t="s">
        <v>252</v>
      </c>
      <c r="AM237" s="35" t="s">
        <v>222</v>
      </c>
      <c r="AN237" s="35">
        <v>4</v>
      </c>
      <c r="AO237" s="35">
        <v>4</v>
      </c>
      <c r="AP237" s="35" t="s">
        <v>184</v>
      </c>
      <c r="AR237" s="35">
        <v>1724</v>
      </c>
      <c r="AS237" s="35">
        <v>15.4</v>
      </c>
      <c r="AT237" s="63"/>
      <c r="AY237" s="35">
        <v>6975</v>
      </c>
      <c r="AZ237" s="35">
        <v>7636</v>
      </c>
      <c r="BH237" s="35">
        <f t="shared" si="41"/>
        <v>8.1355000000000004</v>
      </c>
      <c r="BI237" s="35">
        <v>7.87</v>
      </c>
      <c r="BJ237" s="35" t="s">
        <v>462</v>
      </c>
      <c r="BM237" s="35" t="s">
        <v>463</v>
      </c>
      <c r="CU237" s="35">
        <v>48.16</v>
      </c>
      <c r="CV237" s="35">
        <v>22.68</v>
      </c>
      <c r="CW237" s="35" t="s">
        <v>432</v>
      </c>
      <c r="DJ237" s="35">
        <v>2820.6</v>
      </c>
      <c r="DK237" s="35">
        <v>672.42</v>
      </c>
      <c r="DL237" s="35">
        <f t="shared" si="42"/>
        <v>286.86000000000058</v>
      </c>
      <c r="DP237" s="12"/>
      <c r="DR237" s="15"/>
      <c r="EL237" s="35" t="s">
        <v>463</v>
      </c>
      <c r="EN237" s="35">
        <v>17</v>
      </c>
    </row>
    <row r="238" spans="1:144" s="35" customFormat="1" x14ac:dyDescent="0.25">
      <c r="A238" s="35">
        <v>17</v>
      </c>
      <c r="B238" s="35" t="s">
        <v>413</v>
      </c>
      <c r="C238" s="35" t="s">
        <v>414</v>
      </c>
      <c r="D238" s="35">
        <v>2016</v>
      </c>
      <c r="E238" s="35">
        <v>2011</v>
      </c>
      <c r="F238" s="35" t="s">
        <v>394</v>
      </c>
      <c r="G238" s="35" t="s">
        <v>415</v>
      </c>
      <c r="H238" s="35">
        <f t="shared" si="39"/>
        <v>40.716666666666669</v>
      </c>
      <c r="I238" s="35">
        <f t="shared" si="40"/>
        <v>-77.916666666666671</v>
      </c>
      <c r="J238" s="35">
        <v>350</v>
      </c>
      <c r="N238" s="35">
        <v>975</v>
      </c>
      <c r="P238" s="54" t="s">
        <v>186</v>
      </c>
      <c r="Q238" s="54"/>
      <c r="R238" s="54"/>
      <c r="S238" s="54" t="s">
        <v>668</v>
      </c>
      <c r="W238" s="35" t="s">
        <v>417</v>
      </c>
      <c r="AA238" s="35" t="s">
        <v>1685</v>
      </c>
      <c r="AB238" s="35" t="s">
        <v>425</v>
      </c>
      <c r="AC238" s="35" t="s">
        <v>174</v>
      </c>
      <c r="AD238" s="35" t="s">
        <v>416</v>
      </c>
      <c r="AE238" s="35" t="s">
        <v>416</v>
      </c>
      <c r="AF238" s="35" t="s">
        <v>252</v>
      </c>
      <c r="AJ238" s="35" t="s">
        <v>418</v>
      </c>
      <c r="AK238" s="35" t="s">
        <v>418</v>
      </c>
      <c r="AL238" s="35" t="s">
        <v>252</v>
      </c>
      <c r="AM238" s="35" t="s">
        <v>222</v>
      </c>
      <c r="AN238" s="35">
        <v>4</v>
      </c>
      <c r="AO238" s="35">
        <v>4</v>
      </c>
      <c r="AP238" s="35" t="s">
        <v>184</v>
      </c>
      <c r="AR238" s="35">
        <v>6699</v>
      </c>
      <c r="AS238" s="35">
        <v>16.399999999999999</v>
      </c>
      <c r="AT238" s="63"/>
      <c r="AY238" s="35">
        <v>6975</v>
      </c>
      <c r="AZ238" s="35">
        <v>9289</v>
      </c>
      <c r="BH238" s="35">
        <f t="shared" si="41"/>
        <v>8.1355000000000004</v>
      </c>
      <c r="BI238" s="35">
        <v>11.12</v>
      </c>
      <c r="BJ238" s="35" t="s">
        <v>462</v>
      </c>
      <c r="BM238" s="35" t="s">
        <v>463</v>
      </c>
      <c r="CU238" s="35">
        <v>48.16</v>
      </c>
      <c r="CV238" s="35">
        <v>3.65</v>
      </c>
      <c r="CW238" s="35" t="s">
        <v>432</v>
      </c>
      <c r="DJ238" s="35">
        <v>2820.6</v>
      </c>
      <c r="DK238" s="35">
        <v>21.63</v>
      </c>
      <c r="DL238" s="35">
        <f t="shared" si="42"/>
        <v>286.86000000000058</v>
      </c>
      <c r="DP238" s="12"/>
      <c r="DR238" s="15"/>
      <c r="EL238" s="35" t="s">
        <v>463</v>
      </c>
      <c r="EN238" s="35">
        <v>17</v>
      </c>
    </row>
    <row r="239" spans="1:144" s="35" customFormat="1" x14ac:dyDescent="0.25">
      <c r="A239" s="35">
        <v>17</v>
      </c>
      <c r="B239" s="35" t="s">
        <v>413</v>
      </c>
      <c r="C239" s="35" t="s">
        <v>414</v>
      </c>
      <c r="D239" s="35">
        <v>2016</v>
      </c>
      <c r="E239" s="35">
        <v>2011</v>
      </c>
      <c r="F239" s="35" t="s">
        <v>394</v>
      </c>
      <c r="G239" s="35" t="s">
        <v>415</v>
      </c>
      <c r="H239" s="35">
        <f t="shared" si="39"/>
        <v>40.716666666666669</v>
      </c>
      <c r="I239" s="35">
        <f t="shared" si="40"/>
        <v>-77.916666666666671</v>
      </c>
      <c r="J239" s="35">
        <v>350</v>
      </c>
      <c r="N239" s="35">
        <v>975</v>
      </c>
      <c r="P239" s="54" t="s">
        <v>186</v>
      </c>
      <c r="Q239" s="54"/>
      <c r="R239" s="54"/>
      <c r="S239" s="54" t="s">
        <v>668</v>
      </c>
      <c r="W239" s="35" t="s">
        <v>417</v>
      </c>
      <c r="AA239" s="35" t="s">
        <v>1685</v>
      </c>
      <c r="AB239" s="35" t="s">
        <v>426</v>
      </c>
      <c r="AC239" s="35" t="s">
        <v>174</v>
      </c>
      <c r="AD239" s="35" t="s">
        <v>416</v>
      </c>
      <c r="AE239" s="35" t="s">
        <v>416</v>
      </c>
      <c r="AF239" s="35" t="s">
        <v>252</v>
      </c>
      <c r="AJ239" s="35" t="s">
        <v>418</v>
      </c>
      <c r="AK239" s="35" t="s">
        <v>418</v>
      </c>
      <c r="AL239" s="35" t="s">
        <v>252</v>
      </c>
      <c r="AM239" s="35" t="s">
        <v>222</v>
      </c>
      <c r="AN239" s="35">
        <v>4</v>
      </c>
      <c r="AO239" s="35">
        <v>4</v>
      </c>
      <c r="AP239" s="35" t="s">
        <v>184</v>
      </c>
      <c r="AR239" s="35">
        <v>6997</v>
      </c>
      <c r="AS239" s="35">
        <v>35.9</v>
      </c>
      <c r="AT239" s="63"/>
      <c r="AY239" s="35">
        <v>6975</v>
      </c>
      <c r="AZ239" s="35">
        <v>5818</v>
      </c>
      <c r="BH239" s="35">
        <f t="shared" si="41"/>
        <v>8.1355000000000004</v>
      </c>
      <c r="BI239" s="35">
        <v>6.23</v>
      </c>
      <c r="BJ239" s="35" t="s">
        <v>462</v>
      </c>
      <c r="BM239" s="35" t="s">
        <v>463</v>
      </c>
      <c r="CU239" s="35">
        <v>48.16</v>
      </c>
      <c r="CV239" s="35">
        <v>0.97</v>
      </c>
      <c r="CW239" s="35" t="s">
        <v>432</v>
      </c>
      <c r="DJ239" s="35">
        <v>2820.6</v>
      </c>
      <c r="DK239" s="35">
        <v>11.57</v>
      </c>
      <c r="DL239" s="35">
        <f t="shared" si="42"/>
        <v>286.86000000000058</v>
      </c>
      <c r="DP239" s="12"/>
      <c r="DR239" s="15"/>
      <c r="EL239" s="35" t="s">
        <v>463</v>
      </c>
      <c r="EN239" s="35">
        <v>17</v>
      </c>
    </row>
    <row r="240" spans="1:144" s="35" customFormat="1" x14ac:dyDescent="0.25">
      <c r="A240" s="35">
        <v>17</v>
      </c>
      <c r="B240" s="35" t="s">
        <v>413</v>
      </c>
      <c r="C240" s="35" t="s">
        <v>414</v>
      </c>
      <c r="D240" s="35">
        <v>2016</v>
      </c>
      <c r="E240" s="35">
        <v>2011</v>
      </c>
      <c r="F240" s="35" t="s">
        <v>394</v>
      </c>
      <c r="G240" s="35" t="s">
        <v>415</v>
      </c>
      <c r="H240" s="35">
        <f t="shared" si="39"/>
        <v>40.716666666666669</v>
      </c>
      <c r="I240" s="35">
        <f t="shared" si="40"/>
        <v>-77.916666666666671</v>
      </c>
      <c r="J240" s="35">
        <v>350</v>
      </c>
      <c r="N240" s="35">
        <v>975</v>
      </c>
      <c r="P240" s="54" t="s">
        <v>186</v>
      </c>
      <c r="Q240" s="54"/>
      <c r="R240" s="54"/>
      <c r="S240" s="54" t="s">
        <v>668</v>
      </c>
      <c r="W240" s="35" t="s">
        <v>417</v>
      </c>
      <c r="AA240" s="35" t="s">
        <v>1685</v>
      </c>
      <c r="AB240" s="35" t="s">
        <v>427</v>
      </c>
      <c r="AC240" s="35" t="s">
        <v>174</v>
      </c>
      <c r="AD240" s="35" t="s">
        <v>416</v>
      </c>
      <c r="AE240" s="35" t="s">
        <v>416</v>
      </c>
      <c r="AF240" s="35" t="s">
        <v>252</v>
      </c>
      <c r="AJ240" s="35" t="s">
        <v>418</v>
      </c>
      <c r="AK240" s="35" t="s">
        <v>418</v>
      </c>
      <c r="AL240" s="35" t="s">
        <v>252</v>
      </c>
      <c r="AM240" s="35" t="s">
        <v>222</v>
      </c>
      <c r="AN240" s="35">
        <v>4</v>
      </c>
      <c r="AO240" s="35">
        <v>4</v>
      </c>
      <c r="AP240" s="35" t="s">
        <v>184</v>
      </c>
      <c r="AR240" s="35">
        <v>5374</v>
      </c>
      <c r="AS240" s="35">
        <v>11</v>
      </c>
      <c r="AT240" s="63"/>
      <c r="AY240" s="35">
        <v>6975</v>
      </c>
      <c r="AZ240" s="35">
        <v>10281</v>
      </c>
      <c r="BH240" s="35">
        <f t="shared" si="41"/>
        <v>8.1355000000000004</v>
      </c>
      <c r="BI240" s="35">
        <v>17.11</v>
      </c>
      <c r="BJ240" s="35" t="s">
        <v>462</v>
      </c>
      <c r="BM240" s="35" t="s">
        <v>463</v>
      </c>
      <c r="CU240" s="35">
        <v>48.16</v>
      </c>
      <c r="CV240" s="35">
        <v>24.38</v>
      </c>
      <c r="CW240" s="35" t="s">
        <v>432</v>
      </c>
      <c r="DJ240" s="35">
        <v>2820.6</v>
      </c>
      <c r="DK240" s="35">
        <v>20.62</v>
      </c>
      <c r="DL240" s="35">
        <f t="shared" si="42"/>
        <v>286.86000000000058</v>
      </c>
      <c r="DP240" s="12"/>
      <c r="DR240" s="15"/>
      <c r="EL240" s="35" t="s">
        <v>463</v>
      </c>
      <c r="EN240" s="35">
        <v>17</v>
      </c>
    </row>
    <row r="241" spans="1:144" s="35" customFormat="1" x14ac:dyDescent="0.25">
      <c r="A241" s="35">
        <v>17</v>
      </c>
      <c r="B241" s="35" t="s">
        <v>413</v>
      </c>
      <c r="C241" s="35" t="s">
        <v>414</v>
      </c>
      <c r="D241" s="35">
        <v>2016</v>
      </c>
      <c r="E241" s="35">
        <v>2011</v>
      </c>
      <c r="F241" s="35" t="s">
        <v>394</v>
      </c>
      <c r="G241" s="35" t="s">
        <v>415</v>
      </c>
      <c r="H241" s="35">
        <f t="shared" si="39"/>
        <v>40.716666666666669</v>
      </c>
      <c r="I241" s="35">
        <f t="shared" si="40"/>
        <v>-77.916666666666671</v>
      </c>
      <c r="J241" s="35">
        <v>350</v>
      </c>
      <c r="N241" s="35">
        <v>975</v>
      </c>
      <c r="P241" s="54" t="s">
        <v>186</v>
      </c>
      <c r="Q241" s="54"/>
      <c r="R241" s="54"/>
      <c r="S241" s="54" t="s">
        <v>668</v>
      </c>
      <c r="W241" s="35" t="s">
        <v>417</v>
      </c>
      <c r="AA241" s="35" t="s">
        <v>1685</v>
      </c>
      <c r="AB241" s="35" t="s">
        <v>428</v>
      </c>
      <c r="AC241" s="35" t="s">
        <v>174</v>
      </c>
      <c r="AD241" s="35" t="s">
        <v>416</v>
      </c>
      <c r="AE241" s="35" t="s">
        <v>416</v>
      </c>
      <c r="AF241" s="35" t="s">
        <v>252</v>
      </c>
      <c r="AJ241" s="35" t="s">
        <v>418</v>
      </c>
      <c r="AK241" s="35" t="s">
        <v>418</v>
      </c>
      <c r="AL241" s="35" t="s">
        <v>252</v>
      </c>
      <c r="AM241" s="35" t="s">
        <v>222</v>
      </c>
      <c r="AN241" s="35">
        <v>4</v>
      </c>
      <c r="AO241" s="35">
        <v>4</v>
      </c>
      <c r="AP241" s="35" t="s">
        <v>184</v>
      </c>
      <c r="AR241" s="35">
        <v>7143</v>
      </c>
      <c r="AS241" s="35">
        <v>15</v>
      </c>
      <c r="AT241" s="63"/>
      <c r="AY241" s="35">
        <v>6975</v>
      </c>
      <c r="AZ241" s="35">
        <v>9884</v>
      </c>
      <c r="BH241" s="35">
        <f t="shared" si="41"/>
        <v>8.1355000000000004</v>
      </c>
      <c r="BI241" s="35">
        <v>13.95</v>
      </c>
      <c r="BJ241" s="35" t="s">
        <v>462</v>
      </c>
      <c r="BM241" s="35" t="s">
        <v>463</v>
      </c>
      <c r="CU241" s="35">
        <v>48.16</v>
      </c>
      <c r="CV241" s="35">
        <v>11.53</v>
      </c>
      <c r="CW241" s="35" t="s">
        <v>432</v>
      </c>
      <c r="DJ241" s="35">
        <v>2820.6</v>
      </c>
      <c r="DK241" s="35">
        <v>10</v>
      </c>
      <c r="DL241" s="35">
        <f t="shared" si="42"/>
        <v>286.86000000000058</v>
      </c>
      <c r="DP241" s="12"/>
      <c r="DR241" s="15"/>
      <c r="EL241" s="35" t="s">
        <v>463</v>
      </c>
      <c r="EN241" s="35">
        <v>17</v>
      </c>
    </row>
    <row r="242" spans="1:144" s="35" customFormat="1" x14ac:dyDescent="0.25">
      <c r="A242" s="35">
        <v>17</v>
      </c>
      <c r="B242" s="35" t="s">
        <v>413</v>
      </c>
      <c r="C242" s="35" t="s">
        <v>414</v>
      </c>
      <c r="D242" s="35">
        <v>2016</v>
      </c>
      <c r="E242" s="35">
        <v>2011</v>
      </c>
      <c r="F242" s="35" t="s">
        <v>394</v>
      </c>
      <c r="G242" s="35" t="s">
        <v>415</v>
      </c>
      <c r="H242" s="35">
        <f t="shared" si="39"/>
        <v>40.716666666666669</v>
      </c>
      <c r="I242" s="35">
        <f t="shared" si="40"/>
        <v>-77.916666666666671</v>
      </c>
      <c r="J242" s="35">
        <v>350</v>
      </c>
      <c r="N242" s="35">
        <v>975</v>
      </c>
      <c r="P242" s="54" t="s">
        <v>186</v>
      </c>
      <c r="Q242" s="54"/>
      <c r="R242" s="54"/>
      <c r="S242" s="54" t="s">
        <v>668</v>
      </c>
      <c r="W242" s="35" t="s">
        <v>417</v>
      </c>
      <c r="AA242" s="35" t="s">
        <v>1685</v>
      </c>
      <c r="AB242" s="35" t="s">
        <v>429</v>
      </c>
      <c r="AC242" s="35" t="s">
        <v>174</v>
      </c>
      <c r="AD242" s="35" t="s">
        <v>416</v>
      </c>
      <c r="AE242" s="35" t="s">
        <v>416</v>
      </c>
      <c r="AF242" s="35" t="s">
        <v>252</v>
      </c>
      <c r="AJ242" s="35" t="s">
        <v>418</v>
      </c>
      <c r="AK242" s="35" t="s">
        <v>418</v>
      </c>
      <c r="AL242" s="35" t="s">
        <v>252</v>
      </c>
      <c r="AM242" s="35" t="s">
        <v>222</v>
      </c>
      <c r="AN242" s="35">
        <v>4</v>
      </c>
      <c r="AO242" s="35">
        <v>4</v>
      </c>
      <c r="AP242" s="35" t="s">
        <v>184</v>
      </c>
      <c r="AT242" s="63"/>
      <c r="DJ242" s="35">
        <v>2820.6</v>
      </c>
      <c r="DK242" s="35">
        <v>10</v>
      </c>
      <c r="DL242" s="35">
        <f t="shared" si="42"/>
        <v>286.86000000000058</v>
      </c>
      <c r="DP242" s="12"/>
      <c r="DR242" s="15"/>
      <c r="EL242" s="35" t="s">
        <v>463</v>
      </c>
      <c r="EN242" s="35">
        <v>17</v>
      </c>
    </row>
    <row r="243" spans="1:144" s="26" customFormat="1" x14ac:dyDescent="0.25">
      <c r="A243" s="26">
        <v>17</v>
      </c>
      <c r="B243" s="26" t="s">
        <v>413</v>
      </c>
      <c r="C243" s="26" t="s">
        <v>414</v>
      </c>
      <c r="D243" s="26">
        <v>2016</v>
      </c>
      <c r="E243" s="26">
        <v>2012</v>
      </c>
      <c r="F243" s="35" t="s">
        <v>394</v>
      </c>
      <c r="G243" s="26" t="s">
        <v>415</v>
      </c>
      <c r="H243" s="26">
        <f t="shared" si="39"/>
        <v>40.716666666666669</v>
      </c>
      <c r="I243" s="26">
        <f t="shared" si="40"/>
        <v>-77.916666666666671</v>
      </c>
      <c r="J243" s="26">
        <v>350</v>
      </c>
      <c r="N243" s="26">
        <v>975</v>
      </c>
      <c r="P243" s="52" t="s">
        <v>187</v>
      </c>
      <c r="Q243" s="52"/>
      <c r="R243" s="52"/>
      <c r="S243" s="52" t="s">
        <v>668</v>
      </c>
      <c r="W243" s="26" t="s">
        <v>417</v>
      </c>
      <c r="AA243" s="26" t="s">
        <v>1685</v>
      </c>
      <c r="AB243" s="26" t="s">
        <v>479</v>
      </c>
      <c r="AC243" s="26" t="s">
        <v>174</v>
      </c>
      <c r="AD243" s="26" t="s">
        <v>416</v>
      </c>
      <c r="AE243" s="26" t="s">
        <v>416</v>
      </c>
      <c r="AF243" s="26" t="s">
        <v>252</v>
      </c>
      <c r="AJ243" s="26" t="s">
        <v>418</v>
      </c>
      <c r="AK243" s="26" t="s">
        <v>418</v>
      </c>
      <c r="AL243" s="26" t="s">
        <v>252</v>
      </c>
      <c r="AM243" s="26" t="s">
        <v>222</v>
      </c>
      <c r="AN243" s="26">
        <v>4</v>
      </c>
      <c r="AO243" s="26">
        <v>4</v>
      </c>
      <c r="AP243" s="26" t="s">
        <v>184</v>
      </c>
      <c r="AR243" s="26">
        <v>666</v>
      </c>
      <c r="AS243" s="26">
        <v>11.7</v>
      </c>
      <c r="AT243" s="63"/>
      <c r="AY243" s="26">
        <v>8826</v>
      </c>
      <c r="AZ243" s="26">
        <v>7570</v>
      </c>
      <c r="BH243" s="26">
        <f>15.23*0.614</f>
        <v>9.3512199999999996</v>
      </c>
      <c r="BI243" s="26">
        <v>8.5399999999999991</v>
      </c>
      <c r="BJ243" s="26" t="s">
        <v>462</v>
      </c>
      <c r="BM243" s="35" t="s">
        <v>463</v>
      </c>
      <c r="CU243" s="26">
        <v>115.77</v>
      </c>
      <c r="CV243" s="26">
        <v>42.8294</v>
      </c>
      <c r="CW243" s="35" t="s">
        <v>432</v>
      </c>
      <c r="CX243" s="35"/>
      <c r="CY243" s="35"/>
      <c r="CZ243" s="35"/>
      <c r="DJ243" s="26">
        <v>190.68</v>
      </c>
      <c r="DK243" s="26">
        <v>295.35000000000002</v>
      </c>
      <c r="DL243" s="26">
        <f t="shared" ref="DL243:DL259" si="43">(267.2-DJ243)*2</f>
        <v>153.03999999999996</v>
      </c>
      <c r="DP243" s="12"/>
      <c r="DR243" s="15"/>
      <c r="EL243" s="35" t="s">
        <v>463</v>
      </c>
      <c r="EN243" s="26">
        <v>17</v>
      </c>
    </row>
    <row r="244" spans="1:144" s="26" customFormat="1" x14ac:dyDescent="0.25">
      <c r="A244" s="26">
        <v>17</v>
      </c>
      <c r="B244" s="26" t="s">
        <v>413</v>
      </c>
      <c r="C244" s="26" t="s">
        <v>414</v>
      </c>
      <c r="D244" s="26">
        <v>2016</v>
      </c>
      <c r="E244" s="26">
        <v>2012</v>
      </c>
      <c r="F244" s="35" t="s">
        <v>394</v>
      </c>
      <c r="G244" s="26" t="s">
        <v>415</v>
      </c>
      <c r="H244" s="26">
        <f t="shared" si="39"/>
        <v>40.716666666666669</v>
      </c>
      <c r="I244" s="26">
        <f t="shared" si="40"/>
        <v>-77.916666666666671</v>
      </c>
      <c r="J244" s="26">
        <v>350</v>
      </c>
      <c r="N244" s="26">
        <v>975</v>
      </c>
      <c r="P244" s="52" t="s">
        <v>187</v>
      </c>
      <c r="Q244" s="52"/>
      <c r="R244" s="52"/>
      <c r="S244" s="52" t="s">
        <v>668</v>
      </c>
      <c r="W244" s="26" t="s">
        <v>417</v>
      </c>
      <c r="AA244" s="26" t="s">
        <v>1685</v>
      </c>
      <c r="AB244" s="26" t="s">
        <v>1504</v>
      </c>
      <c r="AC244" s="26" t="s">
        <v>174</v>
      </c>
      <c r="AD244" s="26" t="s">
        <v>416</v>
      </c>
      <c r="AE244" s="26" t="s">
        <v>416</v>
      </c>
      <c r="AF244" s="26" t="s">
        <v>252</v>
      </c>
      <c r="AJ244" s="26" t="s">
        <v>418</v>
      </c>
      <c r="AK244" s="26" t="s">
        <v>418</v>
      </c>
      <c r="AL244" s="26" t="s">
        <v>252</v>
      </c>
      <c r="AM244" s="26" t="s">
        <v>222</v>
      </c>
      <c r="AN244" s="26">
        <v>4</v>
      </c>
      <c r="AO244" s="26">
        <v>4</v>
      </c>
      <c r="AP244" s="26" t="s">
        <v>184</v>
      </c>
      <c r="AR244" s="26">
        <v>2086</v>
      </c>
      <c r="AS244" s="26">
        <v>11.2</v>
      </c>
      <c r="AT244" s="63"/>
      <c r="AY244" s="26">
        <v>8826</v>
      </c>
      <c r="AZ244" s="26">
        <v>8165</v>
      </c>
      <c r="BH244" s="26">
        <f t="shared" ref="BH244:BH259" si="44">15.23*0.614</f>
        <v>9.3512199999999996</v>
      </c>
      <c r="BI244" s="26">
        <v>7.31</v>
      </c>
      <c r="BJ244" s="26" t="s">
        <v>462</v>
      </c>
      <c r="BM244" s="35" t="s">
        <v>463</v>
      </c>
      <c r="CU244" s="26">
        <v>115.77</v>
      </c>
      <c r="CV244" s="26">
        <v>115.73</v>
      </c>
      <c r="CW244" s="35" t="s">
        <v>432</v>
      </c>
      <c r="CX244" s="35"/>
      <c r="CY244" s="35"/>
      <c r="CZ244" s="35"/>
      <c r="DJ244" s="26">
        <v>190.68</v>
      </c>
      <c r="DK244" s="26">
        <v>256.60000000000002</v>
      </c>
      <c r="DL244" s="26">
        <f t="shared" si="43"/>
        <v>153.03999999999996</v>
      </c>
      <c r="DP244" s="12"/>
      <c r="DR244" s="15"/>
      <c r="EL244" s="35" t="s">
        <v>463</v>
      </c>
      <c r="EN244" s="26">
        <v>17</v>
      </c>
    </row>
    <row r="245" spans="1:144" s="26" customFormat="1" x14ac:dyDescent="0.25">
      <c r="A245" s="26">
        <v>17</v>
      </c>
      <c r="B245" s="26" t="s">
        <v>413</v>
      </c>
      <c r="C245" s="26" t="s">
        <v>414</v>
      </c>
      <c r="D245" s="26">
        <v>2016</v>
      </c>
      <c r="E245" s="26">
        <v>2012</v>
      </c>
      <c r="F245" s="35" t="s">
        <v>394</v>
      </c>
      <c r="G245" s="26" t="s">
        <v>415</v>
      </c>
      <c r="H245" s="26">
        <f t="shared" si="39"/>
        <v>40.716666666666669</v>
      </c>
      <c r="I245" s="26">
        <f t="shared" si="40"/>
        <v>-77.916666666666671</v>
      </c>
      <c r="J245" s="26">
        <v>350</v>
      </c>
      <c r="N245" s="26">
        <v>975</v>
      </c>
      <c r="P245" s="52" t="s">
        <v>187</v>
      </c>
      <c r="Q245" s="52"/>
      <c r="R245" s="52"/>
      <c r="S245" s="52" t="s">
        <v>668</v>
      </c>
      <c r="W245" s="26" t="s">
        <v>417</v>
      </c>
      <c r="AA245" s="26" t="s">
        <v>1685</v>
      </c>
      <c r="AB245" s="26" t="s">
        <v>1508</v>
      </c>
      <c r="AC245" s="26" t="s">
        <v>174</v>
      </c>
      <c r="AD245" s="26" t="s">
        <v>416</v>
      </c>
      <c r="AE245" s="26" t="s">
        <v>416</v>
      </c>
      <c r="AF245" s="26" t="s">
        <v>252</v>
      </c>
      <c r="AJ245" s="26" t="s">
        <v>418</v>
      </c>
      <c r="AK245" s="26" t="s">
        <v>418</v>
      </c>
      <c r="AL245" s="26" t="s">
        <v>252</v>
      </c>
      <c r="AM245" s="26" t="s">
        <v>222</v>
      </c>
      <c r="AN245" s="26">
        <v>4</v>
      </c>
      <c r="AO245" s="26">
        <v>4</v>
      </c>
      <c r="AP245" s="26" t="s">
        <v>184</v>
      </c>
      <c r="AR245" s="26">
        <v>4055</v>
      </c>
      <c r="AS245" s="26">
        <v>14.5</v>
      </c>
      <c r="AT245" s="63"/>
      <c r="AY245" s="26">
        <v>8826</v>
      </c>
      <c r="AZ245" s="26">
        <v>10248</v>
      </c>
      <c r="BH245" s="26">
        <f t="shared" si="44"/>
        <v>9.3512199999999996</v>
      </c>
      <c r="BI245" s="26">
        <v>9.85</v>
      </c>
      <c r="BJ245" s="26" t="s">
        <v>462</v>
      </c>
      <c r="BM245" s="35" t="s">
        <v>463</v>
      </c>
      <c r="CU245" s="26">
        <v>115.77</v>
      </c>
      <c r="CV245" s="26">
        <v>88.74</v>
      </c>
      <c r="CW245" s="35" t="s">
        <v>432</v>
      </c>
      <c r="CX245" s="35"/>
      <c r="CY245" s="35"/>
      <c r="CZ245" s="35"/>
      <c r="DJ245" s="26">
        <v>190.68</v>
      </c>
      <c r="DK245" s="26">
        <v>198.69</v>
      </c>
      <c r="DL245" s="26">
        <f t="shared" si="43"/>
        <v>153.03999999999996</v>
      </c>
      <c r="DP245" s="12"/>
      <c r="DR245" s="15"/>
      <c r="EL245" s="35" t="s">
        <v>463</v>
      </c>
      <c r="EN245" s="26">
        <v>17</v>
      </c>
    </row>
    <row r="246" spans="1:144" s="26" customFormat="1" x14ac:dyDescent="0.25">
      <c r="A246" s="26">
        <v>17</v>
      </c>
      <c r="B246" s="26" t="s">
        <v>413</v>
      </c>
      <c r="C246" s="26" t="s">
        <v>414</v>
      </c>
      <c r="D246" s="26">
        <v>2016</v>
      </c>
      <c r="E246" s="26">
        <v>2012</v>
      </c>
      <c r="F246" s="35" t="s">
        <v>394</v>
      </c>
      <c r="G246" s="26" t="s">
        <v>415</v>
      </c>
      <c r="H246" s="26">
        <f t="shared" si="39"/>
        <v>40.716666666666669</v>
      </c>
      <c r="I246" s="26">
        <f t="shared" si="40"/>
        <v>-77.916666666666671</v>
      </c>
      <c r="J246" s="26">
        <v>350</v>
      </c>
      <c r="N246" s="26">
        <v>975</v>
      </c>
      <c r="P246" s="52" t="s">
        <v>187</v>
      </c>
      <c r="Q246" s="52"/>
      <c r="R246" s="52"/>
      <c r="S246" s="52" t="s">
        <v>668</v>
      </c>
      <c r="W246" s="26" t="s">
        <v>417</v>
      </c>
      <c r="AA246" s="26" t="s">
        <v>1685</v>
      </c>
      <c r="AB246" s="26" t="s">
        <v>326</v>
      </c>
      <c r="AC246" s="26" t="s">
        <v>174</v>
      </c>
      <c r="AD246" s="26" t="s">
        <v>416</v>
      </c>
      <c r="AE246" s="26" t="s">
        <v>416</v>
      </c>
      <c r="AF246" s="26" t="s">
        <v>252</v>
      </c>
      <c r="AJ246" s="26" t="s">
        <v>418</v>
      </c>
      <c r="AK246" s="26" t="s">
        <v>418</v>
      </c>
      <c r="AL246" s="26" t="s">
        <v>252</v>
      </c>
      <c r="AM246" s="26" t="s">
        <v>222</v>
      </c>
      <c r="AN246" s="26">
        <v>4</v>
      </c>
      <c r="AO246" s="26">
        <v>4</v>
      </c>
      <c r="AP246" s="26" t="s">
        <v>184</v>
      </c>
      <c r="AR246" s="26">
        <v>4038</v>
      </c>
      <c r="AS246" s="26">
        <v>9.9</v>
      </c>
      <c r="AT246" s="63"/>
      <c r="AY246" s="26">
        <v>8826</v>
      </c>
      <c r="AZ246" s="26">
        <v>10843</v>
      </c>
      <c r="BH246" s="26">
        <f t="shared" si="44"/>
        <v>9.3512199999999996</v>
      </c>
      <c r="BI246" s="26">
        <v>25.21</v>
      </c>
      <c r="BJ246" s="26" t="s">
        <v>462</v>
      </c>
      <c r="BM246" s="35" t="s">
        <v>463</v>
      </c>
      <c r="CU246" s="26">
        <v>115.77</v>
      </c>
      <c r="CV246" s="26">
        <v>49.82</v>
      </c>
      <c r="CW246" s="35" t="s">
        <v>432</v>
      </c>
      <c r="CX246" s="35"/>
      <c r="CY246" s="35"/>
      <c r="CZ246" s="35"/>
      <c r="DJ246" s="26">
        <v>190.68</v>
      </c>
      <c r="DK246" s="26">
        <v>54.77</v>
      </c>
      <c r="DL246" s="26">
        <f t="shared" si="43"/>
        <v>153.03999999999996</v>
      </c>
      <c r="DP246" s="12"/>
      <c r="DR246" s="15"/>
      <c r="EL246" s="35" t="s">
        <v>463</v>
      </c>
      <c r="EN246" s="26">
        <v>17</v>
      </c>
    </row>
    <row r="247" spans="1:144" s="26" customFormat="1" x14ac:dyDescent="0.25">
      <c r="A247" s="26">
        <v>17</v>
      </c>
      <c r="B247" s="26" t="s">
        <v>413</v>
      </c>
      <c r="C247" s="26" t="s">
        <v>414</v>
      </c>
      <c r="D247" s="26">
        <v>2016</v>
      </c>
      <c r="E247" s="26">
        <v>2012</v>
      </c>
      <c r="F247" s="35" t="s">
        <v>394</v>
      </c>
      <c r="G247" s="26" t="s">
        <v>415</v>
      </c>
      <c r="H247" s="26">
        <f t="shared" si="39"/>
        <v>40.716666666666669</v>
      </c>
      <c r="I247" s="26">
        <f t="shared" si="40"/>
        <v>-77.916666666666671</v>
      </c>
      <c r="J247" s="26">
        <v>350</v>
      </c>
      <c r="N247" s="26">
        <v>975</v>
      </c>
      <c r="P247" s="52" t="s">
        <v>187</v>
      </c>
      <c r="Q247" s="52"/>
      <c r="R247" s="52"/>
      <c r="S247" s="52" t="s">
        <v>668</v>
      </c>
      <c r="W247" s="26" t="s">
        <v>417</v>
      </c>
      <c r="AA247" s="26" t="s">
        <v>1685</v>
      </c>
      <c r="AB247" s="26" t="s">
        <v>419</v>
      </c>
      <c r="AC247" s="26" t="s">
        <v>174</v>
      </c>
      <c r="AD247" s="26" t="s">
        <v>416</v>
      </c>
      <c r="AE247" s="26" t="s">
        <v>416</v>
      </c>
      <c r="AF247" s="26" t="s">
        <v>252</v>
      </c>
      <c r="AJ247" s="26" t="s">
        <v>418</v>
      </c>
      <c r="AK247" s="26" t="s">
        <v>418</v>
      </c>
      <c r="AL247" s="26" t="s">
        <v>252</v>
      </c>
      <c r="AM247" s="26" t="s">
        <v>222</v>
      </c>
      <c r="AN247" s="26">
        <v>4</v>
      </c>
      <c r="AO247" s="26">
        <v>4</v>
      </c>
      <c r="AP247" s="26" t="s">
        <v>184</v>
      </c>
      <c r="AR247" s="26">
        <v>3122</v>
      </c>
      <c r="AS247" s="26">
        <v>15.1</v>
      </c>
      <c r="AT247" s="63"/>
      <c r="AY247" s="26">
        <v>8826</v>
      </c>
      <c r="AZ247" s="26">
        <v>8793</v>
      </c>
      <c r="BH247" s="26">
        <f t="shared" si="44"/>
        <v>9.3512199999999996</v>
      </c>
      <c r="BI247" s="26">
        <v>6.79</v>
      </c>
      <c r="BJ247" s="26" t="s">
        <v>462</v>
      </c>
      <c r="BM247" s="35" t="s">
        <v>463</v>
      </c>
      <c r="CU247" s="26">
        <v>115.77</v>
      </c>
      <c r="CV247" s="26">
        <v>45.38</v>
      </c>
      <c r="CW247" s="35" t="s">
        <v>432</v>
      </c>
      <c r="CX247" s="35"/>
      <c r="CY247" s="35"/>
      <c r="CZ247" s="35"/>
      <c r="DJ247" s="26">
        <v>190.68</v>
      </c>
      <c r="DK247" s="26">
        <v>25.553000000000001</v>
      </c>
      <c r="DL247" s="26">
        <f t="shared" si="43"/>
        <v>153.03999999999996</v>
      </c>
      <c r="DP247" s="12"/>
      <c r="DR247" s="15"/>
      <c r="EL247" s="35" t="s">
        <v>463</v>
      </c>
      <c r="EN247" s="26">
        <v>17</v>
      </c>
    </row>
    <row r="248" spans="1:144" s="26" customFormat="1" x14ac:dyDescent="0.25">
      <c r="A248" s="26">
        <v>17</v>
      </c>
      <c r="B248" s="26" t="s">
        <v>413</v>
      </c>
      <c r="C248" s="26" t="s">
        <v>414</v>
      </c>
      <c r="D248" s="26">
        <v>2016</v>
      </c>
      <c r="E248" s="26">
        <v>2012</v>
      </c>
      <c r="F248" s="35" t="s">
        <v>394</v>
      </c>
      <c r="G248" s="26" t="s">
        <v>415</v>
      </c>
      <c r="H248" s="26">
        <f t="shared" si="39"/>
        <v>40.716666666666669</v>
      </c>
      <c r="I248" s="26">
        <f t="shared" si="40"/>
        <v>-77.916666666666671</v>
      </c>
      <c r="J248" s="26">
        <v>350</v>
      </c>
      <c r="N248" s="26">
        <v>975</v>
      </c>
      <c r="P248" s="52" t="s">
        <v>187</v>
      </c>
      <c r="Q248" s="52"/>
      <c r="R248" s="52"/>
      <c r="S248" s="52" t="s">
        <v>668</v>
      </c>
      <c r="W248" s="26" t="s">
        <v>417</v>
      </c>
      <c r="AA248" s="26" t="s">
        <v>1685</v>
      </c>
      <c r="AB248" s="26" t="s">
        <v>420</v>
      </c>
      <c r="AC248" s="26" t="s">
        <v>174</v>
      </c>
      <c r="AD248" s="26" t="s">
        <v>416</v>
      </c>
      <c r="AE248" s="26" t="s">
        <v>416</v>
      </c>
      <c r="AF248" s="26" t="s">
        <v>252</v>
      </c>
      <c r="AJ248" s="26" t="s">
        <v>418</v>
      </c>
      <c r="AK248" s="26" t="s">
        <v>418</v>
      </c>
      <c r="AL248" s="26" t="s">
        <v>252</v>
      </c>
      <c r="AM248" s="26" t="s">
        <v>222</v>
      </c>
      <c r="AN248" s="26">
        <v>4</v>
      </c>
      <c r="AO248" s="26">
        <v>4</v>
      </c>
      <c r="AP248" s="26" t="s">
        <v>184</v>
      </c>
      <c r="AR248" s="26">
        <v>2847</v>
      </c>
      <c r="AS248" s="26">
        <v>23</v>
      </c>
      <c r="AT248" s="63"/>
      <c r="AY248" s="26">
        <v>8826</v>
      </c>
      <c r="AZ248" s="26">
        <v>7934</v>
      </c>
      <c r="BH248" s="26">
        <f t="shared" si="44"/>
        <v>9.3512199999999996</v>
      </c>
      <c r="BI248" s="26">
        <v>8.1</v>
      </c>
      <c r="BJ248" s="26" t="s">
        <v>462</v>
      </c>
      <c r="BM248" s="35" t="s">
        <v>463</v>
      </c>
      <c r="CU248" s="26">
        <v>115.77</v>
      </c>
      <c r="CV248" s="26">
        <v>29</v>
      </c>
      <c r="CW248" s="35" t="s">
        <v>432</v>
      </c>
      <c r="CX248" s="35"/>
      <c r="CY248" s="35"/>
      <c r="CZ248" s="35"/>
      <c r="DJ248" s="26">
        <v>190.68</v>
      </c>
      <c r="DK248" s="26">
        <v>82.42</v>
      </c>
      <c r="DL248" s="26">
        <f t="shared" si="43"/>
        <v>153.03999999999996</v>
      </c>
      <c r="DP248" s="12"/>
      <c r="DR248" s="15"/>
      <c r="EL248" s="35" t="s">
        <v>463</v>
      </c>
      <c r="EN248" s="26">
        <v>17</v>
      </c>
    </row>
    <row r="249" spans="1:144" s="26" customFormat="1" x14ac:dyDescent="0.25">
      <c r="A249" s="26">
        <v>17</v>
      </c>
      <c r="B249" s="26" t="s">
        <v>413</v>
      </c>
      <c r="C249" s="26" t="s">
        <v>414</v>
      </c>
      <c r="D249" s="26">
        <v>2016</v>
      </c>
      <c r="E249" s="26">
        <v>2012</v>
      </c>
      <c r="F249" s="35" t="s">
        <v>394</v>
      </c>
      <c r="G249" s="26" t="s">
        <v>415</v>
      </c>
      <c r="H249" s="26">
        <f t="shared" si="39"/>
        <v>40.716666666666669</v>
      </c>
      <c r="I249" s="26">
        <f t="shared" si="40"/>
        <v>-77.916666666666671</v>
      </c>
      <c r="J249" s="26">
        <v>350</v>
      </c>
      <c r="N249" s="26">
        <v>975</v>
      </c>
      <c r="P249" s="52" t="s">
        <v>187</v>
      </c>
      <c r="Q249" s="52"/>
      <c r="R249" s="52"/>
      <c r="S249" s="52" t="s">
        <v>668</v>
      </c>
      <c r="W249" s="26" t="s">
        <v>417</v>
      </c>
      <c r="AA249" s="26" t="s">
        <v>1685</v>
      </c>
      <c r="AB249" s="26" t="s">
        <v>716</v>
      </c>
      <c r="AC249" s="26" t="s">
        <v>174</v>
      </c>
      <c r="AD249" s="26" t="s">
        <v>416</v>
      </c>
      <c r="AE249" s="26" t="s">
        <v>416</v>
      </c>
      <c r="AF249" s="26" t="s">
        <v>252</v>
      </c>
      <c r="AJ249" s="26" t="s">
        <v>418</v>
      </c>
      <c r="AK249" s="26" t="s">
        <v>418</v>
      </c>
      <c r="AL249" s="26" t="s">
        <v>252</v>
      </c>
      <c r="AM249" s="26" t="s">
        <v>222</v>
      </c>
      <c r="AN249" s="26">
        <v>4</v>
      </c>
      <c r="AO249" s="26">
        <v>4</v>
      </c>
      <c r="AP249" s="26" t="s">
        <v>184</v>
      </c>
      <c r="AR249" s="26">
        <v>7842</v>
      </c>
      <c r="AS249" s="26">
        <v>24</v>
      </c>
      <c r="AT249" s="63"/>
      <c r="AY249" s="26">
        <v>8826</v>
      </c>
      <c r="AZ249" s="26">
        <v>7074</v>
      </c>
      <c r="BH249" s="26">
        <f t="shared" si="44"/>
        <v>9.3512199999999996</v>
      </c>
      <c r="BI249" s="26">
        <v>7.89</v>
      </c>
      <c r="BJ249" s="26" t="s">
        <v>462</v>
      </c>
      <c r="BM249" s="35" t="s">
        <v>463</v>
      </c>
      <c r="CU249" s="26">
        <v>115.77</v>
      </c>
      <c r="CV249" s="26">
        <v>15.72</v>
      </c>
      <c r="CW249" s="35" t="s">
        <v>432</v>
      </c>
      <c r="CX249" s="35"/>
      <c r="CY249" s="35"/>
      <c r="CZ249" s="35"/>
      <c r="DJ249" s="26">
        <v>190.68</v>
      </c>
      <c r="DK249" s="26">
        <v>24.5</v>
      </c>
      <c r="DL249" s="26">
        <f t="shared" si="43"/>
        <v>153.03999999999996</v>
      </c>
      <c r="DP249" s="12"/>
      <c r="DR249" s="15"/>
      <c r="EL249" s="35" t="s">
        <v>463</v>
      </c>
      <c r="EN249" s="26">
        <v>17</v>
      </c>
    </row>
    <row r="250" spans="1:144" s="26" customFormat="1" x14ac:dyDescent="0.25">
      <c r="A250" s="26">
        <v>17</v>
      </c>
      <c r="B250" s="26" t="s">
        <v>413</v>
      </c>
      <c r="C250" s="26" t="s">
        <v>414</v>
      </c>
      <c r="D250" s="26">
        <v>2016</v>
      </c>
      <c r="E250" s="26">
        <v>2012</v>
      </c>
      <c r="F250" s="35" t="s">
        <v>394</v>
      </c>
      <c r="G250" s="26" t="s">
        <v>415</v>
      </c>
      <c r="H250" s="26">
        <f t="shared" si="39"/>
        <v>40.716666666666669</v>
      </c>
      <c r="I250" s="26">
        <f t="shared" si="40"/>
        <v>-77.916666666666671</v>
      </c>
      <c r="J250" s="26">
        <v>350</v>
      </c>
      <c r="N250" s="26">
        <v>975</v>
      </c>
      <c r="P250" s="52" t="s">
        <v>187</v>
      </c>
      <c r="Q250" s="52"/>
      <c r="R250" s="52"/>
      <c r="S250" s="52" t="s">
        <v>668</v>
      </c>
      <c r="W250" s="26" t="s">
        <v>417</v>
      </c>
      <c r="AA250" s="26" t="s">
        <v>1685</v>
      </c>
      <c r="AB250" s="26" t="s">
        <v>173</v>
      </c>
      <c r="AC250" s="26" t="s">
        <v>174</v>
      </c>
      <c r="AD250" s="26" t="s">
        <v>416</v>
      </c>
      <c r="AE250" s="26" t="s">
        <v>416</v>
      </c>
      <c r="AF250" s="26" t="s">
        <v>252</v>
      </c>
      <c r="AJ250" s="26" t="s">
        <v>418</v>
      </c>
      <c r="AK250" s="26" t="s">
        <v>418</v>
      </c>
      <c r="AL250" s="26" t="s">
        <v>252</v>
      </c>
      <c r="AM250" s="26" t="s">
        <v>222</v>
      </c>
      <c r="AN250" s="26">
        <v>4</v>
      </c>
      <c r="AO250" s="26">
        <v>4</v>
      </c>
      <c r="AP250" s="26" t="s">
        <v>184</v>
      </c>
      <c r="AR250" s="26">
        <v>9675</v>
      </c>
      <c r="AS250" s="26">
        <v>46.2</v>
      </c>
      <c r="AT250" s="63"/>
      <c r="AY250" s="26">
        <v>8826</v>
      </c>
      <c r="AZ250" s="26">
        <v>2578</v>
      </c>
      <c r="BH250" s="26">
        <f t="shared" si="44"/>
        <v>9.3512199999999996</v>
      </c>
      <c r="BI250" s="26">
        <v>1.88</v>
      </c>
      <c r="BJ250" s="26" t="s">
        <v>462</v>
      </c>
      <c r="BM250" s="35" t="s">
        <v>463</v>
      </c>
      <c r="CU250" s="26">
        <v>115.77</v>
      </c>
      <c r="CV250" s="26">
        <v>10.39</v>
      </c>
      <c r="CW250" s="35" t="s">
        <v>432</v>
      </c>
      <c r="CX250" s="35"/>
      <c r="CY250" s="35"/>
      <c r="CZ250" s="35"/>
      <c r="DJ250" s="26">
        <v>190.68</v>
      </c>
      <c r="DK250" s="26">
        <v>24</v>
      </c>
      <c r="DL250" s="26">
        <f t="shared" si="43"/>
        <v>153.03999999999996</v>
      </c>
      <c r="DP250" s="12"/>
      <c r="DR250" s="15"/>
      <c r="EL250" s="35" t="s">
        <v>463</v>
      </c>
      <c r="EN250" s="26">
        <v>17</v>
      </c>
    </row>
    <row r="251" spans="1:144" s="26" customFormat="1" x14ac:dyDescent="0.25">
      <c r="A251" s="26">
        <v>17</v>
      </c>
      <c r="B251" s="26" t="s">
        <v>413</v>
      </c>
      <c r="C251" s="26" t="s">
        <v>414</v>
      </c>
      <c r="D251" s="26">
        <v>2016</v>
      </c>
      <c r="E251" s="26">
        <v>2012</v>
      </c>
      <c r="F251" s="35" t="s">
        <v>394</v>
      </c>
      <c r="G251" s="26" t="s">
        <v>415</v>
      </c>
      <c r="H251" s="26">
        <f t="shared" si="39"/>
        <v>40.716666666666669</v>
      </c>
      <c r="I251" s="26">
        <f t="shared" si="40"/>
        <v>-77.916666666666671</v>
      </c>
      <c r="J251" s="26">
        <v>350</v>
      </c>
      <c r="N251" s="26">
        <v>975</v>
      </c>
      <c r="P251" s="52" t="s">
        <v>187</v>
      </c>
      <c r="Q251" s="52"/>
      <c r="R251" s="52"/>
      <c r="S251" s="52" t="s">
        <v>668</v>
      </c>
      <c r="W251" s="26" t="s">
        <v>417</v>
      </c>
      <c r="AA251" s="26" t="s">
        <v>1685</v>
      </c>
      <c r="AB251" s="26" t="s">
        <v>421</v>
      </c>
      <c r="AC251" s="26" t="s">
        <v>174</v>
      </c>
      <c r="AD251" s="26" t="s">
        <v>416</v>
      </c>
      <c r="AE251" s="26" t="s">
        <v>416</v>
      </c>
      <c r="AF251" s="26" t="s">
        <v>252</v>
      </c>
      <c r="AJ251" s="26" t="s">
        <v>418</v>
      </c>
      <c r="AK251" s="26" t="s">
        <v>418</v>
      </c>
      <c r="AL251" s="26" t="s">
        <v>252</v>
      </c>
      <c r="AM251" s="26" t="s">
        <v>222</v>
      </c>
      <c r="AN251" s="26">
        <v>4</v>
      </c>
      <c r="AO251" s="26">
        <v>4</v>
      </c>
      <c r="AP251" s="26" t="s">
        <v>184</v>
      </c>
      <c r="AR251" s="26">
        <v>2447</v>
      </c>
      <c r="AS251" s="26">
        <v>18.5</v>
      </c>
      <c r="AT251" s="63"/>
      <c r="AY251" s="26">
        <v>8826</v>
      </c>
      <c r="AZ251" s="26">
        <v>8694</v>
      </c>
      <c r="BH251" s="26">
        <f t="shared" si="44"/>
        <v>9.3512199999999996</v>
      </c>
      <c r="BI251" s="26">
        <v>8.09</v>
      </c>
      <c r="BJ251" s="26" t="s">
        <v>462</v>
      </c>
      <c r="BM251" s="35" t="s">
        <v>463</v>
      </c>
      <c r="CU251" s="26">
        <v>115.77</v>
      </c>
      <c r="CV251" s="26">
        <v>104.07</v>
      </c>
      <c r="CW251" s="35" t="s">
        <v>432</v>
      </c>
      <c r="CX251" s="35"/>
      <c r="CY251" s="35"/>
      <c r="CZ251" s="35"/>
      <c r="DJ251" s="26">
        <v>190.68</v>
      </c>
      <c r="DK251" s="26">
        <v>52.19</v>
      </c>
      <c r="DL251" s="26">
        <f t="shared" si="43"/>
        <v>153.03999999999996</v>
      </c>
      <c r="DP251" s="12"/>
      <c r="DR251" s="15"/>
      <c r="EL251" s="35" t="s">
        <v>463</v>
      </c>
      <c r="EN251" s="26">
        <v>17</v>
      </c>
    </row>
    <row r="252" spans="1:144" s="26" customFormat="1" x14ac:dyDescent="0.25">
      <c r="A252" s="26">
        <v>17</v>
      </c>
      <c r="B252" s="26" t="s">
        <v>413</v>
      </c>
      <c r="C252" s="26" t="s">
        <v>414</v>
      </c>
      <c r="D252" s="26">
        <v>2016</v>
      </c>
      <c r="E252" s="26">
        <v>2012</v>
      </c>
      <c r="F252" s="35" t="s">
        <v>394</v>
      </c>
      <c r="G252" s="26" t="s">
        <v>415</v>
      </c>
      <c r="H252" s="26">
        <f t="shared" si="39"/>
        <v>40.716666666666669</v>
      </c>
      <c r="I252" s="26">
        <f t="shared" si="40"/>
        <v>-77.916666666666671</v>
      </c>
      <c r="J252" s="26">
        <v>350</v>
      </c>
      <c r="N252" s="26">
        <v>975</v>
      </c>
      <c r="P252" s="52" t="s">
        <v>187</v>
      </c>
      <c r="Q252" s="52"/>
      <c r="R252" s="52"/>
      <c r="S252" s="52" t="s">
        <v>668</v>
      </c>
      <c r="W252" s="26" t="s">
        <v>417</v>
      </c>
      <c r="AA252" s="26" t="s">
        <v>1685</v>
      </c>
      <c r="AB252" s="26" t="s">
        <v>422</v>
      </c>
      <c r="AC252" s="26" t="s">
        <v>174</v>
      </c>
      <c r="AD252" s="26" t="s">
        <v>416</v>
      </c>
      <c r="AE252" s="26" t="s">
        <v>416</v>
      </c>
      <c r="AF252" s="26" t="s">
        <v>252</v>
      </c>
      <c r="AJ252" s="26" t="s">
        <v>418</v>
      </c>
      <c r="AK252" s="26" t="s">
        <v>418</v>
      </c>
      <c r="AL252" s="26" t="s">
        <v>252</v>
      </c>
      <c r="AM252" s="26" t="s">
        <v>222</v>
      </c>
      <c r="AN252" s="26">
        <v>4</v>
      </c>
      <c r="AO252" s="26">
        <v>4</v>
      </c>
      <c r="AP252" s="26" t="s">
        <v>184</v>
      </c>
      <c r="AR252" s="26">
        <v>7425</v>
      </c>
      <c r="AS252" s="26">
        <v>40.799999999999997</v>
      </c>
      <c r="AT252" s="63"/>
      <c r="AY252" s="26">
        <v>8826</v>
      </c>
      <c r="AZ252" s="26">
        <v>2876</v>
      </c>
      <c r="BH252" s="26">
        <f t="shared" si="44"/>
        <v>9.3512199999999996</v>
      </c>
      <c r="BI252" s="26">
        <v>2.48</v>
      </c>
      <c r="BJ252" s="26" t="s">
        <v>462</v>
      </c>
      <c r="BM252" s="35" t="s">
        <v>463</v>
      </c>
      <c r="CU252" s="26">
        <v>115.77</v>
      </c>
      <c r="CV252" s="26">
        <v>9.9</v>
      </c>
      <c r="CW252" s="35" t="s">
        <v>432</v>
      </c>
      <c r="CX252" s="35"/>
      <c r="CY252" s="35"/>
      <c r="CZ252" s="35"/>
      <c r="DJ252" s="26">
        <v>190.68</v>
      </c>
      <c r="DK252" s="26">
        <v>14</v>
      </c>
      <c r="DL252" s="26">
        <f t="shared" si="43"/>
        <v>153.03999999999996</v>
      </c>
      <c r="DP252" s="12"/>
      <c r="DR252" s="15"/>
      <c r="EL252" s="35" t="s">
        <v>463</v>
      </c>
      <c r="EN252" s="26">
        <v>17</v>
      </c>
    </row>
    <row r="253" spans="1:144" s="26" customFormat="1" x14ac:dyDescent="0.25">
      <c r="A253" s="26">
        <v>17</v>
      </c>
      <c r="B253" s="26" t="s">
        <v>413</v>
      </c>
      <c r="C253" s="26" t="s">
        <v>414</v>
      </c>
      <c r="D253" s="26">
        <v>2016</v>
      </c>
      <c r="E253" s="26">
        <v>2012</v>
      </c>
      <c r="F253" s="35" t="s">
        <v>394</v>
      </c>
      <c r="G253" s="26" t="s">
        <v>415</v>
      </c>
      <c r="H253" s="26">
        <f t="shared" si="39"/>
        <v>40.716666666666669</v>
      </c>
      <c r="I253" s="26">
        <f t="shared" si="40"/>
        <v>-77.916666666666671</v>
      </c>
      <c r="J253" s="26">
        <v>350</v>
      </c>
      <c r="N253" s="26">
        <v>975</v>
      </c>
      <c r="P253" s="52" t="s">
        <v>187</v>
      </c>
      <c r="Q253" s="52"/>
      <c r="R253" s="52"/>
      <c r="S253" s="52" t="s">
        <v>668</v>
      </c>
      <c r="W253" s="26" t="s">
        <v>417</v>
      </c>
      <c r="AA253" s="26" t="s">
        <v>1685</v>
      </c>
      <c r="AB253" s="26" t="s">
        <v>423</v>
      </c>
      <c r="AC253" s="26" t="s">
        <v>174</v>
      </c>
      <c r="AD253" s="26" t="s">
        <v>416</v>
      </c>
      <c r="AE253" s="26" t="s">
        <v>416</v>
      </c>
      <c r="AF253" s="26" t="s">
        <v>252</v>
      </c>
      <c r="AJ253" s="26" t="s">
        <v>418</v>
      </c>
      <c r="AK253" s="26" t="s">
        <v>418</v>
      </c>
      <c r="AL253" s="26" t="s">
        <v>252</v>
      </c>
      <c r="AM253" s="26" t="s">
        <v>222</v>
      </c>
      <c r="AN253" s="26">
        <v>4</v>
      </c>
      <c r="AO253" s="26">
        <v>4</v>
      </c>
      <c r="AP253" s="26" t="s">
        <v>184</v>
      </c>
      <c r="AR253" s="26">
        <v>6998</v>
      </c>
      <c r="AS253" s="26">
        <v>33.700000000000003</v>
      </c>
      <c r="AT253" s="63"/>
      <c r="AY253" s="26">
        <v>8826</v>
      </c>
      <c r="AZ253" s="26">
        <v>3636</v>
      </c>
      <c r="BH253" s="26">
        <f t="shared" si="44"/>
        <v>9.3512199999999996</v>
      </c>
      <c r="BI253" s="26">
        <v>2.27</v>
      </c>
      <c r="BJ253" s="26" t="s">
        <v>462</v>
      </c>
      <c r="BM253" s="35" t="s">
        <v>463</v>
      </c>
      <c r="CU253" s="26">
        <v>115.77</v>
      </c>
      <c r="CV253" s="26">
        <v>5.46</v>
      </c>
      <c r="CW253" s="35" t="s">
        <v>432</v>
      </c>
      <c r="CX253" s="35"/>
      <c r="CY253" s="35"/>
      <c r="CZ253" s="35"/>
      <c r="DJ253" s="26">
        <v>190.68</v>
      </c>
      <c r="DK253" s="26">
        <v>22</v>
      </c>
      <c r="DL253" s="26">
        <f t="shared" si="43"/>
        <v>153.03999999999996</v>
      </c>
      <c r="DP253" s="12"/>
      <c r="DR253" s="15"/>
      <c r="EL253" s="35" t="s">
        <v>463</v>
      </c>
      <c r="EN253" s="26">
        <v>17</v>
      </c>
    </row>
    <row r="254" spans="1:144" s="26" customFormat="1" x14ac:dyDescent="0.25">
      <c r="A254" s="26">
        <v>17</v>
      </c>
      <c r="B254" s="26" t="s">
        <v>413</v>
      </c>
      <c r="C254" s="26" t="s">
        <v>414</v>
      </c>
      <c r="D254" s="26">
        <v>2016</v>
      </c>
      <c r="E254" s="26">
        <v>2012</v>
      </c>
      <c r="F254" s="35" t="s">
        <v>394</v>
      </c>
      <c r="G254" s="26" t="s">
        <v>415</v>
      </c>
      <c r="H254" s="26">
        <f t="shared" si="39"/>
        <v>40.716666666666669</v>
      </c>
      <c r="I254" s="26">
        <f t="shared" si="40"/>
        <v>-77.916666666666671</v>
      </c>
      <c r="J254" s="26">
        <v>350</v>
      </c>
      <c r="N254" s="26">
        <v>975</v>
      </c>
      <c r="P254" s="52" t="s">
        <v>187</v>
      </c>
      <c r="Q254" s="52"/>
      <c r="R254" s="52"/>
      <c r="S254" s="52" t="s">
        <v>668</v>
      </c>
      <c r="W254" s="26" t="s">
        <v>417</v>
      </c>
      <c r="AA254" s="26" t="s">
        <v>1685</v>
      </c>
      <c r="AB254" s="26" t="s">
        <v>424</v>
      </c>
      <c r="AC254" s="26" t="s">
        <v>174</v>
      </c>
      <c r="AD254" s="26" t="s">
        <v>416</v>
      </c>
      <c r="AE254" s="26" t="s">
        <v>416</v>
      </c>
      <c r="AF254" s="26" t="s">
        <v>252</v>
      </c>
      <c r="AJ254" s="26" t="s">
        <v>418</v>
      </c>
      <c r="AK254" s="26" t="s">
        <v>418</v>
      </c>
      <c r="AL254" s="26" t="s">
        <v>252</v>
      </c>
      <c r="AM254" s="26" t="s">
        <v>222</v>
      </c>
      <c r="AN254" s="26">
        <v>4</v>
      </c>
      <c r="AO254" s="26">
        <v>4</v>
      </c>
      <c r="AP254" s="26" t="s">
        <v>184</v>
      </c>
      <c r="AR254" s="26">
        <v>2814</v>
      </c>
      <c r="AS254" s="26">
        <v>18</v>
      </c>
      <c r="AT254" s="63"/>
      <c r="AY254" s="26">
        <v>8826</v>
      </c>
      <c r="AZ254" s="26">
        <v>10248</v>
      </c>
      <c r="BH254" s="26">
        <f t="shared" si="44"/>
        <v>9.3512199999999996</v>
      </c>
      <c r="BI254" s="26">
        <v>8.99</v>
      </c>
      <c r="BJ254" s="26" t="s">
        <v>462</v>
      </c>
      <c r="BM254" s="35" t="s">
        <v>463</v>
      </c>
      <c r="CU254" s="26">
        <v>115.77</v>
      </c>
      <c r="CV254" s="26">
        <v>45.21</v>
      </c>
      <c r="CW254" s="35" t="s">
        <v>432</v>
      </c>
      <c r="CX254" s="35"/>
      <c r="CY254" s="35"/>
      <c r="CZ254" s="35"/>
      <c r="DJ254" s="26">
        <v>190.68</v>
      </c>
      <c r="DK254" s="26">
        <v>69.8</v>
      </c>
      <c r="DL254" s="26">
        <f t="shared" si="43"/>
        <v>153.03999999999996</v>
      </c>
      <c r="DP254" s="12"/>
      <c r="DR254" s="15"/>
      <c r="EL254" s="35" t="s">
        <v>463</v>
      </c>
      <c r="EN254" s="26">
        <v>17</v>
      </c>
    </row>
    <row r="255" spans="1:144" s="26" customFormat="1" x14ac:dyDescent="0.25">
      <c r="A255" s="26">
        <v>17</v>
      </c>
      <c r="B255" s="26" t="s">
        <v>413</v>
      </c>
      <c r="C255" s="26" t="s">
        <v>414</v>
      </c>
      <c r="D255" s="26">
        <v>2016</v>
      </c>
      <c r="E255" s="26">
        <v>2012</v>
      </c>
      <c r="F255" s="35" t="s">
        <v>394</v>
      </c>
      <c r="G255" s="26" t="s">
        <v>415</v>
      </c>
      <c r="H255" s="26">
        <f t="shared" si="39"/>
        <v>40.716666666666669</v>
      </c>
      <c r="I255" s="26">
        <f t="shared" si="40"/>
        <v>-77.916666666666671</v>
      </c>
      <c r="J255" s="26">
        <v>350</v>
      </c>
      <c r="N255" s="26">
        <v>975</v>
      </c>
      <c r="P255" s="52" t="s">
        <v>187</v>
      </c>
      <c r="Q255" s="52"/>
      <c r="R255" s="52"/>
      <c r="S255" s="52" t="s">
        <v>668</v>
      </c>
      <c r="W255" s="26" t="s">
        <v>417</v>
      </c>
      <c r="AA255" s="26" t="s">
        <v>1685</v>
      </c>
      <c r="AB255" s="26" t="s">
        <v>425</v>
      </c>
      <c r="AC255" s="26" t="s">
        <v>174</v>
      </c>
      <c r="AD255" s="26" t="s">
        <v>416</v>
      </c>
      <c r="AE255" s="26" t="s">
        <v>416</v>
      </c>
      <c r="AF255" s="26" t="s">
        <v>252</v>
      </c>
      <c r="AJ255" s="26" t="s">
        <v>418</v>
      </c>
      <c r="AK255" s="26" t="s">
        <v>418</v>
      </c>
      <c r="AL255" s="26" t="s">
        <v>252</v>
      </c>
      <c r="AM255" s="26" t="s">
        <v>222</v>
      </c>
      <c r="AN255" s="26">
        <v>4</v>
      </c>
      <c r="AO255" s="26">
        <v>4</v>
      </c>
      <c r="AP255" s="26" t="s">
        <v>184</v>
      </c>
      <c r="AR255" s="26">
        <v>9531</v>
      </c>
      <c r="AS255" s="26">
        <v>30.7</v>
      </c>
      <c r="AT255" s="63"/>
      <c r="AY255" s="26">
        <v>8826</v>
      </c>
      <c r="AZ255" s="26">
        <v>6248</v>
      </c>
      <c r="BH255" s="26">
        <f t="shared" si="44"/>
        <v>9.3512199999999996</v>
      </c>
      <c r="BI255" s="26">
        <v>6.74</v>
      </c>
      <c r="BJ255" s="26" t="s">
        <v>462</v>
      </c>
      <c r="BM255" s="35" t="s">
        <v>463</v>
      </c>
      <c r="CU255" s="26">
        <v>115.77</v>
      </c>
      <c r="CV255" s="26">
        <v>14.25</v>
      </c>
      <c r="CW255" s="35" t="s">
        <v>432</v>
      </c>
      <c r="CX255" s="35"/>
      <c r="CY255" s="35"/>
      <c r="CZ255" s="35"/>
      <c r="DJ255" s="26">
        <v>190.68</v>
      </c>
      <c r="DK255" s="26">
        <v>21.63</v>
      </c>
      <c r="DL255" s="26">
        <f t="shared" si="43"/>
        <v>153.03999999999996</v>
      </c>
      <c r="DP255" s="12"/>
      <c r="DR255" s="15"/>
      <c r="EL255" s="35" t="s">
        <v>463</v>
      </c>
      <c r="EN255" s="26">
        <v>17</v>
      </c>
    </row>
    <row r="256" spans="1:144" s="26" customFormat="1" x14ac:dyDescent="0.25">
      <c r="A256" s="26">
        <v>17</v>
      </c>
      <c r="B256" s="26" t="s">
        <v>413</v>
      </c>
      <c r="C256" s="26" t="s">
        <v>414</v>
      </c>
      <c r="D256" s="26">
        <v>2016</v>
      </c>
      <c r="E256" s="26">
        <v>2012</v>
      </c>
      <c r="F256" s="35" t="s">
        <v>394</v>
      </c>
      <c r="G256" s="26" t="s">
        <v>415</v>
      </c>
      <c r="H256" s="26">
        <f t="shared" si="39"/>
        <v>40.716666666666669</v>
      </c>
      <c r="I256" s="26">
        <f t="shared" si="40"/>
        <v>-77.916666666666671</v>
      </c>
      <c r="J256" s="26">
        <v>350</v>
      </c>
      <c r="N256" s="26">
        <v>975</v>
      </c>
      <c r="P256" s="52" t="s">
        <v>187</v>
      </c>
      <c r="Q256" s="52"/>
      <c r="R256" s="52"/>
      <c r="S256" s="52" t="s">
        <v>668</v>
      </c>
      <c r="W256" s="26" t="s">
        <v>417</v>
      </c>
      <c r="AA256" s="26" t="s">
        <v>1685</v>
      </c>
      <c r="AB256" s="26" t="s">
        <v>426</v>
      </c>
      <c r="AC256" s="26" t="s">
        <v>174</v>
      </c>
      <c r="AD256" s="26" t="s">
        <v>416</v>
      </c>
      <c r="AE256" s="26" t="s">
        <v>416</v>
      </c>
      <c r="AF256" s="26" t="s">
        <v>252</v>
      </c>
      <c r="AJ256" s="26" t="s">
        <v>418</v>
      </c>
      <c r="AK256" s="26" t="s">
        <v>418</v>
      </c>
      <c r="AL256" s="26" t="s">
        <v>252</v>
      </c>
      <c r="AM256" s="26" t="s">
        <v>222</v>
      </c>
      <c r="AN256" s="26">
        <v>4</v>
      </c>
      <c r="AO256" s="26">
        <v>4</v>
      </c>
      <c r="AP256" s="26" t="s">
        <v>184</v>
      </c>
      <c r="AR256" s="26">
        <v>9194</v>
      </c>
      <c r="AS256" s="26">
        <v>40.200000000000003</v>
      </c>
      <c r="AT256" s="63"/>
      <c r="AY256" s="26">
        <v>8826</v>
      </c>
      <c r="AZ256" s="26">
        <v>3273</v>
      </c>
      <c r="BH256" s="26">
        <f t="shared" si="44"/>
        <v>9.3512199999999996</v>
      </c>
      <c r="BI256" s="26">
        <v>3.17</v>
      </c>
      <c r="BJ256" s="26" t="s">
        <v>462</v>
      </c>
      <c r="BM256" s="35" t="s">
        <v>463</v>
      </c>
      <c r="CU256" s="26">
        <v>115.77</v>
      </c>
      <c r="CV256" s="26">
        <v>13.79</v>
      </c>
      <c r="CW256" s="35" t="s">
        <v>432</v>
      </c>
      <c r="CX256" s="35"/>
      <c r="CY256" s="35"/>
      <c r="CZ256" s="35"/>
      <c r="DJ256" s="26">
        <v>190.68</v>
      </c>
      <c r="DK256" s="26">
        <v>11.57</v>
      </c>
      <c r="DL256" s="26">
        <f t="shared" si="43"/>
        <v>153.03999999999996</v>
      </c>
      <c r="DP256" s="12"/>
      <c r="DR256" s="15"/>
      <c r="EL256" s="35" t="s">
        <v>463</v>
      </c>
      <c r="EN256" s="26">
        <v>17</v>
      </c>
    </row>
    <row r="257" spans="1:144" s="26" customFormat="1" x14ac:dyDescent="0.25">
      <c r="A257" s="26">
        <v>17</v>
      </c>
      <c r="B257" s="26" t="s">
        <v>413</v>
      </c>
      <c r="C257" s="26" t="s">
        <v>414</v>
      </c>
      <c r="D257" s="26">
        <v>2016</v>
      </c>
      <c r="E257" s="26">
        <v>2012</v>
      </c>
      <c r="F257" s="35" t="s">
        <v>394</v>
      </c>
      <c r="G257" s="26" t="s">
        <v>415</v>
      </c>
      <c r="H257" s="26">
        <f t="shared" si="39"/>
        <v>40.716666666666669</v>
      </c>
      <c r="I257" s="26">
        <f t="shared" si="40"/>
        <v>-77.916666666666671</v>
      </c>
      <c r="J257" s="26">
        <v>350</v>
      </c>
      <c r="N257" s="26">
        <v>975</v>
      </c>
      <c r="P257" s="52" t="s">
        <v>187</v>
      </c>
      <c r="Q257" s="52"/>
      <c r="R257" s="52"/>
      <c r="S257" s="52" t="s">
        <v>668</v>
      </c>
      <c r="W257" s="26" t="s">
        <v>417</v>
      </c>
      <c r="AA257" s="26" t="s">
        <v>1685</v>
      </c>
      <c r="AB257" s="26" t="s">
        <v>427</v>
      </c>
      <c r="AC257" s="26" t="s">
        <v>174</v>
      </c>
      <c r="AD257" s="26" t="s">
        <v>416</v>
      </c>
      <c r="AE257" s="26" t="s">
        <v>416</v>
      </c>
      <c r="AF257" s="26" t="s">
        <v>252</v>
      </c>
      <c r="AJ257" s="26" t="s">
        <v>418</v>
      </c>
      <c r="AK257" s="26" t="s">
        <v>418</v>
      </c>
      <c r="AL257" s="26" t="s">
        <v>252</v>
      </c>
      <c r="AM257" s="26" t="s">
        <v>222</v>
      </c>
      <c r="AN257" s="26">
        <v>4</v>
      </c>
      <c r="AO257" s="26">
        <v>4</v>
      </c>
      <c r="AP257" s="26" t="s">
        <v>184</v>
      </c>
      <c r="AR257" s="26">
        <v>3801</v>
      </c>
      <c r="AS257" s="26">
        <v>17.600000000000001</v>
      </c>
      <c r="AT257" s="63"/>
      <c r="AY257" s="26">
        <v>8826</v>
      </c>
      <c r="AZ257" s="26">
        <v>10182</v>
      </c>
      <c r="BH257" s="26">
        <f t="shared" si="44"/>
        <v>9.3512199999999996</v>
      </c>
      <c r="BI257" s="26">
        <v>7.95</v>
      </c>
      <c r="BJ257" s="26" t="s">
        <v>462</v>
      </c>
      <c r="BM257" s="35" t="s">
        <v>463</v>
      </c>
      <c r="CU257" s="26">
        <v>115.77</v>
      </c>
      <c r="CV257" s="26">
        <v>22.6</v>
      </c>
      <c r="CW257" s="35" t="s">
        <v>432</v>
      </c>
      <c r="CX257" s="35"/>
      <c r="CY257" s="35"/>
      <c r="CZ257" s="35"/>
      <c r="DJ257" s="26">
        <v>190.68</v>
      </c>
      <c r="DK257" s="26">
        <v>10</v>
      </c>
      <c r="DL257" s="26">
        <f t="shared" si="43"/>
        <v>153.03999999999996</v>
      </c>
      <c r="DP257" s="12"/>
      <c r="DR257" s="15"/>
      <c r="EL257" s="35" t="s">
        <v>463</v>
      </c>
      <c r="EN257" s="26">
        <v>17</v>
      </c>
    </row>
    <row r="258" spans="1:144" s="26" customFormat="1" x14ac:dyDescent="0.25">
      <c r="A258" s="26">
        <v>17</v>
      </c>
      <c r="B258" s="26" t="s">
        <v>413</v>
      </c>
      <c r="C258" s="26" t="s">
        <v>414</v>
      </c>
      <c r="D258" s="26">
        <v>2016</v>
      </c>
      <c r="E258" s="26">
        <v>2012</v>
      </c>
      <c r="F258" s="35" t="s">
        <v>394</v>
      </c>
      <c r="G258" s="26" t="s">
        <v>415</v>
      </c>
      <c r="H258" s="26">
        <f t="shared" si="39"/>
        <v>40.716666666666669</v>
      </c>
      <c r="I258" s="26">
        <f t="shared" si="40"/>
        <v>-77.916666666666671</v>
      </c>
      <c r="J258" s="26">
        <v>350</v>
      </c>
      <c r="N258" s="26">
        <v>975</v>
      </c>
      <c r="P258" s="52" t="s">
        <v>187</v>
      </c>
      <c r="Q258" s="52"/>
      <c r="R258" s="52"/>
      <c r="S258" s="52" t="s">
        <v>668</v>
      </c>
      <c r="W258" s="26" t="s">
        <v>417</v>
      </c>
      <c r="AA258" s="26" t="s">
        <v>1685</v>
      </c>
      <c r="AB258" s="26" t="s">
        <v>428</v>
      </c>
      <c r="AC258" s="26" t="s">
        <v>174</v>
      </c>
      <c r="AD258" s="26" t="s">
        <v>416</v>
      </c>
      <c r="AE258" s="26" t="s">
        <v>416</v>
      </c>
      <c r="AF258" s="26" t="s">
        <v>252</v>
      </c>
      <c r="AJ258" s="26" t="s">
        <v>418</v>
      </c>
      <c r="AK258" s="26" t="s">
        <v>418</v>
      </c>
      <c r="AL258" s="26" t="s">
        <v>252</v>
      </c>
      <c r="AM258" s="26" t="s">
        <v>222</v>
      </c>
      <c r="AN258" s="26">
        <v>4</v>
      </c>
      <c r="AO258" s="26">
        <v>4</v>
      </c>
      <c r="AP258" s="26" t="s">
        <v>184</v>
      </c>
      <c r="AR258" s="26">
        <v>8095</v>
      </c>
      <c r="AS258" s="26">
        <v>29.8</v>
      </c>
      <c r="AT258" s="63"/>
      <c r="AY258" s="26">
        <v>8826</v>
      </c>
      <c r="AZ258" s="26">
        <v>6017</v>
      </c>
      <c r="BH258" s="26">
        <f t="shared" si="44"/>
        <v>9.3512199999999996</v>
      </c>
      <c r="BI258" s="26">
        <v>5.61</v>
      </c>
      <c r="BJ258" s="26" t="s">
        <v>462</v>
      </c>
      <c r="BM258" s="35" t="s">
        <v>463</v>
      </c>
      <c r="CU258" s="26">
        <v>115.77</v>
      </c>
      <c r="CV258" s="26">
        <v>15.06</v>
      </c>
      <c r="CW258" s="35" t="s">
        <v>432</v>
      </c>
      <c r="CX258" s="35"/>
      <c r="CY258" s="35"/>
      <c r="CZ258" s="35"/>
      <c r="DJ258" s="26">
        <v>190.68</v>
      </c>
      <c r="DK258" s="26">
        <v>10</v>
      </c>
      <c r="DL258" s="26">
        <f t="shared" si="43"/>
        <v>153.03999999999996</v>
      </c>
      <c r="DP258" s="12"/>
      <c r="DR258" s="15"/>
      <c r="EL258" s="35" t="s">
        <v>463</v>
      </c>
      <c r="EN258" s="26">
        <v>17</v>
      </c>
    </row>
    <row r="259" spans="1:144" s="26" customFormat="1" x14ac:dyDescent="0.25">
      <c r="A259" s="26">
        <v>17</v>
      </c>
      <c r="B259" s="26" t="s">
        <v>413</v>
      </c>
      <c r="C259" s="26" t="s">
        <v>414</v>
      </c>
      <c r="D259" s="26">
        <v>2016</v>
      </c>
      <c r="E259" s="26">
        <v>2012</v>
      </c>
      <c r="F259" s="35" t="s">
        <v>394</v>
      </c>
      <c r="G259" s="26" t="s">
        <v>415</v>
      </c>
      <c r="H259" s="26">
        <f t="shared" si="39"/>
        <v>40.716666666666669</v>
      </c>
      <c r="I259" s="26">
        <f t="shared" si="40"/>
        <v>-77.916666666666671</v>
      </c>
      <c r="J259" s="26">
        <v>350</v>
      </c>
      <c r="N259" s="26">
        <v>975</v>
      </c>
      <c r="P259" s="52" t="s">
        <v>187</v>
      </c>
      <c r="Q259" s="52"/>
      <c r="R259" s="52"/>
      <c r="S259" s="52" t="s">
        <v>668</v>
      </c>
      <c r="W259" s="26" t="s">
        <v>417</v>
      </c>
      <c r="AA259" s="26" t="s">
        <v>1685</v>
      </c>
      <c r="AB259" s="26" t="s">
        <v>429</v>
      </c>
      <c r="AC259" s="26" t="s">
        <v>174</v>
      </c>
      <c r="AD259" s="26" t="s">
        <v>416</v>
      </c>
      <c r="AE259" s="26" t="s">
        <v>416</v>
      </c>
      <c r="AF259" s="26" t="s">
        <v>252</v>
      </c>
      <c r="AJ259" s="26" t="s">
        <v>418</v>
      </c>
      <c r="AK259" s="26" t="s">
        <v>418</v>
      </c>
      <c r="AL259" s="26" t="s">
        <v>252</v>
      </c>
      <c r="AM259" s="26" t="s">
        <v>222</v>
      </c>
      <c r="AN259" s="26">
        <v>4</v>
      </c>
      <c r="AO259" s="26">
        <v>4</v>
      </c>
      <c r="AP259" s="26" t="s">
        <v>184</v>
      </c>
      <c r="AR259" s="26">
        <v>6972</v>
      </c>
      <c r="AS259" s="26">
        <v>35.4</v>
      </c>
      <c r="AT259" s="63"/>
      <c r="AY259" s="26">
        <v>8826</v>
      </c>
      <c r="AZ259" s="26">
        <v>3140</v>
      </c>
      <c r="BH259" s="26">
        <f t="shared" si="44"/>
        <v>9.3512199999999996</v>
      </c>
      <c r="BI259" s="26">
        <v>2.04</v>
      </c>
      <c r="BJ259" s="26" t="s">
        <v>462</v>
      </c>
      <c r="BM259" s="35" t="s">
        <v>463</v>
      </c>
      <c r="CU259" s="26">
        <v>115.77</v>
      </c>
      <c r="CV259" s="26">
        <v>9.2899999999999991</v>
      </c>
      <c r="CW259" s="35" t="s">
        <v>432</v>
      </c>
      <c r="CX259" s="35"/>
      <c r="CY259" s="35"/>
      <c r="CZ259" s="35"/>
      <c r="DJ259" s="26">
        <v>190.68</v>
      </c>
      <c r="DK259" s="26">
        <v>10</v>
      </c>
      <c r="DL259" s="26">
        <f t="shared" si="43"/>
        <v>153.03999999999996</v>
      </c>
      <c r="DP259" s="12"/>
      <c r="DR259" s="15"/>
      <c r="EL259" s="35" t="s">
        <v>463</v>
      </c>
      <c r="EN259" s="26">
        <v>17</v>
      </c>
    </row>
    <row r="260" spans="1:144" s="38" customFormat="1" x14ac:dyDescent="0.25">
      <c r="A260" s="38">
        <v>18</v>
      </c>
      <c r="B260" s="38" t="s">
        <v>413</v>
      </c>
      <c r="C260" s="38" t="s">
        <v>414</v>
      </c>
      <c r="D260" s="38">
        <v>2017</v>
      </c>
      <c r="E260" s="38">
        <v>2011</v>
      </c>
      <c r="F260" s="40" t="s">
        <v>439</v>
      </c>
      <c r="G260" s="38" t="s">
        <v>415</v>
      </c>
      <c r="H260" s="38">
        <v>40.716666666666669</v>
      </c>
      <c r="I260" s="38">
        <v>-77.916666666666671</v>
      </c>
      <c r="J260" s="38">
        <v>350</v>
      </c>
      <c r="N260" s="38">
        <v>975</v>
      </c>
      <c r="P260" s="57" t="s">
        <v>186</v>
      </c>
      <c r="Q260" s="57"/>
      <c r="R260" s="57" t="s">
        <v>440</v>
      </c>
      <c r="S260" s="57" t="s">
        <v>668</v>
      </c>
      <c r="W260" s="38" t="s">
        <v>417</v>
      </c>
      <c r="AA260" s="38" t="s">
        <v>1685</v>
      </c>
      <c r="AB260" s="38" t="s">
        <v>479</v>
      </c>
      <c r="AC260" s="38" t="s">
        <v>174</v>
      </c>
      <c r="AD260" s="38" t="s">
        <v>416</v>
      </c>
      <c r="AE260" s="38" t="s">
        <v>416</v>
      </c>
      <c r="AF260" s="38" t="s">
        <v>252</v>
      </c>
      <c r="AJ260" s="38" t="s">
        <v>418</v>
      </c>
      <c r="AK260" s="38" t="s">
        <v>418</v>
      </c>
      <c r="AL260" s="38" t="s">
        <v>252</v>
      </c>
      <c r="AM260" s="38" t="s">
        <v>222</v>
      </c>
      <c r="AN260" s="38">
        <v>4</v>
      </c>
      <c r="AO260" s="38">
        <v>4</v>
      </c>
      <c r="AP260" s="38" t="s">
        <v>184</v>
      </c>
      <c r="AR260" s="38">
        <v>61</v>
      </c>
      <c r="AS260" s="38">
        <v>9.3000000000000007</v>
      </c>
      <c r="AT260" s="64"/>
      <c r="DP260" s="38">
        <v>69.540000000000006</v>
      </c>
      <c r="DQ260" s="38">
        <v>73.88</v>
      </c>
      <c r="DR260" s="38" t="s">
        <v>350</v>
      </c>
      <c r="EB260" s="38">
        <v>8.06</v>
      </c>
      <c r="EC260" s="38">
        <v>8.59</v>
      </c>
      <c r="EL260" s="38" t="s">
        <v>442</v>
      </c>
      <c r="EN260" s="38">
        <v>18</v>
      </c>
    </row>
    <row r="261" spans="1:144" s="38" customFormat="1" x14ac:dyDescent="0.25">
      <c r="A261" s="38">
        <v>18</v>
      </c>
      <c r="B261" s="38" t="s">
        <v>413</v>
      </c>
      <c r="C261" s="38" t="s">
        <v>414</v>
      </c>
      <c r="D261" s="38">
        <v>2017</v>
      </c>
      <c r="E261" s="38">
        <v>2011</v>
      </c>
      <c r="F261" s="40" t="s">
        <v>439</v>
      </c>
      <c r="G261" s="38" t="s">
        <v>415</v>
      </c>
      <c r="H261" s="38">
        <v>40.716666666666669</v>
      </c>
      <c r="I261" s="38">
        <v>-77.916666666666671</v>
      </c>
      <c r="J261" s="38">
        <v>350</v>
      </c>
      <c r="N261" s="38">
        <v>975</v>
      </c>
      <c r="P261" s="57" t="s">
        <v>186</v>
      </c>
      <c r="Q261" s="57"/>
      <c r="R261" s="57" t="s">
        <v>440</v>
      </c>
      <c r="S261" s="57" t="s">
        <v>668</v>
      </c>
      <c r="W261" s="38" t="s">
        <v>417</v>
      </c>
      <c r="AA261" s="38" t="s">
        <v>1685</v>
      </c>
      <c r="AB261" s="38" t="s">
        <v>1504</v>
      </c>
      <c r="AC261" s="38" t="s">
        <v>174</v>
      </c>
      <c r="AD261" s="38" t="s">
        <v>416</v>
      </c>
      <c r="AE261" s="38" t="s">
        <v>416</v>
      </c>
      <c r="AF261" s="38" t="s">
        <v>252</v>
      </c>
      <c r="AJ261" s="38" t="s">
        <v>418</v>
      </c>
      <c r="AK261" s="38" t="s">
        <v>418</v>
      </c>
      <c r="AL261" s="38" t="s">
        <v>252</v>
      </c>
      <c r="AM261" s="38" t="s">
        <v>222</v>
      </c>
      <c r="AN261" s="38">
        <v>4</v>
      </c>
      <c r="AO261" s="38">
        <v>4</v>
      </c>
      <c r="AP261" s="38" t="s">
        <v>184</v>
      </c>
      <c r="AR261" s="38">
        <v>418</v>
      </c>
      <c r="AS261" s="38">
        <v>9.5</v>
      </c>
      <c r="AT261" s="64"/>
      <c r="DP261" s="38">
        <v>69.540000000000006</v>
      </c>
      <c r="DQ261" s="38">
        <v>72.73</v>
      </c>
      <c r="DR261" s="38" t="s">
        <v>350</v>
      </c>
      <c r="EB261" s="38">
        <v>8.06</v>
      </c>
      <c r="EC261" s="38">
        <v>9.2200000000000006</v>
      </c>
      <c r="EL261" s="38" t="s">
        <v>442</v>
      </c>
      <c r="EN261" s="38">
        <v>18</v>
      </c>
    </row>
    <row r="262" spans="1:144" s="38" customFormat="1" x14ac:dyDescent="0.25">
      <c r="A262" s="38">
        <v>18</v>
      </c>
      <c r="B262" s="38" t="s">
        <v>413</v>
      </c>
      <c r="C262" s="38" t="s">
        <v>414</v>
      </c>
      <c r="D262" s="38">
        <v>2017</v>
      </c>
      <c r="E262" s="38">
        <v>2011</v>
      </c>
      <c r="F262" s="40" t="s">
        <v>439</v>
      </c>
      <c r="G262" s="38" t="s">
        <v>415</v>
      </c>
      <c r="H262" s="38">
        <v>40.716666666666669</v>
      </c>
      <c r="I262" s="38">
        <v>-77.916666666666671</v>
      </c>
      <c r="J262" s="38">
        <v>350</v>
      </c>
      <c r="N262" s="38">
        <v>975</v>
      </c>
      <c r="P262" s="57" t="s">
        <v>186</v>
      </c>
      <c r="Q262" s="57"/>
      <c r="R262" s="57" t="s">
        <v>440</v>
      </c>
      <c r="S262" s="57" t="s">
        <v>668</v>
      </c>
      <c r="W262" s="38" t="s">
        <v>417</v>
      </c>
      <c r="AA262" s="38" t="s">
        <v>1685</v>
      </c>
      <c r="AB262" s="38" t="s">
        <v>1508</v>
      </c>
      <c r="AC262" s="38" t="s">
        <v>174</v>
      </c>
      <c r="AD262" s="38" t="s">
        <v>416</v>
      </c>
      <c r="AE262" s="38" t="s">
        <v>416</v>
      </c>
      <c r="AF262" s="38" t="s">
        <v>252</v>
      </c>
      <c r="AJ262" s="38" t="s">
        <v>418</v>
      </c>
      <c r="AK262" s="38" t="s">
        <v>418</v>
      </c>
      <c r="AL262" s="38" t="s">
        <v>252</v>
      </c>
      <c r="AM262" s="38" t="s">
        <v>222</v>
      </c>
      <c r="AN262" s="38">
        <v>4</v>
      </c>
      <c r="AO262" s="38">
        <v>4</v>
      </c>
      <c r="AP262" s="38" t="s">
        <v>184</v>
      </c>
      <c r="AR262" s="38">
        <v>4045</v>
      </c>
      <c r="AS262" s="38">
        <v>10.3</v>
      </c>
      <c r="AT262" s="64"/>
      <c r="DP262" s="38">
        <v>69.540000000000006</v>
      </c>
      <c r="DQ262" s="38">
        <v>69.34</v>
      </c>
      <c r="DR262" s="38" t="s">
        <v>350</v>
      </c>
      <c r="EB262" s="38">
        <v>8.06</v>
      </c>
      <c r="EC262" s="38">
        <v>8.67</v>
      </c>
      <c r="EL262" s="38" t="s">
        <v>442</v>
      </c>
      <c r="EN262" s="38">
        <v>18</v>
      </c>
    </row>
    <row r="263" spans="1:144" s="38" customFormat="1" x14ac:dyDescent="0.25">
      <c r="A263" s="38">
        <v>18</v>
      </c>
      <c r="B263" s="38" t="s">
        <v>413</v>
      </c>
      <c r="C263" s="38" t="s">
        <v>414</v>
      </c>
      <c r="D263" s="38">
        <v>2017</v>
      </c>
      <c r="E263" s="38">
        <v>2011</v>
      </c>
      <c r="F263" s="40" t="s">
        <v>439</v>
      </c>
      <c r="G263" s="38" t="s">
        <v>415</v>
      </c>
      <c r="H263" s="38">
        <v>40.716666666666669</v>
      </c>
      <c r="I263" s="38">
        <v>-77.916666666666671</v>
      </c>
      <c r="J263" s="38">
        <v>350</v>
      </c>
      <c r="N263" s="38">
        <v>975</v>
      </c>
      <c r="P263" s="57" t="s">
        <v>186</v>
      </c>
      <c r="Q263" s="57"/>
      <c r="R263" s="57" t="s">
        <v>440</v>
      </c>
      <c r="S263" s="57" t="s">
        <v>668</v>
      </c>
      <c r="W263" s="38" t="s">
        <v>417</v>
      </c>
      <c r="AA263" s="38" t="s">
        <v>1685</v>
      </c>
      <c r="AB263" s="38" t="s">
        <v>326</v>
      </c>
      <c r="AC263" s="38" t="s">
        <v>174</v>
      </c>
      <c r="AD263" s="38" t="s">
        <v>416</v>
      </c>
      <c r="AE263" s="38" t="s">
        <v>416</v>
      </c>
      <c r="AF263" s="38" t="s">
        <v>252</v>
      </c>
      <c r="AJ263" s="38" t="s">
        <v>418</v>
      </c>
      <c r="AK263" s="38" t="s">
        <v>418</v>
      </c>
      <c r="AL263" s="38" t="s">
        <v>252</v>
      </c>
      <c r="AM263" s="38" t="s">
        <v>222</v>
      </c>
      <c r="AN263" s="38">
        <v>4</v>
      </c>
      <c r="AO263" s="38">
        <v>4</v>
      </c>
      <c r="AP263" s="38" t="s">
        <v>184</v>
      </c>
      <c r="AR263" s="38">
        <v>4531</v>
      </c>
      <c r="AS263" s="38">
        <v>9</v>
      </c>
      <c r="AT263" s="64"/>
      <c r="DP263" s="38">
        <v>69.540000000000006</v>
      </c>
      <c r="DQ263" s="38">
        <v>76.900000000000006</v>
      </c>
      <c r="DR263" s="38" t="s">
        <v>350</v>
      </c>
      <c r="EB263" s="38">
        <v>8.06</v>
      </c>
      <c r="EC263" s="38">
        <v>9.73</v>
      </c>
      <c r="EL263" s="38" t="s">
        <v>442</v>
      </c>
      <c r="EN263" s="38">
        <v>18</v>
      </c>
    </row>
    <row r="264" spans="1:144" s="38" customFormat="1" x14ac:dyDescent="0.25">
      <c r="A264" s="38">
        <v>18</v>
      </c>
      <c r="B264" s="38" t="s">
        <v>413</v>
      </c>
      <c r="C264" s="38" t="s">
        <v>414</v>
      </c>
      <c r="D264" s="38">
        <v>2017</v>
      </c>
      <c r="E264" s="38">
        <v>2011</v>
      </c>
      <c r="F264" s="40" t="s">
        <v>439</v>
      </c>
      <c r="G264" s="38" t="s">
        <v>415</v>
      </c>
      <c r="H264" s="38">
        <v>40.716666666666669</v>
      </c>
      <c r="I264" s="38">
        <v>-77.916666666666671</v>
      </c>
      <c r="J264" s="38">
        <v>350</v>
      </c>
      <c r="N264" s="38">
        <v>975</v>
      </c>
      <c r="P264" s="57" t="s">
        <v>186</v>
      </c>
      <c r="Q264" s="57"/>
      <c r="R264" s="57" t="s">
        <v>440</v>
      </c>
      <c r="S264" s="57" t="s">
        <v>668</v>
      </c>
      <c r="W264" s="38" t="s">
        <v>417</v>
      </c>
      <c r="AA264" s="38" t="s">
        <v>1685</v>
      </c>
      <c r="AB264" s="38" t="s">
        <v>419</v>
      </c>
      <c r="AC264" s="38" t="s">
        <v>174</v>
      </c>
      <c r="AD264" s="38" t="s">
        <v>416</v>
      </c>
      <c r="AE264" s="38" t="s">
        <v>416</v>
      </c>
      <c r="AF264" s="38" t="s">
        <v>252</v>
      </c>
      <c r="AJ264" s="38" t="s">
        <v>418</v>
      </c>
      <c r="AK264" s="38" t="s">
        <v>418</v>
      </c>
      <c r="AL264" s="38" t="s">
        <v>252</v>
      </c>
      <c r="AM264" s="38" t="s">
        <v>222</v>
      </c>
      <c r="AN264" s="38">
        <v>4</v>
      </c>
      <c r="AO264" s="38">
        <v>4</v>
      </c>
      <c r="AP264" s="38" t="s">
        <v>184</v>
      </c>
      <c r="AR264" s="38">
        <v>1381</v>
      </c>
      <c r="AS264" s="38">
        <v>15.7</v>
      </c>
      <c r="AT264" s="64"/>
      <c r="DP264" s="38">
        <v>69.540000000000006</v>
      </c>
      <c r="DQ264" s="38">
        <v>73.55</v>
      </c>
      <c r="DR264" s="38" t="s">
        <v>350</v>
      </c>
      <c r="EB264" s="38">
        <v>8.06</v>
      </c>
      <c r="EC264" s="38">
        <v>10.210000000000001</v>
      </c>
      <c r="EL264" s="38" t="s">
        <v>442</v>
      </c>
      <c r="EN264" s="38">
        <v>18</v>
      </c>
    </row>
    <row r="265" spans="1:144" s="38" customFormat="1" x14ac:dyDescent="0.25">
      <c r="A265" s="38">
        <v>18</v>
      </c>
      <c r="B265" s="38" t="s">
        <v>413</v>
      </c>
      <c r="C265" s="38" t="s">
        <v>414</v>
      </c>
      <c r="D265" s="38">
        <v>2017</v>
      </c>
      <c r="E265" s="38">
        <v>2011</v>
      </c>
      <c r="F265" s="40" t="s">
        <v>439</v>
      </c>
      <c r="G265" s="38" t="s">
        <v>415</v>
      </c>
      <c r="H265" s="38">
        <v>40.716666666666669</v>
      </c>
      <c r="I265" s="38">
        <v>-77.916666666666671</v>
      </c>
      <c r="J265" s="38">
        <v>350</v>
      </c>
      <c r="N265" s="38">
        <v>975</v>
      </c>
      <c r="P265" s="57" t="s">
        <v>186</v>
      </c>
      <c r="Q265" s="57"/>
      <c r="R265" s="57" t="s">
        <v>440</v>
      </c>
      <c r="S265" s="57" t="s">
        <v>668</v>
      </c>
      <c r="W265" s="38" t="s">
        <v>417</v>
      </c>
      <c r="AA265" s="38" t="s">
        <v>1685</v>
      </c>
      <c r="AB265" s="38" t="s">
        <v>420</v>
      </c>
      <c r="AC265" s="38" t="s">
        <v>174</v>
      </c>
      <c r="AD265" s="38" t="s">
        <v>416</v>
      </c>
      <c r="AE265" s="38" t="s">
        <v>416</v>
      </c>
      <c r="AF265" s="38" t="s">
        <v>252</v>
      </c>
      <c r="AJ265" s="38" t="s">
        <v>418</v>
      </c>
      <c r="AK265" s="38" t="s">
        <v>418</v>
      </c>
      <c r="AL265" s="38" t="s">
        <v>252</v>
      </c>
      <c r="AM265" s="38" t="s">
        <v>222</v>
      </c>
      <c r="AN265" s="38">
        <v>4</v>
      </c>
      <c r="AO265" s="38">
        <v>4</v>
      </c>
      <c r="AP265" s="38" t="s">
        <v>184</v>
      </c>
      <c r="AR265" s="38">
        <v>1901</v>
      </c>
      <c r="AS265" s="38">
        <v>17.899999999999999</v>
      </c>
      <c r="AT265" s="64"/>
      <c r="DP265" s="38">
        <v>69.540000000000006</v>
      </c>
      <c r="DQ265" s="38">
        <v>78.150000000000006</v>
      </c>
      <c r="DR265" s="38" t="s">
        <v>350</v>
      </c>
      <c r="EB265" s="38">
        <v>8.06</v>
      </c>
      <c r="EC265" s="38">
        <v>11.92</v>
      </c>
      <c r="EL265" s="38" t="s">
        <v>442</v>
      </c>
      <c r="EN265" s="38">
        <v>18</v>
      </c>
    </row>
    <row r="266" spans="1:144" s="38" customFormat="1" x14ac:dyDescent="0.25">
      <c r="A266" s="38">
        <v>18</v>
      </c>
      <c r="B266" s="38" t="s">
        <v>413</v>
      </c>
      <c r="C266" s="38" t="s">
        <v>414</v>
      </c>
      <c r="D266" s="38">
        <v>2017</v>
      </c>
      <c r="E266" s="38">
        <v>2011</v>
      </c>
      <c r="F266" s="40" t="s">
        <v>439</v>
      </c>
      <c r="G266" s="38" t="s">
        <v>415</v>
      </c>
      <c r="H266" s="38">
        <v>40.716666666666669</v>
      </c>
      <c r="I266" s="38">
        <v>-77.916666666666671</v>
      </c>
      <c r="J266" s="38">
        <v>350</v>
      </c>
      <c r="N266" s="38">
        <v>975</v>
      </c>
      <c r="P266" s="57" t="s">
        <v>186</v>
      </c>
      <c r="Q266" s="57"/>
      <c r="R266" s="57" t="s">
        <v>440</v>
      </c>
      <c r="S266" s="57" t="s">
        <v>668</v>
      </c>
      <c r="W266" s="38" t="s">
        <v>417</v>
      </c>
      <c r="AA266" s="38" t="s">
        <v>1685</v>
      </c>
      <c r="AB266" s="38" t="s">
        <v>716</v>
      </c>
      <c r="AC266" s="38" t="s">
        <v>174</v>
      </c>
      <c r="AD266" s="38" t="s">
        <v>416</v>
      </c>
      <c r="AE266" s="38" t="s">
        <v>416</v>
      </c>
      <c r="AF266" s="38" t="s">
        <v>252</v>
      </c>
      <c r="AJ266" s="38" t="s">
        <v>418</v>
      </c>
      <c r="AK266" s="38" t="s">
        <v>418</v>
      </c>
      <c r="AL266" s="38" t="s">
        <v>252</v>
      </c>
      <c r="AM266" s="38" t="s">
        <v>222</v>
      </c>
      <c r="AN266" s="38">
        <v>4</v>
      </c>
      <c r="AO266" s="38">
        <v>4</v>
      </c>
      <c r="AP266" s="38" t="s">
        <v>184</v>
      </c>
      <c r="AR266" s="38">
        <v>7165</v>
      </c>
      <c r="AS266" s="38">
        <v>24.2</v>
      </c>
      <c r="AT266" s="64"/>
      <c r="DP266" s="38">
        <v>69.540000000000006</v>
      </c>
      <c r="DQ266" s="38">
        <v>74.7</v>
      </c>
      <c r="DR266" s="38" t="s">
        <v>350</v>
      </c>
      <c r="EB266" s="38">
        <v>8.06</v>
      </c>
      <c r="EC266" s="38">
        <v>9.8000000000000007</v>
      </c>
      <c r="EL266" s="38" t="s">
        <v>442</v>
      </c>
      <c r="EN266" s="38">
        <v>18</v>
      </c>
    </row>
    <row r="267" spans="1:144" s="38" customFormat="1" x14ac:dyDescent="0.25">
      <c r="A267" s="38">
        <v>18</v>
      </c>
      <c r="B267" s="38" t="s">
        <v>413</v>
      </c>
      <c r="C267" s="38" t="s">
        <v>414</v>
      </c>
      <c r="D267" s="38">
        <v>2017</v>
      </c>
      <c r="E267" s="38">
        <v>2011</v>
      </c>
      <c r="F267" s="40" t="s">
        <v>439</v>
      </c>
      <c r="G267" s="38" t="s">
        <v>415</v>
      </c>
      <c r="H267" s="38">
        <v>40.716666666666669</v>
      </c>
      <c r="I267" s="38">
        <v>-77.916666666666671</v>
      </c>
      <c r="J267" s="38">
        <v>350</v>
      </c>
      <c r="N267" s="38">
        <v>975</v>
      </c>
      <c r="P267" s="57" t="s">
        <v>186</v>
      </c>
      <c r="Q267" s="57"/>
      <c r="R267" s="57" t="s">
        <v>440</v>
      </c>
      <c r="S267" s="57" t="s">
        <v>668</v>
      </c>
      <c r="W267" s="38" t="s">
        <v>417</v>
      </c>
      <c r="AA267" s="38" t="s">
        <v>1685</v>
      </c>
      <c r="AB267" s="38" t="s">
        <v>173</v>
      </c>
      <c r="AC267" s="38" t="s">
        <v>174</v>
      </c>
      <c r="AD267" s="38" t="s">
        <v>416</v>
      </c>
      <c r="AE267" s="38" t="s">
        <v>416</v>
      </c>
      <c r="AF267" s="38" t="s">
        <v>252</v>
      </c>
      <c r="AJ267" s="38" t="s">
        <v>418</v>
      </c>
      <c r="AK267" s="38" t="s">
        <v>418</v>
      </c>
      <c r="AL267" s="38" t="s">
        <v>252</v>
      </c>
      <c r="AM267" s="38" t="s">
        <v>222</v>
      </c>
      <c r="AN267" s="38">
        <v>4</v>
      </c>
      <c r="AO267" s="38">
        <v>4</v>
      </c>
      <c r="AP267" s="38" t="s">
        <v>184</v>
      </c>
      <c r="AR267" s="38">
        <v>7343</v>
      </c>
      <c r="AS267" s="38">
        <v>42.9</v>
      </c>
      <c r="AT267" s="64"/>
      <c r="DP267" s="38">
        <v>69.540000000000006</v>
      </c>
      <c r="DQ267" s="38">
        <v>74.03</v>
      </c>
      <c r="DR267" s="38" t="s">
        <v>350</v>
      </c>
      <c r="EB267" s="38">
        <v>8.06</v>
      </c>
      <c r="EC267" s="38">
        <v>12.28</v>
      </c>
      <c r="EL267" s="38" t="s">
        <v>442</v>
      </c>
      <c r="EN267" s="38">
        <v>18</v>
      </c>
    </row>
    <row r="268" spans="1:144" s="38" customFormat="1" x14ac:dyDescent="0.25">
      <c r="A268" s="38">
        <v>18</v>
      </c>
      <c r="B268" s="38" t="s">
        <v>413</v>
      </c>
      <c r="C268" s="38" t="s">
        <v>414</v>
      </c>
      <c r="D268" s="38">
        <v>2017</v>
      </c>
      <c r="E268" s="38">
        <v>2011</v>
      </c>
      <c r="F268" s="40" t="s">
        <v>439</v>
      </c>
      <c r="G268" s="38" t="s">
        <v>415</v>
      </c>
      <c r="H268" s="38">
        <v>40.716666666666669</v>
      </c>
      <c r="I268" s="38">
        <v>-77.916666666666671</v>
      </c>
      <c r="J268" s="38">
        <v>350</v>
      </c>
      <c r="N268" s="38">
        <v>975</v>
      </c>
      <c r="P268" s="57" t="s">
        <v>186</v>
      </c>
      <c r="Q268" s="57"/>
      <c r="R268" s="57" t="s">
        <v>440</v>
      </c>
      <c r="S268" s="57" t="s">
        <v>668</v>
      </c>
      <c r="W268" s="38" t="s">
        <v>417</v>
      </c>
      <c r="AA268" s="38" t="s">
        <v>1685</v>
      </c>
      <c r="AB268" s="38" t="s">
        <v>423</v>
      </c>
      <c r="AC268" s="38" t="s">
        <v>174</v>
      </c>
      <c r="AD268" s="38" t="s">
        <v>416</v>
      </c>
      <c r="AE268" s="38" t="s">
        <v>416</v>
      </c>
      <c r="AF268" s="38" t="s">
        <v>252</v>
      </c>
      <c r="AJ268" s="38" t="s">
        <v>418</v>
      </c>
      <c r="AK268" s="38" t="s">
        <v>418</v>
      </c>
      <c r="AL268" s="38" t="s">
        <v>252</v>
      </c>
      <c r="AM268" s="38" t="s">
        <v>222</v>
      </c>
      <c r="AN268" s="38">
        <v>4</v>
      </c>
      <c r="AO268" s="38">
        <v>4</v>
      </c>
      <c r="AP268" s="38" t="s">
        <v>184</v>
      </c>
      <c r="AR268" s="38">
        <v>5850</v>
      </c>
      <c r="AS268" s="38">
        <v>29.9</v>
      </c>
      <c r="AT268" s="64"/>
      <c r="DP268" s="38">
        <v>69.540000000000006</v>
      </c>
      <c r="DQ268" s="38">
        <v>74.53</v>
      </c>
      <c r="DR268" s="38" t="s">
        <v>350</v>
      </c>
      <c r="EB268" s="38">
        <v>8.06</v>
      </c>
      <c r="EC268" s="38">
        <v>10.97</v>
      </c>
      <c r="EL268" s="38" t="s">
        <v>442</v>
      </c>
      <c r="EN268" s="38">
        <v>18</v>
      </c>
    </row>
    <row r="269" spans="1:144" s="38" customFormat="1" x14ac:dyDescent="0.25">
      <c r="A269" s="38">
        <v>18</v>
      </c>
      <c r="B269" s="38" t="s">
        <v>413</v>
      </c>
      <c r="C269" s="38" t="s">
        <v>414</v>
      </c>
      <c r="D269" s="38">
        <v>2017</v>
      </c>
      <c r="E269" s="38">
        <v>2011</v>
      </c>
      <c r="F269" s="40" t="s">
        <v>439</v>
      </c>
      <c r="G269" s="38" t="s">
        <v>415</v>
      </c>
      <c r="H269" s="38">
        <v>40.716666666666669</v>
      </c>
      <c r="I269" s="38">
        <v>-77.916666666666671</v>
      </c>
      <c r="J269" s="38">
        <v>350</v>
      </c>
      <c r="N269" s="38">
        <v>975</v>
      </c>
      <c r="P269" s="57" t="s">
        <v>186</v>
      </c>
      <c r="Q269" s="57"/>
      <c r="R269" s="57" t="s">
        <v>440</v>
      </c>
      <c r="S269" s="57" t="s">
        <v>668</v>
      </c>
      <c r="W269" s="38" t="s">
        <v>417</v>
      </c>
      <c r="AA269" s="38" t="s">
        <v>1685</v>
      </c>
      <c r="AB269" s="38" t="s">
        <v>424</v>
      </c>
      <c r="AC269" s="38" t="s">
        <v>174</v>
      </c>
      <c r="AD269" s="38" t="s">
        <v>416</v>
      </c>
      <c r="AE269" s="38" t="s">
        <v>416</v>
      </c>
      <c r="AF269" s="38" t="s">
        <v>252</v>
      </c>
      <c r="AJ269" s="38" t="s">
        <v>418</v>
      </c>
      <c r="AK269" s="38" t="s">
        <v>418</v>
      </c>
      <c r="AL269" s="38" t="s">
        <v>252</v>
      </c>
      <c r="AM269" s="38" t="s">
        <v>222</v>
      </c>
      <c r="AN269" s="38">
        <v>4</v>
      </c>
      <c r="AO269" s="38">
        <v>4</v>
      </c>
      <c r="AP269" s="38" t="s">
        <v>184</v>
      </c>
      <c r="AR269" s="38">
        <v>1724</v>
      </c>
      <c r="AS269" s="38">
        <v>15.4</v>
      </c>
      <c r="AT269" s="64"/>
      <c r="DP269" s="38">
        <v>69.540000000000006</v>
      </c>
      <c r="DQ269" s="38">
        <v>76.25</v>
      </c>
      <c r="DR269" s="38" t="s">
        <v>350</v>
      </c>
      <c r="EB269" s="38">
        <v>8.06</v>
      </c>
      <c r="EC269" s="38">
        <v>12.2</v>
      </c>
      <c r="EL269" s="38" t="s">
        <v>442</v>
      </c>
      <c r="EN269" s="38">
        <v>18</v>
      </c>
    </row>
    <row r="270" spans="1:144" s="38" customFormat="1" x14ac:dyDescent="0.25">
      <c r="A270" s="38">
        <v>18</v>
      </c>
      <c r="B270" s="38" t="s">
        <v>413</v>
      </c>
      <c r="C270" s="38" t="s">
        <v>414</v>
      </c>
      <c r="D270" s="38">
        <v>2017</v>
      </c>
      <c r="E270" s="38">
        <v>2011</v>
      </c>
      <c r="F270" s="40" t="s">
        <v>439</v>
      </c>
      <c r="G270" s="38" t="s">
        <v>415</v>
      </c>
      <c r="H270" s="38">
        <v>40.716666666666669</v>
      </c>
      <c r="I270" s="38">
        <v>-77.916666666666671</v>
      </c>
      <c r="J270" s="38">
        <v>350</v>
      </c>
      <c r="N270" s="38">
        <v>975</v>
      </c>
      <c r="P270" s="57" t="s">
        <v>186</v>
      </c>
      <c r="Q270" s="57"/>
      <c r="R270" s="57" t="s">
        <v>440</v>
      </c>
      <c r="S270" s="57" t="s">
        <v>668</v>
      </c>
      <c r="W270" s="38" t="s">
        <v>417</v>
      </c>
      <c r="AA270" s="38" t="s">
        <v>1685</v>
      </c>
      <c r="AB270" s="38" t="s">
        <v>425</v>
      </c>
      <c r="AC270" s="38" t="s">
        <v>174</v>
      </c>
      <c r="AD270" s="38" t="s">
        <v>416</v>
      </c>
      <c r="AE270" s="38" t="s">
        <v>416</v>
      </c>
      <c r="AF270" s="38" t="s">
        <v>252</v>
      </c>
      <c r="AJ270" s="38" t="s">
        <v>418</v>
      </c>
      <c r="AK270" s="38" t="s">
        <v>418</v>
      </c>
      <c r="AL270" s="38" t="s">
        <v>252</v>
      </c>
      <c r="AM270" s="38" t="s">
        <v>222</v>
      </c>
      <c r="AN270" s="38">
        <v>4</v>
      </c>
      <c r="AO270" s="38">
        <v>4</v>
      </c>
      <c r="AP270" s="38" t="s">
        <v>184</v>
      </c>
      <c r="AR270" s="38">
        <v>6699</v>
      </c>
      <c r="AS270" s="38">
        <v>16.399999999999999</v>
      </c>
      <c r="AT270" s="64"/>
      <c r="DP270" s="38">
        <v>69.540000000000006</v>
      </c>
      <c r="DQ270" s="38">
        <v>76.3</v>
      </c>
      <c r="DR270" s="38" t="s">
        <v>350</v>
      </c>
      <c r="EB270" s="38">
        <v>8.06</v>
      </c>
      <c r="EC270" s="38">
        <v>11.89</v>
      </c>
      <c r="EL270" s="38" t="s">
        <v>442</v>
      </c>
      <c r="EN270" s="38">
        <v>18</v>
      </c>
    </row>
    <row r="271" spans="1:144" s="38" customFormat="1" x14ac:dyDescent="0.25">
      <c r="A271" s="38">
        <v>18</v>
      </c>
      <c r="B271" s="38" t="s">
        <v>413</v>
      </c>
      <c r="C271" s="38" t="s">
        <v>414</v>
      </c>
      <c r="D271" s="38">
        <v>2017</v>
      </c>
      <c r="E271" s="38">
        <v>2011</v>
      </c>
      <c r="F271" s="40" t="s">
        <v>439</v>
      </c>
      <c r="G271" s="38" t="s">
        <v>415</v>
      </c>
      <c r="H271" s="38">
        <v>40.716666666666669</v>
      </c>
      <c r="I271" s="38">
        <v>-77.916666666666671</v>
      </c>
      <c r="J271" s="38">
        <v>350</v>
      </c>
      <c r="N271" s="38">
        <v>975</v>
      </c>
      <c r="P271" s="57" t="s">
        <v>186</v>
      </c>
      <c r="Q271" s="57"/>
      <c r="R271" s="57" t="s">
        <v>440</v>
      </c>
      <c r="S271" s="57" t="s">
        <v>668</v>
      </c>
      <c r="W271" s="38" t="s">
        <v>417</v>
      </c>
      <c r="AA271" s="38" t="s">
        <v>1685</v>
      </c>
      <c r="AB271" s="38" t="s">
        <v>426</v>
      </c>
      <c r="AC271" s="38" t="s">
        <v>174</v>
      </c>
      <c r="AD271" s="38" t="s">
        <v>416</v>
      </c>
      <c r="AE271" s="38" t="s">
        <v>416</v>
      </c>
      <c r="AF271" s="38" t="s">
        <v>252</v>
      </c>
      <c r="AJ271" s="38" t="s">
        <v>418</v>
      </c>
      <c r="AK271" s="38" t="s">
        <v>418</v>
      </c>
      <c r="AL271" s="38" t="s">
        <v>252</v>
      </c>
      <c r="AM271" s="38" t="s">
        <v>222</v>
      </c>
      <c r="AN271" s="38">
        <v>4</v>
      </c>
      <c r="AO271" s="38">
        <v>4</v>
      </c>
      <c r="AP271" s="38" t="s">
        <v>184</v>
      </c>
      <c r="AR271" s="38">
        <v>6997</v>
      </c>
      <c r="AS271" s="38">
        <v>35.9</v>
      </c>
      <c r="AT271" s="64"/>
      <c r="DP271" s="38">
        <v>69.540000000000006</v>
      </c>
      <c r="DQ271" s="38">
        <v>73.819999999999993</v>
      </c>
      <c r="DR271" s="38" t="s">
        <v>350</v>
      </c>
      <c r="EB271" s="38">
        <v>8.06</v>
      </c>
      <c r="EC271" s="38">
        <v>10.119999999999999</v>
      </c>
      <c r="EL271" s="38" t="s">
        <v>442</v>
      </c>
      <c r="EN271" s="38">
        <v>18</v>
      </c>
    </row>
    <row r="272" spans="1:144" s="38" customFormat="1" x14ac:dyDescent="0.25">
      <c r="A272" s="38">
        <v>18</v>
      </c>
      <c r="B272" s="38" t="s">
        <v>413</v>
      </c>
      <c r="C272" s="38" t="s">
        <v>414</v>
      </c>
      <c r="D272" s="38">
        <v>2017</v>
      </c>
      <c r="E272" s="38">
        <v>2011</v>
      </c>
      <c r="F272" s="40" t="s">
        <v>439</v>
      </c>
      <c r="G272" s="38" t="s">
        <v>415</v>
      </c>
      <c r="H272" s="38">
        <v>40.716666666666669</v>
      </c>
      <c r="I272" s="38">
        <v>-77.916666666666671</v>
      </c>
      <c r="J272" s="38">
        <v>350</v>
      </c>
      <c r="N272" s="38">
        <v>975</v>
      </c>
      <c r="P272" s="57" t="s">
        <v>186</v>
      </c>
      <c r="Q272" s="57"/>
      <c r="R272" s="57" t="s">
        <v>440</v>
      </c>
      <c r="S272" s="57" t="s">
        <v>668</v>
      </c>
      <c r="W272" s="38" t="s">
        <v>417</v>
      </c>
      <c r="AA272" s="38" t="s">
        <v>1685</v>
      </c>
      <c r="AB272" s="38" t="s">
        <v>427</v>
      </c>
      <c r="AC272" s="38" t="s">
        <v>174</v>
      </c>
      <c r="AD272" s="38" t="s">
        <v>416</v>
      </c>
      <c r="AE272" s="38" t="s">
        <v>416</v>
      </c>
      <c r="AF272" s="38" t="s">
        <v>252</v>
      </c>
      <c r="AJ272" s="38" t="s">
        <v>418</v>
      </c>
      <c r="AK272" s="38" t="s">
        <v>418</v>
      </c>
      <c r="AL272" s="38" t="s">
        <v>252</v>
      </c>
      <c r="AM272" s="38" t="s">
        <v>222</v>
      </c>
      <c r="AN272" s="38">
        <v>4</v>
      </c>
      <c r="AO272" s="38">
        <v>4</v>
      </c>
      <c r="AP272" s="38" t="s">
        <v>184</v>
      </c>
      <c r="AR272" s="38">
        <v>5374</v>
      </c>
      <c r="AS272" s="38">
        <v>11</v>
      </c>
      <c r="AT272" s="64"/>
      <c r="DP272" s="38">
        <v>69.540000000000006</v>
      </c>
      <c r="DQ272" s="38">
        <v>76.52</v>
      </c>
      <c r="DR272" s="38" t="s">
        <v>350</v>
      </c>
      <c r="EB272" s="38">
        <v>8.06</v>
      </c>
      <c r="EC272" s="38">
        <v>10.73</v>
      </c>
      <c r="EL272" s="38" t="s">
        <v>442</v>
      </c>
      <c r="EN272" s="38">
        <v>18</v>
      </c>
    </row>
    <row r="273" spans="1:144" s="38" customFormat="1" x14ac:dyDescent="0.25">
      <c r="A273" s="38">
        <v>18</v>
      </c>
      <c r="B273" s="38" t="s">
        <v>413</v>
      </c>
      <c r="C273" s="38" t="s">
        <v>414</v>
      </c>
      <c r="D273" s="38">
        <v>2017</v>
      </c>
      <c r="E273" s="38">
        <v>2011</v>
      </c>
      <c r="F273" s="40" t="s">
        <v>439</v>
      </c>
      <c r="G273" s="38" t="s">
        <v>415</v>
      </c>
      <c r="H273" s="38">
        <v>40.716666666666669</v>
      </c>
      <c r="I273" s="38">
        <v>-77.916666666666671</v>
      </c>
      <c r="J273" s="38">
        <v>350</v>
      </c>
      <c r="N273" s="38">
        <v>975</v>
      </c>
      <c r="P273" s="57" t="s">
        <v>186</v>
      </c>
      <c r="Q273" s="57"/>
      <c r="R273" s="57" t="s">
        <v>440</v>
      </c>
      <c r="S273" s="57" t="s">
        <v>668</v>
      </c>
      <c r="W273" s="38" t="s">
        <v>417</v>
      </c>
      <c r="AA273" s="38" t="s">
        <v>1685</v>
      </c>
      <c r="AB273" s="38" t="s">
        <v>428</v>
      </c>
      <c r="AC273" s="38" t="s">
        <v>174</v>
      </c>
      <c r="AD273" s="38" t="s">
        <v>416</v>
      </c>
      <c r="AE273" s="38" t="s">
        <v>416</v>
      </c>
      <c r="AF273" s="38" t="s">
        <v>252</v>
      </c>
      <c r="AJ273" s="38" t="s">
        <v>418</v>
      </c>
      <c r="AK273" s="38" t="s">
        <v>418</v>
      </c>
      <c r="AL273" s="38" t="s">
        <v>252</v>
      </c>
      <c r="AM273" s="38" t="s">
        <v>222</v>
      </c>
      <c r="AN273" s="38">
        <v>4</v>
      </c>
      <c r="AO273" s="38">
        <v>4</v>
      </c>
      <c r="AP273" s="38" t="s">
        <v>184</v>
      </c>
      <c r="AR273" s="38">
        <v>7143</v>
      </c>
      <c r="AS273" s="38">
        <v>15</v>
      </c>
      <c r="AT273" s="64"/>
      <c r="DP273" s="38">
        <v>69.540000000000006</v>
      </c>
      <c r="DQ273" s="38">
        <v>78.099999999999994</v>
      </c>
      <c r="DR273" s="38" t="s">
        <v>350</v>
      </c>
      <c r="EB273" s="38">
        <v>8.06</v>
      </c>
      <c r="EC273" s="38">
        <v>11.61</v>
      </c>
      <c r="EL273" s="38" t="s">
        <v>442</v>
      </c>
      <c r="EN273" s="38">
        <v>18</v>
      </c>
    </row>
    <row r="274" spans="1:144" s="31" customFormat="1" x14ac:dyDescent="0.25">
      <c r="A274" s="31">
        <v>18</v>
      </c>
      <c r="B274" s="31" t="s">
        <v>413</v>
      </c>
      <c r="C274" s="31" t="s">
        <v>414</v>
      </c>
      <c r="D274" s="31">
        <v>2017</v>
      </c>
      <c r="E274" s="31">
        <v>2012</v>
      </c>
      <c r="F274" s="41" t="s">
        <v>439</v>
      </c>
      <c r="G274" s="31" t="s">
        <v>415</v>
      </c>
      <c r="H274" s="31">
        <v>40.716666666666669</v>
      </c>
      <c r="I274" s="31">
        <v>-77.916666666666671</v>
      </c>
      <c r="J274" s="31">
        <v>350</v>
      </c>
      <c r="N274" s="31">
        <v>975</v>
      </c>
      <c r="P274" s="56" t="s">
        <v>187</v>
      </c>
      <c r="Q274" s="56"/>
      <c r="R274" s="56" t="s">
        <v>441</v>
      </c>
      <c r="S274" s="56" t="s">
        <v>668</v>
      </c>
      <c r="W274" s="31" t="s">
        <v>417</v>
      </c>
      <c r="AA274" s="31" t="s">
        <v>1685</v>
      </c>
      <c r="AB274" s="31" t="s">
        <v>479</v>
      </c>
      <c r="AC274" s="31" t="s">
        <v>174</v>
      </c>
      <c r="AD274" s="31" t="s">
        <v>416</v>
      </c>
      <c r="AE274" s="31" t="s">
        <v>416</v>
      </c>
      <c r="AF274" s="31" t="s">
        <v>252</v>
      </c>
      <c r="AJ274" s="31" t="s">
        <v>418</v>
      </c>
      <c r="AK274" s="31" t="s">
        <v>418</v>
      </c>
      <c r="AL274" s="31" t="s">
        <v>252</v>
      </c>
      <c r="AM274" s="31" t="s">
        <v>222</v>
      </c>
      <c r="AN274" s="31">
        <v>4</v>
      </c>
      <c r="AO274" s="31">
        <v>4</v>
      </c>
      <c r="AP274" s="31" t="s">
        <v>184</v>
      </c>
      <c r="AR274" s="31">
        <v>61</v>
      </c>
      <c r="AS274" s="31">
        <v>9.3000000000000007</v>
      </c>
      <c r="AT274" s="64"/>
      <c r="DP274" s="31">
        <v>77.319999999999993</v>
      </c>
      <c r="DQ274" s="31">
        <v>85.89</v>
      </c>
      <c r="DR274" s="31" t="s">
        <v>350</v>
      </c>
      <c r="EB274" s="31">
        <v>11.14</v>
      </c>
      <c r="EC274" s="31">
        <v>9.98</v>
      </c>
      <c r="EL274" s="31" t="s">
        <v>442</v>
      </c>
      <c r="EN274" s="31">
        <v>18</v>
      </c>
    </row>
    <row r="275" spans="1:144" s="31" customFormat="1" x14ac:dyDescent="0.25">
      <c r="A275" s="31">
        <v>18</v>
      </c>
      <c r="B275" s="31" t="s">
        <v>413</v>
      </c>
      <c r="C275" s="31" t="s">
        <v>414</v>
      </c>
      <c r="D275" s="31">
        <v>2017</v>
      </c>
      <c r="E275" s="31">
        <v>2012</v>
      </c>
      <c r="F275" s="41" t="s">
        <v>439</v>
      </c>
      <c r="G275" s="31" t="s">
        <v>415</v>
      </c>
      <c r="H275" s="31">
        <v>40.716666666666669</v>
      </c>
      <c r="I275" s="31">
        <v>-77.916666666666671</v>
      </c>
      <c r="J275" s="31">
        <v>350</v>
      </c>
      <c r="N275" s="31">
        <v>975</v>
      </c>
      <c r="P275" s="56" t="s">
        <v>187</v>
      </c>
      <c r="Q275" s="56"/>
      <c r="R275" s="56" t="s">
        <v>441</v>
      </c>
      <c r="S275" s="56" t="s">
        <v>668</v>
      </c>
      <c r="W275" s="31" t="s">
        <v>417</v>
      </c>
      <c r="AA275" s="31" t="s">
        <v>1685</v>
      </c>
      <c r="AB275" s="31" t="s">
        <v>1504</v>
      </c>
      <c r="AC275" s="31" t="s">
        <v>174</v>
      </c>
      <c r="AD275" s="31" t="s">
        <v>416</v>
      </c>
      <c r="AE275" s="31" t="s">
        <v>416</v>
      </c>
      <c r="AF275" s="31" t="s">
        <v>252</v>
      </c>
      <c r="AJ275" s="31" t="s">
        <v>418</v>
      </c>
      <c r="AK275" s="31" t="s">
        <v>418</v>
      </c>
      <c r="AL275" s="31" t="s">
        <v>252</v>
      </c>
      <c r="AM275" s="31" t="s">
        <v>222</v>
      </c>
      <c r="AN275" s="31">
        <v>4</v>
      </c>
      <c r="AO275" s="31">
        <v>4</v>
      </c>
      <c r="AP275" s="31" t="s">
        <v>184</v>
      </c>
      <c r="AR275" s="31">
        <v>418</v>
      </c>
      <c r="AS275" s="31">
        <v>9.5</v>
      </c>
      <c r="AT275" s="64"/>
      <c r="DP275" s="31">
        <v>77.319999999999993</v>
      </c>
      <c r="DQ275" s="31">
        <v>82.78</v>
      </c>
      <c r="DR275" s="31" t="s">
        <v>350</v>
      </c>
      <c r="EB275" s="31">
        <v>11.14</v>
      </c>
      <c r="EC275" s="31">
        <v>9.44</v>
      </c>
      <c r="EL275" s="31" t="s">
        <v>442</v>
      </c>
      <c r="EN275" s="31">
        <v>18</v>
      </c>
    </row>
    <row r="276" spans="1:144" s="31" customFormat="1" x14ac:dyDescent="0.25">
      <c r="A276" s="31">
        <v>18</v>
      </c>
      <c r="B276" s="31" t="s">
        <v>413</v>
      </c>
      <c r="C276" s="31" t="s">
        <v>414</v>
      </c>
      <c r="D276" s="31">
        <v>2017</v>
      </c>
      <c r="E276" s="31">
        <v>2012</v>
      </c>
      <c r="F276" s="41" t="s">
        <v>439</v>
      </c>
      <c r="G276" s="31" t="s">
        <v>415</v>
      </c>
      <c r="H276" s="31">
        <v>40.716666666666669</v>
      </c>
      <c r="I276" s="31">
        <v>-77.916666666666671</v>
      </c>
      <c r="J276" s="31">
        <v>350</v>
      </c>
      <c r="N276" s="31">
        <v>975</v>
      </c>
      <c r="P276" s="56" t="s">
        <v>187</v>
      </c>
      <c r="Q276" s="56"/>
      <c r="R276" s="56" t="s">
        <v>441</v>
      </c>
      <c r="S276" s="56" t="s">
        <v>668</v>
      </c>
      <c r="W276" s="31" t="s">
        <v>417</v>
      </c>
      <c r="AA276" s="31" t="s">
        <v>1685</v>
      </c>
      <c r="AB276" s="31" t="s">
        <v>1508</v>
      </c>
      <c r="AC276" s="31" t="s">
        <v>174</v>
      </c>
      <c r="AD276" s="31" t="s">
        <v>416</v>
      </c>
      <c r="AE276" s="31" t="s">
        <v>416</v>
      </c>
      <c r="AF276" s="31" t="s">
        <v>252</v>
      </c>
      <c r="AJ276" s="31" t="s">
        <v>418</v>
      </c>
      <c r="AK276" s="31" t="s">
        <v>418</v>
      </c>
      <c r="AL276" s="31" t="s">
        <v>252</v>
      </c>
      <c r="AM276" s="31" t="s">
        <v>222</v>
      </c>
      <c r="AN276" s="31">
        <v>4</v>
      </c>
      <c r="AO276" s="31">
        <v>4</v>
      </c>
      <c r="AP276" s="31" t="s">
        <v>184</v>
      </c>
      <c r="AR276" s="31">
        <v>4045</v>
      </c>
      <c r="AS276" s="31">
        <v>10.3</v>
      </c>
      <c r="AT276" s="64"/>
      <c r="DP276" s="31">
        <v>77.319999999999993</v>
      </c>
      <c r="DQ276" s="31">
        <v>86.2</v>
      </c>
      <c r="DR276" s="31" t="s">
        <v>350</v>
      </c>
      <c r="EB276" s="31">
        <v>11.14</v>
      </c>
      <c r="EC276" s="31">
        <v>11.5</v>
      </c>
      <c r="EL276" s="31" t="s">
        <v>442</v>
      </c>
      <c r="EN276" s="31">
        <v>18</v>
      </c>
    </row>
    <row r="277" spans="1:144" s="31" customFormat="1" x14ac:dyDescent="0.25">
      <c r="A277" s="31">
        <v>18</v>
      </c>
      <c r="B277" s="31" t="s">
        <v>413</v>
      </c>
      <c r="C277" s="31" t="s">
        <v>414</v>
      </c>
      <c r="D277" s="31">
        <v>2017</v>
      </c>
      <c r="E277" s="31">
        <v>2012</v>
      </c>
      <c r="F277" s="41" t="s">
        <v>439</v>
      </c>
      <c r="G277" s="31" t="s">
        <v>415</v>
      </c>
      <c r="H277" s="31">
        <v>40.716666666666669</v>
      </c>
      <c r="I277" s="31">
        <v>-77.916666666666671</v>
      </c>
      <c r="J277" s="31">
        <v>350</v>
      </c>
      <c r="N277" s="31">
        <v>975</v>
      </c>
      <c r="P277" s="56" t="s">
        <v>187</v>
      </c>
      <c r="Q277" s="56"/>
      <c r="R277" s="56" t="s">
        <v>441</v>
      </c>
      <c r="S277" s="56" t="s">
        <v>668</v>
      </c>
      <c r="W277" s="31" t="s">
        <v>417</v>
      </c>
      <c r="AA277" s="31" t="s">
        <v>1685</v>
      </c>
      <c r="AB277" s="31" t="s">
        <v>326</v>
      </c>
      <c r="AC277" s="31" t="s">
        <v>174</v>
      </c>
      <c r="AD277" s="31" t="s">
        <v>416</v>
      </c>
      <c r="AE277" s="31" t="s">
        <v>416</v>
      </c>
      <c r="AF277" s="31" t="s">
        <v>252</v>
      </c>
      <c r="AJ277" s="31" t="s">
        <v>418</v>
      </c>
      <c r="AK277" s="31" t="s">
        <v>418</v>
      </c>
      <c r="AL277" s="31" t="s">
        <v>252</v>
      </c>
      <c r="AM277" s="31" t="s">
        <v>222</v>
      </c>
      <c r="AN277" s="31">
        <v>4</v>
      </c>
      <c r="AO277" s="31">
        <v>4</v>
      </c>
      <c r="AP277" s="31" t="s">
        <v>184</v>
      </c>
      <c r="AR277" s="31">
        <v>4531</v>
      </c>
      <c r="AS277" s="31">
        <v>9</v>
      </c>
      <c r="AT277" s="64"/>
      <c r="DP277" s="31">
        <v>77.319999999999993</v>
      </c>
      <c r="DQ277" s="31">
        <v>87.33</v>
      </c>
      <c r="DR277" s="31" t="s">
        <v>350</v>
      </c>
      <c r="EB277" s="31">
        <v>11.14</v>
      </c>
      <c r="EC277" s="31">
        <v>17.059999999999999</v>
      </c>
      <c r="EL277" s="31" t="s">
        <v>442</v>
      </c>
      <c r="EN277" s="31">
        <v>18</v>
      </c>
    </row>
    <row r="278" spans="1:144" s="31" customFormat="1" x14ac:dyDescent="0.25">
      <c r="A278" s="31">
        <v>18</v>
      </c>
      <c r="B278" s="31" t="s">
        <v>413</v>
      </c>
      <c r="C278" s="31" t="s">
        <v>414</v>
      </c>
      <c r="D278" s="31">
        <v>2017</v>
      </c>
      <c r="E278" s="31">
        <v>2012</v>
      </c>
      <c r="F278" s="41" t="s">
        <v>439</v>
      </c>
      <c r="G278" s="31" t="s">
        <v>415</v>
      </c>
      <c r="H278" s="31">
        <v>40.716666666666669</v>
      </c>
      <c r="I278" s="31">
        <v>-77.916666666666671</v>
      </c>
      <c r="J278" s="31">
        <v>350</v>
      </c>
      <c r="N278" s="31">
        <v>975</v>
      </c>
      <c r="P278" s="56" t="s">
        <v>187</v>
      </c>
      <c r="Q278" s="56"/>
      <c r="R278" s="56" t="s">
        <v>441</v>
      </c>
      <c r="S278" s="56" t="s">
        <v>668</v>
      </c>
      <c r="W278" s="31" t="s">
        <v>417</v>
      </c>
      <c r="AA278" s="31" t="s">
        <v>1685</v>
      </c>
      <c r="AB278" s="31" t="s">
        <v>419</v>
      </c>
      <c r="AC278" s="31" t="s">
        <v>174</v>
      </c>
      <c r="AD278" s="31" t="s">
        <v>416</v>
      </c>
      <c r="AE278" s="31" t="s">
        <v>416</v>
      </c>
      <c r="AF278" s="31" t="s">
        <v>252</v>
      </c>
      <c r="AJ278" s="31" t="s">
        <v>418</v>
      </c>
      <c r="AK278" s="31" t="s">
        <v>418</v>
      </c>
      <c r="AL278" s="31" t="s">
        <v>252</v>
      </c>
      <c r="AM278" s="31" t="s">
        <v>222</v>
      </c>
      <c r="AN278" s="31">
        <v>4</v>
      </c>
      <c r="AO278" s="31">
        <v>4</v>
      </c>
      <c r="AP278" s="31" t="s">
        <v>184</v>
      </c>
      <c r="AR278" s="31">
        <v>1381</v>
      </c>
      <c r="AS278" s="31">
        <v>15.7</v>
      </c>
      <c r="AT278" s="64"/>
      <c r="DP278" s="31">
        <v>77.319999999999993</v>
      </c>
      <c r="DQ278" s="31">
        <v>84.98</v>
      </c>
      <c r="DR278" s="31" t="s">
        <v>350</v>
      </c>
      <c r="EB278" s="31">
        <v>11.14</v>
      </c>
      <c r="EC278" s="31">
        <v>10.33</v>
      </c>
      <c r="EL278" s="31" t="s">
        <v>442</v>
      </c>
      <c r="EN278" s="31">
        <v>18</v>
      </c>
    </row>
    <row r="279" spans="1:144" s="31" customFormat="1" x14ac:dyDescent="0.25">
      <c r="A279" s="31">
        <v>18</v>
      </c>
      <c r="B279" s="31" t="s">
        <v>413</v>
      </c>
      <c r="C279" s="31" t="s">
        <v>414</v>
      </c>
      <c r="D279" s="31">
        <v>2017</v>
      </c>
      <c r="E279" s="31">
        <v>2012</v>
      </c>
      <c r="F279" s="41" t="s">
        <v>439</v>
      </c>
      <c r="G279" s="31" t="s">
        <v>415</v>
      </c>
      <c r="H279" s="31">
        <v>40.716666666666669</v>
      </c>
      <c r="I279" s="31">
        <v>-77.916666666666671</v>
      </c>
      <c r="J279" s="31">
        <v>350</v>
      </c>
      <c r="N279" s="31">
        <v>975</v>
      </c>
      <c r="P279" s="56" t="s">
        <v>187</v>
      </c>
      <c r="Q279" s="56"/>
      <c r="R279" s="56" t="s">
        <v>441</v>
      </c>
      <c r="S279" s="56" t="s">
        <v>668</v>
      </c>
      <c r="W279" s="31" t="s">
        <v>417</v>
      </c>
      <c r="AA279" s="31" t="s">
        <v>1685</v>
      </c>
      <c r="AB279" s="31" t="s">
        <v>420</v>
      </c>
      <c r="AC279" s="31" t="s">
        <v>174</v>
      </c>
      <c r="AD279" s="31" t="s">
        <v>416</v>
      </c>
      <c r="AE279" s="31" t="s">
        <v>416</v>
      </c>
      <c r="AF279" s="31" t="s">
        <v>252</v>
      </c>
      <c r="AJ279" s="31" t="s">
        <v>418</v>
      </c>
      <c r="AK279" s="31" t="s">
        <v>418</v>
      </c>
      <c r="AL279" s="31" t="s">
        <v>252</v>
      </c>
      <c r="AM279" s="31" t="s">
        <v>222</v>
      </c>
      <c r="AN279" s="31">
        <v>4</v>
      </c>
      <c r="AO279" s="31">
        <v>4</v>
      </c>
      <c r="AP279" s="31" t="s">
        <v>184</v>
      </c>
      <c r="AR279" s="31">
        <v>1901</v>
      </c>
      <c r="AS279" s="31">
        <v>17.899999999999999</v>
      </c>
      <c r="AT279" s="64"/>
      <c r="DP279" s="31">
        <v>77.319999999999993</v>
      </c>
      <c r="DQ279" s="31">
        <v>88.13</v>
      </c>
      <c r="DR279" s="31" t="s">
        <v>350</v>
      </c>
      <c r="EB279" s="31">
        <v>11.14</v>
      </c>
      <c r="EC279" s="31">
        <v>12.67</v>
      </c>
      <c r="EL279" s="31" t="s">
        <v>442</v>
      </c>
      <c r="EN279" s="31">
        <v>18</v>
      </c>
    </row>
    <row r="280" spans="1:144" s="31" customFormat="1" x14ac:dyDescent="0.25">
      <c r="A280" s="31">
        <v>18</v>
      </c>
      <c r="B280" s="31" t="s">
        <v>413</v>
      </c>
      <c r="C280" s="31" t="s">
        <v>414</v>
      </c>
      <c r="D280" s="31">
        <v>2017</v>
      </c>
      <c r="E280" s="31">
        <v>2012</v>
      </c>
      <c r="F280" s="41" t="s">
        <v>439</v>
      </c>
      <c r="G280" s="31" t="s">
        <v>415</v>
      </c>
      <c r="H280" s="31">
        <v>40.716666666666669</v>
      </c>
      <c r="I280" s="31">
        <v>-77.916666666666671</v>
      </c>
      <c r="J280" s="31">
        <v>350</v>
      </c>
      <c r="N280" s="31">
        <v>975</v>
      </c>
      <c r="P280" s="56" t="s">
        <v>187</v>
      </c>
      <c r="Q280" s="56"/>
      <c r="R280" s="56" t="s">
        <v>441</v>
      </c>
      <c r="S280" s="56" t="s">
        <v>668</v>
      </c>
      <c r="W280" s="31" t="s">
        <v>417</v>
      </c>
      <c r="AA280" s="31" t="s">
        <v>1685</v>
      </c>
      <c r="AB280" s="31" t="s">
        <v>716</v>
      </c>
      <c r="AC280" s="31" t="s">
        <v>174</v>
      </c>
      <c r="AD280" s="31" t="s">
        <v>416</v>
      </c>
      <c r="AE280" s="31" t="s">
        <v>416</v>
      </c>
      <c r="AF280" s="31" t="s">
        <v>252</v>
      </c>
      <c r="AJ280" s="31" t="s">
        <v>418</v>
      </c>
      <c r="AK280" s="31" t="s">
        <v>418</v>
      </c>
      <c r="AL280" s="31" t="s">
        <v>252</v>
      </c>
      <c r="AM280" s="31" t="s">
        <v>222</v>
      </c>
      <c r="AN280" s="31">
        <v>4</v>
      </c>
      <c r="AO280" s="31">
        <v>4</v>
      </c>
      <c r="AP280" s="31" t="s">
        <v>184</v>
      </c>
      <c r="AR280" s="31">
        <v>7165</v>
      </c>
      <c r="AS280" s="31">
        <v>24.2</v>
      </c>
      <c r="AT280" s="64"/>
      <c r="DP280" s="31">
        <v>77.319999999999993</v>
      </c>
      <c r="DQ280" s="31">
        <v>89.74</v>
      </c>
      <c r="DR280" s="31" t="s">
        <v>350</v>
      </c>
      <c r="EB280" s="31">
        <v>11.14</v>
      </c>
      <c r="EC280" s="31">
        <v>11.23</v>
      </c>
      <c r="EL280" s="31" t="s">
        <v>442</v>
      </c>
      <c r="EN280" s="31">
        <v>18</v>
      </c>
    </row>
    <row r="281" spans="1:144" s="31" customFormat="1" x14ac:dyDescent="0.25">
      <c r="A281" s="31">
        <v>18</v>
      </c>
      <c r="B281" s="31" t="s">
        <v>413</v>
      </c>
      <c r="C281" s="31" t="s">
        <v>414</v>
      </c>
      <c r="D281" s="31">
        <v>2017</v>
      </c>
      <c r="E281" s="31">
        <v>2012</v>
      </c>
      <c r="F281" s="41" t="s">
        <v>439</v>
      </c>
      <c r="G281" s="31" t="s">
        <v>415</v>
      </c>
      <c r="H281" s="31">
        <v>40.716666666666669</v>
      </c>
      <c r="I281" s="31">
        <v>-77.916666666666671</v>
      </c>
      <c r="J281" s="31">
        <v>350</v>
      </c>
      <c r="N281" s="31">
        <v>975</v>
      </c>
      <c r="P281" s="56" t="s">
        <v>187</v>
      </c>
      <c r="Q281" s="56"/>
      <c r="R281" s="56" t="s">
        <v>441</v>
      </c>
      <c r="S281" s="56" t="s">
        <v>668</v>
      </c>
      <c r="W281" s="31" t="s">
        <v>417</v>
      </c>
      <c r="AA281" s="31" t="s">
        <v>1685</v>
      </c>
      <c r="AB281" s="31" t="s">
        <v>173</v>
      </c>
      <c r="AC281" s="31" t="s">
        <v>174</v>
      </c>
      <c r="AD281" s="31" t="s">
        <v>416</v>
      </c>
      <c r="AE281" s="31" t="s">
        <v>416</v>
      </c>
      <c r="AF281" s="31" t="s">
        <v>252</v>
      </c>
      <c r="AJ281" s="31" t="s">
        <v>418</v>
      </c>
      <c r="AK281" s="31" t="s">
        <v>418</v>
      </c>
      <c r="AL281" s="31" t="s">
        <v>252</v>
      </c>
      <c r="AM281" s="31" t="s">
        <v>222</v>
      </c>
      <c r="AN281" s="31">
        <v>4</v>
      </c>
      <c r="AO281" s="31">
        <v>4</v>
      </c>
      <c r="AP281" s="31" t="s">
        <v>184</v>
      </c>
      <c r="AR281" s="31">
        <v>7343</v>
      </c>
      <c r="AS281" s="31">
        <v>42.9</v>
      </c>
      <c r="AT281" s="64"/>
      <c r="DP281" s="31">
        <v>77.319999999999993</v>
      </c>
      <c r="DQ281" s="31">
        <v>87.96</v>
      </c>
      <c r="DR281" s="31" t="s">
        <v>350</v>
      </c>
      <c r="EB281" s="31">
        <v>11.14</v>
      </c>
      <c r="EC281" s="31">
        <v>16.989999999999998</v>
      </c>
      <c r="EL281" s="31" t="s">
        <v>442</v>
      </c>
      <c r="EN281" s="31">
        <v>18</v>
      </c>
    </row>
    <row r="282" spans="1:144" s="31" customFormat="1" x14ac:dyDescent="0.25">
      <c r="A282" s="31">
        <v>18</v>
      </c>
      <c r="B282" s="31" t="s">
        <v>413</v>
      </c>
      <c r="C282" s="31" t="s">
        <v>414</v>
      </c>
      <c r="D282" s="31">
        <v>2017</v>
      </c>
      <c r="E282" s="31">
        <v>2012</v>
      </c>
      <c r="F282" s="41" t="s">
        <v>439</v>
      </c>
      <c r="G282" s="31" t="s">
        <v>415</v>
      </c>
      <c r="H282" s="31">
        <v>40.716666666666669</v>
      </c>
      <c r="I282" s="31">
        <v>-77.916666666666671</v>
      </c>
      <c r="J282" s="31">
        <v>350</v>
      </c>
      <c r="N282" s="31">
        <v>975</v>
      </c>
      <c r="P282" s="56" t="s">
        <v>187</v>
      </c>
      <c r="Q282" s="56"/>
      <c r="R282" s="56" t="s">
        <v>441</v>
      </c>
      <c r="S282" s="56" t="s">
        <v>668</v>
      </c>
      <c r="W282" s="31" t="s">
        <v>417</v>
      </c>
      <c r="AA282" s="31" t="s">
        <v>1685</v>
      </c>
      <c r="AB282" s="31" t="s">
        <v>423</v>
      </c>
      <c r="AC282" s="31" t="s">
        <v>174</v>
      </c>
      <c r="AD282" s="31" t="s">
        <v>416</v>
      </c>
      <c r="AE282" s="31" t="s">
        <v>416</v>
      </c>
      <c r="AF282" s="31" t="s">
        <v>252</v>
      </c>
      <c r="AJ282" s="31" t="s">
        <v>418</v>
      </c>
      <c r="AK282" s="31" t="s">
        <v>418</v>
      </c>
      <c r="AL282" s="31" t="s">
        <v>252</v>
      </c>
      <c r="AM282" s="31" t="s">
        <v>222</v>
      </c>
      <c r="AN282" s="31">
        <v>4</v>
      </c>
      <c r="AO282" s="31">
        <v>4</v>
      </c>
      <c r="AP282" s="31" t="s">
        <v>184</v>
      </c>
      <c r="AR282" s="31">
        <v>5850</v>
      </c>
      <c r="AS282" s="31">
        <v>29.9</v>
      </c>
      <c r="AT282" s="64"/>
      <c r="DP282" s="31">
        <v>77.319999999999993</v>
      </c>
      <c r="DQ282" s="31">
        <v>84.98</v>
      </c>
      <c r="DR282" s="31" t="s">
        <v>350</v>
      </c>
      <c r="EB282" s="31">
        <v>11.14</v>
      </c>
      <c r="EC282" s="31">
        <v>12.37</v>
      </c>
      <c r="EL282" s="31" t="s">
        <v>442</v>
      </c>
      <c r="EN282" s="31">
        <v>18</v>
      </c>
    </row>
    <row r="283" spans="1:144" s="31" customFormat="1" x14ac:dyDescent="0.25">
      <c r="A283" s="31">
        <v>18</v>
      </c>
      <c r="B283" s="31" t="s">
        <v>413</v>
      </c>
      <c r="C283" s="31" t="s">
        <v>414</v>
      </c>
      <c r="D283" s="31">
        <v>2017</v>
      </c>
      <c r="E283" s="31">
        <v>2012</v>
      </c>
      <c r="F283" s="41" t="s">
        <v>439</v>
      </c>
      <c r="G283" s="31" t="s">
        <v>415</v>
      </c>
      <c r="H283" s="31">
        <v>40.716666666666669</v>
      </c>
      <c r="I283" s="31">
        <v>-77.916666666666671</v>
      </c>
      <c r="J283" s="31">
        <v>350</v>
      </c>
      <c r="N283" s="31">
        <v>975</v>
      </c>
      <c r="P283" s="56" t="s">
        <v>187</v>
      </c>
      <c r="Q283" s="56"/>
      <c r="R283" s="56" t="s">
        <v>441</v>
      </c>
      <c r="S283" s="56" t="s">
        <v>668</v>
      </c>
      <c r="W283" s="31" t="s">
        <v>417</v>
      </c>
      <c r="AA283" s="31" t="s">
        <v>1685</v>
      </c>
      <c r="AB283" s="31" t="s">
        <v>424</v>
      </c>
      <c r="AC283" s="31" t="s">
        <v>174</v>
      </c>
      <c r="AD283" s="31" t="s">
        <v>416</v>
      </c>
      <c r="AE283" s="31" t="s">
        <v>416</v>
      </c>
      <c r="AF283" s="31" t="s">
        <v>252</v>
      </c>
      <c r="AJ283" s="31" t="s">
        <v>418</v>
      </c>
      <c r="AK283" s="31" t="s">
        <v>418</v>
      </c>
      <c r="AL283" s="31" t="s">
        <v>252</v>
      </c>
      <c r="AM283" s="31" t="s">
        <v>222</v>
      </c>
      <c r="AN283" s="31">
        <v>4</v>
      </c>
      <c r="AO283" s="31">
        <v>4</v>
      </c>
      <c r="AP283" s="31" t="s">
        <v>184</v>
      </c>
      <c r="AR283" s="31">
        <v>1724</v>
      </c>
      <c r="AS283" s="31">
        <v>15.4</v>
      </c>
      <c r="AT283" s="64"/>
      <c r="DP283" s="31">
        <v>77.319999999999993</v>
      </c>
      <c r="DQ283" s="31">
        <v>89.25</v>
      </c>
      <c r="DR283" s="31" t="s">
        <v>350</v>
      </c>
      <c r="EB283" s="31">
        <v>11.14</v>
      </c>
      <c r="EC283" s="31">
        <v>11.31</v>
      </c>
      <c r="EL283" s="31" t="s">
        <v>442</v>
      </c>
      <c r="EN283" s="31">
        <v>18</v>
      </c>
    </row>
    <row r="284" spans="1:144" s="31" customFormat="1" x14ac:dyDescent="0.25">
      <c r="A284" s="31">
        <v>18</v>
      </c>
      <c r="B284" s="31" t="s">
        <v>413</v>
      </c>
      <c r="C284" s="31" t="s">
        <v>414</v>
      </c>
      <c r="D284" s="31">
        <v>2017</v>
      </c>
      <c r="E284" s="31">
        <v>2012</v>
      </c>
      <c r="F284" s="41" t="s">
        <v>439</v>
      </c>
      <c r="G284" s="31" t="s">
        <v>415</v>
      </c>
      <c r="H284" s="31">
        <v>40.716666666666669</v>
      </c>
      <c r="I284" s="31">
        <v>-77.916666666666671</v>
      </c>
      <c r="J284" s="31">
        <v>350</v>
      </c>
      <c r="N284" s="31">
        <v>975</v>
      </c>
      <c r="P284" s="56" t="s">
        <v>187</v>
      </c>
      <c r="Q284" s="56"/>
      <c r="R284" s="56" t="s">
        <v>441</v>
      </c>
      <c r="S284" s="56" t="s">
        <v>668</v>
      </c>
      <c r="W284" s="31" t="s">
        <v>417</v>
      </c>
      <c r="AA284" s="31" t="s">
        <v>1685</v>
      </c>
      <c r="AB284" s="31" t="s">
        <v>425</v>
      </c>
      <c r="AC284" s="31" t="s">
        <v>174</v>
      </c>
      <c r="AD284" s="31" t="s">
        <v>416</v>
      </c>
      <c r="AE284" s="31" t="s">
        <v>416</v>
      </c>
      <c r="AF284" s="31" t="s">
        <v>252</v>
      </c>
      <c r="AJ284" s="31" t="s">
        <v>418</v>
      </c>
      <c r="AK284" s="31" t="s">
        <v>418</v>
      </c>
      <c r="AL284" s="31" t="s">
        <v>252</v>
      </c>
      <c r="AM284" s="31" t="s">
        <v>222</v>
      </c>
      <c r="AN284" s="31">
        <v>4</v>
      </c>
      <c r="AO284" s="31">
        <v>4</v>
      </c>
      <c r="AP284" s="31" t="s">
        <v>184</v>
      </c>
      <c r="AR284" s="31">
        <v>6699</v>
      </c>
      <c r="AS284" s="31">
        <v>16.399999999999999</v>
      </c>
      <c r="AT284" s="64"/>
      <c r="DP284" s="31">
        <v>77.319999999999993</v>
      </c>
      <c r="DQ284" s="31">
        <v>87.97</v>
      </c>
      <c r="DR284" s="31" t="s">
        <v>350</v>
      </c>
      <c r="EB284" s="31">
        <v>11.14</v>
      </c>
      <c r="EC284" s="31">
        <v>17.8</v>
      </c>
      <c r="EL284" s="31" t="s">
        <v>442</v>
      </c>
      <c r="EN284" s="31">
        <v>18</v>
      </c>
    </row>
    <row r="285" spans="1:144" s="31" customFormat="1" x14ac:dyDescent="0.25">
      <c r="A285" s="31">
        <v>18</v>
      </c>
      <c r="B285" s="31" t="s">
        <v>413</v>
      </c>
      <c r="C285" s="31" t="s">
        <v>414</v>
      </c>
      <c r="D285" s="31">
        <v>2017</v>
      </c>
      <c r="E285" s="31">
        <v>2012</v>
      </c>
      <c r="F285" s="41" t="s">
        <v>439</v>
      </c>
      <c r="G285" s="31" t="s">
        <v>415</v>
      </c>
      <c r="H285" s="31">
        <v>40.716666666666669</v>
      </c>
      <c r="I285" s="31">
        <v>-77.916666666666671</v>
      </c>
      <c r="J285" s="31">
        <v>350</v>
      </c>
      <c r="N285" s="31">
        <v>975</v>
      </c>
      <c r="P285" s="56" t="s">
        <v>187</v>
      </c>
      <c r="Q285" s="56"/>
      <c r="R285" s="56" t="s">
        <v>441</v>
      </c>
      <c r="S285" s="56" t="s">
        <v>668</v>
      </c>
      <c r="W285" s="31" t="s">
        <v>417</v>
      </c>
      <c r="AA285" s="31" t="s">
        <v>1685</v>
      </c>
      <c r="AB285" s="31" t="s">
        <v>426</v>
      </c>
      <c r="AC285" s="31" t="s">
        <v>174</v>
      </c>
      <c r="AD285" s="31" t="s">
        <v>416</v>
      </c>
      <c r="AE285" s="31" t="s">
        <v>416</v>
      </c>
      <c r="AF285" s="31" t="s">
        <v>252</v>
      </c>
      <c r="AJ285" s="31" t="s">
        <v>418</v>
      </c>
      <c r="AK285" s="31" t="s">
        <v>418</v>
      </c>
      <c r="AL285" s="31" t="s">
        <v>252</v>
      </c>
      <c r="AM285" s="31" t="s">
        <v>222</v>
      </c>
      <c r="AN285" s="31">
        <v>4</v>
      </c>
      <c r="AO285" s="31">
        <v>4</v>
      </c>
      <c r="AP285" s="31" t="s">
        <v>184</v>
      </c>
      <c r="AR285" s="31">
        <v>6997</v>
      </c>
      <c r="AS285" s="31">
        <v>35.9</v>
      </c>
      <c r="AT285" s="64"/>
      <c r="DP285" s="31">
        <v>77.319999999999993</v>
      </c>
      <c r="DQ285" s="31">
        <v>86.26</v>
      </c>
      <c r="DR285" s="31" t="s">
        <v>350</v>
      </c>
      <c r="EB285" s="31">
        <v>11.14</v>
      </c>
      <c r="EC285" s="31">
        <v>14</v>
      </c>
      <c r="EL285" s="31" t="s">
        <v>442</v>
      </c>
      <c r="EN285" s="31">
        <v>18</v>
      </c>
    </row>
    <row r="286" spans="1:144" s="31" customFormat="1" x14ac:dyDescent="0.25">
      <c r="A286" s="31">
        <v>18</v>
      </c>
      <c r="B286" s="31" t="s">
        <v>413</v>
      </c>
      <c r="C286" s="31" t="s">
        <v>414</v>
      </c>
      <c r="D286" s="31">
        <v>2017</v>
      </c>
      <c r="E286" s="31">
        <v>2012</v>
      </c>
      <c r="F286" s="41" t="s">
        <v>439</v>
      </c>
      <c r="G286" s="31" t="s">
        <v>415</v>
      </c>
      <c r="H286" s="31">
        <v>40.716666666666669</v>
      </c>
      <c r="I286" s="31">
        <v>-77.916666666666671</v>
      </c>
      <c r="J286" s="31">
        <v>350</v>
      </c>
      <c r="N286" s="31">
        <v>975</v>
      </c>
      <c r="P286" s="56" t="s">
        <v>187</v>
      </c>
      <c r="Q286" s="56"/>
      <c r="R286" s="56" t="s">
        <v>441</v>
      </c>
      <c r="S286" s="56" t="s">
        <v>668</v>
      </c>
      <c r="W286" s="31" t="s">
        <v>417</v>
      </c>
      <c r="AA286" s="31" t="s">
        <v>1685</v>
      </c>
      <c r="AB286" s="31" t="s">
        <v>427</v>
      </c>
      <c r="AC286" s="31" t="s">
        <v>174</v>
      </c>
      <c r="AD286" s="31" t="s">
        <v>416</v>
      </c>
      <c r="AE286" s="31" t="s">
        <v>416</v>
      </c>
      <c r="AF286" s="31" t="s">
        <v>252</v>
      </c>
      <c r="AJ286" s="31" t="s">
        <v>418</v>
      </c>
      <c r="AK286" s="31" t="s">
        <v>418</v>
      </c>
      <c r="AL286" s="31" t="s">
        <v>252</v>
      </c>
      <c r="AM286" s="31" t="s">
        <v>222</v>
      </c>
      <c r="AN286" s="31">
        <v>4</v>
      </c>
      <c r="AO286" s="31">
        <v>4</v>
      </c>
      <c r="AP286" s="31" t="s">
        <v>184</v>
      </c>
      <c r="AR286" s="31">
        <v>5374</v>
      </c>
      <c r="AS286" s="31">
        <v>11</v>
      </c>
      <c r="AT286" s="64"/>
      <c r="DP286" s="31">
        <v>77.319999999999993</v>
      </c>
      <c r="DQ286" s="31">
        <v>89.26</v>
      </c>
      <c r="DR286" s="31" t="s">
        <v>350</v>
      </c>
      <c r="EB286" s="31">
        <v>11.14</v>
      </c>
      <c r="EC286" s="31">
        <v>14.56</v>
      </c>
      <c r="EL286" s="31" t="s">
        <v>442</v>
      </c>
      <c r="EN286" s="31">
        <v>18</v>
      </c>
    </row>
    <row r="287" spans="1:144" s="31" customFormat="1" x14ac:dyDescent="0.25">
      <c r="A287" s="31">
        <v>18</v>
      </c>
      <c r="B287" s="31" t="s">
        <v>413</v>
      </c>
      <c r="C287" s="31" t="s">
        <v>414</v>
      </c>
      <c r="D287" s="31">
        <v>2017</v>
      </c>
      <c r="E287" s="31">
        <v>2012</v>
      </c>
      <c r="F287" s="41" t="s">
        <v>439</v>
      </c>
      <c r="G287" s="31" t="s">
        <v>415</v>
      </c>
      <c r="H287" s="31">
        <v>40.716666666666669</v>
      </c>
      <c r="I287" s="31">
        <v>-77.916666666666671</v>
      </c>
      <c r="J287" s="31">
        <v>350</v>
      </c>
      <c r="N287" s="31">
        <v>975</v>
      </c>
      <c r="P287" s="56" t="s">
        <v>187</v>
      </c>
      <c r="Q287" s="56"/>
      <c r="R287" s="56" t="s">
        <v>441</v>
      </c>
      <c r="S287" s="56" t="s">
        <v>668</v>
      </c>
      <c r="W287" s="31" t="s">
        <v>417</v>
      </c>
      <c r="AA287" s="31" t="s">
        <v>1685</v>
      </c>
      <c r="AB287" s="31" t="s">
        <v>428</v>
      </c>
      <c r="AC287" s="31" t="s">
        <v>174</v>
      </c>
      <c r="AD287" s="31" t="s">
        <v>416</v>
      </c>
      <c r="AE287" s="31" t="s">
        <v>416</v>
      </c>
      <c r="AF287" s="31" t="s">
        <v>252</v>
      </c>
      <c r="AJ287" s="31" t="s">
        <v>418</v>
      </c>
      <c r="AK287" s="31" t="s">
        <v>418</v>
      </c>
      <c r="AL287" s="31" t="s">
        <v>252</v>
      </c>
      <c r="AM287" s="31" t="s">
        <v>222</v>
      </c>
      <c r="AN287" s="31">
        <v>4</v>
      </c>
      <c r="AO287" s="31">
        <v>4</v>
      </c>
      <c r="AP287" s="31" t="s">
        <v>184</v>
      </c>
      <c r="AR287" s="31">
        <v>7143</v>
      </c>
      <c r="AS287" s="31">
        <v>15</v>
      </c>
      <c r="AT287" s="64"/>
      <c r="DP287" s="31">
        <v>77.319999999999993</v>
      </c>
      <c r="DQ287" s="31">
        <v>94.47</v>
      </c>
      <c r="DR287" s="31" t="s">
        <v>350</v>
      </c>
      <c r="EB287" s="31">
        <v>11.14</v>
      </c>
      <c r="EC287" s="31">
        <v>15.92</v>
      </c>
      <c r="EL287" s="31" t="s">
        <v>442</v>
      </c>
      <c r="EN287" s="31">
        <v>18</v>
      </c>
    </row>
    <row r="288" spans="1:144" s="39" customFormat="1" x14ac:dyDescent="0.25">
      <c r="A288" s="39">
        <v>19</v>
      </c>
      <c r="B288" s="39" t="s">
        <v>444</v>
      </c>
      <c r="C288" s="39" t="s">
        <v>445</v>
      </c>
      <c r="D288" s="39">
        <v>1986</v>
      </c>
      <c r="E288" s="39">
        <v>1981</v>
      </c>
      <c r="F288" s="39" t="s">
        <v>394</v>
      </c>
      <c r="G288" s="39" t="s">
        <v>446</v>
      </c>
      <c r="H288" s="39">
        <v>33.32</v>
      </c>
      <c r="I288" s="39">
        <v>-84.43</v>
      </c>
      <c r="J288" s="39">
        <v>246.5</v>
      </c>
      <c r="P288" s="58" t="s">
        <v>186</v>
      </c>
      <c r="Q288" s="58"/>
      <c r="R288" s="58"/>
      <c r="S288" s="58" t="s">
        <v>659</v>
      </c>
      <c r="W288" s="39" t="s">
        <v>447</v>
      </c>
      <c r="AA288" s="39" t="s">
        <v>1686</v>
      </c>
      <c r="AB288" s="39" t="s">
        <v>173</v>
      </c>
      <c r="AC288" s="39" t="s">
        <v>299</v>
      </c>
      <c r="AG288" s="39" t="s">
        <v>297</v>
      </c>
      <c r="AH288" s="39" t="s">
        <v>297</v>
      </c>
      <c r="AI288" s="39" t="s">
        <v>252</v>
      </c>
      <c r="AJ288" s="39" t="s">
        <v>452</v>
      </c>
      <c r="AK288" s="39" t="s">
        <v>452</v>
      </c>
      <c r="AM288" s="39" t="s">
        <v>160</v>
      </c>
      <c r="AN288" s="39">
        <v>4</v>
      </c>
      <c r="AO288" s="39">
        <v>4</v>
      </c>
      <c r="AP288" s="39" t="s">
        <v>448</v>
      </c>
      <c r="AR288" s="39">
        <f>3.33*1000</f>
        <v>3330</v>
      </c>
      <c r="AS288" s="39">
        <f>3.33/1.09*10</f>
        <v>30.550458715596328</v>
      </c>
      <c r="AT288" s="63"/>
      <c r="AU288" s="39" t="s">
        <v>454</v>
      </c>
      <c r="AY288" s="39">
        <f>3.43*1000</f>
        <v>3430</v>
      </c>
      <c r="AZ288" s="39">
        <f>2.83*1000</f>
        <v>2830</v>
      </c>
      <c r="BA288" s="39" t="s">
        <v>450</v>
      </c>
      <c r="BE288" s="39">
        <f>7.9/1000*100</f>
        <v>0.79</v>
      </c>
      <c r="BF288" s="39">
        <v>0.87</v>
      </c>
      <c r="BH288" s="39">
        <f>0.58*1000</f>
        <v>580</v>
      </c>
      <c r="BI288" s="39">
        <v>650</v>
      </c>
      <c r="BK288" s="39">
        <v>55</v>
      </c>
      <c r="BL288" s="39">
        <v>57</v>
      </c>
      <c r="BN288" s="39">
        <v>105</v>
      </c>
      <c r="BO288" s="39">
        <v>97</v>
      </c>
      <c r="BQ288" s="39">
        <v>6.7</v>
      </c>
      <c r="BR288" s="39">
        <v>6.7</v>
      </c>
      <c r="DP288" s="12"/>
      <c r="DR288" s="15"/>
      <c r="EL288" s="39" t="s">
        <v>464</v>
      </c>
      <c r="EN288" s="39">
        <v>19</v>
      </c>
    </row>
    <row r="289" spans="1:144" s="39" customFormat="1" x14ac:dyDescent="0.25">
      <c r="A289" s="39">
        <v>19</v>
      </c>
      <c r="B289" s="39" t="s">
        <v>444</v>
      </c>
      <c r="C289" s="39" t="s">
        <v>445</v>
      </c>
      <c r="D289" s="39">
        <v>1986</v>
      </c>
      <c r="E289" s="39">
        <v>1981</v>
      </c>
      <c r="F289" s="39" t="s">
        <v>394</v>
      </c>
      <c r="G289" s="39" t="s">
        <v>446</v>
      </c>
      <c r="H289" s="39">
        <v>33.32</v>
      </c>
      <c r="I289" s="39">
        <v>-84.43</v>
      </c>
      <c r="J289" s="39">
        <v>246.5</v>
      </c>
      <c r="P289" s="58" t="s">
        <v>186</v>
      </c>
      <c r="Q289" s="58"/>
      <c r="R289" s="58"/>
      <c r="S289" s="58" t="s">
        <v>659</v>
      </c>
      <c r="W289" s="39" t="s">
        <v>447</v>
      </c>
      <c r="AA289" s="39" t="s">
        <v>1686</v>
      </c>
      <c r="AB289" s="39" t="s">
        <v>250</v>
      </c>
      <c r="AC289" s="39" t="s">
        <v>299</v>
      </c>
      <c r="AG289" s="39" t="s">
        <v>297</v>
      </c>
      <c r="AH289" s="39" t="s">
        <v>297</v>
      </c>
      <c r="AI289" s="39" t="s">
        <v>252</v>
      </c>
      <c r="AJ289" s="39" t="s">
        <v>452</v>
      </c>
      <c r="AK289" s="39" t="s">
        <v>452</v>
      </c>
      <c r="AM289" s="39" t="s">
        <v>160</v>
      </c>
      <c r="AN289" s="39">
        <v>4</v>
      </c>
      <c r="AO289" s="39">
        <v>4</v>
      </c>
      <c r="AP289" s="39" t="s">
        <v>448</v>
      </c>
      <c r="AR289" s="39">
        <f>3.53*1000</f>
        <v>3530</v>
      </c>
      <c r="AS289" s="39">
        <f>3.53*10/2.92</f>
        <v>12.08904109589041</v>
      </c>
      <c r="AT289" s="63"/>
      <c r="AU289" s="39" t="s">
        <v>454</v>
      </c>
      <c r="AY289" s="39">
        <f t="shared" ref="AY289:AY292" si="45">3.43*1000</f>
        <v>3430</v>
      </c>
      <c r="AZ289" s="39">
        <f>3.68*1000</f>
        <v>3680</v>
      </c>
      <c r="BA289" s="39" t="s">
        <v>450</v>
      </c>
      <c r="BE289" s="39">
        <f t="shared" ref="BE289:BE292" si="46">7.9/1000*100</f>
        <v>0.79</v>
      </c>
      <c r="BF289" s="39">
        <v>0.84</v>
      </c>
      <c r="BH289" s="39">
        <f t="shared" ref="BH289:BH292" si="47">0.58*1000</f>
        <v>580</v>
      </c>
      <c r="BI289" s="39">
        <v>650</v>
      </c>
      <c r="BK289" s="39">
        <v>55</v>
      </c>
      <c r="BL289" s="39">
        <v>38</v>
      </c>
      <c r="BN289" s="39">
        <v>105</v>
      </c>
      <c r="BO289" s="39">
        <v>96</v>
      </c>
      <c r="BQ289" s="39">
        <v>6.7</v>
      </c>
      <c r="BR289" s="39">
        <v>6.2</v>
      </c>
      <c r="DP289" s="12"/>
      <c r="DR289" s="15"/>
      <c r="EL289" s="39" t="s">
        <v>464</v>
      </c>
      <c r="EN289" s="39">
        <v>19</v>
      </c>
    </row>
    <row r="290" spans="1:144" s="39" customFormat="1" x14ac:dyDescent="0.25">
      <c r="A290" s="39">
        <v>19</v>
      </c>
      <c r="B290" s="39" t="s">
        <v>444</v>
      </c>
      <c r="C290" s="39" t="s">
        <v>445</v>
      </c>
      <c r="D290" s="39">
        <v>1986</v>
      </c>
      <c r="E290" s="39">
        <v>1981</v>
      </c>
      <c r="F290" s="39" t="s">
        <v>394</v>
      </c>
      <c r="G290" s="39" t="s">
        <v>446</v>
      </c>
      <c r="H290" s="39">
        <v>33.32</v>
      </c>
      <c r="I290" s="39">
        <v>-84.43</v>
      </c>
      <c r="J290" s="39">
        <v>246.5</v>
      </c>
      <c r="P290" s="58" t="s">
        <v>186</v>
      </c>
      <c r="Q290" s="58"/>
      <c r="R290" s="58"/>
      <c r="S290" s="58" t="s">
        <v>659</v>
      </c>
      <c r="W290" s="39" t="s">
        <v>447</v>
      </c>
      <c r="AA290" s="39" t="s">
        <v>1686</v>
      </c>
      <c r="AB290" s="39" t="s">
        <v>449</v>
      </c>
      <c r="AC290" s="39" t="s">
        <v>299</v>
      </c>
      <c r="AG290" s="39" t="s">
        <v>297</v>
      </c>
      <c r="AH290" s="39" t="s">
        <v>297</v>
      </c>
      <c r="AI290" s="39" t="s">
        <v>252</v>
      </c>
      <c r="AJ290" s="39" t="s">
        <v>452</v>
      </c>
      <c r="AK290" s="39" t="s">
        <v>452</v>
      </c>
      <c r="AM290" s="39" t="s">
        <v>160</v>
      </c>
      <c r="AN290" s="39">
        <v>4</v>
      </c>
      <c r="AO290" s="39">
        <v>4</v>
      </c>
      <c r="AP290" s="39" t="s">
        <v>448</v>
      </c>
      <c r="AR290" s="39">
        <f>2.96*1000</f>
        <v>2960</v>
      </c>
      <c r="AS290" s="39">
        <f>2.96/2.77*10</f>
        <v>10.685920577617329</v>
      </c>
      <c r="AT290" s="63"/>
      <c r="AU290" s="39" t="s">
        <v>454</v>
      </c>
      <c r="AY290" s="39">
        <f t="shared" si="45"/>
        <v>3430</v>
      </c>
      <c r="AZ290" s="39">
        <f>3.47*1000</f>
        <v>3470</v>
      </c>
      <c r="BA290" s="39" t="s">
        <v>450</v>
      </c>
      <c r="BE290" s="39">
        <f t="shared" si="46"/>
        <v>0.79</v>
      </c>
      <c r="BF290" s="39">
        <v>1</v>
      </c>
      <c r="BH290" s="39">
        <f t="shared" si="47"/>
        <v>580</v>
      </c>
      <c r="BI290" s="39">
        <v>810</v>
      </c>
      <c r="BK290" s="39">
        <v>55</v>
      </c>
      <c r="BL290" s="39">
        <v>38</v>
      </c>
      <c r="BN290" s="39">
        <v>105</v>
      </c>
      <c r="BO290" s="39">
        <v>130</v>
      </c>
      <c r="BQ290" s="39">
        <v>6.7</v>
      </c>
      <c r="BR290" s="39">
        <v>6.3</v>
      </c>
      <c r="DP290" s="12"/>
      <c r="DR290" s="15"/>
      <c r="EL290" s="39" t="s">
        <v>464</v>
      </c>
      <c r="EN290" s="39">
        <v>19</v>
      </c>
    </row>
    <row r="291" spans="1:144" s="39" customFormat="1" x14ac:dyDescent="0.25">
      <c r="A291" s="39">
        <v>19</v>
      </c>
      <c r="B291" s="39" t="s">
        <v>444</v>
      </c>
      <c r="C291" s="39" t="s">
        <v>445</v>
      </c>
      <c r="D291" s="39">
        <v>1986</v>
      </c>
      <c r="E291" s="39">
        <v>1981</v>
      </c>
      <c r="F291" s="39" t="s">
        <v>394</v>
      </c>
      <c r="G291" s="39" t="s">
        <v>446</v>
      </c>
      <c r="H291" s="39">
        <v>33.32</v>
      </c>
      <c r="I291" s="39">
        <v>-84.43</v>
      </c>
      <c r="J291" s="39">
        <v>246.5</v>
      </c>
      <c r="P291" s="58" t="s">
        <v>186</v>
      </c>
      <c r="Q291" s="58"/>
      <c r="R291" s="58"/>
      <c r="S291" s="58" t="s">
        <v>659</v>
      </c>
      <c r="W291" s="39" t="s">
        <v>447</v>
      </c>
      <c r="AA291" s="39" t="s">
        <v>1686</v>
      </c>
      <c r="AB291" s="39" t="s">
        <v>326</v>
      </c>
      <c r="AC291" s="39" t="s">
        <v>299</v>
      </c>
      <c r="AG291" s="39" t="s">
        <v>297</v>
      </c>
      <c r="AH291" s="39" t="s">
        <v>297</v>
      </c>
      <c r="AI291" s="39" t="s">
        <v>252</v>
      </c>
      <c r="AJ291" s="39" t="s">
        <v>452</v>
      </c>
      <c r="AK291" s="39" t="s">
        <v>452</v>
      </c>
      <c r="AM291" s="39" t="s">
        <v>160</v>
      </c>
      <c r="AN291" s="39">
        <v>4</v>
      </c>
      <c r="AO291" s="39">
        <v>4</v>
      </c>
      <c r="AP291" s="39" t="s">
        <v>448</v>
      </c>
      <c r="AR291" s="39">
        <f>4.06*1000</f>
        <v>4059.9999999999995</v>
      </c>
      <c r="AS291" s="39">
        <f>4.06/3.01*10</f>
        <v>13.488372093023255</v>
      </c>
      <c r="AT291" s="63"/>
      <c r="AU291" s="39" t="s">
        <v>454</v>
      </c>
      <c r="AY291" s="39">
        <f t="shared" si="45"/>
        <v>3430</v>
      </c>
      <c r="AZ291" s="39">
        <f>4.17*1000</f>
        <v>4170</v>
      </c>
      <c r="BA291" s="39" t="s">
        <v>450</v>
      </c>
      <c r="BE291" s="39">
        <f t="shared" si="46"/>
        <v>0.79</v>
      </c>
      <c r="BF291" s="39">
        <v>0.97</v>
      </c>
      <c r="BH291" s="39">
        <f t="shared" si="47"/>
        <v>580</v>
      </c>
      <c r="BI291" s="39">
        <v>800</v>
      </c>
      <c r="BK291" s="39">
        <v>55</v>
      </c>
      <c r="BL291" s="39">
        <v>33</v>
      </c>
      <c r="BN291" s="39">
        <v>105</v>
      </c>
      <c r="BO291" s="39">
        <v>127</v>
      </c>
      <c r="BQ291" s="39">
        <v>6.7</v>
      </c>
      <c r="BR291" s="39">
        <v>6.3</v>
      </c>
      <c r="DP291" s="12"/>
      <c r="DR291" s="15"/>
      <c r="EL291" s="39" t="s">
        <v>464</v>
      </c>
      <c r="EN291" s="39">
        <v>19</v>
      </c>
    </row>
    <row r="292" spans="1:144" s="39" customFormat="1" x14ac:dyDescent="0.25">
      <c r="A292" s="39">
        <v>19</v>
      </c>
      <c r="B292" s="39" t="s">
        <v>444</v>
      </c>
      <c r="C292" s="39" t="s">
        <v>445</v>
      </c>
      <c r="D292" s="39">
        <v>1986</v>
      </c>
      <c r="E292" s="39">
        <v>1981</v>
      </c>
      <c r="F292" s="39" t="s">
        <v>394</v>
      </c>
      <c r="G292" s="39" t="s">
        <v>446</v>
      </c>
      <c r="H292" s="39">
        <v>33.32</v>
      </c>
      <c r="I292" s="39">
        <v>-84.43</v>
      </c>
      <c r="J292" s="39">
        <v>246.5</v>
      </c>
      <c r="P292" s="58" t="s">
        <v>186</v>
      </c>
      <c r="Q292" s="58"/>
      <c r="R292" s="58"/>
      <c r="S292" s="58" t="s">
        <v>659</v>
      </c>
      <c r="W292" s="39" t="s">
        <v>447</v>
      </c>
      <c r="AA292" s="39" t="s">
        <v>1686</v>
      </c>
      <c r="AB292" s="39" t="s">
        <v>1513</v>
      </c>
      <c r="AC292" s="39" t="s">
        <v>299</v>
      </c>
      <c r="AG292" s="39" t="s">
        <v>297</v>
      </c>
      <c r="AH292" s="39" t="s">
        <v>297</v>
      </c>
      <c r="AI292" s="39" t="s">
        <v>252</v>
      </c>
      <c r="AJ292" s="39" t="s">
        <v>452</v>
      </c>
      <c r="AK292" s="39" t="s">
        <v>452</v>
      </c>
      <c r="AM292" s="39" t="s">
        <v>160</v>
      </c>
      <c r="AN292" s="39">
        <v>4</v>
      </c>
      <c r="AO292" s="39">
        <v>4</v>
      </c>
      <c r="AP292" s="39" t="s">
        <v>448</v>
      </c>
      <c r="AR292" s="39">
        <f>3.96*1000</f>
        <v>3960</v>
      </c>
      <c r="AS292" s="39">
        <f>3.96/2.96*10</f>
        <v>13.378378378378379</v>
      </c>
      <c r="AT292" s="63"/>
      <c r="AU292" s="39" t="s">
        <v>454</v>
      </c>
      <c r="AY292" s="39">
        <f t="shared" si="45"/>
        <v>3430</v>
      </c>
      <c r="AZ292" s="39">
        <f>3.81*1000</f>
        <v>3810</v>
      </c>
      <c r="BA292" s="39" t="s">
        <v>450</v>
      </c>
      <c r="BE292" s="39">
        <f t="shared" si="46"/>
        <v>0.79</v>
      </c>
      <c r="BF292" s="39">
        <v>1.02</v>
      </c>
      <c r="BH292" s="39">
        <f t="shared" si="47"/>
        <v>580</v>
      </c>
      <c r="BI292" s="39">
        <v>630</v>
      </c>
      <c r="BK292" s="39">
        <v>55</v>
      </c>
      <c r="BL292" s="39">
        <v>43</v>
      </c>
      <c r="BN292" s="39">
        <v>105</v>
      </c>
      <c r="BO292" s="39">
        <v>104</v>
      </c>
      <c r="BQ292" s="39">
        <v>6.7</v>
      </c>
      <c r="BR292" s="39">
        <v>6.3</v>
      </c>
      <c r="DP292" s="12"/>
      <c r="DR292" s="15"/>
      <c r="EL292" s="39" t="s">
        <v>464</v>
      </c>
      <c r="EN292" s="39">
        <v>19</v>
      </c>
    </row>
    <row r="293" spans="1:144" s="26" customFormat="1" x14ac:dyDescent="0.25">
      <c r="A293" s="26">
        <v>19</v>
      </c>
      <c r="B293" s="26" t="s">
        <v>444</v>
      </c>
      <c r="C293" s="26" t="s">
        <v>445</v>
      </c>
      <c r="D293" s="26">
        <v>1986</v>
      </c>
      <c r="E293" s="26">
        <v>1982</v>
      </c>
      <c r="F293" s="26" t="s">
        <v>394</v>
      </c>
      <c r="G293" s="26" t="s">
        <v>446</v>
      </c>
      <c r="H293" s="26">
        <v>33.32</v>
      </c>
      <c r="I293" s="26">
        <v>-84.43</v>
      </c>
      <c r="J293" s="26">
        <v>246.5</v>
      </c>
      <c r="P293" s="52" t="s">
        <v>187</v>
      </c>
      <c r="Q293" s="52"/>
      <c r="R293" s="52"/>
      <c r="S293" s="52" t="s">
        <v>660</v>
      </c>
      <c r="W293" s="26" t="s">
        <v>447</v>
      </c>
      <c r="AA293" s="26" t="s">
        <v>1686</v>
      </c>
      <c r="AB293" s="26" t="s">
        <v>173</v>
      </c>
      <c r="AC293" s="26" t="s">
        <v>299</v>
      </c>
      <c r="AG293" s="26" t="s">
        <v>297</v>
      </c>
      <c r="AH293" s="26" t="s">
        <v>297</v>
      </c>
      <c r="AI293" s="26" t="s">
        <v>252</v>
      </c>
      <c r="AJ293" s="39" t="s">
        <v>452</v>
      </c>
      <c r="AK293" s="39" t="s">
        <v>452</v>
      </c>
      <c r="AL293" s="39"/>
      <c r="AM293" s="26" t="s">
        <v>160</v>
      </c>
      <c r="AN293" s="26">
        <v>4</v>
      </c>
      <c r="AO293" s="26">
        <v>4</v>
      </c>
      <c r="AP293" s="26" t="s">
        <v>448</v>
      </c>
      <c r="AR293" s="26">
        <f>3.93*1000</f>
        <v>3930</v>
      </c>
      <c r="AS293" s="26">
        <f>3.93/0.89*10</f>
        <v>44.157303370786522</v>
      </c>
      <c r="AT293" s="63"/>
      <c r="AU293" s="39" t="s">
        <v>454</v>
      </c>
      <c r="AY293" s="26">
        <f>2.92*1000</f>
        <v>2920</v>
      </c>
      <c r="AZ293" s="26">
        <f>2.81*1000</f>
        <v>2810</v>
      </c>
      <c r="BA293" s="39" t="s">
        <v>450</v>
      </c>
      <c r="BE293" s="26">
        <v>0.48</v>
      </c>
      <c r="BF293" s="26">
        <v>0.54</v>
      </c>
      <c r="BH293" s="26">
        <f>0.37*1000</f>
        <v>370</v>
      </c>
      <c r="BI293" s="26">
        <v>420</v>
      </c>
      <c r="BJ293" s="39"/>
      <c r="BK293" s="26">
        <v>19</v>
      </c>
      <c r="BL293" s="26">
        <v>23</v>
      </c>
      <c r="BN293" s="26">
        <v>100</v>
      </c>
      <c r="BO293" s="26">
        <v>89</v>
      </c>
      <c r="BQ293" s="26">
        <v>6.5</v>
      </c>
      <c r="BR293" s="26">
        <v>6.6</v>
      </c>
      <c r="DP293" s="12"/>
      <c r="DR293" s="15"/>
      <c r="EL293" s="39" t="s">
        <v>464</v>
      </c>
      <c r="EN293" s="26">
        <v>19</v>
      </c>
    </row>
    <row r="294" spans="1:144" s="26" customFormat="1" x14ac:dyDescent="0.25">
      <c r="A294" s="26">
        <v>19</v>
      </c>
      <c r="B294" s="26" t="s">
        <v>444</v>
      </c>
      <c r="C294" s="26" t="s">
        <v>445</v>
      </c>
      <c r="D294" s="26">
        <v>1986</v>
      </c>
      <c r="E294" s="26">
        <v>1982</v>
      </c>
      <c r="F294" s="26" t="s">
        <v>394</v>
      </c>
      <c r="G294" s="26" t="s">
        <v>446</v>
      </c>
      <c r="H294" s="26">
        <v>33.32</v>
      </c>
      <c r="I294" s="26">
        <v>-84.43</v>
      </c>
      <c r="J294" s="26">
        <v>246.5</v>
      </c>
      <c r="P294" s="52" t="s">
        <v>187</v>
      </c>
      <c r="Q294" s="52"/>
      <c r="R294" s="52"/>
      <c r="S294" s="52" t="s">
        <v>660</v>
      </c>
      <c r="W294" s="26" t="s">
        <v>447</v>
      </c>
      <c r="AA294" s="26" t="s">
        <v>1686</v>
      </c>
      <c r="AB294" s="26" t="s">
        <v>250</v>
      </c>
      <c r="AC294" s="26" t="s">
        <v>299</v>
      </c>
      <c r="AG294" s="26" t="s">
        <v>297</v>
      </c>
      <c r="AH294" s="26" t="s">
        <v>297</v>
      </c>
      <c r="AI294" s="26" t="s">
        <v>252</v>
      </c>
      <c r="AJ294" s="39" t="s">
        <v>452</v>
      </c>
      <c r="AK294" s="39" t="s">
        <v>452</v>
      </c>
      <c r="AL294" s="39"/>
      <c r="AM294" s="26" t="s">
        <v>160</v>
      </c>
      <c r="AN294" s="26">
        <v>4</v>
      </c>
      <c r="AO294" s="26">
        <v>4</v>
      </c>
      <c r="AP294" s="26" t="s">
        <v>448</v>
      </c>
      <c r="AR294" s="26">
        <f>9.21*1000</f>
        <v>9210</v>
      </c>
      <c r="AS294" s="26">
        <f>9.21/2.18*10</f>
        <v>42.247706422018354</v>
      </c>
      <c r="AT294" s="63"/>
      <c r="AU294" s="39" t="s">
        <v>454</v>
      </c>
      <c r="AY294" s="26">
        <f t="shared" ref="AY294:AY297" si="48">2.92*1000</f>
        <v>2920</v>
      </c>
      <c r="AZ294" s="26">
        <f>4.96*1000</f>
        <v>4960</v>
      </c>
      <c r="BA294" s="39" t="s">
        <v>450</v>
      </c>
      <c r="BE294" s="26">
        <v>0.48</v>
      </c>
      <c r="BF294" s="26">
        <v>0.49</v>
      </c>
      <c r="BH294" s="26">
        <f t="shared" ref="BH294:BH297" si="49">0.37*1000</f>
        <v>370</v>
      </c>
      <c r="BI294" s="26">
        <v>410</v>
      </c>
      <c r="BJ294" s="39"/>
      <c r="BK294" s="26">
        <v>19</v>
      </c>
      <c r="BL294" s="26">
        <v>16</v>
      </c>
      <c r="BN294" s="26">
        <v>100</v>
      </c>
      <c r="BO294" s="26">
        <v>72</v>
      </c>
      <c r="BQ294" s="26">
        <v>6.5</v>
      </c>
      <c r="BR294" s="26">
        <v>6.1</v>
      </c>
      <c r="DP294" s="12"/>
      <c r="DR294" s="15"/>
      <c r="EL294" s="39" t="s">
        <v>464</v>
      </c>
      <c r="EN294" s="26">
        <v>19</v>
      </c>
    </row>
    <row r="295" spans="1:144" s="26" customFormat="1" x14ac:dyDescent="0.25">
      <c r="A295" s="26">
        <v>19</v>
      </c>
      <c r="B295" s="26" t="s">
        <v>444</v>
      </c>
      <c r="C295" s="26" t="s">
        <v>445</v>
      </c>
      <c r="D295" s="26">
        <v>1986</v>
      </c>
      <c r="E295" s="26">
        <v>1982</v>
      </c>
      <c r="F295" s="26" t="s">
        <v>394</v>
      </c>
      <c r="G295" s="26" t="s">
        <v>446</v>
      </c>
      <c r="H295" s="26">
        <v>33.32</v>
      </c>
      <c r="I295" s="26">
        <v>-84.43</v>
      </c>
      <c r="J295" s="26">
        <v>246.5</v>
      </c>
      <c r="P295" s="52" t="s">
        <v>187</v>
      </c>
      <c r="Q295" s="52"/>
      <c r="R295" s="52"/>
      <c r="S295" s="52" t="s">
        <v>660</v>
      </c>
      <c r="W295" s="26" t="s">
        <v>447</v>
      </c>
      <c r="AA295" s="26" t="s">
        <v>1686</v>
      </c>
      <c r="AB295" s="26" t="s">
        <v>449</v>
      </c>
      <c r="AC295" s="26" t="s">
        <v>299</v>
      </c>
      <c r="AG295" s="26" t="s">
        <v>297</v>
      </c>
      <c r="AH295" s="26" t="s">
        <v>297</v>
      </c>
      <c r="AI295" s="26" t="s">
        <v>252</v>
      </c>
      <c r="AJ295" s="39" t="s">
        <v>452</v>
      </c>
      <c r="AK295" s="39" t="s">
        <v>452</v>
      </c>
      <c r="AL295" s="39"/>
      <c r="AM295" s="26" t="s">
        <v>160</v>
      </c>
      <c r="AN295" s="26">
        <v>4</v>
      </c>
      <c r="AO295" s="26">
        <v>4</v>
      </c>
      <c r="AP295" s="26" t="s">
        <v>448</v>
      </c>
      <c r="AR295" s="26">
        <f>4.06*1000</f>
        <v>4059.9999999999995</v>
      </c>
      <c r="AS295" s="26">
        <f>4.06/2.77*10</f>
        <v>14.657039711191334</v>
      </c>
      <c r="AT295" s="63"/>
      <c r="AU295" s="39" t="s">
        <v>454</v>
      </c>
      <c r="AY295" s="26">
        <f t="shared" si="48"/>
        <v>2920</v>
      </c>
      <c r="AZ295" s="26">
        <f>5.44*1000</f>
        <v>5440</v>
      </c>
      <c r="BA295" s="39" t="s">
        <v>450</v>
      </c>
      <c r="BE295" s="26">
        <v>0.48</v>
      </c>
      <c r="BF295" s="26">
        <v>0.55000000000000004</v>
      </c>
      <c r="BH295" s="26">
        <f t="shared" si="49"/>
        <v>370</v>
      </c>
      <c r="BI295" s="26">
        <v>480</v>
      </c>
      <c r="BJ295" s="39"/>
      <c r="BK295" s="26">
        <v>19</v>
      </c>
      <c r="BL295" s="26">
        <v>18</v>
      </c>
      <c r="BN295" s="26">
        <v>100</v>
      </c>
      <c r="BO295" s="26">
        <v>90</v>
      </c>
      <c r="BQ295" s="26">
        <v>6.5</v>
      </c>
      <c r="BR295" s="26">
        <v>6.2</v>
      </c>
      <c r="DP295" s="12"/>
      <c r="DR295" s="15"/>
      <c r="EL295" s="39" t="s">
        <v>464</v>
      </c>
      <c r="EN295" s="26">
        <v>19</v>
      </c>
    </row>
    <row r="296" spans="1:144" s="26" customFormat="1" x14ac:dyDescent="0.25">
      <c r="A296" s="26">
        <v>19</v>
      </c>
      <c r="B296" s="26" t="s">
        <v>444</v>
      </c>
      <c r="C296" s="26" t="s">
        <v>445</v>
      </c>
      <c r="D296" s="26">
        <v>1986</v>
      </c>
      <c r="E296" s="26">
        <v>1982</v>
      </c>
      <c r="F296" s="26" t="s">
        <v>394</v>
      </c>
      <c r="G296" s="26" t="s">
        <v>446</v>
      </c>
      <c r="H296" s="26">
        <v>33.32</v>
      </c>
      <c r="I296" s="26">
        <v>-84.43</v>
      </c>
      <c r="J296" s="26">
        <v>246.5</v>
      </c>
      <c r="P296" s="52" t="s">
        <v>187</v>
      </c>
      <c r="Q296" s="52"/>
      <c r="R296" s="52"/>
      <c r="S296" s="52" t="s">
        <v>660</v>
      </c>
      <c r="W296" s="26" t="s">
        <v>447</v>
      </c>
      <c r="AA296" s="26" t="s">
        <v>1686</v>
      </c>
      <c r="AB296" s="26" t="s">
        <v>326</v>
      </c>
      <c r="AC296" s="26" t="s">
        <v>299</v>
      </c>
      <c r="AG296" s="26" t="s">
        <v>297</v>
      </c>
      <c r="AH296" s="26" t="s">
        <v>297</v>
      </c>
      <c r="AI296" s="26" t="s">
        <v>252</v>
      </c>
      <c r="AJ296" s="39" t="s">
        <v>452</v>
      </c>
      <c r="AK296" s="39" t="s">
        <v>452</v>
      </c>
      <c r="AL296" s="39"/>
      <c r="AM296" s="26" t="s">
        <v>160</v>
      </c>
      <c r="AN296" s="26">
        <v>4</v>
      </c>
      <c r="AO296" s="26">
        <v>4</v>
      </c>
      <c r="AP296" s="26" t="s">
        <v>448</v>
      </c>
      <c r="AR296" s="26">
        <f>4.54*1000</f>
        <v>4540</v>
      </c>
      <c r="AS296" s="26">
        <f>4.54/3.38*10</f>
        <v>13.431952662721894</v>
      </c>
      <c r="AT296" s="63"/>
      <c r="AU296" s="39" t="s">
        <v>454</v>
      </c>
      <c r="AY296" s="26">
        <f t="shared" si="48"/>
        <v>2920</v>
      </c>
      <c r="AZ296" s="26">
        <f>4.73*1000</f>
        <v>4730</v>
      </c>
      <c r="BA296" s="39" t="s">
        <v>450</v>
      </c>
      <c r="BE296" s="26">
        <v>0.48</v>
      </c>
      <c r="BF296" s="26">
        <v>0.55000000000000004</v>
      </c>
      <c r="BH296" s="26">
        <f t="shared" si="49"/>
        <v>370</v>
      </c>
      <c r="BI296" s="26">
        <v>510</v>
      </c>
      <c r="BJ296" s="39"/>
      <c r="BK296" s="26">
        <v>19</v>
      </c>
      <c r="BL296" s="26">
        <v>8</v>
      </c>
      <c r="BN296" s="26">
        <v>100</v>
      </c>
      <c r="BO296" s="26">
        <v>108</v>
      </c>
      <c r="BQ296" s="26">
        <v>6.5</v>
      </c>
      <c r="BR296" s="26">
        <v>6.3</v>
      </c>
      <c r="DP296" s="12"/>
      <c r="DR296" s="15"/>
      <c r="EL296" s="39" t="s">
        <v>464</v>
      </c>
      <c r="EN296" s="26">
        <v>19</v>
      </c>
    </row>
    <row r="297" spans="1:144" s="26" customFormat="1" x14ac:dyDescent="0.25">
      <c r="A297" s="26">
        <v>19</v>
      </c>
      <c r="B297" s="26" t="s">
        <v>444</v>
      </c>
      <c r="C297" s="26" t="s">
        <v>445</v>
      </c>
      <c r="D297" s="26">
        <v>1986</v>
      </c>
      <c r="E297" s="26">
        <v>1982</v>
      </c>
      <c r="F297" s="26" t="s">
        <v>394</v>
      </c>
      <c r="G297" s="26" t="s">
        <v>446</v>
      </c>
      <c r="H297" s="26">
        <v>33.32</v>
      </c>
      <c r="I297" s="26">
        <v>-84.43</v>
      </c>
      <c r="J297" s="26">
        <v>246.5</v>
      </c>
      <c r="P297" s="52" t="s">
        <v>187</v>
      </c>
      <c r="Q297" s="52"/>
      <c r="R297" s="52"/>
      <c r="S297" s="52" t="s">
        <v>660</v>
      </c>
      <c r="W297" s="26" t="s">
        <v>447</v>
      </c>
      <c r="AA297" s="26" t="s">
        <v>1686</v>
      </c>
      <c r="AB297" s="26" t="s">
        <v>1513</v>
      </c>
      <c r="AC297" s="26" t="s">
        <v>299</v>
      </c>
      <c r="AG297" s="26" t="s">
        <v>297</v>
      </c>
      <c r="AH297" s="26" t="s">
        <v>297</v>
      </c>
      <c r="AI297" s="26" t="s">
        <v>252</v>
      </c>
      <c r="AJ297" s="39" t="s">
        <v>452</v>
      </c>
      <c r="AK297" s="39" t="s">
        <v>452</v>
      </c>
      <c r="AL297" s="39"/>
      <c r="AM297" s="26" t="s">
        <v>160</v>
      </c>
      <c r="AN297" s="26">
        <v>4</v>
      </c>
      <c r="AO297" s="26">
        <v>4</v>
      </c>
      <c r="AP297" s="26" t="s">
        <v>448</v>
      </c>
      <c r="AR297" s="26">
        <f>4.7*1000</f>
        <v>4700</v>
      </c>
      <c r="AS297" s="26">
        <f>4.7/3*10</f>
        <v>15.666666666666666</v>
      </c>
      <c r="AT297" s="63"/>
      <c r="AU297" s="39" t="s">
        <v>454</v>
      </c>
      <c r="AY297" s="26">
        <f t="shared" si="48"/>
        <v>2920</v>
      </c>
      <c r="AZ297" s="26">
        <f>4.34*1000</f>
        <v>4340</v>
      </c>
      <c r="BA297" s="39" t="s">
        <v>450</v>
      </c>
      <c r="BE297" s="26">
        <v>0.48</v>
      </c>
      <c r="BF297" s="26">
        <v>0.51</v>
      </c>
      <c r="BH297" s="26">
        <f t="shared" si="49"/>
        <v>370</v>
      </c>
      <c r="BI297" s="26">
        <v>450</v>
      </c>
      <c r="BJ297" s="39"/>
      <c r="BK297" s="26">
        <v>19</v>
      </c>
      <c r="BL297" s="26">
        <v>17</v>
      </c>
      <c r="BN297" s="26">
        <v>100</v>
      </c>
      <c r="BO297" s="26">
        <v>85</v>
      </c>
      <c r="BQ297" s="26">
        <v>6.5</v>
      </c>
      <c r="BR297" s="26">
        <v>6.3</v>
      </c>
      <c r="DP297" s="12"/>
      <c r="DR297" s="15"/>
      <c r="EL297" s="39" t="s">
        <v>464</v>
      </c>
      <c r="EN297" s="26">
        <v>19</v>
      </c>
    </row>
    <row r="298" spans="1:144" s="39" customFormat="1" x14ac:dyDescent="0.25">
      <c r="A298" s="39">
        <v>19</v>
      </c>
      <c r="B298" s="39" t="s">
        <v>444</v>
      </c>
      <c r="C298" s="39" t="s">
        <v>445</v>
      </c>
      <c r="D298" s="39">
        <v>1986</v>
      </c>
      <c r="E298" s="39">
        <v>1983</v>
      </c>
      <c r="F298" s="39" t="s">
        <v>394</v>
      </c>
      <c r="G298" s="39" t="s">
        <v>446</v>
      </c>
      <c r="H298" s="39">
        <v>33.32</v>
      </c>
      <c r="I298" s="39">
        <v>-84.43</v>
      </c>
      <c r="J298" s="39">
        <v>246.5</v>
      </c>
      <c r="P298" s="58" t="s">
        <v>188</v>
      </c>
      <c r="Q298" s="58"/>
      <c r="R298" s="58"/>
      <c r="S298" s="58" t="s">
        <v>669</v>
      </c>
      <c r="W298" s="39" t="s">
        <v>447</v>
      </c>
      <c r="AA298" s="39" t="s">
        <v>1686</v>
      </c>
      <c r="AB298" s="39" t="s">
        <v>173</v>
      </c>
      <c r="AC298" s="39" t="s">
        <v>299</v>
      </c>
      <c r="AG298" s="39" t="s">
        <v>297</v>
      </c>
      <c r="AH298" s="39" t="s">
        <v>297</v>
      </c>
      <c r="AI298" s="39" t="s">
        <v>252</v>
      </c>
      <c r="AJ298" s="39" t="s">
        <v>452</v>
      </c>
      <c r="AK298" s="39" t="s">
        <v>452</v>
      </c>
      <c r="AM298" s="39" t="s">
        <v>160</v>
      </c>
      <c r="AN298" s="39">
        <v>4</v>
      </c>
      <c r="AO298" s="39">
        <v>4</v>
      </c>
      <c r="AP298" s="39" t="s">
        <v>448</v>
      </c>
      <c r="AR298" s="39">
        <f>4.83*1000</f>
        <v>4830</v>
      </c>
      <c r="AS298" s="39">
        <f>4.83/0.97*10</f>
        <v>49.793814432989691</v>
      </c>
      <c r="AT298" s="63"/>
      <c r="AU298" s="39" t="s">
        <v>454</v>
      </c>
      <c r="AY298" s="39">
        <f>2.33*1000</f>
        <v>2330</v>
      </c>
      <c r="AZ298" s="39">
        <f>2.03*1000</f>
        <v>2029.9999999999998</v>
      </c>
      <c r="BA298" s="39" t="s">
        <v>450</v>
      </c>
      <c r="BE298" s="39">
        <v>0.37</v>
      </c>
      <c r="BF298" s="39">
        <v>0.39</v>
      </c>
      <c r="BH298" s="39">
        <f>0.34*1000</f>
        <v>340</v>
      </c>
      <c r="BI298" s="39">
        <v>340</v>
      </c>
      <c r="BK298" s="39">
        <v>3.4</v>
      </c>
      <c r="BL298" s="39">
        <v>4.5999999999999996</v>
      </c>
      <c r="BN298" s="39">
        <v>109</v>
      </c>
      <c r="BO298" s="39">
        <v>96</v>
      </c>
      <c r="BQ298" s="39">
        <v>6.2</v>
      </c>
      <c r="BR298" s="39">
        <v>6.2</v>
      </c>
      <c r="DP298" s="12"/>
      <c r="DR298" s="15"/>
      <c r="EL298" s="39" t="s">
        <v>464</v>
      </c>
      <c r="EN298" s="39">
        <v>19</v>
      </c>
    </row>
    <row r="299" spans="1:144" s="39" customFormat="1" x14ac:dyDescent="0.25">
      <c r="A299" s="39">
        <v>19</v>
      </c>
      <c r="B299" s="39" t="s">
        <v>444</v>
      </c>
      <c r="C299" s="39" t="s">
        <v>445</v>
      </c>
      <c r="D299" s="39">
        <v>1986</v>
      </c>
      <c r="E299" s="39">
        <v>1983</v>
      </c>
      <c r="F299" s="39" t="s">
        <v>394</v>
      </c>
      <c r="G299" s="39" t="s">
        <v>446</v>
      </c>
      <c r="H299" s="39">
        <v>33.32</v>
      </c>
      <c r="I299" s="39">
        <v>-84.43</v>
      </c>
      <c r="J299" s="39">
        <v>246.5</v>
      </c>
      <c r="P299" s="58" t="s">
        <v>188</v>
      </c>
      <c r="Q299" s="58"/>
      <c r="R299" s="58"/>
      <c r="S299" s="58" t="s">
        <v>669</v>
      </c>
      <c r="W299" s="39" t="s">
        <v>447</v>
      </c>
      <c r="AA299" s="39" t="s">
        <v>1686</v>
      </c>
      <c r="AB299" s="39" t="s">
        <v>250</v>
      </c>
      <c r="AC299" s="39" t="s">
        <v>299</v>
      </c>
      <c r="AG299" s="39" t="s">
        <v>297</v>
      </c>
      <c r="AH299" s="39" t="s">
        <v>297</v>
      </c>
      <c r="AI299" s="39" t="s">
        <v>252</v>
      </c>
      <c r="AJ299" s="39" t="s">
        <v>452</v>
      </c>
      <c r="AK299" s="39" t="s">
        <v>452</v>
      </c>
      <c r="AM299" s="39" t="s">
        <v>160</v>
      </c>
      <c r="AN299" s="39">
        <v>4</v>
      </c>
      <c r="AO299" s="39">
        <v>4</v>
      </c>
      <c r="AP299" s="39" t="s">
        <v>448</v>
      </c>
      <c r="AR299" s="39">
        <f>8.77*1000</f>
        <v>8770</v>
      </c>
      <c r="AS299" s="39">
        <f>8.77/2.47*10</f>
        <v>35.506072874493924</v>
      </c>
      <c r="AT299" s="63"/>
      <c r="AU299" s="39" t="s">
        <v>454</v>
      </c>
      <c r="AY299" s="39">
        <f t="shared" ref="AY299:AY302" si="50">2.33*1000</f>
        <v>2330</v>
      </c>
      <c r="AZ299" s="39">
        <f>3.18*1000</f>
        <v>3180</v>
      </c>
      <c r="BA299" s="39" t="s">
        <v>450</v>
      </c>
      <c r="BE299" s="39">
        <v>0.37</v>
      </c>
      <c r="BF299" s="39">
        <v>0.36</v>
      </c>
      <c r="BH299" s="39">
        <f t="shared" ref="BH299:BH302" si="51">0.34*1000</f>
        <v>340</v>
      </c>
      <c r="BI299" s="39">
        <v>340</v>
      </c>
      <c r="BK299" s="39">
        <v>3.4</v>
      </c>
      <c r="BL299" s="39">
        <v>3</v>
      </c>
      <c r="BN299" s="39">
        <v>109</v>
      </c>
      <c r="BO299" s="39">
        <v>71</v>
      </c>
      <c r="BQ299" s="39">
        <v>6.2</v>
      </c>
      <c r="BR299" s="39">
        <v>5.9</v>
      </c>
      <c r="DP299" s="12"/>
      <c r="DR299" s="15"/>
      <c r="EL299" s="39" t="s">
        <v>464</v>
      </c>
      <c r="EN299" s="39">
        <v>19</v>
      </c>
    </row>
    <row r="300" spans="1:144" s="39" customFormat="1" x14ac:dyDescent="0.25">
      <c r="A300" s="39">
        <v>19</v>
      </c>
      <c r="B300" s="39" t="s">
        <v>444</v>
      </c>
      <c r="C300" s="39" t="s">
        <v>445</v>
      </c>
      <c r="D300" s="39">
        <v>1986</v>
      </c>
      <c r="E300" s="39">
        <v>1983</v>
      </c>
      <c r="F300" s="39" t="s">
        <v>394</v>
      </c>
      <c r="G300" s="39" t="s">
        <v>446</v>
      </c>
      <c r="H300" s="39">
        <v>33.32</v>
      </c>
      <c r="I300" s="39">
        <v>-84.43</v>
      </c>
      <c r="J300" s="39">
        <v>246.5</v>
      </c>
      <c r="P300" s="58" t="s">
        <v>188</v>
      </c>
      <c r="Q300" s="58"/>
      <c r="R300" s="58"/>
      <c r="S300" s="58" t="s">
        <v>669</v>
      </c>
      <c r="W300" s="39" t="s">
        <v>447</v>
      </c>
      <c r="AA300" s="39" t="s">
        <v>1686</v>
      </c>
      <c r="AB300" s="39" t="s">
        <v>449</v>
      </c>
      <c r="AC300" s="39" t="s">
        <v>299</v>
      </c>
      <c r="AG300" s="39" t="s">
        <v>297</v>
      </c>
      <c r="AH300" s="39" t="s">
        <v>297</v>
      </c>
      <c r="AI300" s="39" t="s">
        <v>252</v>
      </c>
      <c r="AJ300" s="39" t="s">
        <v>452</v>
      </c>
      <c r="AK300" s="39" t="s">
        <v>452</v>
      </c>
      <c r="AM300" s="39" t="s">
        <v>160</v>
      </c>
      <c r="AN300" s="39">
        <v>4</v>
      </c>
      <c r="AO300" s="39">
        <v>4</v>
      </c>
      <c r="AP300" s="39" t="s">
        <v>448</v>
      </c>
      <c r="AR300" s="39">
        <f>4.97*1000</f>
        <v>4970</v>
      </c>
      <c r="AS300" s="39">
        <f>4.97/2.99*10</f>
        <v>16.622073578595316</v>
      </c>
      <c r="AT300" s="63"/>
      <c r="AU300" s="39" t="s">
        <v>454</v>
      </c>
      <c r="AY300" s="39">
        <f t="shared" si="50"/>
        <v>2330</v>
      </c>
      <c r="AZ300" s="39">
        <f>2.72*1000</f>
        <v>2720</v>
      </c>
      <c r="BA300" s="39" t="s">
        <v>450</v>
      </c>
      <c r="BE300" s="39">
        <v>0.37</v>
      </c>
      <c r="BF300" s="39">
        <v>0.37</v>
      </c>
      <c r="BH300" s="39">
        <f t="shared" si="51"/>
        <v>340</v>
      </c>
      <c r="BI300" s="39">
        <v>350</v>
      </c>
      <c r="BK300" s="39">
        <v>3.4</v>
      </c>
      <c r="BL300" s="39">
        <v>5.2</v>
      </c>
      <c r="BN300" s="39">
        <v>109</v>
      </c>
      <c r="BO300" s="39">
        <v>79</v>
      </c>
      <c r="BQ300" s="39">
        <v>6.2</v>
      </c>
      <c r="BR300" s="39">
        <v>5.9</v>
      </c>
      <c r="DP300" s="12"/>
      <c r="DR300" s="15"/>
      <c r="EL300" s="39" t="s">
        <v>464</v>
      </c>
      <c r="EN300" s="39">
        <v>19</v>
      </c>
    </row>
    <row r="301" spans="1:144" s="39" customFormat="1" x14ac:dyDescent="0.25">
      <c r="A301" s="39">
        <v>19</v>
      </c>
      <c r="B301" s="39" t="s">
        <v>444</v>
      </c>
      <c r="C301" s="39" t="s">
        <v>445</v>
      </c>
      <c r="D301" s="39">
        <v>1986</v>
      </c>
      <c r="E301" s="39">
        <v>1983</v>
      </c>
      <c r="F301" s="39" t="s">
        <v>394</v>
      </c>
      <c r="G301" s="39" t="s">
        <v>446</v>
      </c>
      <c r="H301" s="39">
        <v>33.32</v>
      </c>
      <c r="I301" s="39">
        <v>-84.43</v>
      </c>
      <c r="J301" s="39">
        <v>246.5</v>
      </c>
      <c r="P301" s="58" t="s">
        <v>188</v>
      </c>
      <c r="Q301" s="58"/>
      <c r="R301" s="58"/>
      <c r="S301" s="58" t="s">
        <v>669</v>
      </c>
      <c r="W301" s="39" t="s">
        <v>447</v>
      </c>
      <c r="AA301" s="39" t="s">
        <v>1686</v>
      </c>
      <c r="AB301" s="39" t="s">
        <v>326</v>
      </c>
      <c r="AC301" s="39" t="s">
        <v>299</v>
      </c>
      <c r="AG301" s="39" t="s">
        <v>297</v>
      </c>
      <c r="AH301" s="39" t="s">
        <v>297</v>
      </c>
      <c r="AI301" s="39" t="s">
        <v>252</v>
      </c>
      <c r="AJ301" s="39" t="s">
        <v>452</v>
      </c>
      <c r="AK301" s="39" t="s">
        <v>452</v>
      </c>
      <c r="AM301" s="39" t="s">
        <v>160</v>
      </c>
      <c r="AN301" s="39">
        <v>4</v>
      </c>
      <c r="AO301" s="39">
        <v>4</v>
      </c>
      <c r="AP301" s="39" t="s">
        <v>448</v>
      </c>
      <c r="AR301" s="39">
        <f>4.15*1000</f>
        <v>4150</v>
      </c>
      <c r="AS301" s="39">
        <f>4.15/4.5*10</f>
        <v>9.2222222222222232</v>
      </c>
      <c r="AT301" s="63"/>
      <c r="AU301" s="39" t="s">
        <v>454</v>
      </c>
      <c r="AY301" s="39">
        <f t="shared" si="50"/>
        <v>2330</v>
      </c>
      <c r="AZ301" s="39">
        <f>2.99*1000</f>
        <v>2990</v>
      </c>
      <c r="BA301" s="39" t="s">
        <v>450</v>
      </c>
      <c r="BE301" s="39">
        <v>0.37</v>
      </c>
      <c r="BF301" s="39">
        <v>0.39</v>
      </c>
      <c r="BH301" s="39">
        <f t="shared" si="51"/>
        <v>340</v>
      </c>
      <c r="BI301" s="39">
        <v>390</v>
      </c>
      <c r="BK301" s="39">
        <v>3.4</v>
      </c>
      <c r="BL301" s="39">
        <v>2.2000000000000002</v>
      </c>
      <c r="BN301" s="39">
        <v>109</v>
      </c>
      <c r="BO301" s="39">
        <v>86</v>
      </c>
      <c r="BQ301" s="39">
        <v>6.2</v>
      </c>
      <c r="BR301" s="39">
        <v>6.1</v>
      </c>
      <c r="DP301" s="12"/>
      <c r="DR301" s="15"/>
      <c r="EL301" s="39" t="s">
        <v>464</v>
      </c>
      <c r="EN301" s="39">
        <v>19</v>
      </c>
    </row>
    <row r="302" spans="1:144" s="39" customFormat="1" x14ac:dyDescent="0.25">
      <c r="A302" s="39">
        <v>19</v>
      </c>
      <c r="B302" s="39" t="s">
        <v>444</v>
      </c>
      <c r="C302" s="39" t="s">
        <v>445</v>
      </c>
      <c r="D302" s="39">
        <v>1986</v>
      </c>
      <c r="E302" s="39">
        <v>1983</v>
      </c>
      <c r="F302" s="39" t="s">
        <v>394</v>
      </c>
      <c r="G302" s="39" t="s">
        <v>446</v>
      </c>
      <c r="H302" s="39">
        <v>33.32</v>
      </c>
      <c r="I302" s="39">
        <v>-84.43</v>
      </c>
      <c r="J302" s="39">
        <v>246.5</v>
      </c>
      <c r="P302" s="58" t="s">
        <v>188</v>
      </c>
      <c r="Q302" s="58"/>
      <c r="R302" s="58"/>
      <c r="S302" s="58" t="s">
        <v>669</v>
      </c>
      <c r="W302" s="39" t="s">
        <v>447</v>
      </c>
      <c r="AA302" s="39" t="s">
        <v>1686</v>
      </c>
      <c r="AB302" s="39" t="s">
        <v>1513</v>
      </c>
      <c r="AC302" s="39" t="s">
        <v>299</v>
      </c>
      <c r="AG302" s="39" t="s">
        <v>297</v>
      </c>
      <c r="AH302" s="39" t="s">
        <v>297</v>
      </c>
      <c r="AI302" s="39" t="s">
        <v>252</v>
      </c>
      <c r="AJ302" s="39" t="s">
        <v>452</v>
      </c>
      <c r="AK302" s="39" t="s">
        <v>452</v>
      </c>
      <c r="AM302" s="39" t="s">
        <v>160</v>
      </c>
      <c r="AN302" s="39">
        <v>4</v>
      </c>
      <c r="AO302" s="39">
        <v>4</v>
      </c>
      <c r="AP302" s="39" t="s">
        <v>448</v>
      </c>
      <c r="AR302" s="39">
        <f>4.23*1000</f>
        <v>4230</v>
      </c>
      <c r="AS302" s="39">
        <f>4.23/3.36*10</f>
        <v>12.589285714285715</v>
      </c>
      <c r="AT302" s="63"/>
      <c r="AU302" s="39" t="s">
        <v>454</v>
      </c>
      <c r="AY302" s="39">
        <f t="shared" si="50"/>
        <v>2330</v>
      </c>
      <c r="AZ302" s="39">
        <f>2.83*1000</f>
        <v>2830</v>
      </c>
      <c r="BA302" s="39" t="s">
        <v>450</v>
      </c>
      <c r="BE302" s="39">
        <v>0.37</v>
      </c>
      <c r="BF302" s="39">
        <v>0.39</v>
      </c>
      <c r="BH302" s="39">
        <f t="shared" si="51"/>
        <v>340</v>
      </c>
      <c r="BI302" s="39">
        <v>370</v>
      </c>
      <c r="BK302" s="39">
        <v>3.4</v>
      </c>
      <c r="BL302" s="39">
        <v>2.4</v>
      </c>
      <c r="BN302" s="39">
        <v>109</v>
      </c>
      <c r="BO302" s="39">
        <v>97</v>
      </c>
      <c r="BQ302" s="39">
        <v>6.2</v>
      </c>
      <c r="BR302" s="39">
        <v>6.2</v>
      </c>
      <c r="DP302" s="12"/>
      <c r="DR302" s="15"/>
      <c r="EL302" s="39" t="s">
        <v>464</v>
      </c>
      <c r="EN302" s="39">
        <v>19</v>
      </c>
    </row>
    <row r="303" spans="1:144" s="35" customFormat="1" x14ac:dyDescent="0.25">
      <c r="A303" s="35">
        <v>19</v>
      </c>
      <c r="B303" s="35" t="s">
        <v>444</v>
      </c>
      <c r="C303" s="35" t="s">
        <v>445</v>
      </c>
      <c r="D303" s="35">
        <v>1986</v>
      </c>
      <c r="E303" s="35">
        <v>1981</v>
      </c>
      <c r="F303" s="35" t="s">
        <v>394</v>
      </c>
      <c r="G303" s="35" t="s">
        <v>446</v>
      </c>
      <c r="H303" s="35">
        <v>33.32</v>
      </c>
      <c r="I303" s="35">
        <v>-84.43</v>
      </c>
      <c r="J303" s="35">
        <v>246.5</v>
      </c>
      <c r="P303" s="54" t="s">
        <v>186</v>
      </c>
      <c r="Q303" s="54"/>
      <c r="R303" s="54"/>
      <c r="S303" s="54" t="s">
        <v>659</v>
      </c>
      <c r="W303" s="35" t="s">
        <v>447</v>
      </c>
      <c r="AA303" s="35" t="s">
        <v>1686</v>
      </c>
      <c r="AB303" s="35" t="s">
        <v>173</v>
      </c>
      <c r="AC303" s="35" t="s">
        <v>299</v>
      </c>
      <c r="AG303" s="35" t="s">
        <v>297</v>
      </c>
      <c r="AH303" s="35" t="s">
        <v>297</v>
      </c>
      <c r="AI303" s="35" t="s">
        <v>252</v>
      </c>
      <c r="AJ303" s="35" t="s">
        <v>453</v>
      </c>
      <c r="AK303" s="35" t="s">
        <v>453</v>
      </c>
      <c r="AM303" s="35" t="s">
        <v>160</v>
      </c>
      <c r="AN303" s="35">
        <v>4</v>
      </c>
      <c r="AO303" s="35">
        <v>4</v>
      </c>
      <c r="AP303" s="35" t="s">
        <v>448</v>
      </c>
      <c r="AR303" s="39">
        <f>3.33*1000</f>
        <v>3330</v>
      </c>
      <c r="AS303" s="39">
        <f>3.33/1.09*10</f>
        <v>30.550458715596328</v>
      </c>
      <c r="AT303" s="63"/>
      <c r="AU303" s="39" t="s">
        <v>454</v>
      </c>
      <c r="AY303" s="35">
        <f>4.79*1000</f>
        <v>4790</v>
      </c>
      <c r="AZ303" s="35">
        <f>4.1*1000</f>
        <v>4100</v>
      </c>
      <c r="BA303" s="35" t="s">
        <v>451</v>
      </c>
      <c r="DP303" s="12"/>
      <c r="DR303" s="15"/>
      <c r="EL303" s="39" t="s">
        <v>464</v>
      </c>
      <c r="EN303" s="35">
        <v>19</v>
      </c>
    </row>
    <row r="304" spans="1:144" s="35" customFormat="1" x14ac:dyDescent="0.25">
      <c r="A304" s="35">
        <v>19</v>
      </c>
      <c r="B304" s="35" t="s">
        <v>444</v>
      </c>
      <c r="C304" s="35" t="s">
        <v>445</v>
      </c>
      <c r="D304" s="35">
        <v>1986</v>
      </c>
      <c r="E304" s="35">
        <v>1981</v>
      </c>
      <c r="F304" s="35" t="s">
        <v>394</v>
      </c>
      <c r="G304" s="35" t="s">
        <v>446</v>
      </c>
      <c r="H304" s="35">
        <v>33.32</v>
      </c>
      <c r="I304" s="35">
        <v>-84.43</v>
      </c>
      <c r="J304" s="35">
        <v>246.5</v>
      </c>
      <c r="P304" s="54" t="s">
        <v>186</v>
      </c>
      <c r="Q304" s="54"/>
      <c r="R304" s="54"/>
      <c r="S304" s="54" t="s">
        <v>659</v>
      </c>
      <c r="W304" s="35" t="s">
        <v>447</v>
      </c>
      <c r="AA304" s="35" t="s">
        <v>1686</v>
      </c>
      <c r="AB304" s="35" t="s">
        <v>250</v>
      </c>
      <c r="AC304" s="35" t="s">
        <v>299</v>
      </c>
      <c r="AG304" s="35" t="s">
        <v>297</v>
      </c>
      <c r="AH304" s="35" t="s">
        <v>297</v>
      </c>
      <c r="AI304" s="35" t="s">
        <v>252</v>
      </c>
      <c r="AJ304" s="35" t="s">
        <v>453</v>
      </c>
      <c r="AK304" s="35" t="s">
        <v>453</v>
      </c>
      <c r="AM304" s="35" t="s">
        <v>160</v>
      </c>
      <c r="AN304" s="35">
        <v>4</v>
      </c>
      <c r="AO304" s="35">
        <v>4</v>
      </c>
      <c r="AP304" s="35" t="s">
        <v>448</v>
      </c>
      <c r="AR304" s="39">
        <f>3.53*1000</f>
        <v>3530</v>
      </c>
      <c r="AS304" s="39">
        <f>3.53*10/2.92</f>
        <v>12.08904109589041</v>
      </c>
      <c r="AT304" s="63"/>
      <c r="AU304" s="39" t="s">
        <v>454</v>
      </c>
      <c r="AY304" s="35">
        <f t="shared" ref="AY304:AY307" si="52">4.79*1000</f>
        <v>4790</v>
      </c>
      <c r="AZ304" s="35">
        <f>4.38*1000</f>
        <v>4380</v>
      </c>
      <c r="BA304" s="35" t="s">
        <v>451</v>
      </c>
      <c r="DP304" s="12"/>
      <c r="DR304" s="15"/>
      <c r="EL304" s="39" t="s">
        <v>464</v>
      </c>
      <c r="EN304" s="35">
        <v>19</v>
      </c>
    </row>
    <row r="305" spans="1:144" s="35" customFormat="1" x14ac:dyDescent="0.25">
      <c r="A305" s="35">
        <v>19</v>
      </c>
      <c r="B305" s="35" t="s">
        <v>444</v>
      </c>
      <c r="C305" s="35" t="s">
        <v>445</v>
      </c>
      <c r="D305" s="35">
        <v>1986</v>
      </c>
      <c r="E305" s="35">
        <v>1981</v>
      </c>
      <c r="F305" s="35" t="s">
        <v>394</v>
      </c>
      <c r="G305" s="35" t="s">
        <v>446</v>
      </c>
      <c r="H305" s="35">
        <v>33.32</v>
      </c>
      <c r="I305" s="35">
        <v>-84.43</v>
      </c>
      <c r="J305" s="35">
        <v>246.5</v>
      </c>
      <c r="P305" s="54" t="s">
        <v>186</v>
      </c>
      <c r="Q305" s="54"/>
      <c r="R305" s="54"/>
      <c r="S305" s="54" t="s">
        <v>659</v>
      </c>
      <c r="W305" s="35" t="s">
        <v>447</v>
      </c>
      <c r="AA305" s="35" t="s">
        <v>1686</v>
      </c>
      <c r="AB305" s="35" t="s">
        <v>449</v>
      </c>
      <c r="AC305" s="35" t="s">
        <v>299</v>
      </c>
      <c r="AG305" s="35" t="s">
        <v>297</v>
      </c>
      <c r="AH305" s="35" t="s">
        <v>297</v>
      </c>
      <c r="AI305" s="35" t="s">
        <v>252</v>
      </c>
      <c r="AJ305" s="35" t="s">
        <v>453</v>
      </c>
      <c r="AK305" s="35" t="s">
        <v>453</v>
      </c>
      <c r="AM305" s="35" t="s">
        <v>160</v>
      </c>
      <c r="AN305" s="35">
        <v>4</v>
      </c>
      <c r="AO305" s="35">
        <v>4</v>
      </c>
      <c r="AP305" s="35" t="s">
        <v>448</v>
      </c>
      <c r="AR305" s="39">
        <f>2.96*1000</f>
        <v>2960</v>
      </c>
      <c r="AS305" s="39">
        <f>2.96/2.77*10</f>
        <v>10.685920577617329</v>
      </c>
      <c r="AT305" s="63"/>
      <c r="AU305" s="39" t="s">
        <v>454</v>
      </c>
      <c r="AY305" s="35">
        <f t="shared" si="52"/>
        <v>4790</v>
      </c>
      <c r="AZ305" s="35">
        <f>4.12*1000</f>
        <v>4120</v>
      </c>
      <c r="BA305" s="35" t="s">
        <v>451</v>
      </c>
      <c r="DP305" s="12"/>
      <c r="DR305" s="15"/>
      <c r="EL305" s="39" t="s">
        <v>464</v>
      </c>
      <c r="EN305" s="35">
        <v>19</v>
      </c>
    </row>
    <row r="306" spans="1:144" s="35" customFormat="1" x14ac:dyDescent="0.25">
      <c r="A306" s="35">
        <v>19</v>
      </c>
      <c r="B306" s="35" t="s">
        <v>444</v>
      </c>
      <c r="C306" s="35" t="s">
        <v>445</v>
      </c>
      <c r="D306" s="35">
        <v>1986</v>
      </c>
      <c r="E306" s="35">
        <v>1981</v>
      </c>
      <c r="F306" s="35" t="s">
        <v>394</v>
      </c>
      <c r="G306" s="35" t="s">
        <v>446</v>
      </c>
      <c r="H306" s="35">
        <v>33.32</v>
      </c>
      <c r="I306" s="35">
        <v>-84.43</v>
      </c>
      <c r="J306" s="35">
        <v>246.5</v>
      </c>
      <c r="P306" s="54" t="s">
        <v>186</v>
      </c>
      <c r="Q306" s="54"/>
      <c r="R306" s="54"/>
      <c r="S306" s="54" t="s">
        <v>659</v>
      </c>
      <c r="W306" s="35" t="s">
        <v>447</v>
      </c>
      <c r="AA306" s="35" t="s">
        <v>1686</v>
      </c>
      <c r="AB306" s="35" t="s">
        <v>326</v>
      </c>
      <c r="AC306" s="35" t="s">
        <v>299</v>
      </c>
      <c r="AG306" s="35" t="s">
        <v>297</v>
      </c>
      <c r="AH306" s="35" t="s">
        <v>297</v>
      </c>
      <c r="AI306" s="35" t="s">
        <v>252</v>
      </c>
      <c r="AJ306" s="35" t="s">
        <v>453</v>
      </c>
      <c r="AK306" s="35" t="s">
        <v>453</v>
      </c>
      <c r="AM306" s="35" t="s">
        <v>160</v>
      </c>
      <c r="AN306" s="35">
        <v>4</v>
      </c>
      <c r="AO306" s="35">
        <v>4</v>
      </c>
      <c r="AP306" s="35" t="s">
        <v>448</v>
      </c>
      <c r="AR306" s="39">
        <f>4.06*1000</f>
        <v>4059.9999999999995</v>
      </c>
      <c r="AS306" s="39">
        <f>4.06/3.01*10</f>
        <v>13.488372093023255</v>
      </c>
      <c r="AT306" s="63"/>
      <c r="AU306" s="39" t="s">
        <v>454</v>
      </c>
      <c r="AY306" s="35">
        <f t="shared" si="52"/>
        <v>4790</v>
      </c>
      <c r="AZ306" s="35">
        <f>4.53*1000</f>
        <v>4530</v>
      </c>
      <c r="BA306" s="35" t="s">
        <v>451</v>
      </c>
      <c r="DP306" s="12"/>
      <c r="DR306" s="15"/>
      <c r="EL306" s="39" t="s">
        <v>464</v>
      </c>
      <c r="EN306" s="35">
        <v>19</v>
      </c>
    </row>
    <row r="307" spans="1:144" s="35" customFormat="1" x14ac:dyDescent="0.25">
      <c r="A307" s="35">
        <v>19</v>
      </c>
      <c r="B307" s="35" t="s">
        <v>444</v>
      </c>
      <c r="C307" s="35" t="s">
        <v>445</v>
      </c>
      <c r="D307" s="35">
        <v>1986</v>
      </c>
      <c r="E307" s="35">
        <v>1981</v>
      </c>
      <c r="F307" s="35" t="s">
        <v>394</v>
      </c>
      <c r="G307" s="35" t="s">
        <v>446</v>
      </c>
      <c r="H307" s="35">
        <v>33.32</v>
      </c>
      <c r="I307" s="35">
        <v>-84.43</v>
      </c>
      <c r="J307" s="35">
        <v>246.5</v>
      </c>
      <c r="P307" s="54" t="s">
        <v>186</v>
      </c>
      <c r="Q307" s="54"/>
      <c r="R307" s="54"/>
      <c r="S307" s="54" t="s">
        <v>659</v>
      </c>
      <c r="W307" s="35" t="s">
        <v>447</v>
      </c>
      <c r="AA307" s="35" t="s">
        <v>1686</v>
      </c>
      <c r="AB307" s="35" t="s">
        <v>1513</v>
      </c>
      <c r="AC307" s="35" t="s">
        <v>299</v>
      </c>
      <c r="AG307" s="35" t="s">
        <v>297</v>
      </c>
      <c r="AH307" s="35" t="s">
        <v>297</v>
      </c>
      <c r="AI307" s="35" t="s">
        <v>252</v>
      </c>
      <c r="AJ307" s="35" t="s">
        <v>453</v>
      </c>
      <c r="AK307" s="35" t="s">
        <v>453</v>
      </c>
      <c r="AM307" s="35" t="s">
        <v>160</v>
      </c>
      <c r="AN307" s="35">
        <v>4</v>
      </c>
      <c r="AO307" s="35">
        <v>4</v>
      </c>
      <c r="AP307" s="35" t="s">
        <v>448</v>
      </c>
      <c r="AR307" s="39">
        <f>3.96*1000</f>
        <v>3960</v>
      </c>
      <c r="AS307" s="39">
        <f>3.96/2.96*10</f>
        <v>13.378378378378379</v>
      </c>
      <c r="AT307" s="63"/>
      <c r="AU307" s="39" t="s">
        <v>454</v>
      </c>
      <c r="AY307" s="35">
        <f t="shared" si="52"/>
        <v>4790</v>
      </c>
      <c r="AZ307" s="35">
        <f>4.1*1000</f>
        <v>4100</v>
      </c>
      <c r="BA307" s="35" t="s">
        <v>451</v>
      </c>
      <c r="DP307" s="12"/>
      <c r="DR307" s="15"/>
      <c r="EL307" s="39" t="s">
        <v>464</v>
      </c>
      <c r="EN307" s="35">
        <v>19</v>
      </c>
    </row>
    <row r="308" spans="1:144" s="26" customFormat="1" x14ac:dyDescent="0.25">
      <c r="A308" s="26">
        <v>19</v>
      </c>
      <c r="B308" s="26" t="s">
        <v>444</v>
      </c>
      <c r="C308" s="26" t="s">
        <v>445</v>
      </c>
      <c r="D308" s="26">
        <v>1986</v>
      </c>
      <c r="E308" s="26">
        <v>1982</v>
      </c>
      <c r="F308" s="26" t="s">
        <v>394</v>
      </c>
      <c r="G308" s="26" t="s">
        <v>446</v>
      </c>
      <c r="H308" s="26">
        <v>33.32</v>
      </c>
      <c r="I308" s="26">
        <v>-84.43</v>
      </c>
      <c r="J308" s="26">
        <v>246.5</v>
      </c>
      <c r="P308" s="52" t="s">
        <v>187</v>
      </c>
      <c r="Q308" s="52"/>
      <c r="R308" s="52"/>
      <c r="S308" s="52" t="s">
        <v>660</v>
      </c>
      <c r="W308" s="26" t="s">
        <v>447</v>
      </c>
      <c r="AA308" s="26" t="s">
        <v>1686</v>
      </c>
      <c r="AB308" s="26" t="s">
        <v>173</v>
      </c>
      <c r="AC308" s="26" t="s">
        <v>299</v>
      </c>
      <c r="AG308" s="26" t="s">
        <v>297</v>
      </c>
      <c r="AH308" s="26" t="s">
        <v>297</v>
      </c>
      <c r="AI308" s="26" t="s">
        <v>252</v>
      </c>
      <c r="AJ308" s="35" t="s">
        <v>453</v>
      </c>
      <c r="AK308" s="35" t="s">
        <v>453</v>
      </c>
      <c r="AL308" s="35"/>
      <c r="AM308" s="26" t="s">
        <v>160</v>
      </c>
      <c r="AN308" s="26">
        <v>4</v>
      </c>
      <c r="AO308" s="26">
        <v>4</v>
      </c>
      <c r="AP308" s="26" t="s">
        <v>448</v>
      </c>
      <c r="AR308" s="26">
        <f>3.93*1000</f>
        <v>3930</v>
      </c>
      <c r="AS308" s="26">
        <f>3.93/0.89*10</f>
        <v>44.157303370786522</v>
      </c>
      <c r="AT308" s="63"/>
      <c r="AU308" s="39" t="s">
        <v>454</v>
      </c>
      <c r="AY308" s="26">
        <f>4.06*1000</f>
        <v>4059.9999999999995</v>
      </c>
      <c r="AZ308" s="26">
        <f>4.55*1000</f>
        <v>4550</v>
      </c>
      <c r="BA308" s="35" t="s">
        <v>451</v>
      </c>
      <c r="DP308" s="12"/>
      <c r="DR308" s="15"/>
      <c r="EL308" s="39" t="s">
        <v>464</v>
      </c>
      <c r="EN308" s="26">
        <v>19</v>
      </c>
    </row>
    <row r="309" spans="1:144" s="26" customFormat="1" x14ac:dyDescent="0.25">
      <c r="A309" s="26">
        <v>19</v>
      </c>
      <c r="B309" s="26" t="s">
        <v>444</v>
      </c>
      <c r="C309" s="26" t="s">
        <v>445</v>
      </c>
      <c r="D309" s="26">
        <v>1986</v>
      </c>
      <c r="E309" s="26">
        <v>1982</v>
      </c>
      <c r="F309" s="26" t="s">
        <v>394</v>
      </c>
      <c r="G309" s="26" t="s">
        <v>446</v>
      </c>
      <c r="H309" s="26">
        <v>33.32</v>
      </c>
      <c r="I309" s="26">
        <v>-84.43</v>
      </c>
      <c r="J309" s="26">
        <v>246.5</v>
      </c>
      <c r="P309" s="52" t="s">
        <v>187</v>
      </c>
      <c r="Q309" s="52"/>
      <c r="R309" s="52"/>
      <c r="S309" s="52" t="s">
        <v>660</v>
      </c>
      <c r="W309" s="26" t="s">
        <v>447</v>
      </c>
      <c r="AA309" s="26" t="s">
        <v>1686</v>
      </c>
      <c r="AB309" s="26" t="s">
        <v>250</v>
      </c>
      <c r="AC309" s="26" t="s">
        <v>299</v>
      </c>
      <c r="AG309" s="26" t="s">
        <v>297</v>
      </c>
      <c r="AH309" s="26" t="s">
        <v>297</v>
      </c>
      <c r="AI309" s="26" t="s">
        <v>252</v>
      </c>
      <c r="AJ309" s="35" t="s">
        <v>453</v>
      </c>
      <c r="AK309" s="35" t="s">
        <v>453</v>
      </c>
      <c r="AL309" s="35"/>
      <c r="AM309" s="26" t="s">
        <v>160</v>
      </c>
      <c r="AN309" s="26">
        <v>4</v>
      </c>
      <c r="AO309" s="26">
        <v>4</v>
      </c>
      <c r="AP309" s="26" t="s">
        <v>448</v>
      </c>
      <c r="AR309" s="26">
        <f>9.21*1000</f>
        <v>9210</v>
      </c>
      <c r="AS309" s="26">
        <f>9.21/2.18*10</f>
        <v>42.247706422018354</v>
      </c>
      <c r="AT309" s="63"/>
      <c r="AU309" s="39" t="s">
        <v>454</v>
      </c>
      <c r="AY309" s="26">
        <f t="shared" ref="AY309:AY312" si="53">4.06*1000</f>
        <v>4059.9999999999995</v>
      </c>
      <c r="AZ309" s="26">
        <f>4.73*1000</f>
        <v>4730</v>
      </c>
      <c r="BA309" s="35" t="s">
        <v>451</v>
      </c>
      <c r="DP309" s="12"/>
      <c r="DR309" s="15"/>
      <c r="EL309" s="39" t="s">
        <v>464</v>
      </c>
      <c r="EN309" s="26">
        <v>19</v>
      </c>
    </row>
    <row r="310" spans="1:144" s="26" customFormat="1" x14ac:dyDescent="0.25">
      <c r="A310" s="26">
        <v>19</v>
      </c>
      <c r="B310" s="26" t="s">
        <v>444</v>
      </c>
      <c r="C310" s="26" t="s">
        <v>445</v>
      </c>
      <c r="D310" s="26">
        <v>1986</v>
      </c>
      <c r="E310" s="26">
        <v>1982</v>
      </c>
      <c r="F310" s="26" t="s">
        <v>394</v>
      </c>
      <c r="G310" s="26" t="s">
        <v>446</v>
      </c>
      <c r="H310" s="26">
        <v>33.32</v>
      </c>
      <c r="I310" s="26">
        <v>-84.43</v>
      </c>
      <c r="J310" s="26">
        <v>246.5</v>
      </c>
      <c r="P310" s="52" t="s">
        <v>187</v>
      </c>
      <c r="Q310" s="52"/>
      <c r="R310" s="52"/>
      <c r="S310" s="52" t="s">
        <v>660</v>
      </c>
      <c r="W310" s="26" t="s">
        <v>447</v>
      </c>
      <c r="AA310" s="26" t="s">
        <v>1686</v>
      </c>
      <c r="AB310" s="26" t="s">
        <v>449</v>
      </c>
      <c r="AC310" s="26" t="s">
        <v>299</v>
      </c>
      <c r="AG310" s="26" t="s">
        <v>297</v>
      </c>
      <c r="AH310" s="26" t="s">
        <v>297</v>
      </c>
      <c r="AI310" s="26" t="s">
        <v>252</v>
      </c>
      <c r="AJ310" s="35" t="s">
        <v>453</v>
      </c>
      <c r="AK310" s="35" t="s">
        <v>453</v>
      </c>
      <c r="AL310" s="35"/>
      <c r="AM310" s="26" t="s">
        <v>160</v>
      </c>
      <c r="AN310" s="26">
        <v>4</v>
      </c>
      <c r="AO310" s="26">
        <v>4</v>
      </c>
      <c r="AP310" s="26" t="s">
        <v>448</v>
      </c>
      <c r="AR310" s="26">
        <f>4.06*1000</f>
        <v>4059.9999999999995</v>
      </c>
      <c r="AS310" s="26">
        <f>4.06/2.77*10</f>
        <v>14.657039711191334</v>
      </c>
      <c r="AT310" s="63"/>
      <c r="AU310" s="39" t="s">
        <v>454</v>
      </c>
      <c r="AY310" s="26">
        <f t="shared" si="53"/>
        <v>4059.9999999999995</v>
      </c>
      <c r="AZ310" s="26">
        <f>4.96*1000</f>
        <v>4960</v>
      </c>
      <c r="BA310" s="35" t="s">
        <v>451</v>
      </c>
      <c r="DP310" s="12"/>
      <c r="DR310" s="15"/>
      <c r="EL310" s="39" t="s">
        <v>464</v>
      </c>
      <c r="EN310" s="26">
        <v>19</v>
      </c>
    </row>
    <row r="311" spans="1:144" s="26" customFormat="1" x14ac:dyDescent="0.25">
      <c r="A311" s="26">
        <v>19</v>
      </c>
      <c r="B311" s="26" t="s">
        <v>444</v>
      </c>
      <c r="C311" s="26" t="s">
        <v>445</v>
      </c>
      <c r="D311" s="26">
        <v>1986</v>
      </c>
      <c r="E311" s="26">
        <v>1982</v>
      </c>
      <c r="F311" s="26" t="s">
        <v>394</v>
      </c>
      <c r="G311" s="26" t="s">
        <v>446</v>
      </c>
      <c r="H311" s="26">
        <v>33.32</v>
      </c>
      <c r="I311" s="26">
        <v>-84.43</v>
      </c>
      <c r="J311" s="26">
        <v>246.5</v>
      </c>
      <c r="P311" s="52" t="s">
        <v>187</v>
      </c>
      <c r="Q311" s="52"/>
      <c r="R311" s="52"/>
      <c r="S311" s="52" t="s">
        <v>660</v>
      </c>
      <c r="W311" s="26" t="s">
        <v>447</v>
      </c>
      <c r="AA311" s="26" t="s">
        <v>1686</v>
      </c>
      <c r="AB311" s="26" t="s">
        <v>326</v>
      </c>
      <c r="AC311" s="26" t="s">
        <v>299</v>
      </c>
      <c r="AG311" s="26" t="s">
        <v>297</v>
      </c>
      <c r="AH311" s="26" t="s">
        <v>297</v>
      </c>
      <c r="AI311" s="26" t="s">
        <v>252</v>
      </c>
      <c r="AJ311" s="35" t="s">
        <v>453</v>
      </c>
      <c r="AK311" s="35" t="s">
        <v>453</v>
      </c>
      <c r="AL311" s="35"/>
      <c r="AM311" s="26" t="s">
        <v>160</v>
      </c>
      <c r="AN311" s="26">
        <v>4</v>
      </c>
      <c r="AO311" s="26">
        <v>4</v>
      </c>
      <c r="AP311" s="26" t="s">
        <v>448</v>
      </c>
      <c r="AR311" s="26">
        <f>4.54*1000</f>
        <v>4540</v>
      </c>
      <c r="AS311" s="26">
        <f>4.54/3.38*10</f>
        <v>13.431952662721894</v>
      </c>
      <c r="AT311" s="63"/>
      <c r="AU311" s="39" t="s">
        <v>454</v>
      </c>
      <c r="AY311" s="26">
        <f t="shared" si="53"/>
        <v>4059.9999999999995</v>
      </c>
      <c r="AZ311" s="26">
        <f>4.86*1000</f>
        <v>4860</v>
      </c>
      <c r="BA311" s="35" t="s">
        <v>451</v>
      </c>
      <c r="DP311" s="12"/>
      <c r="DR311" s="15"/>
      <c r="EL311" s="39" t="s">
        <v>464</v>
      </c>
      <c r="EN311" s="26">
        <v>19</v>
      </c>
    </row>
    <row r="312" spans="1:144" s="26" customFormat="1" x14ac:dyDescent="0.25">
      <c r="A312" s="26">
        <v>19</v>
      </c>
      <c r="B312" s="26" t="s">
        <v>444</v>
      </c>
      <c r="C312" s="26" t="s">
        <v>445</v>
      </c>
      <c r="D312" s="26">
        <v>1986</v>
      </c>
      <c r="E312" s="26">
        <v>1982</v>
      </c>
      <c r="F312" s="26" t="s">
        <v>394</v>
      </c>
      <c r="G312" s="26" t="s">
        <v>446</v>
      </c>
      <c r="H312" s="26">
        <v>33.32</v>
      </c>
      <c r="I312" s="26">
        <v>-84.43</v>
      </c>
      <c r="J312" s="26">
        <v>246.5</v>
      </c>
      <c r="P312" s="52" t="s">
        <v>187</v>
      </c>
      <c r="Q312" s="52"/>
      <c r="R312" s="52"/>
      <c r="S312" s="52" t="s">
        <v>660</v>
      </c>
      <c r="W312" s="26" t="s">
        <v>447</v>
      </c>
      <c r="AA312" s="26" t="s">
        <v>1686</v>
      </c>
      <c r="AB312" s="26" t="s">
        <v>1513</v>
      </c>
      <c r="AC312" s="26" t="s">
        <v>299</v>
      </c>
      <c r="AG312" s="26" t="s">
        <v>297</v>
      </c>
      <c r="AH312" s="26" t="s">
        <v>297</v>
      </c>
      <c r="AI312" s="26" t="s">
        <v>252</v>
      </c>
      <c r="AJ312" s="35" t="s">
        <v>453</v>
      </c>
      <c r="AK312" s="35" t="s">
        <v>453</v>
      </c>
      <c r="AL312" s="35"/>
      <c r="AM312" s="26" t="s">
        <v>160</v>
      </c>
      <c r="AN312" s="26">
        <v>4</v>
      </c>
      <c r="AO312" s="26">
        <v>4</v>
      </c>
      <c r="AP312" s="26" t="s">
        <v>448</v>
      </c>
      <c r="AR312" s="26">
        <f>4.7*1000</f>
        <v>4700</v>
      </c>
      <c r="AS312" s="26">
        <f>4.7/3*10</f>
        <v>15.666666666666666</v>
      </c>
      <c r="AT312" s="63"/>
      <c r="AU312" s="39" t="s">
        <v>454</v>
      </c>
      <c r="AY312" s="26">
        <f t="shared" si="53"/>
        <v>4059.9999999999995</v>
      </c>
      <c r="AZ312" s="26">
        <f>4.97*1000</f>
        <v>4970</v>
      </c>
      <c r="BA312" s="35" t="s">
        <v>451</v>
      </c>
      <c r="DP312" s="12"/>
      <c r="DR312" s="15"/>
      <c r="EL312" s="39" t="s">
        <v>464</v>
      </c>
      <c r="EN312" s="26">
        <v>19</v>
      </c>
    </row>
    <row r="313" spans="1:144" s="39" customFormat="1" x14ac:dyDescent="0.25">
      <c r="A313" s="39">
        <v>19</v>
      </c>
      <c r="B313" s="39" t="s">
        <v>444</v>
      </c>
      <c r="C313" s="39" t="s">
        <v>445</v>
      </c>
      <c r="D313" s="39">
        <v>1986</v>
      </c>
      <c r="E313" s="39">
        <v>1983</v>
      </c>
      <c r="F313" s="39" t="s">
        <v>394</v>
      </c>
      <c r="G313" s="39" t="s">
        <v>446</v>
      </c>
      <c r="H313" s="39">
        <v>33.32</v>
      </c>
      <c r="I313" s="39">
        <v>-84.43</v>
      </c>
      <c r="J313" s="39">
        <v>246.5</v>
      </c>
      <c r="P313" s="58" t="s">
        <v>188</v>
      </c>
      <c r="Q313" s="58"/>
      <c r="R313" s="58"/>
      <c r="S313" s="58" t="s">
        <v>669</v>
      </c>
      <c r="W313" s="39" t="s">
        <v>447</v>
      </c>
      <c r="AA313" s="39" t="s">
        <v>1686</v>
      </c>
      <c r="AB313" s="39" t="s">
        <v>173</v>
      </c>
      <c r="AC313" s="39" t="s">
        <v>299</v>
      </c>
      <c r="AG313" s="39" t="s">
        <v>297</v>
      </c>
      <c r="AH313" s="39" t="s">
        <v>297</v>
      </c>
      <c r="AI313" s="39" t="s">
        <v>252</v>
      </c>
      <c r="AJ313" s="35" t="s">
        <v>453</v>
      </c>
      <c r="AK313" s="35" t="s">
        <v>453</v>
      </c>
      <c r="AL313" s="35"/>
      <c r="AM313" s="39" t="s">
        <v>160</v>
      </c>
      <c r="AN313" s="39">
        <v>4</v>
      </c>
      <c r="AO313" s="39">
        <v>4</v>
      </c>
      <c r="AP313" s="39" t="s">
        <v>448</v>
      </c>
      <c r="AR313" s="39">
        <f>4.83*1000</f>
        <v>4830</v>
      </c>
      <c r="AS313" s="39">
        <f>4.83/0.97*10</f>
        <v>49.793814432989691</v>
      </c>
      <c r="AT313" s="63"/>
      <c r="AU313" s="39" t="s">
        <v>454</v>
      </c>
      <c r="AY313" s="39">
        <f>2.87*1000</f>
        <v>2870</v>
      </c>
      <c r="AZ313" s="39">
        <f>2.96*1000</f>
        <v>2960</v>
      </c>
      <c r="BA313" s="35" t="s">
        <v>451</v>
      </c>
      <c r="DP313" s="12"/>
      <c r="DR313" s="15"/>
      <c r="EL313" s="39" t="s">
        <v>464</v>
      </c>
      <c r="EN313" s="39">
        <v>19</v>
      </c>
    </row>
    <row r="314" spans="1:144" s="39" customFormat="1" x14ac:dyDescent="0.25">
      <c r="A314" s="39">
        <v>19</v>
      </c>
      <c r="B314" s="39" t="s">
        <v>444</v>
      </c>
      <c r="C314" s="39" t="s">
        <v>445</v>
      </c>
      <c r="D314" s="39">
        <v>1986</v>
      </c>
      <c r="E314" s="39">
        <v>1983</v>
      </c>
      <c r="F314" s="39" t="s">
        <v>394</v>
      </c>
      <c r="G314" s="39" t="s">
        <v>446</v>
      </c>
      <c r="H314" s="39">
        <v>33.32</v>
      </c>
      <c r="I314" s="39">
        <v>-84.43</v>
      </c>
      <c r="J314" s="39">
        <v>246.5</v>
      </c>
      <c r="P314" s="58" t="s">
        <v>188</v>
      </c>
      <c r="Q314" s="58"/>
      <c r="R314" s="58"/>
      <c r="S314" s="58" t="s">
        <v>669</v>
      </c>
      <c r="W314" s="39" t="s">
        <v>447</v>
      </c>
      <c r="AA314" s="39" t="s">
        <v>1686</v>
      </c>
      <c r="AB314" s="39" t="s">
        <v>250</v>
      </c>
      <c r="AC314" s="39" t="s">
        <v>299</v>
      </c>
      <c r="AG314" s="39" t="s">
        <v>297</v>
      </c>
      <c r="AH314" s="39" t="s">
        <v>297</v>
      </c>
      <c r="AI314" s="39" t="s">
        <v>252</v>
      </c>
      <c r="AJ314" s="35" t="s">
        <v>453</v>
      </c>
      <c r="AK314" s="35" t="s">
        <v>453</v>
      </c>
      <c r="AL314" s="35"/>
      <c r="AM314" s="39" t="s">
        <v>160</v>
      </c>
      <c r="AN314" s="39">
        <v>4</v>
      </c>
      <c r="AO314" s="39">
        <v>4</v>
      </c>
      <c r="AP314" s="39" t="s">
        <v>448</v>
      </c>
      <c r="AR314" s="39">
        <f>8.77*1000</f>
        <v>8770</v>
      </c>
      <c r="AS314" s="39">
        <f>8.77/2.47*10</f>
        <v>35.506072874493924</v>
      </c>
      <c r="AT314" s="63"/>
      <c r="AU314" s="39" t="s">
        <v>454</v>
      </c>
      <c r="AY314" s="39">
        <f t="shared" ref="AY314:AY317" si="54">2.87*1000</f>
        <v>2870</v>
      </c>
      <c r="AZ314" s="39">
        <f>3.56*1000</f>
        <v>3560</v>
      </c>
      <c r="BA314" s="35" t="s">
        <v>451</v>
      </c>
      <c r="DP314" s="12"/>
      <c r="DR314" s="15"/>
      <c r="EL314" s="39" t="s">
        <v>464</v>
      </c>
      <c r="EN314" s="39">
        <v>19</v>
      </c>
    </row>
    <row r="315" spans="1:144" s="39" customFormat="1" x14ac:dyDescent="0.25">
      <c r="A315" s="39">
        <v>19</v>
      </c>
      <c r="B315" s="39" t="s">
        <v>444</v>
      </c>
      <c r="C315" s="39" t="s">
        <v>445</v>
      </c>
      <c r="D315" s="39">
        <v>1986</v>
      </c>
      <c r="E315" s="39">
        <v>1983</v>
      </c>
      <c r="F315" s="39" t="s">
        <v>394</v>
      </c>
      <c r="G315" s="39" t="s">
        <v>446</v>
      </c>
      <c r="H315" s="39">
        <v>33.32</v>
      </c>
      <c r="I315" s="39">
        <v>-84.43</v>
      </c>
      <c r="J315" s="39">
        <v>246.5</v>
      </c>
      <c r="P315" s="58" t="s">
        <v>188</v>
      </c>
      <c r="Q315" s="58"/>
      <c r="R315" s="58"/>
      <c r="S315" s="58" t="s">
        <v>669</v>
      </c>
      <c r="W315" s="39" t="s">
        <v>447</v>
      </c>
      <c r="AA315" s="39" t="s">
        <v>1686</v>
      </c>
      <c r="AB315" s="39" t="s">
        <v>449</v>
      </c>
      <c r="AC315" s="39" t="s">
        <v>299</v>
      </c>
      <c r="AG315" s="39" t="s">
        <v>297</v>
      </c>
      <c r="AH315" s="39" t="s">
        <v>297</v>
      </c>
      <c r="AI315" s="39" t="s">
        <v>252</v>
      </c>
      <c r="AJ315" s="35" t="s">
        <v>453</v>
      </c>
      <c r="AK315" s="35" t="s">
        <v>453</v>
      </c>
      <c r="AL315" s="35"/>
      <c r="AM315" s="39" t="s">
        <v>160</v>
      </c>
      <c r="AN315" s="39">
        <v>4</v>
      </c>
      <c r="AO315" s="39">
        <v>4</v>
      </c>
      <c r="AP315" s="39" t="s">
        <v>448</v>
      </c>
      <c r="AR315" s="39">
        <f>4.97*1000</f>
        <v>4970</v>
      </c>
      <c r="AS315" s="39">
        <f>4.97/2.99*10</f>
        <v>16.622073578595316</v>
      </c>
      <c r="AT315" s="63"/>
      <c r="AU315" s="39" t="s">
        <v>454</v>
      </c>
      <c r="AY315" s="39">
        <f t="shared" si="54"/>
        <v>2870</v>
      </c>
      <c r="AZ315" s="39">
        <f>2.5*1000</f>
        <v>2500</v>
      </c>
      <c r="BA315" s="35" t="s">
        <v>451</v>
      </c>
      <c r="DP315" s="12"/>
      <c r="DR315" s="15"/>
      <c r="EL315" s="39" t="s">
        <v>464</v>
      </c>
      <c r="EN315" s="39">
        <v>19</v>
      </c>
    </row>
    <row r="316" spans="1:144" s="39" customFormat="1" x14ac:dyDescent="0.25">
      <c r="A316" s="39">
        <v>19</v>
      </c>
      <c r="B316" s="39" t="s">
        <v>444</v>
      </c>
      <c r="C316" s="39" t="s">
        <v>445</v>
      </c>
      <c r="D316" s="39">
        <v>1986</v>
      </c>
      <c r="E316" s="39">
        <v>1983</v>
      </c>
      <c r="F316" s="39" t="s">
        <v>394</v>
      </c>
      <c r="G316" s="39" t="s">
        <v>446</v>
      </c>
      <c r="H316" s="39">
        <v>33.32</v>
      </c>
      <c r="I316" s="39">
        <v>-84.43</v>
      </c>
      <c r="J316" s="39">
        <v>246.5</v>
      </c>
      <c r="P316" s="58" t="s">
        <v>188</v>
      </c>
      <c r="Q316" s="58"/>
      <c r="R316" s="58"/>
      <c r="S316" s="58" t="s">
        <v>669</v>
      </c>
      <c r="W316" s="39" t="s">
        <v>447</v>
      </c>
      <c r="AA316" s="39" t="s">
        <v>1686</v>
      </c>
      <c r="AB316" s="39" t="s">
        <v>326</v>
      </c>
      <c r="AC316" s="39" t="s">
        <v>299</v>
      </c>
      <c r="AG316" s="39" t="s">
        <v>297</v>
      </c>
      <c r="AH316" s="39" t="s">
        <v>297</v>
      </c>
      <c r="AI316" s="39" t="s">
        <v>252</v>
      </c>
      <c r="AJ316" s="35" t="s">
        <v>453</v>
      </c>
      <c r="AK316" s="35" t="s">
        <v>453</v>
      </c>
      <c r="AL316" s="35"/>
      <c r="AM316" s="39" t="s">
        <v>160</v>
      </c>
      <c r="AN316" s="39">
        <v>4</v>
      </c>
      <c r="AO316" s="39">
        <v>4</v>
      </c>
      <c r="AP316" s="39" t="s">
        <v>448</v>
      </c>
      <c r="AR316" s="39">
        <f>4.15*1000</f>
        <v>4150</v>
      </c>
      <c r="AS316" s="39">
        <f>4.15/4.5*10</f>
        <v>9.2222222222222232</v>
      </c>
      <c r="AT316" s="63"/>
      <c r="AU316" s="39" t="s">
        <v>454</v>
      </c>
      <c r="AY316" s="39">
        <f t="shared" si="54"/>
        <v>2870</v>
      </c>
      <c r="AZ316" s="39">
        <f>1.98*1000</f>
        <v>1980</v>
      </c>
      <c r="BA316" s="35" t="s">
        <v>451</v>
      </c>
      <c r="DP316" s="12"/>
      <c r="DR316" s="15"/>
      <c r="EL316" s="39" t="s">
        <v>464</v>
      </c>
      <c r="EN316" s="39">
        <v>19</v>
      </c>
    </row>
    <row r="317" spans="1:144" s="39" customFormat="1" x14ac:dyDescent="0.25">
      <c r="A317" s="39">
        <v>19</v>
      </c>
      <c r="B317" s="39" t="s">
        <v>444</v>
      </c>
      <c r="C317" s="39" t="s">
        <v>445</v>
      </c>
      <c r="D317" s="39">
        <v>1986</v>
      </c>
      <c r="E317" s="39">
        <v>1983</v>
      </c>
      <c r="F317" s="39" t="s">
        <v>394</v>
      </c>
      <c r="G317" s="39" t="s">
        <v>446</v>
      </c>
      <c r="H317" s="39">
        <v>33.32</v>
      </c>
      <c r="I317" s="39">
        <v>-84.43</v>
      </c>
      <c r="J317" s="39">
        <v>246.5</v>
      </c>
      <c r="P317" s="58" t="s">
        <v>188</v>
      </c>
      <c r="Q317" s="58"/>
      <c r="R317" s="58"/>
      <c r="S317" s="58" t="s">
        <v>669</v>
      </c>
      <c r="W317" s="39" t="s">
        <v>447</v>
      </c>
      <c r="AA317" s="39" t="s">
        <v>1686</v>
      </c>
      <c r="AB317" s="39" t="s">
        <v>1513</v>
      </c>
      <c r="AC317" s="39" t="s">
        <v>299</v>
      </c>
      <c r="AG317" s="39" t="s">
        <v>297</v>
      </c>
      <c r="AH317" s="39" t="s">
        <v>297</v>
      </c>
      <c r="AI317" s="39" t="s">
        <v>252</v>
      </c>
      <c r="AJ317" s="35" t="s">
        <v>453</v>
      </c>
      <c r="AK317" s="35" t="s">
        <v>453</v>
      </c>
      <c r="AL317" s="35"/>
      <c r="AM317" s="39" t="s">
        <v>160</v>
      </c>
      <c r="AN317" s="39">
        <v>4</v>
      </c>
      <c r="AO317" s="39">
        <v>4</v>
      </c>
      <c r="AP317" s="39" t="s">
        <v>448</v>
      </c>
      <c r="AR317" s="39">
        <f>4.23*1000</f>
        <v>4230</v>
      </c>
      <c r="AS317" s="39">
        <f>4.23/3.36*10</f>
        <v>12.589285714285715</v>
      </c>
      <c r="AT317" s="63"/>
      <c r="AU317" s="39" t="s">
        <v>454</v>
      </c>
      <c r="AY317" s="39">
        <f t="shared" si="54"/>
        <v>2870</v>
      </c>
      <c r="AZ317" s="39">
        <f>2.77*1000</f>
        <v>2770</v>
      </c>
      <c r="BA317" s="35" t="s">
        <v>451</v>
      </c>
      <c r="DP317" s="12"/>
      <c r="DR317" s="15"/>
      <c r="EL317" s="39" t="s">
        <v>464</v>
      </c>
      <c r="EN317" s="39">
        <v>19</v>
      </c>
    </row>
    <row r="318" spans="1:144" s="38" customFormat="1" x14ac:dyDescent="0.25">
      <c r="A318" s="38">
        <v>20</v>
      </c>
      <c r="B318" s="38" t="s">
        <v>466</v>
      </c>
      <c r="C318" s="38" t="s">
        <v>467</v>
      </c>
      <c r="D318" s="38">
        <v>2014</v>
      </c>
      <c r="E318" s="38">
        <v>2010</v>
      </c>
      <c r="F318" s="38" t="s">
        <v>468</v>
      </c>
      <c r="G318" s="38" t="s">
        <v>465</v>
      </c>
      <c r="H318" s="38">
        <f t="shared" ref="H318:H331" si="55">42+40/60</f>
        <v>42.666666666666664</v>
      </c>
      <c r="I318" s="38">
        <f t="shared" ref="I318:I331" si="56">-84-28/60</f>
        <v>-84.466666666666669</v>
      </c>
      <c r="J318" s="38">
        <v>268.5</v>
      </c>
      <c r="P318" s="57" t="s">
        <v>186</v>
      </c>
      <c r="Q318" s="57" t="s">
        <v>1518</v>
      </c>
      <c r="R318" s="57"/>
      <c r="S318" s="57"/>
      <c r="W318" s="38" t="s">
        <v>248</v>
      </c>
      <c r="X318" s="38">
        <v>6.6</v>
      </c>
      <c r="AA318" s="38" t="s">
        <v>1687</v>
      </c>
      <c r="AB318" s="38" t="s">
        <v>326</v>
      </c>
      <c r="AC318" s="38" t="s">
        <v>299</v>
      </c>
      <c r="AG318" s="38" t="s">
        <v>312</v>
      </c>
      <c r="AH318" s="38" t="s">
        <v>312</v>
      </c>
      <c r="AI318" s="38" t="s">
        <v>252</v>
      </c>
      <c r="AJ318" s="38">
        <v>0</v>
      </c>
      <c r="AK318" s="38">
        <v>0</v>
      </c>
      <c r="AL318" s="38" t="s">
        <v>252</v>
      </c>
      <c r="AM318" s="38" t="s">
        <v>222</v>
      </c>
      <c r="AN318" s="38">
        <v>4</v>
      </c>
      <c r="AO318" s="38">
        <v>4</v>
      </c>
      <c r="AP318" s="38" t="s">
        <v>184</v>
      </c>
      <c r="AQ318" s="38">
        <v>5422</v>
      </c>
      <c r="AT318" s="64"/>
      <c r="DJ318" s="38">
        <v>100</v>
      </c>
      <c r="DK318" s="38">
        <v>11.715999999999999</v>
      </c>
      <c r="DL318" s="38" t="s">
        <v>474</v>
      </c>
      <c r="DP318" s="12"/>
      <c r="DR318" s="15"/>
      <c r="EN318" s="38">
        <v>20</v>
      </c>
    </row>
    <row r="319" spans="1:144" s="38" customFormat="1" x14ac:dyDescent="0.25">
      <c r="A319" s="38">
        <v>20</v>
      </c>
      <c r="B319" s="38" t="s">
        <v>466</v>
      </c>
      <c r="C319" s="38" t="s">
        <v>467</v>
      </c>
      <c r="D319" s="38">
        <v>2014</v>
      </c>
      <c r="E319" s="38">
        <v>2010</v>
      </c>
      <c r="F319" s="38" t="s">
        <v>468</v>
      </c>
      <c r="G319" s="38" t="s">
        <v>465</v>
      </c>
      <c r="H319" s="38">
        <f t="shared" si="55"/>
        <v>42.666666666666664</v>
      </c>
      <c r="I319" s="38">
        <f t="shared" si="56"/>
        <v>-84.466666666666669</v>
      </c>
      <c r="J319" s="38">
        <v>268.5</v>
      </c>
      <c r="P319" s="57" t="s">
        <v>186</v>
      </c>
      <c r="Q319" s="57" t="s">
        <v>1518</v>
      </c>
      <c r="R319" s="57"/>
      <c r="S319" s="57"/>
      <c r="W319" s="38" t="s">
        <v>248</v>
      </c>
      <c r="X319" s="38">
        <v>6.6</v>
      </c>
      <c r="AA319" s="38" t="s">
        <v>1687</v>
      </c>
      <c r="AB319" s="38" t="s">
        <v>469</v>
      </c>
      <c r="AC319" s="38" t="s">
        <v>299</v>
      </c>
      <c r="AG319" s="38" t="s">
        <v>312</v>
      </c>
      <c r="AH319" s="38" t="s">
        <v>312</v>
      </c>
      <c r="AI319" s="38" t="s">
        <v>252</v>
      </c>
      <c r="AJ319" s="38">
        <v>0</v>
      </c>
      <c r="AK319" s="38">
        <v>0</v>
      </c>
      <c r="AL319" s="38" t="s">
        <v>252</v>
      </c>
      <c r="AM319" s="38" t="s">
        <v>222</v>
      </c>
      <c r="AN319" s="38">
        <v>4</v>
      </c>
      <c r="AO319" s="38">
        <v>4</v>
      </c>
      <c r="AP319" s="38" t="s">
        <v>184</v>
      </c>
      <c r="AQ319" s="38">
        <v>6205</v>
      </c>
      <c r="AT319" s="64"/>
      <c r="DJ319" s="38">
        <v>100</v>
      </c>
      <c r="DK319" s="38">
        <v>14.13</v>
      </c>
      <c r="DL319" s="38" t="s">
        <v>474</v>
      </c>
      <c r="DP319" s="12"/>
      <c r="DR319" s="15"/>
      <c r="EN319" s="38">
        <v>20</v>
      </c>
    </row>
    <row r="320" spans="1:144" s="38" customFormat="1" x14ac:dyDescent="0.25">
      <c r="A320" s="38">
        <v>20</v>
      </c>
      <c r="B320" s="38" t="s">
        <v>466</v>
      </c>
      <c r="C320" s="38" t="s">
        <v>467</v>
      </c>
      <c r="D320" s="38">
        <v>2014</v>
      </c>
      <c r="E320" s="38">
        <v>2010</v>
      </c>
      <c r="F320" s="38" t="s">
        <v>468</v>
      </c>
      <c r="G320" s="38" t="s">
        <v>465</v>
      </c>
      <c r="H320" s="38">
        <f t="shared" si="55"/>
        <v>42.666666666666664</v>
      </c>
      <c r="I320" s="38">
        <f t="shared" si="56"/>
        <v>-84.466666666666669</v>
      </c>
      <c r="J320" s="38">
        <v>268.5</v>
      </c>
      <c r="P320" s="57" t="s">
        <v>186</v>
      </c>
      <c r="Q320" s="57" t="s">
        <v>1518</v>
      </c>
      <c r="R320" s="57"/>
      <c r="S320" s="57"/>
      <c r="W320" s="38" t="s">
        <v>248</v>
      </c>
      <c r="X320" s="38">
        <v>6.6</v>
      </c>
      <c r="AA320" s="38" t="s">
        <v>1687</v>
      </c>
      <c r="AB320" s="38" t="s">
        <v>470</v>
      </c>
      <c r="AC320" s="38" t="s">
        <v>299</v>
      </c>
      <c r="AG320" s="38" t="s">
        <v>312</v>
      </c>
      <c r="AH320" s="38" t="s">
        <v>312</v>
      </c>
      <c r="AI320" s="38" t="s">
        <v>252</v>
      </c>
      <c r="AJ320" s="38">
        <v>0</v>
      </c>
      <c r="AK320" s="38">
        <v>0</v>
      </c>
      <c r="AL320" s="38" t="s">
        <v>252</v>
      </c>
      <c r="AM320" s="38" t="s">
        <v>222</v>
      </c>
      <c r="AN320" s="38">
        <v>4</v>
      </c>
      <c r="AO320" s="38">
        <v>4</v>
      </c>
      <c r="AP320" s="38" t="s">
        <v>184</v>
      </c>
      <c r="AQ320" s="38">
        <v>5939</v>
      </c>
      <c r="AT320" s="64"/>
      <c r="DJ320" s="38">
        <v>100</v>
      </c>
      <c r="DK320" s="38">
        <v>9.5299999999999994</v>
      </c>
      <c r="DL320" s="38" t="s">
        <v>474</v>
      </c>
      <c r="DP320" s="12"/>
      <c r="DR320" s="15"/>
      <c r="EN320" s="38">
        <v>20</v>
      </c>
    </row>
    <row r="321" spans="1:144" s="38" customFormat="1" x14ac:dyDescent="0.25">
      <c r="A321" s="38">
        <v>20</v>
      </c>
      <c r="B321" s="38" t="s">
        <v>466</v>
      </c>
      <c r="C321" s="38" t="s">
        <v>467</v>
      </c>
      <c r="D321" s="38">
        <v>2014</v>
      </c>
      <c r="E321" s="38">
        <v>2010</v>
      </c>
      <c r="F321" s="38" t="s">
        <v>468</v>
      </c>
      <c r="G321" s="38" t="s">
        <v>465</v>
      </c>
      <c r="H321" s="38">
        <f t="shared" si="55"/>
        <v>42.666666666666664</v>
      </c>
      <c r="I321" s="38">
        <f t="shared" si="56"/>
        <v>-84.466666666666669</v>
      </c>
      <c r="J321" s="38">
        <v>268.5</v>
      </c>
      <c r="P321" s="57" t="s">
        <v>186</v>
      </c>
      <c r="Q321" s="57" t="s">
        <v>1518</v>
      </c>
      <c r="R321" s="57"/>
      <c r="S321" s="57"/>
      <c r="W321" s="38" t="s">
        <v>248</v>
      </c>
      <c r="X321" s="38">
        <v>6.6</v>
      </c>
      <c r="AA321" s="38" t="s">
        <v>1687</v>
      </c>
      <c r="AB321" s="38" t="s">
        <v>471</v>
      </c>
      <c r="AC321" s="38" t="s">
        <v>299</v>
      </c>
      <c r="AG321" s="38" t="s">
        <v>312</v>
      </c>
      <c r="AH321" s="38" t="s">
        <v>312</v>
      </c>
      <c r="AI321" s="38" t="s">
        <v>252</v>
      </c>
      <c r="AJ321" s="38">
        <v>0</v>
      </c>
      <c r="AK321" s="38">
        <v>0</v>
      </c>
      <c r="AL321" s="38" t="s">
        <v>252</v>
      </c>
      <c r="AM321" s="38" t="s">
        <v>222</v>
      </c>
      <c r="AN321" s="38">
        <v>4</v>
      </c>
      <c r="AO321" s="38">
        <v>4</v>
      </c>
      <c r="AP321" s="38" t="s">
        <v>184</v>
      </c>
      <c r="AQ321" s="38">
        <v>5064</v>
      </c>
      <c r="AT321" s="64"/>
      <c r="DJ321" s="38">
        <v>100</v>
      </c>
      <c r="DK321" s="38">
        <v>7.8</v>
      </c>
      <c r="DL321" s="38" t="s">
        <v>474</v>
      </c>
      <c r="DP321" s="12"/>
      <c r="DR321" s="15"/>
      <c r="EN321" s="38">
        <v>20</v>
      </c>
    </row>
    <row r="322" spans="1:144" s="38" customFormat="1" x14ac:dyDescent="0.25">
      <c r="A322" s="38">
        <v>20</v>
      </c>
      <c r="B322" s="38" t="s">
        <v>466</v>
      </c>
      <c r="C322" s="38" t="s">
        <v>467</v>
      </c>
      <c r="D322" s="38">
        <v>2014</v>
      </c>
      <c r="E322" s="38">
        <v>2010</v>
      </c>
      <c r="F322" s="38" t="s">
        <v>468</v>
      </c>
      <c r="G322" s="38" t="s">
        <v>465</v>
      </c>
      <c r="H322" s="38">
        <f t="shared" si="55"/>
        <v>42.666666666666664</v>
      </c>
      <c r="I322" s="38">
        <f t="shared" si="56"/>
        <v>-84.466666666666669</v>
      </c>
      <c r="J322" s="38">
        <v>268.5</v>
      </c>
      <c r="P322" s="57" t="s">
        <v>186</v>
      </c>
      <c r="Q322" s="57" t="s">
        <v>1518</v>
      </c>
      <c r="R322" s="57"/>
      <c r="S322" s="57"/>
      <c r="W322" s="38" t="s">
        <v>248</v>
      </c>
      <c r="X322" s="38">
        <v>6.6</v>
      </c>
      <c r="AA322" s="38" t="s">
        <v>1687</v>
      </c>
      <c r="AB322" s="38" t="s">
        <v>472</v>
      </c>
      <c r="AC322" s="38" t="s">
        <v>299</v>
      </c>
      <c r="AG322" s="38" t="s">
        <v>312</v>
      </c>
      <c r="AH322" s="38" t="s">
        <v>312</v>
      </c>
      <c r="AI322" s="38" t="s">
        <v>252</v>
      </c>
      <c r="AJ322" s="38">
        <v>0</v>
      </c>
      <c r="AK322" s="38">
        <v>0</v>
      </c>
      <c r="AL322" s="38" t="s">
        <v>252</v>
      </c>
      <c r="AM322" s="38" t="s">
        <v>222</v>
      </c>
      <c r="AN322" s="38">
        <v>4</v>
      </c>
      <c r="AO322" s="38">
        <v>4</v>
      </c>
      <c r="AP322" s="38" t="s">
        <v>184</v>
      </c>
      <c r="AQ322" s="38">
        <v>5489</v>
      </c>
      <c r="AT322" s="64"/>
      <c r="DJ322" s="38">
        <v>100</v>
      </c>
      <c r="DK322" s="38">
        <v>5.41</v>
      </c>
      <c r="DL322" s="38" t="s">
        <v>474</v>
      </c>
      <c r="DP322" s="12"/>
      <c r="DR322" s="15"/>
      <c r="EN322" s="38">
        <v>20</v>
      </c>
    </row>
    <row r="323" spans="1:144" s="38" customFormat="1" x14ac:dyDescent="0.25">
      <c r="A323" s="38">
        <v>20</v>
      </c>
      <c r="B323" s="38" t="s">
        <v>466</v>
      </c>
      <c r="C323" s="38" t="s">
        <v>467</v>
      </c>
      <c r="D323" s="38">
        <v>2014</v>
      </c>
      <c r="E323" s="38">
        <v>2010</v>
      </c>
      <c r="F323" s="38" t="s">
        <v>468</v>
      </c>
      <c r="G323" s="38" t="s">
        <v>465</v>
      </c>
      <c r="H323" s="38">
        <f t="shared" si="55"/>
        <v>42.666666666666664</v>
      </c>
      <c r="I323" s="38">
        <f t="shared" si="56"/>
        <v>-84.466666666666669</v>
      </c>
      <c r="J323" s="38">
        <v>268.5</v>
      </c>
      <c r="P323" s="57" t="s">
        <v>186</v>
      </c>
      <c r="Q323" s="57" t="s">
        <v>1518</v>
      </c>
      <c r="R323" s="57"/>
      <c r="S323" s="57"/>
      <c r="W323" s="38" t="s">
        <v>248</v>
      </c>
      <c r="X323" s="38">
        <v>6.6</v>
      </c>
      <c r="AA323" s="38" t="s">
        <v>1687</v>
      </c>
      <c r="AB323" s="38" t="s">
        <v>473</v>
      </c>
      <c r="AC323" s="38" t="s">
        <v>299</v>
      </c>
      <c r="AG323" s="38" t="s">
        <v>312</v>
      </c>
      <c r="AH323" s="38" t="s">
        <v>312</v>
      </c>
      <c r="AI323" s="38" t="s">
        <v>252</v>
      </c>
      <c r="AJ323" s="38">
        <v>0</v>
      </c>
      <c r="AK323" s="38">
        <v>0</v>
      </c>
      <c r="AL323" s="38" t="s">
        <v>252</v>
      </c>
      <c r="AM323" s="38" t="s">
        <v>222</v>
      </c>
      <c r="AN323" s="38">
        <v>4</v>
      </c>
      <c r="AO323" s="38">
        <v>4</v>
      </c>
      <c r="AP323" s="38" t="s">
        <v>184</v>
      </c>
      <c r="AQ323" s="38">
        <v>4985</v>
      </c>
      <c r="AT323" s="64"/>
      <c r="DJ323" s="38">
        <v>100</v>
      </c>
      <c r="DK323" s="38">
        <v>6.35</v>
      </c>
      <c r="DL323" s="38" t="s">
        <v>474</v>
      </c>
      <c r="DP323" s="12"/>
      <c r="DR323" s="15"/>
      <c r="EN323" s="38">
        <v>20</v>
      </c>
    </row>
    <row r="324" spans="1:144" s="38" customFormat="1" x14ac:dyDescent="0.25">
      <c r="A324" s="38">
        <v>20</v>
      </c>
      <c r="B324" s="38" t="s">
        <v>466</v>
      </c>
      <c r="C324" s="38" t="s">
        <v>467</v>
      </c>
      <c r="D324" s="38">
        <v>2014</v>
      </c>
      <c r="E324" s="38">
        <v>2010</v>
      </c>
      <c r="F324" s="38" t="s">
        <v>468</v>
      </c>
      <c r="G324" s="38" t="s">
        <v>465</v>
      </c>
      <c r="H324" s="38">
        <f t="shared" si="55"/>
        <v>42.666666666666664</v>
      </c>
      <c r="I324" s="38">
        <f t="shared" si="56"/>
        <v>-84.466666666666669</v>
      </c>
      <c r="J324" s="38">
        <v>268.5</v>
      </c>
      <c r="P324" s="57" t="s">
        <v>186</v>
      </c>
      <c r="Q324" s="57" t="s">
        <v>1518</v>
      </c>
      <c r="R324" s="57"/>
      <c r="S324" s="57"/>
      <c r="W324" s="38" t="s">
        <v>248</v>
      </c>
      <c r="X324" s="38">
        <v>6.6</v>
      </c>
      <c r="AA324" s="38" t="s">
        <v>1687</v>
      </c>
      <c r="AB324" s="38" t="s">
        <v>173</v>
      </c>
      <c r="AC324" s="38" t="s">
        <v>299</v>
      </c>
      <c r="AG324" s="38" t="s">
        <v>312</v>
      </c>
      <c r="AH324" s="38" t="s">
        <v>312</v>
      </c>
      <c r="AI324" s="38" t="s">
        <v>252</v>
      </c>
      <c r="AJ324" s="38">
        <v>0</v>
      </c>
      <c r="AK324" s="38">
        <v>0</v>
      </c>
      <c r="AL324" s="38" t="s">
        <v>252</v>
      </c>
      <c r="AM324" s="38" t="s">
        <v>222</v>
      </c>
      <c r="AN324" s="38">
        <v>4</v>
      </c>
      <c r="AO324" s="38">
        <v>4</v>
      </c>
      <c r="AP324" s="38" t="s">
        <v>184</v>
      </c>
      <c r="AQ324" s="38">
        <v>4057</v>
      </c>
      <c r="AT324" s="64"/>
      <c r="DJ324" s="38">
        <v>100</v>
      </c>
      <c r="DK324" s="38">
        <v>4.8</v>
      </c>
      <c r="DL324" s="38" t="s">
        <v>474</v>
      </c>
      <c r="DP324" s="12"/>
      <c r="DR324" s="15"/>
      <c r="EN324" s="38">
        <v>20</v>
      </c>
    </row>
    <row r="325" spans="1:144" s="31" customFormat="1" x14ac:dyDescent="0.25">
      <c r="A325" s="31">
        <v>20</v>
      </c>
      <c r="B325" s="31" t="s">
        <v>466</v>
      </c>
      <c r="C325" s="31" t="s">
        <v>467</v>
      </c>
      <c r="D325" s="31">
        <v>2014</v>
      </c>
      <c r="E325" s="31">
        <v>2011</v>
      </c>
      <c r="F325" s="31" t="s">
        <v>468</v>
      </c>
      <c r="G325" s="31" t="s">
        <v>465</v>
      </c>
      <c r="H325" s="31">
        <f t="shared" si="55"/>
        <v>42.666666666666664</v>
      </c>
      <c r="I325" s="31">
        <f t="shared" si="56"/>
        <v>-84.466666666666669</v>
      </c>
      <c r="J325" s="31">
        <v>268.5</v>
      </c>
      <c r="P325" s="56" t="s">
        <v>187</v>
      </c>
      <c r="Q325" s="56" t="s">
        <v>1518</v>
      </c>
      <c r="R325" s="56"/>
      <c r="S325" s="56"/>
      <c r="W325" s="31" t="s">
        <v>248</v>
      </c>
      <c r="X325" s="31">
        <v>6.6</v>
      </c>
      <c r="AA325" s="31" t="s">
        <v>1687</v>
      </c>
      <c r="AB325" s="31" t="s">
        <v>326</v>
      </c>
      <c r="AC325" s="31" t="s">
        <v>299</v>
      </c>
      <c r="AG325" s="31" t="s">
        <v>312</v>
      </c>
      <c r="AH325" s="31" t="s">
        <v>312</v>
      </c>
      <c r="AI325" s="31" t="s">
        <v>252</v>
      </c>
      <c r="AJ325" s="31">
        <v>0</v>
      </c>
      <c r="AK325" s="31">
        <v>0</v>
      </c>
      <c r="AL325" s="31" t="s">
        <v>252</v>
      </c>
      <c r="AM325" s="31" t="s">
        <v>222</v>
      </c>
      <c r="AN325" s="31">
        <v>4</v>
      </c>
      <c r="AO325" s="31">
        <v>4</v>
      </c>
      <c r="AP325" s="31" t="s">
        <v>184</v>
      </c>
      <c r="AQ325" s="31">
        <v>3023</v>
      </c>
      <c r="AT325" s="64"/>
      <c r="DJ325" s="31">
        <v>100</v>
      </c>
      <c r="DK325" s="31">
        <v>37.82</v>
      </c>
      <c r="DL325" s="31" t="s">
        <v>474</v>
      </c>
      <c r="DP325" s="12"/>
      <c r="DR325" s="15"/>
      <c r="EN325" s="31">
        <v>20</v>
      </c>
    </row>
    <row r="326" spans="1:144" s="31" customFormat="1" x14ac:dyDescent="0.25">
      <c r="A326" s="31">
        <v>20</v>
      </c>
      <c r="B326" s="31" t="s">
        <v>466</v>
      </c>
      <c r="C326" s="31" t="s">
        <v>467</v>
      </c>
      <c r="D326" s="31">
        <v>2014</v>
      </c>
      <c r="E326" s="31">
        <v>2011</v>
      </c>
      <c r="F326" s="31" t="s">
        <v>468</v>
      </c>
      <c r="G326" s="31" t="s">
        <v>465</v>
      </c>
      <c r="H326" s="31">
        <f t="shared" si="55"/>
        <v>42.666666666666664</v>
      </c>
      <c r="I326" s="31">
        <f t="shared" si="56"/>
        <v>-84.466666666666669</v>
      </c>
      <c r="J326" s="31">
        <v>268.5</v>
      </c>
      <c r="P326" s="56" t="s">
        <v>187</v>
      </c>
      <c r="Q326" s="56" t="s">
        <v>1518</v>
      </c>
      <c r="R326" s="56"/>
      <c r="S326" s="56"/>
      <c r="W326" s="31" t="s">
        <v>248</v>
      </c>
      <c r="X326" s="31">
        <v>6.6</v>
      </c>
      <c r="AA326" s="31" t="s">
        <v>1687</v>
      </c>
      <c r="AB326" s="31" t="s">
        <v>469</v>
      </c>
      <c r="AC326" s="31" t="s">
        <v>299</v>
      </c>
      <c r="AG326" s="31" t="s">
        <v>312</v>
      </c>
      <c r="AH326" s="31" t="s">
        <v>312</v>
      </c>
      <c r="AI326" s="31" t="s">
        <v>252</v>
      </c>
      <c r="AJ326" s="31">
        <v>0</v>
      </c>
      <c r="AK326" s="31">
        <v>0</v>
      </c>
      <c r="AL326" s="31" t="s">
        <v>252</v>
      </c>
      <c r="AM326" s="31" t="s">
        <v>222</v>
      </c>
      <c r="AN326" s="31">
        <v>4</v>
      </c>
      <c r="AO326" s="31">
        <v>4</v>
      </c>
      <c r="AP326" s="31" t="s">
        <v>184</v>
      </c>
      <c r="AQ326" s="31">
        <v>4216</v>
      </c>
      <c r="AT326" s="64"/>
      <c r="DJ326" s="31">
        <v>100</v>
      </c>
      <c r="DK326" s="31">
        <v>34.700000000000003</v>
      </c>
      <c r="DL326" s="31" t="s">
        <v>474</v>
      </c>
      <c r="DP326" s="12"/>
      <c r="DR326" s="15"/>
      <c r="EN326" s="31">
        <v>20</v>
      </c>
    </row>
    <row r="327" spans="1:144" s="31" customFormat="1" x14ac:dyDescent="0.25">
      <c r="A327" s="31">
        <v>20</v>
      </c>
      <c r="B327" s="31" t="s">
        <v>466</v>
      </c>
      <c r="C327" s="31" t="s">
        <v>467</v>
      </c>
      <c r="D327" s="31">
        <v>2014</v>
      </c>
      <c r="E327" s="31">
        <v>2011</v>
      </c>
      <c r="F327" s="31" t="s">
        <v>468</v>
      </c>
      <c r="G327" s="31" t="s">
        <v>465</v>
      </c>
      <c r="H327" s="31">
        <f t="shared" si="55"/>
        <v>42.666666666666664</v>
      </c>
      <c r="I327" s="31">
        <f t="shared" si="56"/>
        <v>-84.466666666666669</v>
      </c>
      <c r="J327" s="31">
        <v>268.5</v>
      </c>
      <c r="P327" s="56" t="s">
        <v>187</v>
      </c>
      <c r="Q327" s="56" t="s">
        <v>1518</v>
      </c>
      <c r="R327" s="56"/>
      <c r="S327" s="56"/>
      <c r="W327" s="31" t="s">
        <v>248</v>
      </c>
      <c r="X327" s="31">
        <v>6.6</v>
      </c>
      <c r="AA327" s="31" t="s">
        <v>1687</v>
      </c>
      <c r="AB327" s="31" t="s">
        <v>470</v>
      </c>
      <c r="AC327" s="31" t="s">
        <v>299</v>
      </c>
      <c r="AG327" s="31" t="s">
        <v>312</v>
      </c>
      <c r="AH327" s="31" t="s">
        <v>312</v>
      </c>
      <c r="AI327" s="31" t="s">
        <v>252</v>
      </c>
      <c r="AJ327" s="31">
        <v>0</v>
      </c>
      <c r="AK327" s="31">
        <v>0</v>
      </c>
      <c r="AL327" s="31" t="s">
        <v>252</v>
      </c>
      <c r="AM327" s="31" t="s">
        <v>222</v>
      </c>
      <c r="AN327" s="31">
        <v>4</v>
      </c>
      <c r="AO327" s="31">
        <v>4</v>
      </c>
      <c r="AP327" s="31" t="s">
        <v>184</v>
      </c>
      <c r="AQ327" s="31">
        <v>4375</v>
      </c>
      <c r="AT327" s="64"/>
      <c r="DJ327" s="31">
        <v>100</v>
      </c>
      <c r="DK327" s="31">
        <v>30.66</v>
      </c>
      <c r="DL327" s="31" t="s">
        <v>474</v>
      </c>
      <c r="DP327" s="12"/>
      <c r="DR327" s="15"/>
      <c r="EN327" s="31">
        <v>20</v>
      </c>
    </row>
    <row r="328" spans="1:144" s="31" customFormat="1" x14ac:dyDescent="0.25">
      <c r="A328" s="31">
        <v>20</v>
      </c>
      <c r="B328" s="31" t="s">
        <v>466</v>
      </c>
      <c r="C328" s="31" t="s">
        <v>467</v>
      </c>
      <c r="D328" s="31">
        <v>2014</v>
      </c>
      <c r="E328" s="31">
        <v>2011</v>
      </c>
      <c r="F328" s="31" t="s">
        <v>468</v>
      </c>
      <c r="G328" s="31" t="s">
        <v>465</v>
      </c>
      <c r="H328" s="31">
        <f t="shared" si="55"/>
        <v>42.666666666666664</v>
      </c>
      <c r="I328" s="31">
        <f t="shared" si="56"/>
        <v>-84.466666666666669</v>
      </c>
      <c r="J328" s="31">
        <v>268.5</v>
      </c>
      <c r="P328" s="56" t="s">
        <v>187</v>
      </c>
      <c r="Q328" s="56" t="s">
        <v>1518</v>
      </c>
      <c r="R328" s="56"/>
      <c r="S328" s="56"/>
      <c r="W328" s="31" t="s">
        <v>248</v>
      </c>
      <c r="X328" s="31">
        <v>6.6</v>
      </c>
      <c r="AA328" s="31" t="s">
        <v>1687</v>
      </c>
      <c r="AB328" s="31" t="s">
        <v>471</v>
      </c>
      <c r="AC328" s="31" t="s">
        <v>299</v>
      </c>
      <c r="AG328" s="31" t="s">
        <v>312</v>
      </c>
      <c r="AH328" s="31" t="s">
        <v>312</v>
      </c>
      <c r="AI328" s="31" t="s">
        <v>252</v>
      </c>
      <c r="AJ328" s="31">
        <v>0</v>
      </c>
      <c r="AK328" s="31">
        <v>0</v>
      </c>
      <c r="AL328" s="31" t="s">
        <v>252</v>
      </c>
      <c r="AM328" s="31" t="s">
        <v>222</v>
      </c>
      <c r="AN328" s="31">
        <v>4</v>
      </c>
      <c r="AO328" s="31">
        <v>4</v>
      </c>
      <c r="AP328" s="31" t="s">
        <v>184</v>
      </c>
      <c r="AQ328" s="31">
        <v>3500</v>
      </c>
      <c r="AT328" s="64"/>
      <c r="DJ328" s="31">
        <v>100</v>
      </c>
      <c r="DK328" s="31">
        <v>8.5</v>
      </c>
      <c r="DL328" s="31" t="s">
        <v>474</v>
      </c>
      <c r="DP328" s="12"/>
      <c r="DR328" s="15"/>
      <c r="EN328" s="31">
        <v>20</v>
      </c>
    </row>
    <row r="329" spans="1:144" s="31" customFormat="1" x14ac:dyDescent="0.25">
      <c r="A329" s="31">
        <v>20</v>
      </c>
      <c r="B329" s="31" t="s">
        <v>466</v>
      </c>
      <c r="C329" s="31" t="s">
        <v>467</v>
      </c>
      <c r="D329" s="31">
        <v>2014</v>
      </c>
      <c r="E329" s="31">
        <v>2011</v>
      </c>
      <c r="F329" s="31" t="s">
        <v>468</v>
      </c>
      <c r="G329" s="31" t="s">
        <v>465</v>
      </c>
      <c r="H329" s="31">
        <f t="shared" si="55"/>
        <v>42.666666666666664</v>
      </c>
      <c r="I329" s="31">
        <f t="shared" si="56"/>
        <v>-84.466666666666669</v>
      </c>
      <c r="J329" s="31">
        <v>268.5</v>
      </c>
      <c r="P329" s="56" t="s">
        <v>187</v>
      </c>
      <c r="Q329" s="56" t="s">
        <v>1518</v>
      </c>
      <c r="R329" s="56"/>
      <c r="S329" s="56"/>
      <c r="W329" s="31" t="s">
        <v>248</v>
      </c>
      <c r="X329" s="31">
        <v>6.6</v>
      </c>
      <c r="AA329" s="31" t="s">
        <v>1687</v>
      </c>
      <c r="AB329" s="31" t="s">
        <v>472</v>
      </c>
      <c r="AC329" s="31" t="s">
        <v>299</v>
      </c>
      <c r="AG329" s="31" t="s">
        <v>312</v>
      </c>
      <c r="AH329" s="31" t="s">
        <v>312</v>
      </c>
      <c r="AI329" s="31" t="s">
        <v>252</v>
      </c>
      <c r="AJ329" s="31">
        <v>0</v>
      </c>
      <c r="AK329" s="31">
        <v>0</v>
      </c>
      <c r="AL329" s="31" t="s">
        <v>252</v>
      </c>
      <c r="AM329" s="31" t="s">
        <v>222</v>
      </c>
      <c r="AN329" s="31">
        <v>4</v>
      </c>
      <c r="AO329" s="31">
        <v>4</v>
      </c>
      <c r="AP329" s="31" t="s">
        <v>184</v>
      </c>
      <c r="AQ329" s="31">
        <v>4322</v>
      </c>
      <c r="AT329" s="64"/>
      <c r="DJ329" s="31">
        <v>100</v>
      </c>
      <c r="DK329" s="31">
        <v>13.16</v>
      </c>
      <c r="DL329" s="31" t="s">
        <v>474</v>
      </c>
      <c r="DP329" s="12"/>
      <c r="DR329" s="15"/>
      <c r="EN329" s="31">
        <v>20</v>
      </c>
    </row>
    <row r="330" spans="1:144" s="31" customFormat="1" x14ac:dyDescent="0.25">
      <c r="A330" s="31">
        <v>20</v>
      </c>
      <c r="B330" s="31" t="s">
        <v>466</v>
      </c>
      <c r="C330" s="31" t="s">
        <v>467</v>
      </c>
      <c r="D330" s="31">
        <v>2014</v>
      </c>
      <c r="E330" s="31">
        <v>2011</v>
      </c>
      <c r="F330" s="31" t="s">
        <v>468</v>
      </c>
      <c r="G330" s="31" t="s">
        <v>465</v>
      </c>
      <c r="H330" s="31">
        <f t="shared" si="55"/>
        <v>42.666666666666664</v>
      </c>
      <c r="I330" s="31">
        <f t="shared" si="56"/>
        <v>-84.466666666666669</v>
      </c>
      <c r="J330" s="31">
        <v>268.5</v>
      </c>
      <c r="P330" s="56" t="s">
        <v>187</v>
      </c>
      <c r="Q330" s="56" t="s">
        <v>1518</v>
      </c>
      <c r="R330" s="56"/>
      <c r="S330" s="56"/>
      <c r="W330" s="31" t="s">
        <v>248</v>
      </c>
      <c r="X330" s="31">
        <v>6.6</v>
      </c>
      <c r="AA330" s="31" t="s">
        <v>1687</v>
      </c>
      <c r="AB330" s="31" t="s">
        <v>473</v>
      </c>
      <c r="AC330" s="31" t="s">
        <v>299</v>
      </c>
      <c r="AG330" s="31" t="s">
        <v>312</v>
      </c>
      <c r="AH330" s="31" t="s">
        <v>312</v>
      </c>
      <c r="AI330" s="31" t="s">
        <v>252</v>
      </c>
      <c r="AJ330" s="31">
        <v>0</v>
      </c>
      <c r="AK330" s="31">
        <v>0</v>
      </c>
      <c r="AL330" s="31" t="s">
        <v>252</v>
      </c>
      <c r="AM330" s="31" t="s">
        <v>222</v>
      </c>
      <c r="AN330" s="31">
        <v>4</v>
      </c>
      <c r="AO330" s="31">
        <v>4</v>
      </c>
      <c r="AP330" s="31" t="s">
        <v>184</v>
      </c>
      <c r="AQ330" s="31">
        <v>3606</v>
      </c>
      <c r="AT330" s="64"/>
      <c r="DJ330" s="31">
        <v>100</v>
      </c>
      <c r="DK330" s="31">
        <v>8.3800000000000008</v>
      </c>
      <c r="DL330" s="31" t="s">
        <v>474</v>
      </c>
      <c r="DP330" s="12"/>
      <c r="DR330" s="15"/>
      <c r="EN330" s="31">
        <v>20</v>
      </c>
    </row>
    <row r="331" spans="1:144" s="31" customFormat="1" x14ac:dyDescent="0.25">
      <c r="A331" s="31">
        <v>20</v>
      </c>
      <c r="B331" s="31" t="s">
        <v>466</v>
      </c>
      <c r="C331" s="31" t="s">
        <v>467</v>
      </c>
      <c r="D331" s="31">
        <v>2014</v>
      </c>
      <c r="E331" s="31">
        <v>2011</v>
      </c>
      <c r="F331" s="31" t="s">
        <v>468</v>
      </c>
      <c r="G331" s="31" t="s">
        <v>465</v>
      </c>
      <c r="H331" s="31">
        <f t="shared" si="55"/>
        <v>42.666666666666664</v>
      </c>
      <c r="I331" s="31">
        <f t="shared" si="56"/>
        <v>-84.466666666666669</v>
      </c>
      <c r="J331" s="31">
        <v>268.5</v>
      </c>
      <c r="P331" s="56" t="s">
        <v>187</v>
      </c>
      <c r="Q331" s="56" t="s">
        <v>1518</v>
      </c>
      <c r="R331" s="56"/>
      <c r="S331" s="56"/>
      <c r="W331" s="31" t="s">
        <v>248</v>
      </c>
      <c r="X331" s="31">
        <v>6.6</v>
      </c>
      <c r="AA331" s="31" t="s">
        <v>1687</v>
      </c>
      <c r="AB331" s="31" t="s">
        <v>173</v>
      </c>
      <c r="AC331" s="31" t="s">
        <v>299</v>
      </c>
      <c r="AG331" s="31" t="s">
        <v>312</v>
      </c>
      <c r="AH331" s="31" t="s">
        <v>312</v>
      </c>
      <c r="AI331" s="31" t="s">
        <v>252</v>
      </c>
      <c r="AJ331" s="31">
        <v>0</v>
      </c>
      <c r="AK331" s="31">
        <v>0</v>
      </c>
      <c r="AL331" s="31" t="s">
        <v>252</v>
      </c>
      <c r="AM331" s="31" t="s">
        <v>222</v>
      </c>
      <c r="AN331" s="31">
        <v>4</v>
      </c>
      <c r="AO331" s="31">
        <v>4</v>
      </c>
      <c r="AP331" s="31" t="s">
        <v>184</v>
      </c>
      <c r="AQ331" s="31">
        <v>3235</v>
      </c>
      <c r="AT331" s="64"/>
      <c r="DJ331" s="31">
        <v>100</v>
      </c>
      <c r="DK331" s="31">
        <v>5.72</v>
      </c>
      <c r="DL331" s="31" t="s">
        <v>474</v>
      </c>
      <c r="DP331" s="12"/>
      <c r="DR331" s="15"/>
      <c r="EN331" s="31">
        <v>20</v>
      </c>
    </row>
    <row r="332" spans="1:144" s="42" customFormat="1" x14ac:dyDescent="0.25">
      <c r="A332" s="42">
        <v>21</v>
      </c>
      <c r="B332" s="42" t="s">
        <v>475</v>
      </c>
      <c r="C332" s="42" t="s">
        <v>476</v>
      </c>
      <c r="D332" s="42">
        <v>2013</v>
      </c>
      <c r="E332" s="42">
        <v>2009</v>
      </c>
      <c r="F332" s="42" t="s">
        <v>477</v>
      </c>
      <c r="G332" s="42" t="s">
        <v>481</v>
      </c>
      <c r="H332" s="42">
        <v>38.92</v>
      </c>
      <c r="I332" s="42">
        <v>-76.150000000000006</v>
      </c>
      <c r="J332" s="42">
        <v>4.8</v>
      </c>
      <c r="P332" s="59" t="s">
        <v>186</v>
      </c>
      <c r="Q332" s="59"/>
      <c r="R332" s="59" t="s">
        <v>485</v>
      </c>
      <c r="S332" s="59" t="s">
        <v>658</v>
      </c>
      <c r="AB332" s="42" t="s">
        <v>479</v>
      </c>
      <c r="AC332" s="42" t="s">
        <v>492</v>
      </c>
      <c r="AJ332" s="42" t="s">
        <v>478</v>
      </c>
      <c r="AK332" s="42" t="s">
        <v>478</v>
      </c>
      <c r="AL332" s="42" t="s">
        <v>252</v>
      </c>
      <c r="AM332" s="42" t="s">
        <v>222</v>
      </c>
      <c r="AN332" s="42">
        <v>4</v>
      </c>
      <c r="AO332" s="42">
        <v>4</v>
      </c>
      <c r="AP332" s="42" t="s">
        <v>184</v>
      </c>
      <c r="AT332" s="63"/>
      <c r="DM332" s="42">
        <v>0.2</v>
      </c>
      <c r="DN332" s="42">
        <v>0.2</v>
      </c>
      <c r="DO332" s="42" t="s">
        <v>484</v>
      </c>
      <c r="DP332" s="12"/>
      <c r="DR332" s="15"/>
      <c r="EL332" s="42" t="s">
        <v>491</v>
      </c>
      <c r="EM332" s="42" t="s">
        <v>942</v>
      </c>
      <c r="EN332" s="42">
        <v>21</v>
      </c>
    </row>
    <row r="333" spans="1:144" s="42" customFormat="1" x14ac:dyDescent="0.25">
      <c r="A333" s="42">
        <v>21</v>
      </c>
      <c r="B333" s="42" t="s">
        <v>475</v>
      </c>
      <c r="C333" s="42" t="s">
        <v>476</v>
      </c>
      <c r="D333" s="42">
        <v>2013</v>
      </c>
      <c r="E333" s="42">
        <v>2009</v>
      </c>
      <c r="F333" s="42" t="s">
        <v>477</v>
      </c>
      <c r="G333" s="42" t="s">
        <v>481</v>
      </c>
      <c r="H333" s="42">
        <v>38.92</v>
      </c>
      <c r="I333" s="42">
        <v>-76.150000000000006</v>
      </c>
      <c r="J333" s="42">
        <v>4.8</v>
      </c>
      <c r="P333" s="59" t="s">
        <v>186</v>
      </c>
      <c r="Q333" s="59"/>
      <c r="R333" s="59" t="s">
        <v>486</v>
      </c>
      <c r="S333" s="59" t="s">
        <v>658</v>
      </c>
      <c r="AB333" s="42" t="s">
        <v>479</v>
      </c>
      <c r="AC333" s="42" t="s">
        <v>492</v>
      </c>
      <c r="AJ333" s="42" t="s">
        <v>478</v>
      </c>
      <c r="AK333" s="42" t="s">
        <v>478</v>
      </c>
      <c r="AL333" s="42" t="s">
        <v>252</v>
      </c>
      <c r="AM333" s="42" t="s">
        <v>222</v>
      </c>
      <c r="AN333" s="42">
        <v>4</v>
      </c>
      <c r="AO333" s="42">
        <v>4</v>
      </c>
      <c r="AP333" s="42" t="s">
        <v>184</v>
      </c>
      <c r="AT333" s="63"/>
      <c r="DM333" s="42">
        <v>1.79</v>
      </c>
      <c r="DN333" s="42">
        <v>2.71</v>
      </c>
      <c r="DO333" s="42" t="s">
        <v>484</v>
      </c>
      <c r="DP333" s="12"/>
      <c r="DR333" s="15"/>
      <c r="EL333" s="42" t="s">
        <v>491</v>
      </c>
      <c r="EM333" s="42" t="s">
        <v>942</v>
      </c>
      <c r="EN333" s="42">
        <v>21</v>
      </c>
    </row>
    <row r="334" spans="1:144" s="42" customFormat="1" x14ac:dyDescent="0.25">
      <c r="A334" s="42">
        <v>21</v>
      </c>
      <c r="B334" s="42" t="s">
        <v>475</v>
      </c>
      <c r="C334" s="42" t="s">
        <v>476</v>
      </c>
      <c r="D334" s="42">
        <v>2013</v>
      </c>
      <c r="E334" s="42">
        <v>2009</v>
      </c>
      <c r="F334" s="42" t="s">
        <v>477</v>
      </c>
      <c r="G334" s="42" t="s">
        <v>481</v>
      </c>
      <c r="H334" s="42">
        <v>38.92</v>
      </c>
      <c r="I334" s="42">
        <v>-76.150000000000006</v>
      </c>
      <c r="J334" s="42">
        <v>4.8</v>
      </c>
      <c r="P334" s="59" t="s">
        <v>186</v>
      </c>
      <c r="Q334" s="59"/>
      <c r="R334" s="59" t="s">
        <v>487</v>
      </c>
      <c r="S334" s="59" t="s">
        <v>658</v>
      </c>
      <c r="AB334" s="42" t="s">
        <v>479</v>
      </c>
      <c r="AC334" s="42" t="s">
        <v>492</v>
      </c>
      <c r="AJ334" s="42" t="s">
        <v>478</v>
      </c>
      <c r="AK334" s="42" t="s">
        <v>478</v>
      </c>
      <c r="AL334" s="42" t="s">
        <v>252</v>
      </c>
      <c r="AM334" s="42" t="s">
        <v>222</v>
      </c>
      <c r="AN334" s="42">
        <v>4</v>
      </c>
      <c r="AO334" s="42">
        <v>4</v>
      </c>
      <c r="AP334" s="42" t="s">
        <v>184</v>
      </c>
      <c r="AT334" s="63"/>
      <c r="DM334" s="42">
        <v>4.59</v>
      </c>
      <c r="DN334" s="42">
        <v>3.62</v>
      </c>
      <c r="DO334" s="42" t="s">
        <v>484</v>
      </c>
      <c r="DP334" s="12"/>
      <c r="DR334" s="15"/>
      <c r="EL334" s="42" t="s">
        <v>491</v>
      </c>
      <c r="EM334" s="42" t="s">
        <v>942</v>
      </c>
      <c r="EN334" s="42">
        <v>21</v>
      </c>
    </row>
    <row r="335" spans="1:144" s="42" customFormat="1" x14ac:dyDescent="0.25">
      <c r="A335" s="42">
        <v>21</v>
      </c>
      <c r="B335" s="42" t="s">
        <v>475</v>
      </c>
      <c r="C335" s="42" t="s">
        <v>476</v>
      </c>
      <c r="D335" s="42">
        <v>2013</v>
      </c>
      <c r="E335" s="42">
        <v>2009</v>
      </c>
      <c r="F335" s="42" t="s">
        <v>477</v>
      </c>
      <c r="G335" s="42" t="s">
        <v>481</v>
      </c>
      <c r="H335" s="42">
        <v>38.92</v>
      </c>
      <c r="I335" s="42">
        <v>-76.150000000000006</v>
      </c>
      <c r="J335" s="42">
        <v>4.8</v>
      </c>
      <c r="P335" s="59" t="s">
        <v>186</v>
      </c>
      <c r="Q335" s="59"/>
      <c r="R335" s="59" t="s">
        <v>488</v>
      </c>
      <c r="S335" s="59" t="s">
        <v>658</v>
      </c>
      <c r="AB335" s="42" t="s">
        <v>479</v>
      </c>
      <c r="AC335" s="42" t="s">
        <v>492</v>
      </c>
      <c r="AJ335" s="42" t="s">
        <v>478</v>
      </c>
      <c r="AK335" s="42" t="s">
        <v>478</v>
      </c>
      <c r="AL335" s="42" t="s">
        <v>252</v>
      </c>
      <c r="AM335" s="42" t="s">
        <v>222</v>
      </c>
      <c r="AN335" s="42">
        <v>4</v>
      </c>
      <c r="AO335" s="42">
        <v>4</v>
      </c>
      <c r="AP335" s="42" t="s">
        <v>184</v>
      </c>
      <c r="AT335" s="63"/>
      <c r="DM335" s="42">
        <v>5.23</v>
      </c>
      <c r="DN335" s="42">
        <v>3.39</v>
      </c>
      <c r="DO335" s="42" t="s">
        <v>484</v>
      </c>
      <c r="DP335" s="12"/>
      <c r="DR335" s="15"/>
      <c r="EL335" s="42" t="s">
        <v>491</v>
      </c>
      <c r="EM335" s="42" t="s">
        <v>942</v>
      </c>
      <c r="EN335" s="42">
        <v>21</v>
      </c>
    </row>
    <row r="336" spans="1:144" s="42" customFormat="1" x14ac:dyDescent="0.25">
      <c r="A336" s="42">
        <v>21</v>
      </c>
      <c r="B336" s="42" t="s">
        <v>475</v>
      </c>
      <c r="C336" s="42" t="s">
        <v>476</v>
      </c>
      <c r="D336" s="42">
        <v>2013</v>
      </c>
      <c r="E336" s="42">
        <v>2009</v>
      </c>
      <c r="F336" s="42" t="s">
        <v>477</v>
      </c>
      <c r="G336" s="42" t="s">
        <v>481</v>
      </c>
      <c r="H336" s="42">
        <v>38.92</v>
      </c>
      <c r="I336" s="42">
        <v>-76.150000000000006</v>
      </c>
      <c r="J336" s="42">
        <v>4.8</v>
      </c>
      <c r="P336" s="59" t="s">
        <v>186</v>
      </c>
      <c r="Q336" s="59"/>
      <c r="R336" s="59" t="s">
        <v>489</v>
      </c>
      <c r="S336" s="59" t="s">
        <v>658</v>
      </c>
      <c r="AB336" s="42" t="s">
        <v>479</v>
      </c>
      <c r="AC336" s="42" t="s">
        <v>492</v>
      </c>
      <c r="AJ336" s="42" t="s">
        <v>478</v>
      </c>
      <c r="AK336" s="42" t="s">
        <v>478</v>
      </c>
      <c r="AL336" s="42" t="s">
        <v>252</v>
      </c>
      <c r="AM336" s="42" t="s">
        <v>222</v>
      </c>
      <c r="AN336" s="42">
        <v>4</v>
      </c>
      <c r="AO336" s="42">
        <v>4</v>
      </c>
      <c r="AP336" s="42" t="s">
        <v>184</v>
      </c>
      <c r="AT336" s="63"/>
      <c r="DM336" s="42">
        <v>1.19</v>
      </c>
      <c r="DN336" s="42">
        <v>0.5</v>
      </c>
      <c r="DO336" s="42" t="s">
        <v>484</v>
      </c>
      <c r="DP336" s="12"/>
      <c r="DR336" s="15"/>
      <c r="EL336" s="42" t="s">
        <v>491</v>
      </c>
      <c r="EM336" s="42" t="s">
        <v>942</v>
      </c>
      <c r="EN336" s="42">
        <v>21</v>
      </c>
    </row>
    <row r="337" spans="1:144" s="26" customFormat="1" x14ac:dyDescent="0.25">
      <c r="A337" s="26">
        <v>21</v>
      </c>
      <c r="B337" s="26" t="s">
        <v>475</v>
      </c>
      <c r="C337" s="26" t="s">
        <v>476</v>
      </c>
      <c r="D337" s="26">
        <v>2013</v>
      </c>
      <c r="E337" s="26">
        <v>2010</v>
      </c>
      <c r="F337" s="26" t="s">
        <v>477</v>
      </c>
      <c r="G337" s="26" t="s">
        <v>481</v>
      </c>
      <c r="H337" s="26">
        <v>38.92</v>
      </c>
      <c r="I337" s="26">
        <v>-76.150000000000006</v>
      </c>
      <c r="J337" s="26">
        <v>4.8</v>
      </c>
      <c r="P337" s="52" t="s">
        <v>187</v>
      </c>
      <c r="Q337" s="52"/>
      <c r="R337" s="52" t="s">
        <v>485</v>
      </c>
      <c r="S337" s="52" t="s">
        <v>658</v>
      </c>
      <c r="AB337" s="26" t="s">
        <v>479</v>
      </c>
      <c r="AC337" s="26" t="s">
        <v>492</v>
      </c>
      <c r="AJ337" s="26" t="s">
        <v>478</v>
      </c>
      <c r="AK337" s="26" t="s">
        <v>478</v>
      </c>
      <c r="AL337" s="26" t="s">
        <v>252</v>
      </c>
      <c r="AM337" s="26" t="s">
        <v>222</v>
      </c>
      <c r="AN337" s="26">
        <v>4</v>
      </c>
      <c r="AO337" s="26">
        <v>4</v>
      </c>
      <c r="AP337" s="26" t="s">
        <v>184</v>
      </c>
      <c r="AT337" s="63"/>
      <c r="DM337" s="26">
        <v>0.01</v>
      </c>
      <c r="DN337" s="26">
        <v>0.01</v>
      </c>
      <c r="DO337" s="26" t="s">
        <v>484</v>
      </c>
      <c r="DP337" s="12"/>
      <c r="DR337" s="15"/>
      <c r="EL337" s="26" t="s">
        <v>491</v>
      </c>
      <c r="EM337" s="26" t="s">
        <v>942</v>
      </c>
      <c r="EN337" s="26">
        <v>21</v>
      </c>
    </row>
    <row r="338" spans="1:144" s="26" customFormat="1" x14ac:dyDescent="0.25">
      <c r="A338" s="26">
        <v>21</v>
      </c>
      <c r="B338" s="26" t="s">
        <v>475</v>
      </c>
      <c r="C338" s="26" t="s">
        <v>476</v>
      </c>
      <c r="D338" s="26">
        <v>2013</v>
      </c>
      <c r="E338" s="26">
        <v>2010</v>
      </c>
      <c r="F338" s="26" t="s">
        <v>477</v>
      </c>
      <c r="G338" s="26" t="s">
        <v>481</v>
      </c>
      <c r="H338" s="26">
        <v>38.92</v>
      </c>
      <c r="I338" s="26">
        <v>-76.150000000000006</v>
      </c>
      <c r="J338" s="26">
        <v>4.8</v>
      </c>
      <c r="P338" s="52" t="s">
        <v>187</v>
      </c>
      <c r="Q338" s="52"/>
      <c r="R338" s="52" t="s">
        <v>486</v>
      </c>
      <c r="S338" s="52" t="s">
        <v>658</v>
      </c>
      <c r="AB338" s="26" t="s">
        <v>479</v>
      </c>
      <c r="AC338" s="26" t="s">
        <v>492</v>
      </c>
      <c r="AJ338" s="26" t="s">
        <v>478</v>
      </c>
      <c r="AK338" s="26" t="s">
        <v>478</v>
      </c>
      <c r="AL338" s="26" t="s">
        <v>252</v>
      </c>
      <c r="AM338" s="26" t="s">
        <v>222</v>
      </c>
      <c r="AN338" s="26">
        <v>4</v>
      </c>
      <c r="AO338" s="26">
        <v>4</v>
      </c>
      <c r="AP338" s="26" t="s">
        <v>184</v>
      </c>
      <c r="AT338" s="63"/>
      <c r="DM338" s="26">
        <v>0.18</v>
      </c>
      <c r="DN338" s="26">
        <v>0.09</v>
      </c>
      <c r="DO338" s="26" t="s">
        <v>484</v>
      </c>
      <c r="DP338" s="12"/>
      <c r="DR338" s="15"/>
      <c r="EL338" s="26" t="s">
        <v>491</v>
      </c>
      <c r="EM338" s="26" t="s">
        <v>942</v>
      </c>
      <c r="EN338" s="26">
        <v>21</v>
      </c>
    </row>
    <row r="339" spans="1:144" s="26" customFormat="1" x14ac:dyDescent="0.25">
      <c r="A339" s="26">
        <v>21</v>
      </c>
      <c r="B339" s="26" t="s">
        <v>475</v>
      </c>
      <c r="C339" s="26" t="s">
        <v>476</v>
      </c>
      <c r="D339" s="26">
        <v>2013</v>
      </c>
      <c r="E339" s="26">
        <v>2010</v>
      </c>
      <c r="F339" s="26" t="s">
        <v>477</v>
      </c>
      <c r="G339" s="26" t="s">
        <v>481</v>
      </c>
      <c r="H339" s="26">
        <v>38.92</v>
      </c>
      <c r="I339" s="26">
        <v>-76.150000000000006</v>
      </c>
      <c r="J339" s="26">
        <v>4.8</v>
      </c>
      <c r="P339" s="52" t="s">
        <v>187</v>
      </c>
      <c r="Q339" s="52"/>
      <c r="R339" s="52" t="s">
        <v>487</v>
      </c>
      <c r="S339" s="52" t="s">
        <v>658</v>
      </c>
      <c r="AB339" s="26" t="s">
        <v>479</v>
      </c>
      <c r="AC339" s="26" t="s">
        <v>492</v>
      </c>
      <c r="AJ339" s="26" t="s">
        <v>478</v>
      </c>
      <c r="AK339" s="26" t="s">
        <v>478</v>
      </c>
      <c r="AL339" s="26" t="s">
        <v>252</v>
      </c>
      <c r="AM339" s="26" t="s">
        <v>222</v>
      </c>
      <c r="AN339" s="26">
        <v>4</v>
      </c>
      <c r="AO339" s="26">
        <v>4</v>
      </c>
      <c r="AP339" s="26" t="s">
        <v>184</v>
      </c>
      <c r="AT339" s="63"/>
      <c r="DM339" s="26">
        <v>1.83</v>
      </c>
      <c r="DN339" s="26">
        <v>1.06</v>
      </c>
      <c r="DO339" s="26" t="s">
        <v>484</v>
      </c>
      <c r="DP339" s="12"/>
      <c r="DR339" s="15"/>
      <c r="EL339" s="26" t="s">
        <v>491</v>
      </c>
      <c r="EM339" s="26" t="s">
        <v>942</v>
      </c>
      <c r="EN339" s="26">
        <v>21</v>
      </c>
    </row>
    <row r="340" spans="1:144" s="26" customFormat="1" x14ac:dyDescent="0.25">
      <c r="A340" s="26">
        <v>21</v>
      </c>
      <c r="B340" s="26" t="s">
        <v>475</v>
      </c>
      <c r="C340" s="26" t="s">
        <v>476</v>
      </c>
      <c r="D340" s="26">
        <v>2013</v>
      </c>
      <c r="E340" s="26">
        <v>2010</v>
      </c>
      <c r="F340" s="26" t="s">
        <v>477</v>
      </c>
      <c r="G340" s="26" t="s">
        <v>481</v>
      </c>
      <c r="H340" s="26">
        <v>38.92</v>
      </c>
      <c r="I340" s="26">
        <v>-76.150000000000006</v>
      </c>
      <c r="J340" s="26">
        <v>4.8</v>
      </c>
      <c r="P340" s="52" t="s">
        <v>187</v>
      </c>
      <c r="Q340" s="52"/>
      <c r="R340" s="52" t="s">
        <v>488</v>
      </c>
      <c r="S340" s="52" t="s">
        <v>658</v>
      </c>
      <c r="AB340" s="26" t="s">
        <v>479</v>
      </c>
      <c r="AC340" s="26" t="s">
        <v>492</v>
      </c>
      <c r="AJ340" s="26" t="s">
        <v>478</v>
      </c>
      <c r="AK340" s="26" t="s">
        <v>478</v>
      </c>
      <c r="AL340" s="26" t="s">
        <v>252</v>
      </c>
      <c r="AM340" s="26" t="s">
        <v>222</v>
      </c>
      <c r="AN340" s="26">
        <v>4</v>
      </c>
      <c r="AO340" s="26">
        <v>4</v>
      </c>
      <c r="AP340" s="26" t="s">
        <v>184</v>
      </c>
      <c r="AT340" s="63"/>
      <c r="DM340" s="26">
        <v>2.71</v>
      </c>
      <c r="DN340" s="26">
        <v>3.39</v>
      </c>
      <c r="DO340" s="26" t="s">
        <v>484</v>
      </c>
      <c r="DP340" s="12"/>
      <c r="DR340" s="15"/>
      <c r="EL340" s="26" t="s">
        <v>491</v>
      </c>
      <c r="EM340" s="26" t="s">
        <v>942</v>
      </c>
      <c r="EN340" s="26">
        <v>21</v>
      </c>
    </row>
    <row r="341" spans="1:144" s="26" customFormat="1" x14ac:dyDescent="0.25">
      <c r="A341" s="26">
        <v>21</v>
      </c>
      <c r="B341" s="26" t="s">
        <v>475</v>
      </c>
      <c r="C341" s="26" t="s">
        <v>476</v>
      </c>
      <c r="D341" s="26">
        <v>2013</v>
      </c>
      <c r="E341" s="26">
        <v>2010</v>
      </c>
      <c r="F341" s="26" t="s">
        <v>477</v>
      </c>
      <c r="G341" s="26" t="s">
        <v>481</v>
      </c>
      <c r="H341" s="26">
        <v>38.92</v>
      </c>
      <c r="I341" s="26">
        <v>-76.150000000000006</v>
      </c>
      <c r="J341" s="26">
        <v>4.8</v>
      </c>
      <c r="P341" s="52" t="s">
        <v>187</v>
      </c>
      <c r="Q341" s="52"/>
      <c r="R341" s="52" t="s">
        <v>489</v>
      </c>
      <c r="S341" s="52" t="s">
        <v>658</v>
      </c>
      <c r="AB341" s="26" t="s">
        <v>479</v>
      </c>
      <c r="AC341" s="26" t="s">
        <v>492</v>
      </c>
      <c r="AJ341" s="26" t="s">
        <v>478</v>
      </c>
      <c r="AK341" s="26" t="s">
        <v>478</v>
      </c>
      <c r="AL341" s="26" t="s">
        <v>252</v>
      </c>
      <c r="AM341" s="26" t="s">
        <v>222</v>
      </c>
      <c r="AN341" s="26">
        <v>4</v>
      </c>
      <c r="AO341" s="26">
        <v>4</v>
      </c>
      <c r="AP341" s="26" t="s">
        <v>184</v>
      </c>
      <c r="AT341" s="63"/>
      <c r="DM341" s="26">
        <v>2.75</v>
      </c>
      <c r="DN341" s="26">
        <v>1.65</v>
      </c>
      <c r="DO341" s="26" t="s">
        <v>484</v>
      </c>
      <c r="DP341" s="12"/>
      <c r="DR341" s="15"/>
      <c r="EL341" s="26" t="s">
        <v>491</v>
      </c>
      <c r="EM341" s="26" t="s">
        <v>942</v>
      </c>
      <c r="EN341" s="26">
        <v>21</v>
      </c>
    </row>
    <row r="342" spans="1:144" s="26" customFormat="1" x14ac:dyDescent="0.25">
      <c r="A342" s="26">
        <v>21</v>
      </c>
      <c r="B342" s="26" t="s">
        <v>475</v>
      </c>
      <c r="C342" s="26" t="s">
        <v>476</v>
      </c>
      <c r="D342" s="26">
        <v>2013</v>
      </c>
      <c r="E342" s="26">
        <v>2010</v>
      </c>
      <c r="F342" s="26" t="s">
        <v>477</v>
      </c>
      <c r="G342" s="26" t="s">
        <v>481</v>
      </c>
      <c r="H342" s="26">
        <v>38.92</v>
      </c>
      <c r="I342" s="26">
        <v>-76.150000000000006</v>
      </c>
      <c r="J342" s="26">
        <v>4.8</v>
      </c>
      <c r="P342" s="52" t="s">
        <v>187</v>
      </c>
      <c r="Q342" s="52"/>
      <c r="R342" s="52" t="s">
        <v>490</v>
      </c>
      <c r="S342" s="52" t="s">
        <v>658</v>
      </c>
      <c r="AB342" s="26" t="s">
        <v>479</v>
      </c>
      <c r="AC342" s="26" t="s">
        <v>492</v>
      </c>
      <c r="AJ342" s="26" t="s">
        <v>478</v>
      </c>
      <c r="AK342" s="26" t="s">
        <v>478</v>
      </c>
      <c r="AL342" s="26" t="s">
        <v>252</v>
      </c>
      <c r="AM342" s="26" t="s">
        <v>222</v>
      </c>
      <c r="AN342" s="26">
        <v>4</v>
      </c>
      <c r="AO342" s="26">
        <v>4</v>
      </c>
      <c r="AP342" s="26" t="s">
        <v>184</v>
      </c>
      <c r="AT342" s="63"/>
      <c r="DM342" s="26">
        <v>1.19</v>
      </c>
      <c r="DN342" s="26">
        <v>0.5</v>
      </c>
      <c r="DO342" s="26" t="s">
        <v>484</v>
      </c>
      <c r="DP342" s="12"/>
      <c r="DR342" s="15"/>
      <c r="EL342" s="26" t="s">
        <v>491</v>
      </c>
      <c r="EM342" s="26" t="s">
        <v>942</v>
      </c>
      <c r="EN342" s="26">
        <v>21</v>
      </c>
    </row>
    <row r="343" spans="1:144" s="42" customFormat="1" x14ac:dyDescent="0.25">
      <c r="A343" s="42">
        <v>21</v>
      </c>
      <c r="B343" s="42" t="s">
        <v>475</v>
      </c>
      <c r="C343" s="42" t="s">
        <v>476</v>
      </c>
      <c r="D343" s="42">
        <v>2013</v>
      </c>
      <c r="E343" s="42">
        <v>2009</v>
      </c>
      <c r="F343" s="42" t="s">
        <v>477</v>
      </c>
      <c r="G343" s="42" t="s">
        <v>480</v>
      </c>
      <c r="H343" s="42">
        <v>38.82</v>
      </c>
      <c r="I343" s="42">
        <v>-76.75</v>
      </c>
      <c r="J343" s="42">
        <v>5.5</v>
      </c>
      <c r="P343" s="59" t="s">
        <v>186</v>
      </c>
      <c r="Q343" s="59"/>
      <c r="R343" s="59" t="s">
        <v>485</v>
      </c>
      <c r="S343" s="59" t="s">
        <v>658</v>
      </c>
      <c r="AB343" s="42" t="s">
        <v>479</v>
      </c>
      <c r="AC343" s="42" t="s">
        <v>492</v>
      </c>
      <c r="AJ343" s="42" t="s">
        <v>478</v>
      </c>
      <c r="AK343" s="42" t="s">
        <v>478</v>
      </c>
      <c r="AL343" s="42" t="s">
        <v>252</v>
      </c>
      <c r="AM343" s="42" t="s">
        <v>222</v>
      </c>
      <c r="AN343" s="42">
        <v>4</v>
      </c>
      <c r="AO343" s="42">
        <v>4</v>
      </c>
      <c r="AP343" s="42" t="s">
        <v>184</v>
      </c>
      <c r="AT343" s="63"/>
      <c r="DM343" s="42">
        <v>0.25</v>
      </c>
      <c r="DN343" s="42">
        <v>0.25</v>
      </c>
      <c r="DO343" s="42" t="s">
        <v>484</v>
      </c>
      <c r="DP343" s="12"/>
      <c r="DR343" s="15"/>
      <c r="EL343" s="42" t="s">
        <v>491</v>
      </c>
      <c r="EM343" s="42" t="s">
        <v>942</v>
      </c>
      <c r="EN343" s="42">
        <v>21</v>
      </c>
    </row>
    <row r="344" spans="1:144" s="42" customFormat="1" x14ac:dyDescent="0.25">
      <c r="A344" s="42">
        <v>21</v>
      </c>
      <c r="B344" s="42" t="s">
        <v>475</v>
      </c>
      <c r="C344" s="42" t="s">
        <v>476</v>
      </c>
      <c r="D344" s="42">
        <v>2013</v>
      </c>
      <c r="E344" s="42">
        <v>2009</v>
      </c>
      <c r="F344" s="42" t="s">
        <v>477</v>
      </c>
      <c r="G344" s="42" t="s">
        <v>480</v>
      </c>
      <c r="H344" s="42">
        <v>38.82</v>
      </c>
      <c r="I344" s="42">
        <v>-76.75</v>
      </c>
      <c r="J344" s="42">
        <v>5.5</v>
      </c>
      <c r="P344" s="59" t="s">
        <v>186</v>
      </c>
      <c r="Q344" s="59"/>
      <c r="R344" s="59" t="s">
        <v>486</v>
      </c>
      <c r="S344" s="59" t="s">
        <v>658</v>
      </c>
      <c r="AB344" s="42" t="s">
        <v>479</v>
      </c>
      <c r="AC344" s="42" t="s">
        <v>492</v>
      </c>
      <c r="AJ344" s="42" t="s">
        <v>478</v>
      </c>
      <c r="AK344" s="42" t="s">
        <v>478</v>
      </c>
      <c r="AL344" s="42" t="s">
        <v>252</v>
      </c>
      <c r="AM344" s="42" t="s">
        <v>222</v>
      </c>
      <c r="AN344" s="42">
        <v>4</v>
      </c>
      <c r="AO344" s="42">
        <v>4</v>
      </c>
      <c r="AP344" s="42" t="s">
        <v>184</v>
      </c>
      <c r="AT344" s="63"/>
      <c r="DM344" s="42">
        <v>0.65</v>
      </c>
      <c r="DN344" s="42">
        <v>0.4</v>
      </c>
      <c r="DO344" s="42" t="s">
        <v>484</v>
      </c>
      <c r="DP344" s="12"/>
      <c r="DR344" s="15"/>
      <c r="EL344" s="42" t="s">
        <v>491</v>
      </c>
      <c r="EM344" s="42" t="s">
        <v>942</v>
      </c>
      <c r="EN344" s="42">
        <v>21</v>
      </c>
    </row>
    <row r="345" spans="1:144" s="42" customFormat="1" x14ac:dyDescent="0.25">
      <c r="A345" s="42">
        <v>21</v>
      </c>
      <c r="B345" s="42" t="s">
        <v>475</v>
      </c>
      <c r="C345" s="42" t="s">
        <v>476</v>
      </c>
      <c r="D345" s="42">
        <v>2013</v>
      </c>
      <c r="E345" s="42">
        <v>2009</v>
      </c>
      <c r="F345" s="42" t="s">
        <v>477</v>
      </c>
      <c r="G345" s="42" t="s">
        <v>480</v>
      </c>
      <c r="H345" s="42">
        <v>38.82</v>
      </c>
      <c r="I345" s="42">
        <v>-76.75</v>
      </c>
      <c r="J345" s="42">
        <v>5.5</v>
      </c>
      <c r="P345" s="59" t="s">
        <v>186</v>
      </c>
      <c r="Q345" s="59"/>
      <c r="R345" s="59" t="s">
        <v>487</v>
      </c>
      <c r="S345" s="59" t="s">
        <v>658</v>
      </c>
      <c r="AB345" s="42" t="s">
        <v>479</v>
      </c>
      <c r="AC345" s="42" t="s">
        <v>492</v>
      </c>
      <c r="AJ345" s="42" t="s">
        <v>478</v>
      </c>
      <c r="AK345" s="42" t="s">
        <v>478</v>
      </c>
      <c r="AL345" s="42" t="s">
        <v>252</v>
      </c>
      <c r="AM345" s="42" t="s">
        <v>222</v>
      </c>
      <c r="AN345" s="42">
        <v>4</v>
      </c>
      <c r="AO345" s="42">
        <v>4</v>
      </c>
      <c r="AP345" s="42" t="s">
        <v>184</v>
      </c>
      <c r="AT345" s="63"/>
      <c r="DM345" s="42">
        <v>4.32</v>
      </c>
      <c r="DN345" s="42">
        <v>4.32</v>
      </c>
      <c r="DO345" s="42" t="s">
        <v>484</v>
      </c>
      <c r="DP345" s="12"/>
      <c r="DR345" s="15"/>
      <c r="EL345" s="42" t="s">
        <v>491</v>
      </c>
      <c r="EM345" s="42" t="s">
        <v>942</v>
      </c>
      <c r="EN345" s="42">
        <v>21</v>
      </c>
    </row>
    <row r="346" spans="1:144" s="42" customFormat="1" x14ac:dyDescent="0.25">
      <c r="A346" s="42">
        <v>21</v>
      </c>
      <c r="B346" s="42" t="s">
        <v>475</v>
      </c>
      <c r="C346" s="42" t="s">
        <v>476</v>
      </c>
      <c r="D346" s="42">
        <v>2013</v>
      </c>
      <c r="E346" s="42">
        <v>2009</v>
      </c>
      <c r="F346" s="42" t="s">
        <v>477</v>
      </c>
      <c r="G346" s="42" t="s">
        <v>480</v>
      </c>
      <c r="H346" s="42">
        <v>38.82</v>
      </c>
      <c r="I346" s="42">
        <v>-76.75</v>
      </c>
      <c r="J346" s="42">
        <v>5.5</v>
      </c>
      <c r="P346" s="59" t="s">
        <v>186</v>
      </c>
      <c r="Q346" s="59"/>
      <c r="R346" s="59" t="s">
        <v>488</v>
      </c>
      <c r="S346" s="59" t="s">
        <v>658</v>
      </c>
      <c r="AB346" s="42" t="s">
        <v>479</v>
      </c>
      <c r="AC346" s="42" t="s">
        <v>492</v>
      </c>
      <c r="AJ346" s="42" t="s">
        <v>478</v>
      </c>
      <c r="AK346" s="42" t="s">
        <v>478</v>
      </c>
      <c r="AL346" s="42" t="s">
        <v>252</v>
      </c>
      <c r="AM346" s="42" t="s">
        <v>222</v>
      </c>
      <c r="AN346" s="42">
        <v>4</v>
      </c>
      <c r="AO346" s="42">
        <v>4</v>
      </c>
      <c r="AP346" s="42" t="s">
        <v>184</v>
      </c>
      <c r="AT346" s="63"/>
      <c r="DM346" s="42">
        <v>5.68</v>
      </c>
      <c r="DN346" s="42">
        <v>2.56</v>
      </c>
      <c r="DO346" s="42" t="s">
        <v>484</v>
      </c>
      <c r="DP346" s="12"/>
      <c r="DR346" s="15"/>
      <c r="EL346" s="42" t="s">
        <v>491</v>
      </c>
      <c r="EM346" s="42" t="s">
        <v>942</v>
      </c>
      <c r="EN346" s="42">
        <v>21</v>
      </c>
    </row>
    <row r="347" spans="1:144" s="42" customFormat="1" x14ac:dyDescent="0.25">
      <c r="A347" s="42">
        <v>21</v>
      </c>
      <c r="B347" s="42" t="s">
        <v>475</v>
      </c>
      <c r="C347" s="42" t="s">
        <v>476</v>
      </c>
      <c r="D347" s="42">
        <v>2013</v>
      </c>
      <c r="E347" s="42">
        <v>2009</v>
      </c>
      <c r="F347" s="42" t="s">
        <v>477</v>
      </c>
      <c r="G347" s="42" t="s">
        <v>480</v>
      </c>
      <c r="H347" s="42">
        <v>38.82</v>
      </c>
      <c r="I347" s="42">
        <v>-76.75</v>
      </c>
      <c r="J347" s="42">
        <v>5.5</v>
      </c>
      <c r="P347" s="59" t="s">
        <v>186</v>
      </c>
      <c r="Q347" s="59"/>
      <c r="R347" s="59" t="s">
        <v>489</v>
      </c>
      <c r="S347" s="59" t="s">
        <v>658</v>
      </c>
      <c r="AB347" s="42" t="s">
        <v>479</v>
      </c>
      <c r="AC347" s="42" t="s">
        <v>492</v>
      </c>
      <c r="AJ347" s="42" t="s">
        <v>478</v>
      </c>
      <c r="AK347" s="42" t="s">
        <v>478</v>
      </c>
      <c r="AL347" s="42" t="s">
        <v>252</v>
      </c>
      <c r="AM347" s="42" t="s">
        <v>222</v>
      </c>
      <c r="AN347" s="42">
        <v>4</v>
      </c>
      <c r="AO347" s="42">
        <v>4</v>
      </c>
      <c r="AP347" s="42" t="s">
        <v>184</v>
      </c>
      <c r="AT347" s="63"/>
      <c r="DM347" s="42">
        <v>3.47</v>
      </c>
      <c r="DN347" s="42">
        <v>0.8</v>
      </c>
      <c r="DO347" s="42" t="s">
        <v>484</v>
      </c>
      <c r="DP347" s="12"/>
      <c r="DR347" s="15"/>
      <c r="EL347" s="42" t="s">
        <v>491</v>
      </c>
      <c r="EM347" s="42" t="s">
        <v>942</v>
      </c>
      <c r="EN347" s="42">
        <v>21</v>
      </c>
    </row>
    <row r="348" spans="1:144" s="26" customFormat="1" x14ac:dyDescent="0.25">
      <c r="A348" s="26">
        <v>21</v>
      </c>
      <c r="B348" s="26" t="s">
        <v>475</v>
      </c>
      <c r="C348" s="26" t="s">
        <v>476</v>
      </c>
      <c r="D348" s="26">
        <v>2013</v>
      </c>
      <c r="E348" s="26">
        <v>2010</v>
      </c>
      <c r="F348" s="26" t="s">
        <v>477</v>
      </c>
      <c r="G348" s="26" t="s">
        <v>480</v>
      </c>
      <c r="H348" s="26">
        <v>38.82</v>
      </c>
      <c r="I348" s="26">
        <v>-76.75</v>
      </c>
      <c r="J348" s="26">
        <v>5.5</v>
      </c>
      <c r="P348" s="52" t="s">
        <v>187</v>
      </c>
      <c r="Q348" s="52"/>
      <c r="R348" s="52" t="s">
        <v>485</v>
      </c>
      <c r="S348" s="52" t="s">
        <v>658</v>
      </c>
      <c r="AB348" s="26" t="s">
        <v>479</v>
      </c>
      <c r="AC348" s="26" t="s">
        <v>492</v>
      </c>
      <c r="AJ348" s="26" t="s">
        <v>478</v>
      </c>
      <c r="AK348" s="26" t="s">
        <v>478</v>
      </c>
      <c r="AL348" s="26" t="s">
        <v>252</v>
      </c>
      <c r="AM348" s="26" t="s">
        <v>222</v>
      </c>
      <c r="AN348" s="26">
        <v>4</v>
      </c>
      <c r="AO348" s="26">
        <v>4</v>
      </c>
      <c r="AP348" s="26" t="s">
        <v>184</v>
      </c>
      <c r="AT348" s="63"/>
      <c r="DM348" s="26">
        <v>0.01</v>
      </c>
      <c r="DN348" s="26">
        <v>0.01</v>
      </c>
      <c r="DO348" s="26" t="s">
        <v>484</v>
      </c>
      <c r="DP348" s="12"/>
      <c r="DR348" s="15"/>
      <c r="EL348" s="26" t="s">
        <v>491</v>
      </c>
      <c r="EM348" s="26" t="s">
        <v>942</v>
      </c>
      <c r="EN348" s="26">
        <v>21</v>
      </c>
    </row>
    <row r="349" spans="1:144" s="26" customFormat="1" x14ac:dyDescent="0.25">
      <c r="A349" s="26">
        <v>21</v>
      </c>
      <c r="B349" s="26" t="s">
        <v>475</v>
      </c>
      <c r="C349" s="26" t="s">
        <v>476</v>
      </c>
      <c r="D349" s="26">
        <v>2013</v>
      </c>
      <c r="E349" s="26">
        <v>2010</v>
      </c>
      <c r="F349" s="26" t="s">
        <v>477</v>
      </c>
      <c r="G349" s="26" t="s">
        <v>480</v>
      </c>
      <c r="H349" s="26">
        <v>38.82</v>
      </c>
      <c r="I349" s="26">
        <v>-76.75</v>
      </c>
      <c r="J349" s="26">
        <v>5.5</v>
      </c>
      <c r="P349" s="52" t="s">
        <v>187</v>
      </c>
      <c r="Q349" s="52"/>
      <c r="R349" s="52" t="s">
        <v>486</v>
      </c>
      <c r="S349" s="52" t="s">
        <v>658</v>
      </c>
      <c r="AB349" s="26" t="s">
        <v>479</v>
      </c>
      <c r="AC349" s="26" t="s">
        <v>492</v>
      </c>
      <c r="AJ349" s="26" t="s">
        <v>478</v>
      </c>
      <c r="AK349" s="26" t="s">
        <v>478</v>
      </c>
      <c r="AL349" s="26" t="s">
        <v>252</v>
      </c>
      <c r="AM349" s="26" t="s">
        <v>222</v>
      </c>
      <c r="AN349" s="26">
        <v>4</v>
      </c>
      <c r="AO349" s="26">
        <v>4</v>
      </c>
      <c r="AP349" s="26" t="s">
        <v>184</v>
      </c>
      <c r="AT349" s="63"/>
      <c r="DM349" s="26">
        <v>0.14000000000000001</v>
      </c>
      <c r="DN349" s="26">
        <v>0.09</v>
      </c>
      <c r="DO349" s="26" t="s">
        <v>484</v>
      </c>
      <c r="DP349" s="12"/>
      <c r="DR349" s="15"/>
      <c r="EL349" s="26" t="s">
        <v>491</v>
      </c>
      <c r="EM349" s="26" t="s">
        <v>942</v>
      </c>
      <c r="EN349" s="26">
        <v>21</v>
      </c>
    </row>
    <row r="350" spans="1:144" s="26" customFormat="1" x14ac:dyDescent="0.25">
      <c r="A350" s="26">
        <v>21</v>
      </c>
      <c r="B350" s="26" t="s">
        <v>475</v>
      </c>
      <c r="C350" s="26" t="s">
        <v>476</v>
      </c>
      <c r="D350" s="26">
        <v>2013</v>
      </c>
      <c r="E350" s="26">
        <v>2010</v>
      </c>
      <c r="F350" s="26" t="s">
        <v>477</v>
      </c>
      <c r="G350" s="26" t="s">
        <v>480</v>
      </c>
      <c r="H350" s="26">
        <v>38.82</v>
      </c>
      <c r="I350" s="26">
        <v>-76.75</v>
      </c>
      <c r="J350" s="26">
        <v>5.5</v>
      </c>
      <c r="P350" s="52" t="s">
        <v>187</v>
      </c>
      <c r="Q350" s="52"/>
      <c r="R350" s="52" t="s">
        <v>487</v>
      </c>
      <c r="S350" s="52" t="s">
        <v>658</v>
      </c>
      <c r="AB350" s="26" t="s">
        <v>479</v>
      </c>
      <c r="AC350" s="26" t="s">
        <v>492</v>
      </c>
      <c r="AJ350" s="26" t="s">
        <v>478</v>
      </c>
      <c r="AK350" s="26" t="s">
        <v>478</v>
      </c>
      <c r="AL350" s="26" t="s">
        <v>252</v>
      </c>
      <c r="AM350" s="26" t="s">
        <v>222</v>
      </c>
      <c r="AN350" s="26">
        <v>4</v>
      </c>
      <c r="AO350" s="26">
        <v>4</v>
      </c>
      <c r="AP350" s="26" t="s">
        <v>184</v>
      </c>
      <c r="AT350" s="63"/>
      <c r="DM350" s="26">
        <v>4.29</v>
      </c>
      <c r="DN350" s="26">
        <v>1.37</v>
      </c>
      <c r="DO350" s="26" t="s">
        <v>484</v>
      </c>
      <c r="DP350" s="12"/>
      <c r="DR350" s="15"/>
      <c r="EL350" s="26" t="s">
        <v>491</v>
      </c>
      <c r="EM350" s="26" t="s">
        <v>942</v>
      </c>
      <c r="EN350" s="26">
        <v>21</v>
      </c>
    </row>
    <row r="351" spans="1:144" s="26" customFormat="1" x14ac:dyDescent="0.25">
      <c r="A351" s="26">
        <v>21</v>
      </c>
      <c r="B351" s="26" t="s">
        <v>475</v>
      </c>
      <c r="C351" s="26" t="s">
        <v>476</v>
      </c>
      <c r="D351" s="26">
        <v>2013</v>
      </c>
      <c r="E351" s="26">
        <v>2010</v>
      </c>
      <c r="F351" s="26" t="s">
        <v>477</v>
      </c>
      <c r="G351" s="26" t="s">
        <v>480</v>
      </c>
      <c r="H351" s="26">
        <v>38.82</v>
      </c>
      <c r="I351" s="26">
        <v>-76.75</v>
      </c>
      <c r="J351" s="26">
        <v>5.5</v>
      </c>
      <c r="P351" s="52" t="s">
        <v>187</v>
      </c>
      <c r="Q351" s="52"/>
      <c r="R351" s="52" t="s">
        <v>488</v>
      </c>
      <c r="S351" s="52" t="s">
        <v>658</v>
      </c>
      <c r="AB351" s="26" t="s">
        <v>479</v>
      </c>
      <c r="AC351" s="26" t="s">
        <v>492</v>
      </c>
      <c r="AJ351" s="26" t="s">
        <v>478</v>
      </c>
      <c r="AK351" s="26" t="s">
        <v>478</v>
      </c>
      <c r="AL351" s="26" t="s">
        <v>252</v>
      </c>
      <c r="AM351" s="26" t="s">
        <v>222</v>
      </c>
      <c r="AN351" s="26">
        <v>4</v>
      </c>
      <c r="AO351" s="26">
        <v>4</v>
      </c>
      <c r="AP351" s="26" t="s">
        <v>184</v>
      </c>
      <c r="AT351" s="63"/>
      <c r="DM351" s="26">
        <v>1.28</v>
      </c>
      <c r="DN351" s="26">
        <v>0.27</v>
      </c>
      <c r="DO351" s="26" t="s">
        <v>484</v>
      </c>
      <c r="DP351" s="12"/>
      <c r="DR351" s="15"/>
      <c r="EL351" s="26" t="s">
        <v>491</v>
      </c>
      <c r="EM351" s="26" t="s">
        <v>942</v>
      </c>
      <c r="EN351" s="26">
        <v>21</v>
      </c>
    </row>
    <row r="352" spans="1:144" s="26" customFormat="1" x14ac:dyDescent="0.25">
      <c r="A352" s="26">
        <v>21</v>
      </c>
      <c r="B352" s="26" t="s">
        <v>475</v>
      </c>
      <c r="C352" s="26" t="s">
        <v>476</v>
      </c>
      <c r="D352" s="26">
        <v>2013</v>
      </c>
      <c r="E352" s="26">
        <v>2010</v>
      </c>
      <c r="F352" s="26" t="s">
        <v>477</v>
      </c>
      <c r="G352" s="26" t="s">
        <v>480</v>
      </c>
      <c r="H352" s="26">
        <v>38.82</v>
      </c>
      <c r="I352" s="26">
        <v>-76.75</v>
      </c>
      <c r="J352" s="26">
        <v>5.5</v>
      </c>
      <c r="P352" s="52" t="s">
        <v>187</v>
      </c>
      <c r="Q352" s="52"/>
      <c r="R352" s="52" t="s">
        <v>489</v>
      </c>
      <c r="S352" s="52" t="s">
        <v>658</v>
      </c>
      <c r="AB352" s="26" t="s">
        <v>479</v>
      </c>
      <c r="AC352" s="26" t="s">
        <v>492</v>
      </c>
      <c r="AJ352" s="26" t="s">
        <v>478</v>
      </c>
      <c r="AK352" s="26" t="s">
        <v>478</v>
      </c>
      <c r="AL352" s="26" t="s">
        <v>252</v>
      </c>
      <c r="AM352" s="26" t="s">
        <v>222</v>
      </c>
      <c r="AN352" s="26">
        <v>4</v>
      </c>
      <c r="AO352" s="26">
        <v>4</v>
      </c>
      <c r="AP352" s="26" t="s">
        <v>184</v>
      </c>
      <c r="AT352" s="63"/>
      <c r="DM352" s="26">
        <v>2.19</v>
      </c>
      <c r="DN352" s="26">
        <v>1.23</v>
      </c>
      <c r="DO352" s="26" t="s">
        <v>484</v>
      </c>
      <c r="DP352" s="12"/>
      <c r="DR352" s="15"/>
      <c r="EL352" s="26" t="s">
        <v>491</v>
      </c>
      <c r="EM352" s="26" t="s">
        <v>942</v>
      </c>
      <c r="EN352" s="26">
        <v>21</v>
      </c>
    </row>
    <row r="353" spans="1:144" s="26" customFormat="1" x14ac:dyDescent="0.25">
      <c r="A353" s="26">
        <v>21</v>
      </c>
      <c r="B353" s="26" t="s">
        <v>475</v>
      </c>
      <c r="C353" s="26" t="s">
        <v>476</v>
      </c>
      <c r="D353" s="26">
        <v>2013</v>
      </c>
      <c r="E353" s="26">
        <v>2010</v>
      </c>
      <c r="F353" s="26" t="s">
        <v>477</v>
      </c>
      <c r="G353" s="26" t="s">
        <v>480</v>
      </c>
      <c r="H353" s="26">
        <v>38.82</v>
      </c>
      <c r="I353" s="26">
        <v>-76.75</v>
      </c>
      <c r="J353" s="26">
        <v>5.5</v>
      </c>
      <c r="P353" s="52" t="s">
        <v>187</v>
      </c>
      <c r="Q353" s="52"/>
      <c r="R353" s="52" t="s">
        <v>490</v>
      </c>
      <c r="S353" s="52" t="s">
        <v>658</v>
      </c>
      <c r="AB353" s="26" t="s">
        <v>479</v>
      </c>
      <c r="AC353" s="26" t="s">
        <v>492</v>
      </c>
      <c r="AJ353" s="26" t="s">
        <v>478</v>
      </c>
      <c r="AK353" s="26" t="s">
        <v>478</v>
      </c>
      <c r="AL353" s="26" t="s">
        <v>252</v>
      </c>
      <c r="AM353" s="26" t="s">
        <v>222</v>
      </c>
      <c r="AN353" s="26">
        <v>4</v>
      </c>
      <c r="AO353" s="26">
        <v>4</v>
      </c>
      <c r="AP353" s="26" t="s">
        <v>184</v>
      </c>
      <c r="AT353" s="63"/>
      <c r="DM353" s="26">
        <v>0.96</v>
      </c>
      <c r="DN353" s="26">
        <v>0.09</v>
      </c>
      <c r="DO353" s="26" t="s">
        <v>484</v>
      </c>
      <c r="DP353" s="12"/>
      <c r="DR353" s="15"/>
      <c r="EL353" s="26" t="s">
        <v>491</v>
      </c>
      <c r="EM353" s="26" t="s">
        <v>942</v>
      </c>
      <c r="EN353" s="26">
        <v>21</v>
      </c>
    </row>
    <row r="354" spans="1:144" s="42" customFormat="1" x14ac:dyDescent="0.25">
      <c r="A354" s="42">
        <v>21</v>
      </c>
      <c r="B354" s="42" t="s">
        <v>475</v>
      </c>
      <c r="C354" s="42" t="s">
        <v>476</v>
      </c>
      <c r="D354" s="42">
        <v>2013</v>
      </c>
      <c r="E354" s="42">
        <v>2011</v>
      </c>
      <c r="F354" s="42" t="s">
        <v>477</v>
      </c>
      <c r="G354" s="42" t="s">
        <v>480</v>
      </c>
      <c r="H354" s="42">
        <v>38.82</v>
      </c>
      <c r="I354" s="42">
        <v>-76.75</v>
      </c>
      <c r="J354" s="42">
        <v>5.5</v>
      </c>
      <c r="P354" s="59" t="s">
        <v>188</v>
      </c>
      <c r="Q354" s="59"/>
      <c r="R354" s="59" t="s">
        <v>485</v>
      </c>
      <c r="S354" s="59" t="s">
        <v>658</v>
      </c>
      <c r="AB354" s="42" t="s">
        <v>479</v>
      </c>
      <c r="AC354" s="42" t="s">
        <v>492</v>
      </c>
      <c r="AJ354" s="42" t="s">
        <v>478</v>
      </c>
      <c r="AK354" s="42" t="s">
        <v>478</v>
      </c>
      <c r="AL354" s="42" t="s">
        <v>252</v>
      </c>
      <c r="AM354" s="42" t="s">
        <v>222</v>
      </c>
      <c r="AN354" s="42">
        <v>4</v>
      </c>
      <c r="AO354" s="42">
        <v>4</v>
      </c>
      <c r="AP354" s="42" t="s">
        <v>184</v>
      </c>
      <c r="AT354" s="63"/>
      <c r="DM354" s="42">
        <v>0.05</v>
      </c>
      <c r="DN354" s="42">
        <v>0.05</v>
      </c>
      <c r="DO354" s="42" t="s">
        <v>484</v>
      </c>
      <c r="DP354" s="12"/>
      <c r="DR354" s="15"/>
      <c r="EL354" s="42" t="s">
        <v>491</v>
      </c>
      <c r="EM354" s="42" t="s">
        <v>942</v>
      </c>
      <c r="EN354" s="42">
        <v>21</v>
      </c>
    </row>
    <row r="355" spans="1:144" s="42" customFormat="1" x14ac:dyDescent="0.25">
      <c r="A355" s="42">
        <v>21</v>
      </c>
      <c r="B355" s="42" t="s">
        <v>475</v>
      </c>
      <c r="C355" s="42" t="s">
        <v>476</v>
      </c>
      <c r="D355" s="42">
        <v>2013</v>
      </c>
      <c r="E355" s="42">
        <v>2011</v>
      </c>
      <c r="F355" s="42" t="s">
        <v>477</v>
      </c>
      <c r="G355" s="42" t="s">
        <v>480</v>
      </c>
      <c r="H355" s="42">
        <v>38.82</v>
      </c>
      <c r="I355" s="42">
        <v>-76.75</v>
      </c>
      <c r="J355" s="42">
        <v>5.5</v>
      </c>
      <c r="P355" s="59" t="s">
        <v>188</v>
      </c>
      <c r="Q355" s="59"/>
      <c r="R355" s="59" t="s">
        <v>486</v>
      </c>
      <c r="S355" s="59" t="s">
        <v>658</v>
      </c>
      <c r="AB355" s="42" t="s">
        <v>479</v>
      </c>
      <c r="AC355" s="42" t="s">
        <v>492</v>
      </c>
      <c r="AJ355" s="42" t="s">
        <v>478</v>
      </c>
      <c r="AK355" s="42" t="s">
        <v>478</v>
      </c>
      <c r="AL355" s="42" t="s">
        <v>252</v>
      </c>
      <c r="AM355" s="42" t="s">
        <v>222</v>
      </c>
      <c r="AN355" s="42">
        <v>4</v>
      </c>
      <c r="AO355" s="42">
        <v>4</v>
      </c>
      <c r="AP355" s="42" t="s">
        <v>184</v>
      </c>
      <c r="AT355" s="63"/>
      <c r="DM355" s="42">
        <v>0.09</v>
      </c>
      <c r="DN355" s="42">
        <v>0.09</v>
      </c>
      <c r="DO355" s="42" t="s">
        <v>484</v>
      </c>
      <c r="DP355" s="12"/>
      <c r="DR355" s="15"/>
      <c r="EL355" s="42" t="s">
        <v>491</v>
      </c>
      <c r="EM355" s="42" t="s">
        <v>942</v>
      </c>
      <c r="EN355" s="42">
        <v>21</v>
      </c>
    </row>
    <row r="356" spans="1:144" s="42" customFormat="1" x14ac:dyDescent="0.25">
      <c r="A356" s="42">
        <v>21</v>
      </c>
      <c r="B356" s="42" t="s">
        <v>475</v>
      </c>
      <c r="C356" s="42" t="s">
        <v>476</v>
      </c>
      <c r="D356" s="42">
        <v>2013</v>
      </c>
      <c r="E356" s="42">
        <v>2011</v>
      </c>
      <c r="F356" s="42" t="s">
        <v>477</v>
      </c>
      <c r="G356" s="42" t="s">
        <v>480</v>
      </c>
      <c r="H356" s="42">
        <v>38.82</v>
      </c>
      <c r="I356" s="42">
        <v>-76.75</v>
      </c>
      <c r="J356" s="42">
        <v>5.5</v>
      </c>
      <c r="P356" s="59" t="s">
        <v>188</v>
      </c>
      <c r="Q356" s="59"/>
      <c r="R356" s="59" t="s">
        <v>487</v>
      </c>
      <c r="S356" s="59" t="s">
        <v>658</v>
      </c>
      <c r="AB356" s="42" t="s">
        <v>479</v>
      </c>
      <c r="AC356" s="42" t="s">
        <v>492</v>
      </c>
      <c r="AJ356" s="42" t="s">
        <v>478</v>
      </c>
      <c r="AK356" s="42" t="s">
        <v>478</v>
      </c>
      <c r="AL356" s="42" t="s">
        <v>252</v>
      </c>
      <c r="AM356" s="42" t="s">
        <v>222</v>
      </c>
      <c r="AN356" s="42">
        <v>4</v>
      </c>
      <c r="AO356" s="42">
        <v>4</v>
      </c>
      <c r="AP356" s="42" t="s">
        <v>184</v>
      </c>
      <c r="AT356" s="63"/>
      <c r="DM356" s="42">
        <v>0.56000000000000005</v>
      </c>
      <c r="DN356" s="42">
        <v>0.37</v>
      </c>
      <c r="DO356" s="42" t="s">
        <v>484</v>
      </c>
      <c r="DP356" s="12"/>
      <c r="DR356" s="15"/>
      <c r="EL356" s="42" t="s">
        <v>491</v>
      </c>
      <c r="EM356" s="42" t="s">
        <v>942</v>
      </c>
      <c r="EN356" s="42">
        <v>21</v>
      </c>
    </row>
    <row r="357" spans="1:144" s="42" customFormat="1" x14ac:dyDescent="0.25">
      <c r="A357" s="42">
        <v>21</v>
      </c>
      <c r="B357" s="42" t="s">
        <v>475</v>
      </c>
      <c r="C357" s="42" t="s">
        <v>476</v>
      </c>
      <c r="D357" s="42">
        <v>2013</v>
      </c>
      <c r="E357" s="42">
        <v>2011</v>
      </c>
      <c r="F357" s="42" t="s">
        <v>477</v>
      </c>
      <c r="G357" s="42" t="s">
        <v>480</v>
      </c>
      <c r="H357" s="42">
        <v>38.82</v>
      </c>
      <c r="I357" s="42">
        <v>-76.75</v>
      </c>
      <c r="J357" s="42">
        <v>5.5</v>
      </c>
      <c r="P357" s="59" t="s">
        <v>188</v>
      </c>
      <c r="Q357" s="59"/>
      <c r="R357" s="59" t="s">
        <v>488</v>
      </c>
      <c r="S357" s="59" t="s">
        <v>658</v>
      </c>
      <c r="AB357" s="42" t="s">
        <v>479</v>
      </c>
      <c r="AC357" s="42" t="s">
        <v>492</v>
      </c>
      <c r="AJ357" s="42" t="s">
        <v>478</v>
      </c>
      <c r="AK357" s="42" t="s">
        <v>478</v>
      </c>
      <c r="AL357" s="42" t="s">
        <v>252</v>
      </c>
      <c r="AM357" s="42" t="s">
        <v>222</v>
      </c>
      <c r="AN357" s="42">
        <v>4</v>
      </c>
      <c r="AO357" s="42">
        <v>4</v>
      </c>
      <c r="AP357" s="42" t="s">
        <v>184</v>
      </c>
      <c r="AT357" s="63"/>
      <c r="DM357" s="42">
        <v>3.43</v>
      </c>
      <c r="DN357" s="42">
        <v>6.48</v>
      </c>
      <c r="DO357" s="42" t="s">
        <v>484</v>
      </c>
      <c r="DP357" s="12"/>
      <c r="DR357" s="15"/>
      <c r="EL357" s="42" t="s">
        <v>491</v>
      </c>
      <c r="EM357" s="42" t="s">
        <v>942</v>
      </c>
      <c r="EN357" s="42">
        <v>21</v>
      </c>
    </row>
    <row r="358" spans="1:144" s="42" customFormat="1" x14ac:dyDescent="0.25">
      <c r="A358" s="42">
        <v>21</v>
      </c>
      <c r="B358" s="42" t="s">
        <v>475</v>
      </c>
      <c r="C358" s="42" t="s">
        <v>476</v>
      </c>
      <c r="D358" s="42">
        <v>2013</v>
      </c>
      <c r="E358" s="42">
        <v>2011</v>
      </c>
      <c r="F358" s="42" t="s">
        <v>477</v>
      </c>
      <c r="G358" s="42" t="s">
        <v>480</v>
      </c>
      <c r="H358" s="42">
        <v>38.82</v>
      </c>
      <c r="I358" s="42">
        <v>-76.75</v>
      </c>
      <c r="J358" s="42">
        <v>5.5</v>
      </c>
      <c r="P358" s="59" t="s">
        <v>188</v>
      </c>
      <c r="Q358" s="59"/>
      <c r="R358" s="59" t="s">
        <v>489</v>
      </c>
      <c r="S358" s="59" t="s">
        <v>658</v>
      </c>
      <c r="AB358" s="42" t="s">
        <v>479</v>
      </c>
      <c r="AC358" s="42" t="s">
        <v>492</v>
      </c>
      <c r="AJ358" s="42" t="s">
        <v>478</v>
      </c>
      <c r="AK358" s="42" t="s">
        <v>478</v>
      </c>
      <c r="AL358" s="42" t="s">
        <v>252</v>
      </c>
      <c r="AM358" s="42" t="s">
        <v>222</v>
      </c>
      <c r="AN358" s="42">
        <v>4</v>
      </c>
      <c r="AO358" s="42">
        <v>4</v>
      </c>
      <c r="AP358" s="42" t="s">
        <v>184</v>
      </c>
      <c r="AT358" s="63"/>
      <c r="DM358" s="42">
        <v>6.02</v>
      </c>
      <c r="DN358" s="42">
        <v>7.96</v>
      </c>
      <c r="DO358" s="42" t="s">
        <v>484</v>
      </c>
      <c r="DP358" s="12"/>
      <c r="DR358" s="15"/>
      <c r="EL358" s="42" t="s">
        <v>491</v>
      </c>
      <c r="EM358" s="42" t="s">
        <v>942</v>
      </c>
      <c r="EN358" s="42">
        <v>21</v>
      </c>
    </row>
    <row r="359" spans="1:144" s="44" customFormat="1" x14ac:dyDescent="0.25">
      <c r="A359" s="44">
        <v>22</v>
      </c>
      <c r="B359" s="44" t="s">
        <v>475</v>
      </c>
      <c r="C359" s="44" t="s">
        <v>476</v>
      </c>
      <c r="D359" s="44">
        <v>2013</v>
      </c>
      <c r="E359" s="44">
        <v>2009</v>
      </c>
      <c r="F359" s="44" t="s">
        <v>525</v>
      </c>
      <c r="G359" s="44" t="s">
        <v>480</v>
      </c>
      <c r="H359" s="44">
        <v>38.82</v>
      </c>
      <c r="I359" s="44">
        <v>-76.75</v>
      </c>
      <c r="J359" s="44">
        <v>5.5</v>
      </c>
      <c r="P359" s="60" t="s">
        <v>186</v>
      </c>
      <c r="Q359" s="60"/>
      <c r="R359" s="60" t="s">
        <v>308</v>
      </c>
      <c r="S359" s="60" t="s">
        <v>658</v>
      </c>
      <c r="AB359" s="44" t="s">
        <v>479</v>
      </c>
      <c r="AC359" s="44" t="s">
        <v>492</v>
      </c>
      <c r="AJ359" s="44" t="s">
        <v>478</v>
      </c>
      <c r="AK359" s="44" t="s">
        <v>478</v>
      </c>
      <c r="AL359" s="44" t="s">
        <v>252</v>
      </c>
      <c r="AM359" s="44" t="s">
        <v>222</v>
      </c>
      <c r="AN359" s="44">
        <v>4</v>
      </c>
      <c r="AO359" s="44">
        <v>4</v>
      </c>
      <c r="AP359" s="44" t="s">
        <v>184</v>
      </c>
      <c r="AT359" s="65"/>
      <c r="DP359" s="44">
        <v>53</v>
      </c>
      <c r="DQ359" s="44">
        <v>41</v>
      </c>
      <c r="DR359" s="44" t="s">
        <v>495</v>
      </c>
      <c r="EL359" s="44" t="s">
        <v>498</v>
      </c>
      <c r="EN359" s="44">
        <v>22</v>
      </c>
    </row>
    <row r="360" spans="1:144" s="44" customFormat="1" x14ac:dyDescent="0.25">
      <c r="A360" s="44">
        <v>22</v>
      </c>
      <c r="B360" s="44" t="s">
        <v>475</v>
      </c>
      <c r="C360" s="44" t="s">
        <v>476</v>
      </c>
      <c r="D360" s="44">
        <v>2013</v>
      </c>
      <c r="E360" s="44">
        <v>2010</v>
      </c>
      <c r="F360" s="44" t="s">
        <v>525</v>
      </c>
      <c r="G360" s="44" t="s">
        <v>480</v>
      </c>
      <c r="H360" s="44">
        <v>38.82</v>
      </c>
      <c r="I360" s="44">
        <v>-76.75</v>
      </c>
      <c r="J360" s="44">
        <v>5.5</v>
      </c>
      <c r="P360" s="60" t="s">
        <v>187</v>
      </c>
      <c r="Q360" s="60"/>
      <c r="R360" s="60" t="s">
        <v>307</v>
      </c>
      <c r="S360" s="60" t="s">
        <v>658</v>
      </c>
      <c r="AB360" s="44" t="s">
        <v>479</v>
      </c>
      <c r="AC360" s="44" t="s">
        <v>492</v>
      </c>
      <c r="AJ360" s="44" t="s">
        <v>493</v>
      </c>
      <c r="AK360" s="44" t="s">
        <v>493</v>
      </c>
      <c r="AL360" s="44" t="s">
        <v>252</v>
      </c>
      <c r="AM360" s="44" t="s">
        <v>222</v>
      </c>
      <c r="AN360" s="44">
        <v>4</v>
      </c>
      <c r="AO360" s="44">
        <v>4</v>
      </c>
      <c r="AP360" s="44" t="s">
        <v>184</v>
      </c>
      <c r="AT360" s="65"/>
      <c r="DP360" s="44">
        <v>43.2</v>
      </c>
      <c r="DQ360" s="44">
        <v>47.9</v>
      </c>
      <c r="DR360" s="44" t="s">
        <v>495</v>
      </c>
      <c r="EL360" s="44" t="s">
        <v>498</v>
      </c>
      <c r="EN360" s="44">
        <v>22</v>
      </c>
    </row>
    <row r="361" spans="1:144" s="44" customFormat="1" x14ac:dyDescent="0.25">
      <c r="A361" s="44">
        <v>22</v>
      </c>
      <c r="B361" s="44" t="s">
        <v>475</v>
      </c>
      <c r="C361" s="44" t="s">
        <v>476</v>
      </c>
      <c r="D361" s="44">
        <v>2013</v>
      </c>
      <c r="E361" s="44">
        <v>2010</v>
      </c>
      <c r="F361" s="44" t="s">
        <v>525</v>
      </c>
      <c r="G361" s="44" t="s">
        <v>480</v>
      </c>
      <c r="H361" s="44">
        <v>38.82</v>
      </c>
      <c r="I361" s="44">
        <v>-76.75</v>
      </c>
      <c r="J361" s="44">
        <v>5.5</v>
      </c>
      <c r="P361" s="60" t="s">
        <v>187</v>
      </c>
      <c r="Q361" s="60"/>
      <c r="R361" s="60" t="s">
        <v>307</v>
      </c>
      <c r="S361" s="60" t="s">
        <v>658</v>
      </c>
      <c r="AB361" s="44" t="s">
        <v>479</v>
      </c>
      <c r="AC361" s="44" t="s">
        <v>492</v>
      </c>
      <c r="AJ361" s="44" t="s">
        <v>494</v>
      </c>
      <c r="AK361" s="44" t="s">
        <v>494</v>
      </c>
      <c r="AL361" s="44" t="s">
        <v>252</v>
      </c>
      <c r="AM361" s="44" t="s">
        <v>222</v>
      </c>
      <c r="AN361" s="44">
        <v>4</v>
      </c>
      <c r="AO361" s="44">
        <v>4</v>
      </c>
      <c r="AP361" s="44" t="s">
        <v>184</v>
      </c>
      <c r="AT361" s="65"/>
      <c r="DP361" s="44">
        <v>43</v>
      </c>
      <c r="DQ361" s="44">
        <v>44.8</v>
      </c>
      <c r="DR361" s="44" t="s">
        <v>495</v>
      </c>
      <c r="EL361" s="44" t="s">
        <v>498</v>
      </c>
      <c r="EN361" s="44">
        <v>22</v>
      </c>
    </row>
    <row r="362" spans="1:144" s="43" customFormat="1" x14ac:dyDescent="0.25">
      <c r="A362" s="43">
        <v>22</v>
      </c>
      <c r="B362" s="43" t="s">
        <v>475</v>
      </c>
      <c r="C362" s="43" t="s">
        <v>476</v>
      </c>
      <c r="D362" s="43">
        <v>2013</v>
      </c>
      <c r="E362" s="43">
        <v>2011</v>
      </c>
      <c r="F362" s="43" t="s">
        <v>525</v>
      </c>
      <c r="G362" s="43" t="s">
        <v>480</v>
      </c>
      <c r="H362" s="43">
        <v>38.82</v>
      </c>
      <c r="I362" s="43">
        <v>-76.75</v>
      </c>
      <c r="J362" s="43">
        <v>5.5</v>
      </c>
      <c r="P362" s="61" t="s">
        <v>188</v>
      </c>
      <c r="Q362" s="61"/>
      <c r="R362" s="61" t="s">
        <v>307</v>
      </c>
      <c r="S362" s="61" t="s">
        <v>658</v>
      </c>
      <c r="AB362" s="43" t="s">
        <v>479</v>
      </c>
      <c r="AC362" s="43" t="s">
        <v>492</v>
      </c>
      <c r="AJ362" s="43" t="s">
        <v>493</v>
      </c>
      <c r="AK362" s="43" t="s">
        <v>493</v>
      </c>
      <c r="AL362" s="43" t="s">
        <v>252</v>
      </c>
      <c r="AM362" s="43" t="s">
        <v>222</v>
      </c>
      <c r="AN362" s="43">
        <v>4</v>
      </c>
      <c r="AO362" s="43">
        <v>4</v>
      </c>
      <c r="AP362" s="43" t="s">
        <v>184</v>
      </c>
      <c r="AT362" s="65"/>
      <c r="DP362" s="43">
        <v>65.7</v>
      </c>
      <c r="DQ362" s="43">
        <v>62.5</v>
      </c>
      <c r="DR362" s="43" t="s">
        <v>495</v>
      </c>
      <c r="EL362" s="43" t="s">
        <v>498</v>
      </c>
      <c r="EN362" s="43">
        <v>22</v>
      </c>
    </row>
    <row r="363" spans="1:144" s="43" customFormat="1" x14ac:dyDescent="0.25">
      <c r="A363" s="43">
        <v>22</v>
      </c>
      <c r="B363" s="43" t="s">
        <v>475</v>
      </c>
      <c r="C363" s="43" t="s">
        <v>476</v>
      </c>
      <c r="D363" s="43">
        <v>2013</v>
      </c>
      <c r="E363" s="43">
        <v>2011</v>
      </c>
      <c r="F363" s="43" t="s">
        <v>525</v>
      </c>
      <c r="G363" s="43" t="s">
        <v>480</v>
      </c>
      <c r="H363" s="43">
        <v>38.82</v>
      </c>
      <c r="I363" s="43">
        <v>-76.75</v>
      </c>
      <c r="J363" s="43">
        <v>5.5</v>
      </c>
      <c r="P363" s="61" t="s">
        <v>188</v>
      </c>
      <c r="Q363" s="61"/>
      <c r="R363" s="61" t="s">
        <v>307</v>
      </c>
      <c r="S363" s="61" t="s">
        <v>658</v>
      </c>
      <c r="AB363" s="43" t="s">
        <v>479</v>
      </c>
      <c r="AC363" s="43" t="s">
        <v>492</v>
      </c>
      <c r="AJ363" s="43" t="s">
        <v>494</v>
      </c>
      <c r="AK363" s="43" t="s">
        <v>494</v>
      </c>
      <c r="AL363" s="43" t="s">
        <v>252</v>
      </c>
      <c r="AM363" s="43" t="s">
        <v>222</v>
      </c>
      <c r="AN363" s="43">
        <v>4</v>
      </c>
      <c r="AO363" s="43">
        <v>4</v>
      </c>
      <c r="AP363" s="43" t="s">
        <v>184</v>
      </c>
      <c r="AT363" s="65"/>
      <c r="DP363" s="43">
        <v>62</v>
      </c>
      <c r="DQ363" s="43">
        <v>69</v>
      </c>
      <c r="DR363" s="43" t="s">
        <v>495</v>
      </c>
      <c r="EL363" s="43" t="s">
        <v>498</v>
      </c>
      <c r="EN363" s="43">
        <v>22</v>
      </c>
    </row>
    <row r="364" spans="1:144" s="43" customFormat="1" x14ac:dyDescent="0.25">
      <c r="A364" s="43">
        <v>22</v>
      </c>
      <c r="B364" s="43" t="s">
        <v>475</v>
      </c>
      <c r="C364" s="43" t="s">
        <v>476</v>
      </c>
      <c r="D364" s="43">
        <v>2013</v>
      </c>
      <c r="E364" s="43">
        <v>2011</v>
      </c>
      <c r="F364" s="43" t="s">
        <v>525</v>
      </c>
      <c r="G364" s="43" t="s">
        <v>480</v>
      </c>
      <c r="H364" s="43">
        <v>38.82</v>
      </c>
      <c r="I364" s="43">
        <v>-76.75</v>
      </c>
      <c r="J364" s="43">
        <v>5.5</v>
      </c>
      <c r="P364" s="61" t="s">
        <v>188</v>
      </c>
      <c r="Q364" s="61"/>
      <c r="R364" s="61" t="s">
        <v>496</v>
      </c>
      <c r="S364" s="61" t="s">
        <v>658</v>
      </c>
      <c r="AB364" s="43" t="s">
        <v>479</v>
      </c>
      <c r="AC364" s="43" t="s">
        <v>492</v>
      </c>
      <c r="AJ364" s="43" t="s">
        <v>493</v>
      </c>
      <c r="AK364" s="43" t="s">
        <v>493</v>
      </c>
      <c r="AL364" s="43" t="s">
        <v>252</v>
      </c>
      <c r="AM364" s="43" t="s">
        <v>222</v>
      </c>
      <c r="AN364" s="43">
        <v>4</v>
      </c>
      <c r="AO364" s="43">
        <v>4</v>
      </c>
      <c r="AP364" s="43" t="s">
        <v>184</v>
      </c>
      <c r="AT364" s="65"/>
      <c r="DP364" s="43">
        <v>57.9</v>
      </c>
      <c r="DQ364" s="43">
        <v>66.7</v>
      </c>
      <c r="DR364" s="43" t="s">
        <v>495</v>
      </c>
      <c r="EL364" s="43" t="s">
        <v>498</v>
      </c>
      <c r="EN364" s="43">
        <v>22</v>
      </c>
    </row>
    <row r="365" spans="1:144" s="43" customFormat="1" x14ac:dyDescent="0.25">
      <c r="A365" s="43">
        <v>22</v>
      </c>
      <c r="B365" s="43" t="s">
        <v>475</v>
      </c>
      <c r="C365" s="43" t="s">
        <v>476</v>
      </c>
      <c r="D365" s="43">
        <v>2013</v>
      </c>
      <c r="E365" s="43">
        <v>2011</v>
      </c>
      <c r="F365" s="43" t="s">
        <v>525</v>
      </c>
      <c r="G365" s="43" t="s">
        <v>480</v>
      </c>
      <c r="H365" s="43">
        <v>38.82</v>
      </c>
      <c r="I365" s="43">
        <v>-76.75</v>
      </c>
      <c r="J365" s="43">
        <v>5.5</v>
      </c>
      <c r="P365" s="61" t="s">
        <v>188</v>
      </c>
      <c r="Q365" s="61"/>
      <c r="R365" s="61" t="s">
        <v>496</v>
      </c>
      <c r="S365" s="61" t="s">
        <v>658</v>
      </c>
      <c r="AB365" s="43" t="s">
        <v>479</v>
      </c>
      <c r="AC365" s="43" t="s">
        <v>492</v>
      </c>
      <c r="AJ365" s="43" t="s">
        <v>494</v>
      </c>
      <c r="AK365" s="43" t="s">
        <v>494</v>
      </c>
      <c r="AL365" s="43" t="s">
        <v>252</v>
      </c>
      <c r="AM365" s="43" t="s">
        <v>222</v>
      </c>
      <c r="AN365" s="43">
        <v>4</v>
      </c>
      <c r="AO365" s="43">
        <v>4</v>
      </c>
      <c r="AP365" s="43" t="s">
        <v>184</v>
      </c>
      <c r="AT365" s="65"/>
      <c r="DP365" s="43">
        <v>58.4</v>
      </c>
      <c r="DQ365" s="43">
        <v>65.2</v>
      </c>
      <c r="DR365" s="43" t="s">
        <v>495</v>
      </c>
      <c r="EL365" s="43" t="s">
        <v>498</v>
      </c>
      <c r="EN365" s="43">
        <v>22</v>
      </c>
    </row>
    <row r="366" spans="1:144" s="43" customFormat="1" x14ac:dyDescent="0.25">
      <c r="A366" s="43">
        <v>22</v>
      </c>
      <c r="B366" s="43" t="s">
        <v>475</v>
      </c>
      <c r="C366" s="43" t="s">
        <v>476</v>
      </c>
      <c r="D366" s="43">
        <v>2013</v>
      </c>
      <c r="E366" s="43">
        <v>2011</v>
      </c>
      <c r="F366" s="43" t="s">
        <v>525</v>
      </c>
      <c r="G366" s="43" t="s">
        <v>480</v>
      </c>
      <c r="H366" s="43">
        <v>38.82</v>
      </c>
      <c r="I366" s="43">
        <v>-76.75</v>
      </c>
      <c r="J366" s="43">
        <v>5.5</v>
      </c>
      <c r="P366" s="61" t="s">
        <v>188</v>
      </c>
      <c r="Q366" s="61"/>
      <c r="R366" s="61" t="s">
        <v>497</v>
      </c>
      <c r="S366" s="61" t="s">
        <v>658</v>
      </c>
      <c r="AB366" s="43" t="s">
        <v>479</v>
      </c>
      <c r="AC366" s="43" t="s">
        <v>492</v>
      </c>
      <c r="AJ366" s="43" t="s">
        <v>493</v>
      </c>
      <c r="AK366" s="43" t="s">
        <v>493</v>
      </c>
      <c r="AL366" s="43" t="s">
        <v>252</v>
      </c>
      <c r="AM366" s="43" t="s">
        <v>222</v>
      </c>
      <c r="AN366" s="43">
        <v>4</v>
      </c>
      <c r="AO366" s="43">
        <v>4</v>
      </c>
      <c r="AP366" s="43" t="s">
        <v>184</v>
      </c>
      <c r="AT366" s="65"/>
      <c r="DP366" s="43">
        <v>75.900000000000006</v>
      </c>
      <c r="DQ366" s="43">
        <v>74.599999999999994</v>
      </c>
      <c r="DR366" s="43" t="s">
        <v>495</v>
      </c>
      <c r="EL366" s="43" t="s">
        <v>498</v>
      </c>
      <c r="EN366" s="43">
        <v>22</v>
      </c>
    </row>
    <row r="367" spans="1:144" s="43" customFormat="1" x14ac:dyDescent="0.25">
      <c r="A367" s="43">
        <v>22</v>
      </c>
      <c r="B367" s="43" t="s">
        <v>475</v>
      </c>
      <c r="C367" s="43" t="s">
        <v>476</v>
      </c>
      <c r="D367" s="43">
        <v>2013</v>
      </c>
      <c r="E367" s="43">
        <v>2011</v>
      </c>
      <c r="F367" s="43" t="s">
        <v>525</v>
      </c>
      <c r="G367" s="43" t="s">
        <v>480</v>
      </c>
      <c r="H367" s="43">
        <v>38.82</v>
      </c>
      <c r="I367" s="43">
        <v>-76.75</v>
      </c>
      <c r="J367" s="43">
        <v>5.5</v>
      </c>
      <c r="P367" s="61" t="s">
        <v>188</v>
      </c>
      <c r="Q367" s="61"/>
      <c r="R367" s="61" t="s">
        <v>497</v>
      </c>
      <c r="S367" s="61" t="s">
        <v>658</v>
      </c>
      <c r="AB367" s="43" t="s">
        <v>479</v>
      </c>
      <c r="AC367" s="43" t="s">
        <v>492</v>
      </c>
      <c r="AJ367" s="43" t="s">
        <v>494</v>
      </c>
      <c r="AK367" s="43" t="s">
        <v>494</v>
      </c>
      <c r="AL367" s="43" t="s">
        <v>252</v>
      </c>
      <c r="AM367" s="43" t="s">
        <v>222</v>
      </c>
      <c r="AN367" s="43">
        <v>4</v>
      </c>
      <c r="AO367" s="43">
        <v>4</v>
      </c>
      <c r="AP367" s="43" t="s">
        <v>184</v>
      </c>
      <c r="AT367" s="65"/>
      <c r="DP367" s="43">
        <v>62.6</v>
      </c>
      <c r="DQ367" s="43">
        <v>60.1</v>
      </c>
      <c r="DR367" s="43" t="s">
        <v>495</v>
      </c>
      <c r="EL367" s="43" t="s">
        <v>498</v>
      </c>
      <c r="EN367" s="43">
        <v>22</v>
      </c>
    </row>
    <row r="368" spans="1:144" s="42" customFormat="1" x14ac:dyDescent="0.25">
      <c r="A368" s="42">
        <v>23</v>
      </c>
      <c r="B368" s="42" t="s">
        <v>475</v>
      </c>
      <c r="C368" s="42" t="s">
        <v>476</v>
      </c>
      <c r="D368" s="42">
        <v>2016</v>
      </c>
      <c r="E368" s="42">
        <v>2009</v>
      </c>
      <c r="F368" s="42" t="s">
        <v>499</v>
      </c>
      <c r="G368" s="42" t="s">
        <v>481</v>
      </c>
      <c r="H368" s="42">
        <v>38.92</v>
      </c>
      <c r="I368" s="42">
        <v>-76.150000000000006</v>
      </c>
      <c r="J368" s="42">
        <v>4.8</v>
      </c>
      <c r="P368" s="59" t="s">
        <v>186</v>
      </c>
      <c r="Q368" s="59"/>
      <c r="R368" s="59" t="s">
        <v>500</v>
      </c>
      <c r="S368" s="59" t="s">
        <v>658</v>
      </c>
      <c r="AB368" s="42" t="s">
        <v>479</v>
      </c>
      <c r="AC368" s="42" t="s">
        <v>492</v>
      </c>
      <c r="AJ368" s="42" t="s">
        <v>478</v>
      </c>
      <c r="AK368" s="42" t="s">
        <v>478</v>
      </c>
      <c r="AL368" s="42" t="s">
        <v>252</v>
      </c>
      <c r="AM368" s="42" t="s">
        <v>222</v>
      </c>
      <c r="AN368" s="42">
        <v>4</v>
      </c>
      <c r="AO368" s="42">
        <v>4</v>
      </c>
      <c r="AP368" s="42" t="s">
        <v>184</v>
      </c>
      <c r="AT368" s="63"/>
      <c r="AY368" s="42">
        <v>48.34</v>
      </c>
      <c r="AZ368" s="42">
        <v>137.63</v>
      </c>
      <c r="DP368" s="12"/>
      <c r="DR368" s="15"/>
      <c r="EN368" s="42">
        <v>23</v>
      </c>
    </row>
    <row r="369" spans="1:144" s="42" customFormat="1" x14ac:dyDescent="0.25">
      <c r="A369" s="42">
        <v>23</v>
      </c>
      <c r="B369" s="42" t="s">
        <v>475</v>
      </c>
      <c r="C369" s="42" t="s">
        <v>476</v>
      </c>
      <c r="D369" s="42">
        <v>2016</v>
      </c>
      <c r="E369" s="42">
        <v>2009</v>
      </c>
      <c r="F369" s="42" t="s">
        <v>499</v>
      </c>
      <c r="G369" s="42" t="s">
        <v>481</v>
      </c>
      <c r="H369" s="42">
        <v>38.92</v>
      </c>
      <c r="I369" s="42">
        <v>-76.150000000000006</v>
      </c>
      <c r="J369" s="42">
        <v>4.8</v>
      </c>
      <c r="P369" s="59" t="s">
        <v>186</v>
      </c>
      <c r="Q369" s="59"/>
      <c r="R369" s="59" t="s">
        <v>501</v>
      </c>
      <c r="S369" s="59" t="s">
        <v>658</v>
      </c>
      <c r="AB369" s="42" t="s">
        <v>479</v>
      </c>
      <c r="AC369" s="42" t="s">
        <v>492</v>
      </c>
      <c r="AJ369" s="42" t="s">
        <v>478</v>
      </c>
      <c r="AK369" s="42" t="s">
        <v>478</v>
      </c>
      <c r="AL369" s="42" t="s">
        <v>252</v>
      </c>
      <c r="AM369" s="42" t="s">
        <v>222</v>
      </c>
      <c r="AN369" s="42">
        <v>4</v>
      </c>
      <c r="AO369" s="42">
        <v>4</v>
      </c>
      <c r="AP369" s="42" t="s">
        <v>184</v>
      </c>
      <c r="AT369" s="63"/>
      <c r="AY369" s="42">
        <v>380.767</v>
      </c>
      <c r="AZ369" s="42">
        <v>486.28</v>
      </c>
      <c r="DP369" s="12"/>
      <c r="DR369" s="15"/>
      <c r="EN369" s="42">
        <v>23</v>
      </c>
    </row>
    <row r="370" spans="1:144" s="42" customFormat="1" x14ac:dyDescent="0.25">
      <c r="A370" s="42">
        <v>23</v>
      </c>
      <c r="B370" s="42" t="s">
        <v>475</v>
      </c>
      <c r="C370" s="42" t="s">
        <v>476</v>
      </c>
      <c r="D370" s="42">
        <v>2016</v>
      </c>
      <c r="E370" s="42">
        <v>2009</v>
      </c>
      <c r="F370" s="42" t="s">
        <v>499</v>
      </c>
      <c r="G370" s="42" t="s">
        <v>481</v>
      </c>
      <c r="H370" s="42">
        <v>38.92</v>
      </c>
      <c r="I370" s="42">
        <v>-76.150000000000006</v>
      </c>
      <c r="J370" s="42">
        <v>4.8</v>
      </c>
      <c r="P370" s="59" t="s">
        <v>186</v>
      </c>
      <c r="Q370" s="59"/>
      <c r="R370" s="59" t="s">
        <v>502</v>
      </c>
      <c r="S370" s="59" t="s">
        <v>658</v>
      </c>
      <c r="AB370" s="42" t="s">
        <v>479</v>
      </c>
      <c r="AC370" s="42" t="s">
        <v>492</v>
      </c>
      <c r="AJ370" s="42" t="s">
        <v>478</v>
      </c>
      <c r="AK370" s="42" t="s">
        <v>478</v>
      </c>
      <c r="AL370" s="42" t="s">
        <v>252</v>
      </c>
      <c r="AM370" s="42" t="s">
        <v>222</v>
      </c>
      <c r="AN370" s="42">
        <v>4</v>
      </c>
      <c r="AO370" s="42">
        <v>4</v>
      </c>
      <c r="AP370" s="42" t="s">
        <v>184</v>
      </c>
      <c r="AT370" s="63"/>
      <c r="AY370" s="42">
        <v>173.48</v>
      </c>
      <c r="AZ370" s="42">
        <v>165.37</v>
      </c>
      <c r="DP370" s="12"/>
      <c r="DR370" s="15"/>
      <c r="EN370" s="42">
        <v>23</v>
      </c>
    </row>
    <row r="371" spans="1:144" s="42" customFormat="1" x14ac:dyDescent="0.25">
      <c r="A371" s="42">
        <v>23</v>
      </c>
      <c r="B371" s="42" t="s">
        <v>475</v>
      </c>
      <c r="C371" s="42" t="s">
        <v>476</v>
      </c>
      <c r="D371" s="42">
        <v>2016</v>
      </c>
      <c r="E371" s="42">
        <v>2009</v>
      </c>
      <c r="F371" s="42" t="s">
        <v>499</v>
      </c>
      <c r="G371" s="42" t="s">
        <v>481</v>
      </c>
      <c r="H371" s="42">
        <v>38.92</v>
      </c>
      <c r="I371" s="42">
        <v>-76.150000000000006</v>
      </c>
      <c r="J371" s="42">
        <v>4.8</v>
      </c>
      <c r="P371" s="59" t="s">
        <v>186</v>
      </c>
      <c r="Q371" s="59"/>
      <c r="R371" s="59" t="s">
        <v>503</v>
      </c>
      <c r="S371" s="59" t="s">
        <v>658</v>
      </c>
      <c r="AB371" s="42" t="s">
        <v>479</v>
      </c>
      <c r="AC371" s="42" t="s">
        <v>492</v>
      </c>
      <c r="AJ371" s="42" t="s">
        <v>478</v>
      </c>
      <c r="AK371" s="42" t="s">
        <v>478</v>
      </c>
      <c r="AL371" s="42" t="s">
        <v>252</v>
      </c>
      <c r="AM371" s="42" t="s">
        <v>222</v>
      </c>
      <c r="AN371" s="42">
        <v>4</v>
      </c>
      <c r="AO371" s="42">
        <v>4</v>
      </c>
      <c r="AP371" s="42" t="s">
        <v>184</v>
      </c>
      <c r="AT371" s="63"/>
      <c r="AY371" s="42">
        <v>205.76</v>
      </c>
      <c r="AZ371" s="42">
        <v>148.96</v>
      </c>
      <c r="DP371" s="12"/>
      <c r="DR371" s="15"/>
      <c r="EN371" s="42">
        <v>23</v>
      </c>
    </row>
    <row r="372" spans="1:144" s="42" customFormat="1" x14ac:dyDescent="0.25">
      <c r="A372" s="42">
        <v>23</v>
      </c>
      <c r="B372" s="42" t="s">
        <v>475</v>
      </c>
      <c r="C372" s="42" t="s">
        <v>476</v>
      </c>
      <c r="D372" s="42">
        <v>2016</v>
      </c>
      <c r="E372" s="42">
        <v>2009</v>
      </c>
      <c r="F372" s="42" t="s">
        <v>499</v>
      </c>
      <c r="G372" s="42" t="s">
        <v>481</v>
      </c>
      <c r="H372" s="42">
        <v>38.92</v>
      </c>
      <c r="I372" s="42">
        <v>-76.150000000000006</v>
      </c>
      <c r="J372" s="42">
        <v>4.8</v>
      </c>
      <c r="P372" s="59" t="s">
        <v>186</v>
      </c>
      <c r="Q372" s="59"/>
      <c r="R372" s="59" t="s">
        <v>504</v>
      </c>
      <c r="S372" s="59" t="s">
        <v>658</v>
      </c>
      <c r="AB372" s="42" t="s">
        <v>479</v>
      </c>
      <c r="AC372" s="42" t="s">
        <v>492</v>
      </c>
      <c r="AJ372" s="42" t="s">
        <v>478</v>
      </c>
      <c r="AK372" s="42" t="s">
        <v>478</v>
      </c>
      <c r="AL372" s="42" t="s">
        <v>252</v>
      </c>
      <c r="AM372" s="42" t="s">
        <v>222</v>
      </c>
      <c r="AN372" s="42">
        <v>4</v>
      </c>
      <c r="AO372" s="42">
        <v>4</v>
      </c>
      <c r="AP372" s="42" t="s">
        <v>184</v>
      </c>
      <c r="AT372" s="63"/>
      <c r="AY372" s="42">
        <v>773.56</v>
      </c>
      <c r="AZ372" s="42">
        <v>375.87</v>
      </c>
      <c r="DP372" s="12"/>
      <c r="DR372" s="15"/>
      <c r="EN372" s="42">
        <v>23</v>
      </c>
    </row>
    <row r="373" spans="1:144" s="42" customFormat="1" x14ac:dyDescent="0.25">
      <c r="A373" s="42">
        <v>23</v>
      </c>
      <c r="B373" s="42" t="s">
        <v>475</v>
      </c>
      <c r="C373" s="42" t="s">
        <v>476</v>
      </c>
      <c r="D373" s="42">
        <v>2016</v>
      </c>
      <c r="E373" s="42">
        <v>2009</v>
      </c>
      <c r="F373" s="42" t="s">
        <v>499</v>
      </c>
      <c r="G373" s="42" t="s">
        <v>481</v>
      </c>
      <c r="H373" s="42">
        <v>38.92</v>
      </c>
      <c r="I373" s="42">
        <v>-76.150000000000006</v>
      </c>
      <c r="J373" s="42">
        <v>4.8</v>
      </c>
      <c r="P373" s="59" t="s">
        <v>186</v>
      </c>
      <c r="Q373" s="59"/>
      <c r="R373" s="59" t="s">
        <v>505</v>
      </c>
      <c r="S373" s="59" t="s">
        <v>658</v>
      </c>
      <c r="AB373" s="42" t="s">
        <v>479</v>
      </c>
      <c r="AC373" s="42" t="s">
        <v>492</v>
      </c>
      <c r="AJ373" s="42" t="s">
        <v>478</v>
      </c>
      <c r="AK373" s="42" t="s">
        <v>478</v>
      </c>
      <c r="AL373" s="42" t="s">
        <v>252</v>
      </c>
      <c r="AM373" s="42" t="s">
        <v>222</v>
      </c>
      <c r="AN373" s="42">
        <v>4</v>
      </c>
      <c r="AO373" s="42">
        <v>4</v>
      </c>
      <c r="AP373" s="42" t="s">
        <v>184</v>
      </c>
      <c r="AT373" s="63"/>
      <c r="AY373" s="42">
        <v>980.16</v>
      </c>
      <c r="AZ373" s="42">
        <v>631.19000000000005</v>
      </c>
      <c r="DP373" s="12"/>
      <c r="DR373" s="15"/>
      <c r="EN373" s="42">
        <v>23</v>
      </c>
    </row>
    <row r="374" spans="1:144" s="42" customFormat="1" x14ac:dyDescent="0.25">
      <c r="A374" s="42">
        <v>23</v>
      </c>
      <c r="B374" s="42" t="s">
        <v>475</v>
      </c>
      <c r="C374" s="42" t="s">
        <v>476</v>
      </c>
      <c r="D374" s="42">
        <v>2016</v>
      </c>
      <c r="E374" s="42">
        <v>2009</v>
      </c>
      <c r="F374" s="42" t="s">
        <v>499</v>
      </c>
      <c r="G374" s="42" t="s">
        <v>481</v>
      </c>
      <c r="H374" s="42">
        <v>38.92</v>
      </c>
      <c r="I374" s="42">
        <v>-76.150000000000006</v>
      </c>
      <c r="J374" s="42">
        <v>4.8</v>
      </c>
      <c r="P374" s="59" t="s">
        <v>186</v>
      </c>
      <c r="Q374" s="59"/>
      <c r="R374" s="59" t="s">
        <v>506</v>
      </c>
      <c r="S374" s="59" t="s">
        <v>658</v>
      </c>
      <c r="AB374" s="42" t="s">
        <v>479</v>
      </c>
      <c r="AC374" s="42" t="s">
        <v>492</v>
      </c>
      <c r="AJ374" s="42" t="s">
        <v>478</v>
      </c>
      <c r="AK374" s="42" t="s">
        <v>478</v>
      </c>
      <c r="AL374" s="42" t="s">
        <v>252</v>
      </c>
      <c r="AM374" s="42" t="s">
        <v>222</v>
      </c>
      <c r="AN374" s="42">
        <v>4</v>
      </c>
      <c r="AO374" s="42">
        <v>4</v>
      </c>
      <c r="AP374" s="42" t="s">
        <v>184</v>
      </c>
      <c r="AT374" s="63"/>
      <c r="AY374" s="42">
        <v>1158.3800000000001</v>
      </c>
      <c r="AZ374" s="42">
        <v>358.94</v>
      </c>
      <c r="DP374" s="12"/>
      <c r="DR374" s="15"/>
      <c r="EN374" s="42">
        <v>23</v>
      </c>
    </row>
    <row r="375" spans="1:144" s="42" customFormat="1" x14ac:dyDescent="0.25">
      <c r="A375" s="42">
        <v>23</v>
      </c>
      <c r="B375" s="42" t="s">
        <v>475</v>
      </c>
      <c r="C375" s="42" t="s">
        <v>476</v>
      </c>
      <c r="D375" s="42">
        <v>2016</v>
      </c>
      <c r="E375" s="42">
        <v>2009</v>
      </c>
      <c r="F375" s="42" t="s">
        <v>499</v>
      </c>
      <c r="G375" s="42" t="s">
        <v>481</v>
      </c>
      <c r="H375" s="42">
        <v>38.92</v>
      </c>
      <c r="I375" s="42">
        <v>-76.150000000000006</v>
      </c>
      <c r="J375" s="42">
        <v>4.8</v>
      </c>
      <c r="P375" s="59" t="s">
        <v>186</v>
      </c>
      <c r="Q375" s="59"/>
      <c r="R375" s="59" t="s">
        <v>507</v>
      </c>
      <c r="S375" s="59" t="s">
        <v>658</v>
      </c>
      <c r="AB375" s="42" t="s">
        <v>479</v>
      </c>
      <c r="AC375" s="42" t="s">
        <v>492</v>
      </c>
      <c r="AJ375" s="42" t="s">
        <v>478</v>
      </c>
      <c r="AK375" s="42" t="s">
        <v>478</v>
      </c>
      <c r="AL375" s="42" t="s">
        <v>252</v>
      </c>
      <c r="AM375" s="42" t="s">
        <v>222</v>
      </c>
      <c r="AN375" s="42">
        <v>4</v>
      </c>
      <c r="AO375" s="42">
        <v>4</v>
      </c>
      <c r="AP375" s="42" t="s">
        <v>184</v>
      </c>
      <c r="AT375" s="63"/>
      <c r="AY375" s="42">
        <v>573.70000000000005</v>
      </c>
      <c r="AZ375" s="42">
        <v>131.72999999999999</v>
      </c>
      <c r="DP375" s="12"/>
      <c r="DR375" s="15"/>
      <c r="EN375" s="42">
        <v>23</v>
      </c>
    </row>
    <row r="376" spans="1:144" s="42" customFormat="1" x14ac:dyDescent="0.25">
      <c r="A376" s="42">
        <v>23</v>
      </c>
      <c r="B376" s="42" t="s">
        <v>475</v>
      </c>
      <c r="C376" s="42" t="s">
        <v>476</v>
      </c>
      <c r="D376" s="42">
        <v>2016</v>
      </c>
      <c r="E376" s="42">
        <v>2009</v>
      </c>
      <c r="F376" s="42" t="s">
        <v>499</v>
      </c>
      <c r="G376" s="42" t="s">
        <v>481</v>
      </c>
      <c r="H376" s="42">
        <v>38.92</v>
      </c>
      <c r="I376" s="42">
        <v>-76.150000000000006</v>
      </c>
      <c r="J376" s="42">
        <v>4.8</v>
      </c>
      <c r="P376" s="59" t="s">
        <v>186</v>
      </c>
      <c r="Q376" s="59"/>
      <c r="R376" s="59" t="s">
        <v>508</v>
      </c>
      <c r="S376" s="59" t="s">
        <v>658</v>
      </c>
      <c r="AB376" s="42" t="s">
        <v>479</v>
      </c>
      <c r="AC376" s="42" t="s">
        <v>492</v>
      </c>
      <c r="AJ376" s="42" t="s">
        <v>478</v>
      </c>
      <c r="AK376" s="42" t="s">
        <v>478</v>
      </c>
      <c r="AL376" s="42" t="s">
        <v>252</v>
      </c>
      <c r="AM376" s="42" t="s">
        <v>222</v>
      </c>
      <c r="AN376" s="42">
        <v>4</v>
      </c>
      <c r="AO376" s="42">
        <v>4</v>
      </c>
      <c r="AP376" s="42" t="s">
        <v>184</v>
      </c>
      <c r="AT376" s="63"/>
      <c r="AY376" s="42">
        <v>800.61</v>
      </c>
      <c r="AZ376" s="42">
        <v>191.9</v>
      </c>
      <c r="DP376" s="12"/>
      <c r="DR376" s="15"/>
      <c r="EN376" s="42">
        <v>23</v>
      </c>
    </row>
    <row r="377" spans="1:144" s="42" customFormat="1" x14ac:dyDescent="0.25">
      <c r="A377" s="42">
        <v>23</v>
      </c>
      <c r="B377" s="42" t="s">
        <v>475</v>
      </c>
      <c r="C377" s="42" t="s">
        <v>476</v>
      </c>
      <c r="D377" s="42">
        <v>2016</v>
      </c>
      <c r="E377" s="42">
        <v>2009</v>
      </c>
      <c r="F377" s="42" t="s">
        <v>499</v>
      </c>
      <c r="G377" s="42" t="s">
        <v>481</v>
      </c>
      <c r="H377" s="42">
        <v>38.92</v>
      </c>
      <c r="I377" s="42">
        <v>-76.150000000000006</v>
      </c>
      <c r="J377" s="42">
        <v>4.8</v>
      </c>
      <c r="P377" s="59" t="s">
        <v>186</v>
      </c>
      <c r="Q377" s="59"/>
      <c r="R377" s="59" t="s">
        <v>509</v>
      </c>
      <c r="S377" s="59" t="s">
        <v>658</v>
      </c>
      <c r="AB377" s="42" t="s">
        <v>479</v>
      </c>
      <c r="AC377" s="42" t="s">
        <v>492</v>
      </c>
      <c r="AJ377" s="42" t="s">
        <v>478</v>
      </c>
      <c r="AK377" s="42" t="s">
        <v>478</v>
      </c>
      <c r="AL377" s="42" t="s">
        <v>252</v>
      </c>
      <c r="AM377" s="42" t="s">
        <v>222</v>
      </c>
      <c r="AN377" s="42">
        <v>4</v>
      </c>
      <c r="AO377" s="42">
        <v>4</v>
      </c>
      <c r="AP377" s="42" t="s">
        <v>184</v>
      </c>
      <c r="AT377" s="63"/>
      <c r="AY377" s="42">
        <v>893.59</v>
      </c>
      <c r="AZ377" s="42">
        <v>240.28</v>
      </c>
      <c r="DP377" s="12"/>
      <c r="DR377" s="15"/>
      <c r="EN377" s="42">
        <v>23</v>
      </c>
    </row>
    <row r="378" spans="1:144" s="42" customFormat="1" x14ac:dyDescent="0.25">
      <c r="A378" s="42">
        <v>23</v>
      </c>
      <c r="B378" s="42" t="s">
        <v>475</v>
      </c>
      <c r="C378" s="42" t="s">
        <v>476</v>
      </c>
      <c r="D378" s="42">
        <v>2016</v>
      </c>
      <c r="E378" s="42">
        <v>2009</v>
      </c>
      <c r="F378" s="42" t="s">
        <v>499</v>
      </c>
      <c r="G378" s="42" t="s">
        <v>481</v>
      </c>
      <c r="H378" s="42">
        <v>38.92</v>
      </c>
      <c r="I378" s="42">
        <v>-76.150000000000006</v>
      </c>
      <c r="J378" s="42">
        <v>4.8</v>
      </c>
      <c r="P378" s="59" t="s">
        <v>186</v>
      </c>
      <c r="Q378" s="59"/>
      <c r="R378" s="59" t="s">
        <v>510</v>
      </c>
      <c r="S378" s="59" t="s">
        <v>658</v>
      </c>
      <c r="AB378" s="42" t="s">
        <v>479</v>
      </c>
      <c r="AC378" s="42" t="s">
        <v>492</v>
      </c>
      <c r="AJ378" s="42" t="s">
        <v>478</v>
      </c>
      <c r="AK378" s="42" t="s">
        <v>478</v>
      </c>
      <c r="AL378" s="42" t="s">
        <v>252</v>
      </c>
      <c r="AM378" s="42" t="s">
        <v>222</v>
      </c>
      <c r="AN378" s="42">
        <v>4</v>
      </c>
      <c r="AO378" s="42">
        <v>4</v>
      </c>
      <c r="AP378" s="42" t="s">
        <v>184</v>
      </c>
      <c r="AT378" s="63"/>
      <c r="AY378" s="42">
        <v>787.75</v>
      </c>
      <c r="AZ378" s="42">
        <v>183.11</v>
      </c>
      <c r="DP378" s="12"/>
      <c r="DR378" s="15"/>
      <c r="EN378" s="42">
        <v>23</v>
      </c>
    </row>
    <row r="379" spans="1:144" s="42" customFormat="1" x14ac:dyDescent="0.25">
      <c r="A379" s="42">
        <v>23</v>
      </c>
      <c r="B379" s="42" t="s">
        <v>475</v>
      </c>
      <c r="C379" s="42" t="s">
        <v>476</v>
      </c>
      <c r="D379" s="42">
        <v>2016</v>
      </c>
      <c r="E379" s="42">
        <v>2009</v>
      </c>
      <c r="F379" s="42" t="s">
        <v>499</v>
      </c>
      <c r="G379" s="42" t="s">
        <v>481</v>
      </c>
      <c r="H379" s="42">
        <v>38.92</v>
      </c>
      <c r="I379" s="42">
        <v>-76.150000000000006</v>
      </c>
      <c r="J379" s="42">
        <v>4.8</v>
      </c>
      <c r="P379" s="59" t="s">
        <v>186</v>
      </c>
      <c r="Q379" s="59"/>
      <c r="R379" s="59" t="s">
        <v>512</v>
      </c>
      <c r="S379" s="59" t="s">
        <v>658</v>
      </c>
      <c r="AB379" s="42" t="s">
        <v>479</v>
      </c>
      <c r="AC379" s="42" t="s">
        <v>492</v>
      </c>
      <c r="AJ379" s="42" t="s">
        <v>478</v>
      </c>
      <c r="AK379" s="42" t="s">
        <v>478</v>
      </c>
      <c r="AL379" s="42" t="s">
        <v>252</v>
      </c>
      <c r="AM379" s="42" t="s">
        <v>222</v>
      </c>
      <c r="AN379" s="42">
        <v>4</v>
      </c>
      <c r="AO379" s="42">
        <v>4</v>
      </c>
      <c r="AP379" s="42" t="s">
        <v>184</v>
      </c>
      <c r="AT379" s="63"/>
      <c r="AY379" s="42">
        <v>414.26</v>
      </c>
      <c r="AZ379" s="42">
        <v>158.61000000000001</v>
      </c>
      <c r="DP379" s="12"/>
      <c r="DR379" s="15"/>
      <c r="EN379" s="42">
        <v>23</v>
      </c>
    </row>
    <row r="380" spans="1:144" s="26" customFormat="1" x14ac:dyDescent="0.25">
      <c r="A380" s="26">
        <v>23</v>
      </c>
      <c r="B380" s="26" t="s">
        <v>475</v>
      </c>
      <c r="C380" s="26" t="s">
        <v>476</v>
      </c>
      <c r="D380" s="26">
        <v>2016</v>
      </c>
      <c r="E380" s="26">
        <v>2009</v>
      </c>
      <c r="F380" s="26" t="s">
        <v>499</v>
      </c>
      <c r="G380" s="26" t="s">
        <v>480</v>
      </c>
      <c r="H380" s="26">
        <v>38.82</v>
      </c>
      <c r="I380" s="26">
        <v>-76.75</v>
      </c>
      <c r="J380" s="26">
        <v>5.5</v>
      </c>
      <c r="P380" s="52" t="s">
        <v>186</v>
      </c>
      <c r="Q380" s="52"/>
      <c r="R380" s="52" t="s">
        <v>500</v>
      </c>
      <c r="S380" s="52" t="s">
        <v>658</v>
      </c>
      <c r="AB380" s="26" t="s">
        <v>479</v>
      </c>
      <c r="AC380" s="26" t="s">
        <v>492</v>
      </c>
      <c r="AJ380" s="26" t="s">
        <v>478</v>
      </c>
      <c r="AK380" s="26" t="s">
        <v>478</v>
      </c>
      <c r="AL380" s="26" t="s">
        <v>252</v>
      </c>
      <c r="AM380" s="26" t="s">
        <v>222</v>
      </c>
      <c r="AN380" s="26">
        <v>4</v>
      </c>
      <c r="AO380" s="26">
        <v>4</v>
      </c>
      <c r="AP380" s="26" t="s">
        <v>184</v>
      </c>
      <c r="AT380" s="63"/>
      <c r="AY380" s="26">
        <v>134.26</v>
      </c>
      <c r="AZ380" s="26">
        <v>124.87</v>
      </c>
      <c r="DP380" s="12"/>
      <c r="DR380" s="15"/>
      <c r="EN380" s="26">
        <v>23</v>
      </c>
    </row>
    <row r="381" spans="1:144" s="26" customFormat="1" x14ac:dyDescent="0.25">
      <c r="A381" s="26">
        <v>23</v>
      </c>
      <c r="B381" s="26" t="s">
        <v>475</v>
      </c>
      <c r="C381" s="26" t="s">
        <v>476</v>
      </c>
      <c r="D381" s="26">
        <v>2016</v>
      </c>
      <c r="E381" s="26">
        <v>2009</v>
      </c>
      <c r="F381" s="26" t="s">
        <v>499</v>
      </c>
      <c r="G381" s="26" t="s">
        <v>480</v>
      </c>
      <c r="H381" s="26">
        <v>38.82</v>
      </c>
      <c r="I381" s="26">
        <v>-76.75</v>
      </c>
      <c r="J381" s="26">
        <v>5.5</v>
      </c>
      <c r="P381" s="52" t="s">
        <v>186</v>
      </c>
      <c r="Q381" s="52"/>
      <c r="R381" s="52" t="s">
        <v>501</v>
      </c>
      <c r="S381" s="52" t="s">
        <v>658</v>
      </c>
      <c r="AB381" s="26" t="s">
        <v>479</v>
      </c>
      <c r="AC381" s="26" t="s">
        <v>492</v>
      </c>
      <c r="AJ381" s="26" t="s">
        <v>478</v>
      </c>
      <c r="AK381" s="26" t="s">
        <v>478</v>
      </c>
      <c r="AL381" s="26" t="s">
        <v>252</v>
      </c>
      <c r="AM381" s="26" t="s">
        <v>222</v>
      </c>
      <c r="AN381" s="26">
        <v>4</v>
      </c>
      <c r="AO381" s="26">
        <v>4</v>
      </c>
      <c r="AP381" s="26" t="s">
        <v>184</v>
      </c>
      <c r="AT381" s="63"/>
      <c r="AY381" s="26">
        <v>145.25</v>
      </c>
      <c r="AZ381" s="26">
        <v>134.22999999999999</v>
      </c>
      <c r="DP381" s="12"/>
      <c r="DR381" s="15"/>
      <c r="EN381" s="26">
        <v>23</v>
      </c>
    </row>
    <row r="382" spans="1:144" s="26" customFormat="1" x14ac:dyDescent="0.25">
      <c r="A382" s="26">
        <v>23</v>
      </c>
      <c r="B382" s="26" t="s">
        <v>475</v>
      </c>
      <c r="C382" s="26" t="s">
        <v>476</v>
      </c>
      <c r="D382" s="26">
        <v>2016</v>
      </c>
      <c r="E382" s="26">
        <v>2009</v>
      </c>
      <c r="F382" s="26" t="s">
        <v>499</v>
      </c>
      <c r="G382" s="26" t="s">
        <v>480</v>
      </c>
      <c r="H382" s="26">
        <v>38.82</v>
      </c>
      <c r="I382" s="26">
        <v>-76.75</v>
      </c>
      <c r="J382" s="26">
        <v>5.5</v>
      </c>
      <c r="P382" s="52" t="s">
        <v>186</v>
      </c>
      <c r="Q382" s="52"/>
      <c r="R382" s="52" t="s">
        <v>502</v>
      </c>
      <c r="S382" s="52" t="s">
        <v>658</v>
      </c>
      <c r="AB382" s="26" t="s">
        <v>479</v>
      </c>
      <c r="AC382" s="26" t="s">
        <v>492</v>
      </c>
      <c r="AJ382" s="26" t="s">
        <v>478</v>
      </c>
      <c r="AK382" s="26" t="s">
        <v>478</v>
      </c>
      <c r="AL382" s="26" t="s">
        <v>252</v>
      </c>
      <c r="AM382" s="26" t="s">
        <v>222</v>
      </c>
      <c r="AN382" s="26">
        <v>4</v>
      </c>
      <c r="AO382" s="26">
        <v>4</v>
      </c>
      <c r="AP382" s="26" t="s">
        <v>184</v>
      </c>
      <c r="AT382" s="63"/>
      <c r="AY382" s="26">
        <v>95.83</v>
      </c>
      <c r="AZ382" s="26">
        <v>95.83</v>
      </c>
      <c r="DP382" s="12"/>
      <c r="DR382" s="15"/>
      <c r="EN382" s="26">
        <v>23</v>
      </c>
    </row>
    <row r="383" spans="1:144" s="26" customFormat="1" x14ac:dyDescent="0.25">
      <c r="A383" s="26">
        <v>23</v>
      </c>
      <c r="B383" s="26" t="s">
        <v>475</v>
      </c>
      <c r="C383" s="26" t="s">
        <v>476</v>
      </c>
      <c r="D383" s="26">
        <v>2016</v>
      </c>
      <c r="E383" s="26">
        <v>2009</v>
      </c>
      <c r="F383" s="26" t="s">
        <v>499</v>
      </c>
      <c r="G383" s="26" t="s">
        <v>480</v>
      </c>
      <c r="H383" s="26">
        <v>38.82</v>
      </c>
      <c r="I383" s="26">
        <v>-76.75</v>
      </c>
      <c r="J383" s="26">
        <v>5.5</v>
      </c>
      <c r="P383" s="52" t="s">
        <v>186</v>
      </c>
      <c r="Q383" s="52"/>
      <c r="R383" s="52" t="s">
        <v>503</v>
      </c>
      <c r="S383" s="52" t="s">
        <v>658</v>
      </c>
      <c r="AB383" s="26" t="s">
        <v>479</v>
      </c>
      <c r="AC383" s="26" t="s">
        <v>492</v>
      </c>
      <c r="AJ383" s="26" t="s">
        <v>478</v>
      </c>
      <c r="AK383" s="26" t="s">
        <v>478</v>
      </c>
      <c r="AL383" s="26" t="s">
        <v>252</v>
      </c>
      <c r="AM383" s="26" t="s">
        <v>222</v>
      </c>
      <c r="AN383" s="26">
        <v>4</v>
      </c>
      <c r="AO383" s="26">
        <v>4</v>
      </c>
      <c r="AP383" s="26" t="s">
        <v>184</v>
      </c>
      <c r="AT383" s="63"/>
      <c r="AY383" s="26">
        <v>131.72</v>
      </c>
      <c r="AZ383" s="26">
        <v>115.8</v>
      </c>
      <c r="DP383" s="12"/>
      <c r="DR383" s="15"/>
      <c r="EN383" s="26">
        <v>23</v>
      </c>
    </row>
    <row r="384" spans="1:144" s="26" customFormat="1" x14ac:dyDescent="0.25">
      <c r="A384" s="26">
        <v>23</v>
      </c>
      <c r="B384" s="26" t="s">
        <v>475</v>
      </c>
      <c r="C384" s="26" t="s">
        <v>476</v>
      </c>
      <c r="D384" s="26">
        <v>2016</v>
      </c>
      <c r="E384" s="26">
        <v>2009</v>
      </c>
      <c r="F384" s="26" t="s">
        <v>499</v>
      </c>
      <c r="G384" s="26" t="s">
        <v>480</v>
      </c>
      <c r="H384" s="26">
        <v>38.82</v>
      </c>
      <c r="I384" s="26">
        <v>-76.75</v>
      </c>
      <c r="J384" s="26">
        <v>5.5</v>
      </c>
      <c r="P384" s="52" t="s">
        <v>186</v>
      </c>
      <c r="Q384" s="52"/>
      <c r="R384" s="52" t="s">
        <v>504</v>
      </c>
      <c r="S384" s="52" t="s">
        <v>658</v>
      </c>
      <c r="AB384" s="26" t="s">
        <v>479</v>
      </c>
      <c r="AC384" s="26" t="s">
        <v>492</v>
      </c>
      <c r="AJ384" s="26" t="s">
        <v>478</v>
      </c>
      <c r="AK384" s="26" t="s">
        <v>478</v>
      </c>
      <c r="AL384" s="26" t="s">
        <v>252</v>
      </c>
      <c r="AM384" s="26" t="s">
        <v>222</v>
      </c>
      <c r="AN384" s="26">
        <v>4</v>
      </c>
      <c r="AO384" s="26">
        <v>4</v>
      </c>
      <c r="AP384" s="26" t="s">
        <v>184</v>
      </c>
      <c r="AT384" s="63"/>
      <c r="AY384" s="26">
        <v>136.16999999999999</v>
      </c>
      <c r="AZ384" s="26">
        <v>142.71</v>
      </c>
      <c r="DP384" s="12"/>
      <c r="DR384" s="15"/>
      <c r="EN384" s="26">
        <v>23</v>
      </c>
    </row>
    <row r="385" spans="1:144" s="26" customFormat="1" x14ac:dyDescent="0.25">
      <c r="A385" s="26">
        <v>23</v>
      </c>
      <c r="B385" s="26" t="s">
        <v>475</v>
      </c>
      <c r="C385" s="26" t="s">
        <v>476</v>
      </c>
      <c r="D385" s="26">
        <v>2016</v>
      </c>
      <c r="E385" s="26">
        <v>2009</v>
      </c>
      <c r="F385" s="26" t="s">
        <v>499</v>
      </c>
      <c r="G385" s="26" t="s">
        <v>480</v>
      </c>
      <c r="H385" s="26">
        <v>38.82</v>
      </c>
      <c r="I385" s="26">
        <v>-76.75</v>
      </c>
      <c r="J385" s="26">
        <v>5.5</v>
      </c>
      <c r="P385" s="52" t="s">
        <v>186</v>
      </c>
      <c r="Q385" s="52"/>
      <c r="R385" s="52" t="s">
        <v>505</v>
      </c>
      <c r="S385" s="52" t="s">
        <v>658</v>
      </c>
      <c r="AB385" s="26" t="s">
        <v>479</v>
      </c>
      <c r="AC385" s="26" t="s">
        <v>492</v>
      </c>
      <c r="AJ385" s="26" t="s">
        <v>478</v>
      </c>
      <c r="AK385" s="26" t="s">
        <v>478</v>
      </c>
      <c r="AL385" s="26" t="s">
        <v>252</v>
      </c>
      <c r="AM385" s="26" t="s">
        <v>222</v>
      </c>
      <c r="AN385" s="26">
        <v>4</v>
      </c>
      <c r="AO385" s="26">
        <v>4</v>
      </c>
      <c r="AP385" s="26" t="s">
        <v>184</v>
      </c>
      <c r="AT385" s="63"/>
      <c r="AY385" s="26">
        <v>156.55000000000001</v>
      </c>
      <c r="AZ385" s="26">
        <v>143.08000000000001</v>
      </c>
      <c r="DP385" s="12"/>
      <c r="DR385" s="15"/>
      <c r="EN385" s="26">
        <v>23</v>
      </c>
    </row>
    <row r="386" spans="1:144" s="26" customFormat="1" x14ac:dyDescent="0.25">
      <c r="A386" s="26">
        <v>23</v>
      </c>
      <c r="B386" s="26" t="s">
        <v>475</v>
      </c>
      <c r="C386" s="26" t="s">
        <v>476</v>
      </c>
      <c r="D386" s="26">
        <v>2016</v>
      </c>
      <c r="E386" s="26">
        <v>2009</v>
      </c>
      <c r="F386" s="26" t="s">
        <v>499</v>
      </c>
      <c r="G386" s="26" t="s">
        <v>480</v>
      </c>
      <c r="H386" s="26">
        <v>38.82</v>
      </c>
      <c r="I386" s="26">
        <v>-76.75</v>
      </c>
      <c r="J386" s="26">
        <v>5.5</v>
      </c>
      <c r="P386" s="52" t="s">
        <v>186</v>
      </c>
      <c r="Q386" s="52"/>
      <c r="R386" s="52" t="s">
        <v>506</v>
      </c>
      <c r="S386" s="52" t="s">
        <v>658</v>
      </c>
      <c r="AB386" s="26" t="s">
        <v>479</v>
      </c>
      <c r="AC386" s="26" t="s">
        <v>492</v>
      </c>
      <c r="AJ386" s="26" t="s">
        <v>478</v>
      </c>
      <c r="AK386" s="26" t="s">
        <v>478</v>
      </c>
      <c r="AL386" s="26" t="s">
        <v>252</v>
      </c>
      <c r="AM386" s="26" t="s">
        <v>222</v>
      </c>
      <c r="AN386" s="26">
        <v>4</v>
      </c>
      <c r="AO386" s="26">
        <v>4</v>
      </c>
      <c r="AP386" s="26" t="s">
        <v>184</v>
      </c>
      <c r="AT386" s="63"/>
      <c r="AY386" s="26">
        <v>213.67</v>
      </c>
      <c r="AZ386" s="26">
        <v>208.77</v>
      </c>
      <c r="DP386" s="12"/>
      <c r="DR386" s="15"/>
      <c r="EN386" s="26">
        <v>23</v>
      </c>
    </row>
    <row r="387" spans="1:144" s="26" customFormat="1" x14ac:dyDescent="0.25">
      <c r="A387" s="26">
        <v>23</v>
      </c>
      <c r="B387" s="26" t="s">
        <v>475</v>
      </c>
      <c r="C387" s="26" t="s">
        <v>476</v>
      </c>
      <c r="D387" s="26">
        <v>2016</v>
      </c>
      <c r="E387" s="26">
        <v>2009</v>
      </c>
      <c r="F387" s="26" t="s">
        <v>499</v>
      </c>
      <c r="G387" s="26" t="s">
        <v>480</v>
      </c>
      <c r="H387" s="26">
        <v>38.82</v>
      </c>
      <c r="I387" s="26">
        <v>-76.75</v>
      </c>
      <c r="J387" s="26">
        <v>5.5</v>
      </c>
      <c r="P387" s="52" t="s">
        <v>186</v>
      </c>
      <c r="Q387" s="52"/>
      <c r="R387" s="52" t="s">
        <v>507</v>
      </c>
      <c r="S387" s="52" t="s">
        <v>658</v>
      </c>
      <c r="AB387" s="26" t="s">
        <v>479</v>
      </c>
      <c r="AC387" s="26" t="s">
        <v>492</v>
      </c>
      <c r="AJ387" s="26" t="s">
        <v>478</v>
      </c>
      <c r="AK387" s="26" t="s">
        <v>478</v>
      </c>
      <c r="AL387" s="26" t="s">
        <v>252</v>
      </c>
      <c r="AM387" s="26" t="s">
        <v>222</v>
      </c>
      <c r="AN387" s="26">
        <v>4</v>
      </c>
      <c r="AO387" s="26">
        <v>4</v>
      </c>
      <c r="AP387" s="26" t="s">
        <v>184</v>
      </c>
      <c r="AT387" s="63"/>
      <c r="AY387" s="26">
        <v>147.91999999999999</v>
      </c>
      <c r="AZ387" s="26">
        <v>125.47</v>
      </c>
      <c r="DP387" s="12"/>
      <c r="DR387" s="15"/>
      <c r="EN387" s="26">
        <v>23</v>
      </c>
    </row>
    <row r="388" spans="1:144" s="26" customFormat="1" x14ac:dyDescent="0.25">
      <c r="A388" s="26">
        <v>23</v>
      </c>
      <c r="B388" s="26" t="s">
        <v>475</v>
      </c>
      <c r="C388" s="26" t="s">
        <v>476</v>
      </c>
      <c r="D388" s="26">
        <v>2016</v>
      </c>
      <c r="E388" s="26">
        <v>2009</v>
      </c>
      <c r="F388" s="26" t="s">
        <v>499</v>
      </c>
      <c r="G388" s="26" t="s">
        <v>480</v>
      </c>
      <c r="H388" s="26">
        <v>38.82</v>
      </c>
      <c r="I388" s="26">
        <v>-76.75</v>
      </c>
      <c r="J388" s="26">
        <v>5.5</v>
      </c>
      <c r="P388" s="52" t="s">
        <v>186</v>
      </c>
      <c r="Q388" s="52"/>
      <c r="R388" s="52" t="s">
        <v>508</v>
      </c>
      <c r="S388" s="52" t="s">
        <v>658</v>
      </c>
      <c r="AB388" s="26" t="s">
        <v>479</v>
      </c>
      <c r="AC388" s="26" t="s">
        <v>492</v>
      </c>
      <c r="AJ388" s="26" t="s">
        <v>478</v>
      </c>
      <c r="AK388" s="26" t="s">
        <v>478</v>
      </c>
      <c r="AL388" s="26" t="s">
        <v>252</v>
      </c>
      <c r="AM388" s="26" t="s">
        <v>222</v>
      </c>
      <c r="AN388" s="26">
        <v>4</v>
      </c>
      <c r="AO388" s="26">
        <v>4</v>
      </c>
      <c r="AP388" s="26" t="s">
        <v>184</v>
      </c>
      <c r="AT388" s="63"/>
      <c r="AY388" s="26">
        <v>176.87</v>
      </c>
      <c r="AZ388" s="26">
        <v>107.89</v>
      </c>
      <c r="DP388" s="12"/>
      <c r="DR388" s="15"/>
      <c r="EN388" s="26">
        <v>23</v>
      </c>
    </row>
    <row r="389" spans="1:144" s="26" customFormat="1" x14ac:dyDescent="0.25">
      <c r="A389" s="26">
        <v>23</v>
      </c>
      <c r="B389" s="26" t="s">
        <v>475</v>
      </c>
      <c r="C389" s="26" t="s">
        <v>476</v>
      </c>
      <c r="D389" s="26">
        <v>2016</v>
      </c>
      <c r="E389" s="26">
        <v>2009</v>
      </c>
      <c r="F389" s="26" t="s">
        <v>499</v>
      </c>
      <c r="G389" s="26" t="s">
        <v>480</v>
      </c>
      <c r="H389" s="26">
        <v>38.82</v>
      </c>
      <c r="I389" s="26">
        <v>-76.75</v>
      </c>
      <c r="J389" s="26">
        <v>5.5</v>
      </c>
      <c r="P389" s="52" t="s">
        <v>186</v>
      </c>
      <c r="Q389" s="52"/>
      <c r="R389" s="52" t="s">
        <v>509</v>
      </c>
      <c r="S389" s="52" t="s">
        <v>658</v>
      </c>
      <c r="AB389" s="26" t="s">
        <v>479</v>
      </c>
      <c r="AC389" s="26" t="s">
        <v>492</v>
      </c>
      <c r="AJ389" s="26" t="s">
        <v>478</v>
      </c>
      <c r="AK389" s="26" t="s">
        <v>478</v>
      </c>
      <c r="AL389" s="26" t="s">
        <v>252</v>
      </c>
      <c r="AM389" s="26" t="s">
        <v>222</v>
      </c>
      <c r="AN389" s="26">
        <v>4</v>
      </c>
      <c r="AO389" s="26">
        <v>4</v>
      </c>
      <c r="AP389" s="26" t="s">
        <v>184</v>
      </c>
      <c r="AT389" s="63"/>
      <c r="AY389" s="26">
        <v>205.41</v>
      </c>
      <c r="AZ389" s="26">
        <v>123.37</v>
      </c>
      <c r="DP389" s="12"/>
      <c r="DR389" s="15"/>
      <c r="EN389" s="26">
        <v>23</v>
      </c>
    </row>
    <row r="390" spans="1:144" s="26" customFormat="1" x14ac:dyDescent="0.25">
      <c r="A390" s="26">
        <v>23</v>
      </c>
      <c r="B390" s="26" t="s">
        <v>475</v>
      </c>
      <c r="C390" s="26" t="s">
        <v>476</v>
      </c>
      <c r="D390" s="26">
        <v>2016</v>
      </c>
      <c r="E390" s="26">
        <v>2009</v>
      </c>
      <c r="F390" s="26" t="s">
        <v>499</v>
      </c>
      <c r="G390" s="26" t="s">
        <v>480</v>
      </c>
      <c r="H390" s="26">
        <v>38.82</v>
      </c>
      <c r="I390" s="26">
        <v>-76.75</v>
      </c>
      <c r="J390" s="26">
        <v>5.5</v>
      </c>
      <c r="P390" s="52" t="s">
        <v>186</v>
      </c>
      <c r="Q390" s="52"/>
      <c r="R390" s="52" t="s">
        <v>510</v>
      </c>
      <c r="S390" s="52" t="s">
        <v>658</v>
      </c>
      <c r="AB390" s="26" t="s">
        <v>479</v>
      </c>
      <c r="AC390" s="26" t="s">
        <v>492</v>
      </c>
      <c r="AJ390" s="26" t="s">
        <v>478</v>
      </c>
      <c r="AK390" s="26" t="s">
        <v>478</v>
      </c>
      <c r="AL390" s="26" t="s">
        <v>252</v>
      </c>
      <c r="AM390" s="26" t="s">
        <v>222</v>
      </c>
      <c r="AN390" s="26">
        <v>4</v>
      </c>
      <c r="AO390" s="26">
        <v>4</v>
      </c>
      <c r="AP390" s="26" t="s">
        <v>184</v>
      </c>
      <c r="AT390" s="63"/>
      <c r="AY390" s="26">
        <v>184.57</v>
      </c>
      <c r="AZ390" s="26">
        <v>143.34</v>
      </c>
      <c r="DP390" s="12"/>
      <c r="DR390" s="15"/>
      <c r="EN390" s="26">
        <v>23</v>
      </c>
    </row>
    <row r="391" spans="1:144" s="26" customFormat="1" x14ac:dyDescent="0.25">
      <c r="A391" s="26">
        <v>23</v>
      </c>
      <c r="B391" s="26" t="s">
        <v>475</v>
      </c>
      <c r="C391" s="26" t="s">
        <v>476</v>
      </c>
      <c r="D391" s="26">
        <v>2016</v>
      </c>
      <c r="E391" s="26">
        <v>2009</v>
      </c>
      <c r="F391" s="26" t="s">
        <v>499</v>
      </c>
      <c r="G391" s="26" t="s">
        <v>480</v>
      </c>
      <c r="H391" s="26">
        <v>38.82</v>
      </c>
      <c r="I391" s="26">
        <v>-76.75</v>
      </c>
      <c r="J391" s="26">
        <v>5.5</v>
      </c>
      <c r="P391" s="52" t="s">
        <v>186</v>
      </c>
      <c r="Q391" s="52"/>
      <c r="R391" s="52" t="s">
        <v>512</v>
      </c>
      <c r="S391" s="52" t="s">
        <v>658</v>
      </c>
      <c r="AB391" s="26" t="s">
        <v>479</v>
      </c>
      <c r="AC391" s="26" t="s">
        <v>492</v>
      </c>
      <c r="AJ391" s="26" t="s">
        <v>478</v>
      </c>
      <c r="AK391" s="26" t="s">
        <v>478</v>
      </c>
      <c r="AL391" s="26" t="s">
        <v>252</v>
      </c>
      <c r="AM391" s="26" t="s">
        <v>222</v>
      </c>
      <c r="AN391" s="26">
        <v>4</v>
      </c>
      <c r="AO391" s="26">
        <v>4</v>
      </c>
      <c r="AP391" s="26" t="s">
        <v>184</v>
      </c>
      <c r="AT391" s="63"/>
      <c r="AY391" s="26">
        <v>125.35</v>
      </c>
      <c r="AZ391" s="26">
        <v>115.56</v>
      </c>
      <c r="DP391" s="12"/>
      <c r="DR391" s="15"/>
      <c r="EN391" s="26">
        <v>23</v>
      </c>
    </row>
    <row r="392" spans="1:144" s="42" customFormat="1" x14ac:dyDescent="0.25">
      <c r="A392" s="42">
        <v>23</v>
      </c>
      <c r="B392" s="42" t="s">
        <v>475</v>
      </c>
      <c r="C392" s="42" t="s">
        <v>476</v>
      </c>
      <c r="D392" s="42">
        <v>2016</v>
      </c>
      <c r="E392" s="42">
        <v>2010</v>
      </c>
      <c r="F392" s="42" t="s">
        <v>499</v>
      </c>
      <c r="G392" s="42" t="s">
        <v>481</v>
      </c>
      <c r="H392" s="42">
        <v>38.92</v>
      </c>
      <c r="I392" s="42">
        <v>-76.150000000000006</v>
      </c>
      <c r="J392" s="42">
        <v>4.8</v>
      </c>
      <c r="P392" s="59" t="s">
        <v>187</v>
      </c>
      <c r="Q392" s="59"/>
      <c r="R392" s="59" t="s">
        <v>502</v>
      </c>
      <c r="S392" s="59" t="s">
        <v>658</v>
      </c>
      <c r="AB392" s="42" t="s">
        <v>479</v>
      </c>
      <c r="AC392" s="42" t="s">
        <v>492</v>
      </c>
      <c r="AJ392" s="42" t="s">
        <v>478</v>
      </c>
      <c r="AK392" s="42" t="s">
        <v>478</v>
      </c>
      <c r="AL392" s="42" t="s">
        <v>252</v>
      </c>
      <c r="AM392" s="42" t="s">
        <v>222</v>
      </c>
      <c r="AN392" s="42">
        <v>4</v>
      </c>
      <c r="AO392" s="42">
        <v>4</v>
      </c>
      <c r="AP392" s="42" t="s">
        <v>184</v>
      </c>
      <c r="AT392" s="63"/>
      <c r="AY392" s="42">
        <v>143.54</v>
      </c>
      <c r="AZ392" s="42">
        <v>111.54</v>
      </c>
      <c r="DP392" s="12"/>
      <c r="DR392" s="15"/>
      <c r="EN392" s="42">
        <v>23</v>
      </c>
    </row>
    <row r="393" spans="1:144" s="42" customFormat="1" x14ac:dyDescent="0.25">
      <c r="A393" s="42">
        <v>23</v>
      </c>
      <c r="B393" s="42" t="s">
        <v>475</v>
      </c>
      <c r="C393" s="42" t="s">
        <v>476</v>
      </c>
      <c r="D393" s="42">
        <v>2016</v>
      </c>
      <c r="E393" s="42">
        <v>2010</v>
      </c>
      <c r="F393" s="42" t="s">
        <v>499</v>
      </c>
      <c r="G393" s="42" t="s">
        <v>481</v>
      </c>
      <c r="H393" s="42">
        <v>38.92</v>
      </c>
      <c r="I393" s="42">
        <v>-76.150000000000006</v>
      </c>
      <c r="J393" s="42">
        <v>4.8</v>
      </c>
      <c r="P393" s="59" t="s">
        <v>187</v>
      </c>
      <c r="Q393" s="59"/>
      <c r="R393" s="59" t="s">
        <v>513</v>
      </c>
      <c r="S393" s="59" t="s">
        <v>658</v>
      </c>
      <c r="AB393" s="42" t="s">
        <v>479</v>
      </c>
      <c r="AC393" s="42" t="s">
        <v>492</v>
      </c>
      <c r="AJ393" s="42" t="s">
        <v>478</v>
      </c>
      <c r="AK393" s="42" t="s">
        <v>478</v>
      </c>
      <c r="AL393" s="42" t="s">
        <v>252</v>
      </c>
      <c r="AM393" s="42" t="s">
        <v>222</v>
      </c>
      <c r="AN393" s="42">
        <v>4</v>
      </c>
      <c r="AO393" s="42">
        <v>4</v>
      </c>
      <c r="AP393" s="42" t="s">
        <v>184</v>
      </c>
      <c r="AT393" s="63"/>
      <c r="AY393" s="42">
        <v>199.11</v>
      </c>
      <c r="AZ393" s="42">
        <v>128.12</v>
      </c>
      <c r="DP393" s="12"/>
      <c r="DR393" s="15"/>
      <c r="EN393" s="42">
        <v>23</v>
      </c>
    </row>
    <row r="394" spans="1:144" s="42" customFormat="1" x14ac:dyDescent="0.25">
      <c r="A394" s="42">
        <v>23</v>
      </c>
      <c r="B394" s="42" t="s">
        <v>475</v>
      </c>
      <c r="C394" s="42" t="s">
        <v>476</v>
      </c>
      <c r="D394" s="42">
        <v>2016</v>
      </c>
      <c r="E394" s="42">
        <v>2010</v>
      </c>
      <c r="F394" s="42" t="s">
        <v>499</v>
      </c>
      <c r="G394" s="42" t="s">
        <v>481</v>
      </c>
      <c r="H394" s="42">
        <v>38.92</v>
      </c>
      <c r="I394" s="42">
        <v>-76.150000000000006</v>
      </c>
      <c r="J394" s="42">
        <v>4.8</v>
      </c>
      <c r="P394" s="59" t="s">
        <v>187</v>
      </c>
      <c r="Q394" s="59"/>
      <c r="R394" s="59" t="s">
        <v>514</v>
      </c>
      <c r="S394" s="59" t="s">
        <v>658</v>
      </c>
      <c r="AB394" s="42" t="s">
        <v>479</v>
      </c>
      <c r="AC394" s="42" t="s">
        <v>492</v>
      </c>
      <c r="AJ394" s="42" t="s">
        <v>478</v>
      </c>
      <c r="AK394" s="42" t="s">
        <v>478</v>
      </c>
      <c r="AL394" s="42" t="s">
        <v>252</v>
      </c>
      <c r="AM394" s="42" t="s">
        <v>222</v>
      </c>
      <c r="AN394" s="42">
        <v>4</v>
      </c>
      <c r="AO394" s="42">
        <v>4</v>
      </c>
      <c r="AP394" s="42" t="s">
        <v>184</v>
      </c>
      <c r="AT394" s="63"/>
      <c r="AY394" s="42">
        <v>147.15</v>
      </c>
      <c r="AZ394" s="42">
        <v>135.15</v>
      </c>
      <c r="DP394" s="12"/>
      <c r="DR394" s="15"/>
      <c r="EN394" s="42">
        <v>23</v>
      </c>
    </row>
    <row r="395" spans="1:144" s="42" customFormat="1" x14ac:dyDescent="0.25">
      <c r="A395" s="42">
        <v>23</v>
      </c>
      <c r="B395" s="42" t="s">
        <v>475</v>
      </c>
      <c r="C395" s="42" t="s">
        <v>476</v>
      </c>
      <c r="D395" s="42">
        <v>2016</v>
      </c>
      <c r="E395" s="42">
        <v>2010</v>
      </c>
      <c r="F395" s="42" t="s">
        <v>499</v>
      </c>
      <c r="G395" s="42" t="s">
        <v>481</v>
      </c>
      <c r="H395" s="42">
        <v>38.92</v>
      </c>
      <c r="I395" s="42">
        <v>-76.150000000000006</v>
      </c>
      <c r="J395" s="42">
        <v>4.8</v>
      </c>
      <c r="P395" s="59" t="s">
        <v>187</v>
      </c>
      <c r="Q395" s="59"/>
      <c r="R395" s="59" t="s">
        <v>507</v>
      </c>
      <c r="S395" s="59" t="s">
        <v>658</v>
      </c>
      <c r="AB395" s="42" t="s">
        <v>479</v>
      </c>
      <c r="AC395" s="42" t="s">
        <v>492</v>
      </c>
      <c r="AJ395" s="42" t="s">
        <v>478</v>
      </c>
      <c r="AK395" s="42" t="s">
        <v>478</v>
      </c>
      <c r="AL395" s="42" t="s">
        <v>252</v>
      </c>
      <c r="AM395" s="42" t="s">
        <v>222</v>
      </c>
      <c r="AN395" s="42">
        <v>4</v>
      </c>
      <c r="AO395" s="42">
        <v>4</v>
      </c>
      <c r="AP395" s="42" t="s">
        <v>184</v>
      </c>
      <c r="AT395" s="63"/>
      <c r="AY395" s="42">
        <v>212.21</v>
      </c>
      <c r="AZ395" s="42">
        <v>177.71</v>
      </c>
      <c r="DP395" s="12"/>
      <c r="DR395" s="15"/>
      <c r="EN395" s="42">
        <v>23</v>
      </c>
    </row>
    <row r="396" spans="1:144" s="42" customFormat="1" x14ac:dyDescent="0.25">
      <c r="A396" s="42">
        <v>23</v>
      </c>
      <c r="B396" s="42" t="s">
        <v>475</v>
      </c>
      <c r="C396" s="42" t="s">
        <v>476</v>
      </c>
      <c r="D396" s="42">
        <v>2016</v>
      </c>
      <c r="E396" s="42">
        <v>2010</v>
      </c>
      <c r="F396" s="42" t="s">
        <v>499</v>
      </c>
      <c r="G396" s="42" t="s">
        <v>481</v>
      </c>
      <c r="H396" s="42">
        <v>38.92</v>
      </c>
      <c r="I396" s="42">
        <v>-76.150000000000006</v>
      </c>
      <c r="J396" s="42">
        <v>4.8</v>
      </c>
      <c r="P396" s="59" t="s">
        <v>187</v>
      </c>
      <c r="Q396" s="59"/>
      <c r="R396" s="59" t="s">
        <v>508</v>
      </c>
      <c r="S396" s="59" t="s">
        <v>658</v>
      </c>
      <c r="AB396" s="42" t="s">
        <v>479</v>
      </c>
      <c r="AC396" s="42" t="s">
        <v>492</v>
      </c>
      <c r="AJ396" s="42" t="s">
        <v>478</v>
      </c>
      <c r="AK396" s="42" t="s">
        <v>478</v>
      </c>
      <c r="AL396" s="42" t="s">
        <v>252</v>
      </c>
      <c r="AM396" s="42" t="s">
        <v>222</v>
      </c>
      <c r="AN396" s="42">
        <v>4</v>
      </c>
      <c r="AO396" s="42">
        <v>4</v>
      </c>
      <c r="AP396" s="42" t="s">
        <v>184</v>
      </c>
      <c r="AT396" s="63"/>
      <c r="AY396" s="42">
        <v>215.25</v>
      </c>
      <c r="AZ396" s="42">
        <v>163.25</v>
      </c>
      <c r="DP396" s="12"/>
      <c r="DR396" s="15"/>
      <c r="EN396" s="42">
        <v>23</v>
      </c>
    </row>
    <row r="397" spans="1:144" s="42" customFormat="1" x14ac:dyDescent="0.25">
      <c r="A397" s="42">
        <v>23</v>
      </c>
      <c r="B397" s="42" t="s">
        <v>475</v>
      </c>
      <c r="C397" s="42" t="s">
        <v>476</v>
      </c>
      <c r="D397" s="42">
        <v>2016</v>
      </c>
      <c r="E397" s="42">
        <v>2010</v>
      </c>
      <c r="F397" s="42" t="s">
        <v>499</v>
      </c>
      <c r="G397" s="42" t="s">
        <v>481</v>
      </c>
      <c r="H397" s="42">
        <v>38.92</v>
      </c>
      <c r="I397" s="42">
        <v>-76.150000000000006</v>
      </c>
      <c r="J397" s="42">
        <v>4.8</v>
      </c>
      <c r="P397" s="59" t="s">
        <v>187</v>
      </c>
      <c r="Q397" s="59"/>
      <c r="R397" s="59" t="s">
        <v>509</v>
      </c>
      <c r="S397" s="59" t="s">
        <v>658</v>
      </c>
      <c r="AB397" s="42" t="s">
        <v>479</v>
      </c>
      <c r="AC397" s="42" t="s">
        <v>492</v>
      </c>
      <c r="AJ397" s="42" t="s">
        <v>478</v>
      </c>
      <c r="AK397" s="42" t="s">
        <v>478</v>
      </c>
      <c r="AL397" s="42" t="s">
        <v>252</v>
      </c>
      <c r="AM397" s="42" t="s">
        <v>222</v>
      </c>
      <c r="AN397" s="42">
        <v>4</v>
      </c>
      <c r="AO397" s="42">
        <v>4</v>
      </c>
      <c r="AP397" s="42" t="s">
        <v>184</v>
      </c>
      <c r="AT397" s="63"/>
      <c r="AY397" s="42">
        <v>182.28</v>
      </c>
      <c r="AZ397" s="42">
        <v>130.79</v>
      </c>
      <c r="DP397" s="12"/>
      <c r="DR397" s="15"/>
      <c r="EN397" s="42">
        <v>23</v>
      </c>
    </row>
    <row r="398" spans="1:144" s="42" customFormat="1" x14ac:dyDescent="0.25">
      <c r="A398" s="42">
        <v>23</v>
      </c>
      <c r="B398" s="42" t="s">
        <v>475</v>
      </c>
      <c r="C398" s="42" t="s">
        <v>476</v>
      </c>
      <c r="D398" s="42">
        <v>2016</v>
      </c>
      <c r="E398" s="42">
        <v>2010</v>
      </c>
      <c r="F398" s="42" t="s">
        <v>499</v>
      </c>
      <c r="G398" s="42" t="s">
        <v>481</v>
      </c>
      <c r="H398" s="42">
        <v>38.92</v>
      </c>
      <c r="I398" s="42">
        <v>-76.150000000000006</v>
      </c>
      <c r="J398" s="42">
        <v>4.8</v>
      </c>
      <c r="P398" s="59" t="s">
        <v>187</v>
      </c>
      <c r="Q398" s="59"/>
      <c r="R398" s="59" t="s">
        <v>512</v>
      </c>
      <c r="S398" s="59" t="s">
        <v>658</v>
      </c>
      <c r="AB398" s="42" t="s">
        <v>479</v>
      </c>
      <c r="AC398" s="42" t="s">
        <v>492</v>
      </c>
      <c r="AJ398" s="42" t="s">
        <v>478</v>
      </c>
      <c r="AK398" s="42" t="s">
        <v>478</v>
      </c>
      <c r="AL398" s="42" t="s">
        <v>252</v>
      </c>
      <c r="AM398" s="42" t="s">
        <v>222</v>
      </c>
      <c r="AN398" s="42">
        <v>4</v>
      </c>
      <c r="AO398" s="42">
        <v>4</v>
      </c>
      <c r="AP398" s="42" t="s">
        <v>184</v>
      </c>
      <c r="AT398" s="63"/>
      <c r="AY398" s="42">
        <v>163.34</v>
      </c>
      <c r="AZ398" s="42">
        <v>163.34</v>
      </c>
      <c r="DP398" s="12"/>
      <c r="DR398" s="15"/>
      <c r="EN398" s="42">
        <v>23</v>
      </c>
    </row>
    <row r="399" spans="1:144" s="42" customFormat="1" x14ac:dyDescent="0.25">
      <c r="A399" s="42">
        <v>23</v>
      </c>
      <c r="B399" s="42" t="s">
        <v>475</v>
      </c>
      <c r="C399" s="42" t="s">
        <v>476</v>
      </c>
      <c r="D399" s="42">
        <v>2016</v>
      </c>
      <c r="E399" s="42">
        <v>2010</v>
      </c>
      <c r="F399" s="42" t="s">
        <v>499</v>
      </c>
      <c r="G399" s="42" t="s">
        <v>481</v>
      </c>
      <c r="H399" s="42">
        <v>38.92</v>
      </c>
      <c r="I399" s="42">
        <v>-76.150000000000006</v>
      </c>
      <c r="J399" s="42">
        <v>4.8</v>
      </c>
      <c r="P399" s="59" t="s">
        <v>187</v>
      </c>
      <c r="Q399" s="59"/>
      <c r="R399" s="59" t="s">
        <v>516</v>
      </c>
      <c r="S399" s="59" t="s">
        <v>658</v>
      </c>
      <c r="AB399" s="42" t="s">
        <v>479</v>
      </c>
      <c r="AC399" s="42" t="s">
        <v>492</v>
      </c>
      <c r="AJ399" s="42" t="s">
        <v>478</v>
      </c>
      <c r="AK399" s="42" t="s">
        <v>478</v>
      </c>
      <c r="AL399" s="42" t="s">
        <v>252</v>
      </c>
      <c r="AM399" s="42" t="s">
        <v>222</v>
      </c>
      <c r="AN399" s="42">
        <v>4</v>
      </c>
      <c r="AO399" s="42">
        <v>4</v>
      </c>
      <c r="AP399" s="42" t="s">
        <v>184</v>
      </c>
      <c r="AT399" s="63"/>
      <c r="AY399" s="42">
        <v>160.38</v>
      </c>
      <c r="AZ399" s="42">
        <v>101.88</v>
      </c>
      <c r="DP399" s="12"/>
      <c r="DR399" s="15"/>
      <c r="EN399" s="42">
        <v>23</v>
      </c>
    </row>
    <row r="400" spans="1:144" s="42" customFormat="1" x14ac:dyDescent="0.25">
      <c r="A400" s="42">
        <v>23</v>
      </c>
      <c r="B400" s="42" t="s">
        <v>475</v>
      </c>
      <c r="C400" s="42" t="s">
        <v>476</v>
      </c>
      <c r="D400" s="42">
        <v>2016</v>
      </c>
      <c r="E400" s="42">
        <v>2010</v>
      </c>
      <c r="F400" s="42" t="s">
        <v>499</v>
      </c>
      <c r="G400" s="42" t="s">
        <v>481</v>
      </c>
      <c r="H400" s="42">
        <v>38.92</v>
      </c>
      <c r="I400" s="42">
        <v>-76.150000000000006</v>
      </c>
      <c r="J400" s="42">
        <v>4.8</v>
      </c>
      <c r="P400" s="59" t="s">
        <v>187</v>
      </c>
      <c r="Q400" s="59"/>
      <c r="R400" s="59" t="s">
        <v>517</v>
      </c>
      <c r="S400" s="59" t="s">
        <v>658</v>
      </c>
      <c r="AB400" s="42" t="s">
        <v>479</v>
      </c>
      <c r="AC400" s="42" t="s">
        <v>492</v>
      </c>
      <c r="AJ400" s="42" t="s">
        <v>478</v>
      </c>
      <c r="AK400" s="42" t="s">
        <v>478</v>
      </c>
      <c r="AL400" s="42" t="s">
        <v>252</v>
      </c>
      <c r="AM400" s="42" t="s">
        <v>222</v>
      </c>
      <c r="AN400" s="42">
        <v>4</v>
      </c>
      <c r="AO400" s="42">
        <v>4</v>
      </c>
      <c r="AP400" s="42" t="s">
        <v>184</v>
      </c>
      <c r="AT400" s="63"/>
      <c r="AY400" s="42">
        <v>160.44</v>
      </c>
      <c r="AZ400" s="42">
        <v>95.94</v>
      </c>
      <c r="DP400" s="12"/>
      <c r="DR400" s="15"/>
      <c r="EN400" s="42">
        <v>23</v>
      </c>
    </row>
    <row r="401" spans="1:144" s="26" customFormat="1" x14ac:dyDescent="0.25">
      <c r="A401" s="26">
        <v>23</v>
      </c>
      <c r="B401" s="26" t="s">
        <v>475</v>
      </c>
      <c r="C401" s="26" t="s">
        <v>476</v>
      </c>
      <c r="D401" s="26">
        <v>2016</v>
      </c>
      <c r="E401" s="26">
        <v>2010</v>
      </c>
      <c r="F401" s="26" t="s">
        <v>499</v>
      </c>
      <c r="G401" s="26" t="s">
        <v>480</v>
      </c>
      <c r="H401" s="26">
        <v>38.82</v>
      </c>
      <c r="I401" s="26">
        <v>-76.75</v>
      </c>
      <c r="J401" s="26">
        <v>5.5</v>
      </c>
      <c r="P401" s="52" t="s">
        <v>187</v>
      </c>
      <c r="Q401" s="52"/>
      <c r="R401" s="52" t="s">
        <v>518</v>
      </c>
      <c r="S401" s="52" t="s">
        <v>658</v>
      </c>
      <c r="AB401" s="26" t="s">
        <v>479</v>
      </c>
      <c r="AC401" s="26" t="s">
        <v>492</v>
      </c>
      <c r="AJ401" s="26" t="s">
        <v>478</v>
      </c>
      <c r="AK401" s="26" t="s">
        <v>478</v>
      </c>
      <c r="AL401" s="26" t="s">
        <v>252</v>
      </c>
      <c r="AM401" s="26" t="s">
        <v>222</v>
      </c>
      <c r="AN401" s="26">
        <v>4</v>
      </c>
      <c r="AO401" s="26">
        <v>4</v>
      </c>
      <c r="AP401" s="26" t="s">
        <v>184</v>
      </c>
      <c r="AT401" s="63"/>
      <c r="AY401" s="26">
        <v>129.25</v>
      </c>
      <c r="AZ401" s="26">
        <v>1</v>
      </c>
      <c r="DP401" s="12"/>
      <c r="DR401" s="15"/>
      <c r="EN401" s="26">
        <v>23</v>
      </c>
    </row>
    <row r="402" spans="1:144" s="26" customFormat="1" x14ac:dyDescent="0.25">
      <c r="A402" s="26">
        <v>23</v>
      </c>
      <c r="B402" s="26" t="s">
        <v>475</v>
      </c>
      <c r="C402" s="26" t="s">
        <v>476</v>
      </c>
      <c r="D402" s="26">
        <v>2016</v>
      </c>
      <c r="E402" s="26">
        <v>2010</v>
      </c>
      <c r="F402" s="26" t="s">
        <v>499</v>
      </c>
      <c r="G402" s="26" t="s">
        <v>480</v>
      </c>
      <c r="H402" s="26">
        <v>38.82</v>
      </c>
      <c r="I402" s="26">
        <v>-76.75</v>
      </c>
      <c r="J402" s="26">
        <v>5.5</v>
      </c>
      <c r="P402" s="52" t="s">
        <v>187</v>
      </c>
      <c r="Q402" s="52"/>
      <c r="R402" s="52" t="s">
        <v>519</v>
      </c>
      <c r="S402" s="52" t="s">
        <v>658</v>
      </c>
      <c r="AB402" s="26" t="s">
        <v>479</v>
      </c>
      <c r="AC402" s="26" t="s">
        <v>492</v>
      </c>
      <c r="AJ402" s="26" t="s">
        <v>478</v>
      </c>
      <c r="AK402" s="26" t="s">
        <v>478</v>
      </c>
      <c r="AL402" s="26" t="s">
        <v>252</v>
      </c>
      <c r="AM402" s="26" t="s">
        <v>222</v>
      </c>
      <c r="AN402" s="26">
        <v>4</v>
      </c>
      <c r="AO402" s="26">
        <v>4</v>
      </c>
      <c r="AP402" s="26" t="s">
        <v>184</v>
      </c>
      <c r="AT402" s="63"/>
      <c r="AY402" s="26">
        <v>727.89</v>
      </c>
      <c r="AZ402" s="26">
        <v>68.03</v>
      </c>
      <c r="DP402" s="12"/>
      <c r="DR402" s="15"/>
      <c r="EN402" s="26">
        <v>23</v>
      </c>
    </row>
    <row r="403" spans="1:144" s="26" customFormat="1" x14ac:dyDescent="0.25">
      <c r="A403" s="26">
        <v>23</v>
      </c>
      <c r="B403" s="26" t="s">
        <v>475</v>
      </c>
      <c r="C403" s="26" t="s">
        <v>476</v>
      </c>
      <c r="D403" s="26">
        <v>2016</v>
      </c>
      <c r="E403" s="26">
        <v>2010</v>
      </c>
      <c r="F403" s="26" t="s">
        <v>499</v>
      </c>
      <c r="G403" s="26" t="s">
        <v>480</v>
      </c>
      <c r="H403" s="26">
        <v>38.82</v>
      </c>
      <c r="I403" s="26">
        <v>-76.75</v>
      </c>
      <c r="J403" s="26">
        <v>5.5</v>
      </c>
      <c r="P403" s="52" t="s">
        <v>187</v>
      </c>
      <c r="Q403" s="52"/>
      <c r="R403" s="52" t="s">
        <v>505</v>
      </c>
      <c r="S403" s="52" t="s">
        <v>658</v>
      </c>
      <c r="AB403" s="26" t="s">
        <v>479</v>
      </c>
      <c r="AC403" s="26" t="s">
        <v>492</v>
      </c>
      <c r="AJ403" s="26" t="s">
        <v>478</v>
      </c>
      <c r="AK403" s="26" t="s">
        <v>478</v>
      </c>
      <c r="AL403" s="26" t="s">
        <v>252</v>
      </c>
      <c r="AM403" s="26" t="s">
        <v>222</v>
      </c>
      <c r="AN403" s="26">
        <v>4</v>
      </c>
      <c r="AO403" s="26">
        <v>4</v>
      </c>
      <c r="AP403" s="26" t="s">
        <v>184</v>
      </c>
      <c r="AT403" s="63"/>
      <c r="AY403" s="26">
        <v>619.04999999999995</v>
      </c>
      <c r="AZ403" s="26">
        <v>231.29</v>
      </c>
      <c r="DP403" s="12"/>
      <c r="DR403" s="15"/>
      <c r="EN403" s="26">
        <v>23</v>
      </c>
    </row>
    <row r="404" spans="1:144" s="26" customFormat="1" x14ac:dyDescent="0.25">
      <c r="A404" s="26">
        <v>23</v>
      </c>
      <c r="B404" s="26" t="s">
        <v>475</v>
      </c>
      <c r="C404" s="26" t="s">
        <v>476</v>
      </c>
      <c r="D404" s="26">
        <v>2016</v>
      </c>
      <c r="E404" s="26">
        <v>2010</v>
      </c>
      <c r="F404" s="26" t="s">
        <v>499</v>
      </c>
      <c r="G404" s="26" t="s">
        <v>480</v>
      </c>
      <c r="H404" s="26">
        <v>38.82</v>
      </c>
      <c r="I404" s="26">
        <v>-76.75</v>
      </c>
      <c r="J404" s="26">
        <v>5.5</v>
      </c>
      <c r="P404" s="52" t="s">
        <v>187</v>
      </c>
      <c r="Q404" s="52"/>
      <c r="R404" s="52" t="s">
        <v>506</v>
      </c>
      <c r="S404" s="52" t="s">
        <v>658</v>
      </c>
      <c r="AB404" s="26" t="s">
        <v>479</v>
      </c>
      <c r="AC404" s="26" t="s">
        <v>492</v>
      </c>
      <c r="AJ404" s="26" t="s">
        <v>478</v>
      </c>
      <c r="AK404" s="26" t="s">
        <v>478</v>
      </c>
      <c r="AL404" s="26" t="s">
        <v>252</v>
      </c>
      <c r="AM404" s="26" t="s">
        <v>222</v>
      </c>
      <c r="AN404" s="26">
        <v>4</v>
      </c>
      <c r="AO404" s="26">
        <v>4</v>
      </c>
      <c r="AP404" s="26" t="s">
        <v>184</v>
      </c>
      <c r="AT404" s="63"/>
      <c r="AY404" s="26">
        <v>591.84</v>
      </c>
      <c r="AZ404" s="26">
        <v>81.63</v>
      </c>
      <c r="DP404" s="12"/>
      <c r="DR404" s="15"/>
      <c r="EN404" s="26">
        <v>23</v>
      </c>
    </row>
    <row r="405" spans="1:144" s="26" customFormat="1" x14ac:dyDescent="0.25">
      <c r="A405" s="26">
        <v>23</v>
      </c>
      <c r="B405" s="26" t="s">
        <v>475</v>
      </c>
      <c r="C405" s="26" t="s">
        <v>476</v>
      </c>
      <c r="D405" s="26">
        <v>2016</v>
      </c>
      <c r="E405" s="26">
        <v>2010</v>
      </c>
      <c r="F405" s="26" t="s">
        <v>499</v>
      </c>
      <c r="G405" s="26" t="s">
        <v>480</v>
      </c>
      <c r="H405" s="26">
        <v>38.82</v>
      </c>
      <c r="I405" s="26">
        <v>-76.75</v>
      </c>
      <c r="J405" s="26">
        <v>5.5</v>
      </c>
      <c r="P405" s="52" t="s">
        <v>187</v>
      </c>
      <c r="Q405" s="52"/>
      <c r="R405" s="52" t="s">
        <v>520</v>
      </c>
      <c r="S405" s="52" t="s">
        <v>658</v>
      </c>
      <c r="AB405" s="26" t="s">
        <v>479</v>
      </c>
      <c r="AC405" s="26" t="s">
        <v>492</v>
      </c>
      <c r="AJ405" s="26" t="s">
        <v>478</v>
      </c>
      <c r="AK405" s="26" t="s">
        <v>478</v>
      </c>
      <c r="AL405" s="26" t="s">
        <v>252</v>
      </c>
      <c r="AM405" s="26" t="s">
        <v>222</v>
      </c>
      <c r="AN405" s="26">
        <v>4</v>
      </c>
      <c r="AO405" s="26">
        <v>4</v>
      </c>
      <c r="AP405" s="26" t="s">
        <v>184</v>
      </c>
      <c r="AT405" s="63"/>
      <c r="AY405" s="26">
        <v>401.36</v>
      </c>
      <c r="AZ405" s="26">
        <v>142.86000000000001</v>
      </c>
      <c r="DP405" s="12"/>
      <c r="DR405" s="15"/>
      <c r="EN405" s="26">
        <v>23</v>
      </c>
    </row>
    <row r="406" spans="1:144" s="26" customFormat="1" x14ac:dyDescent="0.25">
      <c r="A406" s="26">
        <v>23</v>
      </c>
      <c r="B406" s="26" t="s">
        <v>475</v>
      </c>
      <c r="C406" s="26" t="s">
        <v>476</v>
      </c>
      <c r="D406" s="26">
        <v>2016</v>
      </c>
      <c r="E406" s="26">
        <v>2010</v>
      </c>
      <c r="F406" s="26" t="s">
        <v>499</v>
      </c>
      <c r="G406" s="26" t="s">
        <v>480</v>
      </c>
      <c r="H406" s="26">
        <v>38.82</v>
      </c>
      <c r="I406" s="26">
        <v>-76.75</v>
      </c>
      <c r="J406" s="26">
        <v>5.5</v>
      </c>
      <c r="P406" s="52" t="s">
        <v>187</v>
      </c>
      <c r="Q406" s="52"/>
      <c r="R406" s="52" t="s">
        <v>515</v>
      </c>
      <c r="S406" s="52" t="s">
        <v>658</v>
      </c>
      <c r="AB406" s="26" t="s">
        <v>479</v>
      </c>
      <c r="AC406" s="26" t="s">
        <v>492</v>
      </c>
      <c r="AJ406" s="26" t="s">
        <v>478</v>
      </c>
      <c r="AK406" s="26" t="s">
        <v>478</v>
      </c>
      <c r="AL406" s="26" t="s">
        <v>252</v>
      </c>
      <c r="AM406" s="26" t="s">
        <v>222</v>
      </c>
      <c r="AN406" s="26">
        <v>4</v>
      </c>
      <c r="AO406" s="26">
        <v>4</v>
      </c>
      <c r="AP406" s="26" t="s">
        <v>184</v>
      </c>
      <c r="AT406" s="63"/>
      <c r="AY406" s="26">
        <v>1095.24</v>
      </c>
      <c r="AZ406" s="26">
        <v>204.08</v>
      </c>
      <c r="DP406" s="12"/>
      <c r="DR406" s="15"/>
      <c r="EN406" s="26">
        <v>23</v>
      </c>
    </row>
    <row r="407" spans="1:144" s="26" customFormat="1" x14ac:dyDescent="0.25">
      <c r="A407" s="26">
        <v>23</v>
      </c>
      <c r="B407" s="26" t="s">
        <v>475</v>
      </c>
      <c r="C407" s="26" t="s">
        <v>476</v>
      </c>
      <c r="D407" s="26">
        <v>2016</v>
      </c>
      <c r="E407" s="26">
        <v>2010</v>
      </c>
      <c r="F407" s="26" t="s">
        <v>499</v>
      </c>
      <c r="G407" s="26" t="s">
        <v>480</v>
      </c>
      <c r="H407" s="26">
        <v>38.82</v>
      </c>
      <c r="I407" s="26">
        <v>-76.75</v>
      </c>
      <c r="J407" s="26">
        <v>5.5</v>
      </c>
      <c r="P407" s="52" t="s">
        <v>187</v>
      </c>
      <c r="Q407" s="52"/>
      <c r="R407" s="52" t="s">
        <v>521</v>
      </c>
      <c r="S407" s="52" t="s">
        <v>658</v>
      </c>
      <c r="AB407" s="26" t="s">
        <v>479</v>
      </c>
      <c r="AC407" s="26" t="s">
        <v>492</v>
      </c>
      <c r="AJ407" s="26" t="s">
        <v>478</v>
      </c>
      <c r="AK407" s="26" t="s">
        <v>478</v>
      </c>
      <c r="AL407" s="26" t="s">
        <v>252</v>
      </c>
      <c r="AM407" s="26" t="s">
        <v>222</v>
      </c>
      <c r="AN407" s="26">
        <v>4</v>
      </c>
      <c r="AO407" s="26">
        <v>4</v>
      </c>
      <c r="AP407" s="26" t="s">
        <v>184</v>
      </c>
      <c r="AT407" s="63"/>
      <c r="AY407" s="26">
        <v>1482.99</v>
      </c>
      <c r="AZ407" s="26">
        <v>489.8</v>
      </c>
      <c r="DP407" s="12"/>
      <c r="DR407" s="15"/>
      <c r="EN407" s="26">
        <v>23</v>
      </c>
    </row>
    <row r="408" spans="1:144" s="26" customFormat="1" x14ac:dyDescent="0.25">
      <c r="A408" s="26">
        <v>23</v>
      </c>
      <c r="B408" s="26" t="s">
        <v>475</v>
      </c>
      <c r="C408" s="26" t="s">
        <v>476</v>
      </c>
      <c r="D408" s="26">
        <v>2016</v>
      </c>
      <c r="E408" s="26">
        <v>2010</v>
      </c>
      <c r="F408" s="26" t="s">
        <v>499</v>
      </c>
      <c r="G408" s="26" t="s">
        <v>480</v>
      </c>
      <c r="H408" s="26">
        <v>38.82</v>
      </c>
      <c r="I408" s="26">
        <v>-76.75</v>
      </c>
      <c r="J408" s="26">
        <v>5.5</v>
      </c>
      <c r="P408" s="52" t="s">
        <v>187</v>
      </c>
      <c r="Q408" s="52"/>
      <c r="R408" s="52" t="s">
        <v>509</v>
      </c>
      <c r="S408" s="52" t="s">
        <v>658</v>
      </c>
      <c r="AB408" s="26" t="s">
        <v>479</v>
      </c>
      <c r="AC408" s="26" t="s">
        <v>492</v>
      </c>
      <c r="AJ408" s="26" t="s">
        <v>478</v>
      </c>
      <c r="AK408" s="26" t="s">
        <v>478</v>
      </c>
      <c r="AL408" s="26" t="s">
        <v>252</v>
      </c>
      <c r="AM408" s="26" t="s">
        <v>222</v>
      </c>
      <c r="AN408" s="26">
        <v>4</v>
      </c>
      <c r="AO408" s="26">
        <v>4</v>
      </c>
      <c r="AP408" s="26" t="s">
        <v>184</v>
      </c>
      <c r="AT408" s="63"/>
      <c r="AY408" s="26">
        <v>353.74</v>
      </c>
      <c r="AZ408" s="26">
        <v>136.05000000000001</v>
      </c>
      <c r="DP408" s="12"/>
      <c r="DR408" s="15"/>
      <c r="EN408" s="26">
        <v>23</v>
      </c>
    </row>
    <row r="409" spans="1:144" s="26" customFormat="1" x14ac:dyDescent="0.25">
      <c r="A409" s="26">
        <v>23</v>
      </c>
      <c r="B409" s="26" t="s">
        <v>475</v>
      </c>
      <c r="C409" s="26" t="s">
        <v>476</v>
      </c>
      <c r="D409" s="26">
        <v>2016</v>
      </c>
      <c r="E409" s="26">
        <v>2010</v>
      </c>
      <c r="F409" s="26" t="s">
        <v>499</v>
      </c>
      <c r="G409" s="26" t="s">
        <v>480</v>
      </c>
      <c r="H409" s="26">
        <v>38.82</v>
      </c>
      <c r="I409" s="26">
        <v>-76.75</v>
      </c>
      <c r="J409" s="26">
        <v>5.5</v>
      </c>
      <c r="P409" s="52" t="s">
        <v>187</v>
      </c>
      <c r="Q409" s="52"/>
      <c r="R409" s="52" t="s">
        <v>522</v>
      </c>
      <c r="S409" s="52" t="s">
        <v>658</v>
      </c>
      <c r="AB409" s="26" t="s">
        <v>479</v>
      </c>
      <c r="AC409" s="26" t="s">
        <v>492</v>
      </c>
      <c r="AJ409" s="26" t="s">
        <v>478</v>
      </c>
      <c r="AK409" s="26" t="s">
        <v>478</v>
      </c>
      <c r="AL409" s="26" t="s">
        <v>252</v>
      </c>
      <c r="AM409" s="26" t="s">
        <v>222</v>
      </c>
      <c r="AN409" s="26">
        <v>4</v>
      </c>
      <c r="AO409" s="26">
        <v>4</v>
      </c>
      <c r="AP409" s="26" t="s">
        <v>184</v>
      </c>
      <c r="AT409" s="63"/>
      <c r="AY409" s="26">
        <v>544.22</v>
      </c>
      <c r="AZ409" s="26">
        <v>122.45</v>
      </c>
      <c r="DP409" s="12"/>
      <c r="DR409" s="15"/>
      <c r="EN409" s="26">
        <v>23</v>
      </c>
    </row>
    <row r="410" spans="1:144" s="26" customFormat="1" x14ac:dyDescent="0.25">
      <c r="A410" s="26">
        <v>23</v>
      </c>
      <c r="B410" s="26" t="s">
        <v>475</v>
      </c>
      <c r="C410" s="26" t="s">
        <v>476</v>
      </c>
      <c r="D410" s="26">
        <v>2016</v>
      </c>
      <c r="E410" s="26">
        <v>2010</v>
      </c>
      <c r="F410" s="26" t="s">
        <v>499</v>
      </c>
      <c r="G410" s="26" t="s">
        <v>480</v>
      </c>
      <c r="H410" s="26">
        <v>38.82</v>
      </c>
      <c r="I410" s="26">
        <v>-76.75</v>
      </c>
      <c r="J410" s="26">
        <v>5.5</v>
      </c>
      <c r="P410" s="52" t="s">
        <v>187</v>
      </c>
      <c r="Q410" s="52"/>
      <c r="R410" s="52" t="s">
        <v>510</v>
      </c>
      <c r="S410" s="52" t="s">
        <v>658</v>
      </c>
      <c r="AB410" s="26" t="s">
        <v>479</v>
      </c>
      <c r="AC410" s="26" t="s">
        <v>492</v>
      </c>
      <c r="AJ410" s="26" t="s">
        <v>478</v>
      </c>
      <c r="AK410" s="26" t="s">
        <v>478</v>
      </c>
      <c r="AL410" s="26" t="s">
        <v>252</v>
      </c>
      <c r="AM410" s="26" t="s">
        <v>222</v>
      </c>
      <c r="AN410" s="26">
        <v>4</v>
      </c>
      <c r="AO410" s="26">
        <v>4</v>
      </c>
      <c r="AP410" s="26" t="s">
        <v>184</v>
      </c>
      <c r="AT410" s="63"/>
      <c r="AY410" s="26">
        <v>272.11</v>
      </c>
      <c r="AZ410" s="26">
        <v>81.63</v>
      </c>
      <c r="DP410" s="12"/>
      <c r="DR410" s="15"/>
      <c r="EN410" s="26">
        <v>23</v>
      </c>
    </row>
    <row r="411" spans="1:144" s="26" customFormat="1" x14ac:dyDescent="0.25">
      <c r="A411" s="26">
        <v>23</v>
      </c>
      <c r="B411" s="26" t="s">
        <v>475</v>
      </c>
      <c r="C411" s="26" t="s">
        <v>476</v>
      </c>
      <c r="D411" s="26">
        <v>2016</v>
      </c>
      <c r="E411" s="26">
        <v>2010</v>
      </c>
      <c r="F411" s="26" t="s">
        <v>499</v>
      </c>
      <c r="G411" s="26" t="s">
        <v>480</v>
      </c>
      <c r="H411" s="26">
        <v>38.82</v>
      </c>
      <c r="I411" s="26">
        <v>-76.75</v>
      </c>
      <c r="J411" s="26">
        <v>5.5</v>
      </c>
      <c r="P411" s="52" t="s">
        <v>187</v>
      </c>
      <c r="Q411" s="52"/>
      <c r="R411" s="52" t="s">
        <v>512</v>
      </c>
      <c r="S411" s="52" t="s">
        <v>658</v>
      </c>
      <c r="AB411" s="26" t="s">
        <v>479</v>
      </c>
      <c r="AC411" s="26" t="s">
        <v>492</v>
      </c>
      <c r="AJ411" s="26" t="s">
        <v>478</v>
      </c>
      <c r="AK411" s="26" t="s">
        <v>478</v>
      </c>
      <c r="AL411" s="26" t="s">
        <v>252</v>
      </c>
      <c r="AM411" s="26" t="s">
        <v>222</v>
      </c>
      <c r="AN411" s="26">
        <v>4</v>
      </c>
      <c r="AO411" s="26">
        <v>4</v>
      </c>
      <c r="AP411" s="26" t="s">
        <v>184</v>
      </c>
      <c r="AT411" s="63"/>
      <c r="AY411" s="26">
        <v>653.05999999999995</v>
      </c>
      <c r="AZ411" s="26">
        <v>326.52999999999997</v>
      </c>
      <c r="DP411" s="12"/>
      <c r="DR411" s="15"/>
      <c r="EN411" s="26">
        <v>23</v>
      </c>
    </row>
    <row r="412" spans="1:144" s="26" customFormat="1" x14ac:dyDescent="0.25">
      <c r="A412" s="26">
        <v>23</v>
      </c>
      <c r="B412" s="26" t="s">
        <v>475</v>
      </c>
      <c r="C412" s="26" t="s">
        <v>476</v>
      </c>
      <c r="D412" s="26">
        <v>2016</v>
      </c>
      <c r="E412" s="26">
        <v>2010</v>
      </c>
      <c r="F412" s="26" t="s">
        <v>499</v>
      </c>
      <c r="G412" s="26" t="s">
        <v>480</v>
      </c>
      <c r="H412" s="26">
        <v>38.82</v>
      </c>
      <c r="I412" s="26">
        <v>-76.75</v>
      </c>
      <c r="J412" s="26">
        <v>5.5</v>
      </c>
      <c r="P412" s="52" t="s">
        <v>187</v>
      </c>
      <c r="Q412" s="52"/>
      <c r="R412" s="52" t="s">
        <v>516</v>
      </c>
      <c r="S412" s="52" t="s">
        <v>658</v>
      </c>
      <c r="AB412" s="26" t="s">
        <v>479</v>
      </c>
      <c r="AC412" s="26" t="s">
        <v>492</v>
      </c>
      <c r="AJ412" s="26" t="s">
        <v>478</v>
      </c>
      <c r="AK412" s="26" t="s">
        <v>478</v>
      </c>
      <c r="AL412" s="26" t="s">
        <v>252</v>
      </c>
      <c r="AM412" s="26" t="s">
        <v>222</v>
      </c>
      <c r="AN412" s="26">
        <v>4</v>
      </c>
      <c r="AO412" s="26">
        <v>4</v>
      </c>
      <c r="AP412" s="26" t="s">
        <v>184</v>
      </c>
      <c r="AT412" s="63"/>
      <c r="AY412" s="26">
        <v>1721.09</v>
      </c>
      <c r="AZ412" s="26">
        <v>238.1</v>
      </c>
      <c r="DP412" s="12"/>
      <c r="DR412" s="15"/>
      <c r="EN412" s="26">
        <v>23</v>
      </c>
    </row>
    <row r="413" spans="1:144" s="26" customFormat="1" x14ac:dyDescent="0.25">
      <c r="A413" s="26">
        <v>23</v>
      </c>
      <c r="B413" s="26" t="s">
        <v>475</v>
      </c>
      <c r="C413" s="26" t="s">
        <v>476</v>
      </c>
      <c r="D413" s="26">
        <v>2016</v>
      </c>
      <c r="E413" s="26">
        <v>2010</v>
      </c>
      <c r="F413" s="26" t="s">
        <v>499</v>
      </c>
      <c r="G413" s="26" t="s">
        <v>480</v>
      </c>
      <c r="H413" s="26">
        <v>38.82</v>
      </c>
      <c r="I413" s="26">
        <v>-76.75</v>
      </c>
      <c r="J413" s="26">
        <v>5.5</v>
      </c>
      <c r="P413" s="52" t="s">
        <v>187</v>
      </c>
      <c r="Q413" s="52"/>
      <c r="R413" s="52" t="s">
        <v>523</v>
      </c>
      <c r="S413" s="52" t="s">
        <v>658</v>
      </c>
      <c r="AB413" s="26" t="s">
        <v>479</v>
      </c>
      <c r="AC413" s="26" t="s">
        <v>492</v>
      </c>
      <c r="AJ413" s="26" t="s">
        <v>478</v>
      </c>
      <c r="AK413" s="26" t="s">
        <v>478</v>
      </c>
      <c r="AL413" s="26" t="s">
        <v>252</v>
      </c>
      <c r="AM413" s="26" t="s">
        <v>222</v>
      </c>
      <c r="AN413" s="26">
        <v>4</v>
      </c>
      <c r="AO413" s="26">
        <v>4</v>
      </c>
      <c r="AP413" s="26" t="s">
        <v>184</v>
      </c>
      <c r="AT413" s="63"/>
      <c r="AY413" s="26">
        <v>659.86</v>
      </c>
      <c r="AZ413" s="26">
        <v>210.88</v>
      </c>
      <c r="DP413" s="12"/>
      <c r="DR413" s="15"/>
      <c r="EN413" s="26">
        <v>23</v>
      </c>
    </row>
    <row r="414" spans="1:144" s="26" customFormat="1" x14ac:dyDescent="0.25">
      <c r="A414" s="26">
        <v>23</v>
      </c>
      <c r="B414" s="26" t="s">
        <v>475</v>
      </c>
      <c r="C414" s="26" t="s">
        <v>476</v>
      </c>
      <c r="D414" s="26">
        <v>2016</v>
      </c>
      <c r="E414" s="26">
        <v>2010</v>
      </c>
      <c r="F414" s="26" t="s">
        <v>499</v>
      </c>
      <c r="G414" s="26" t="s">
        <v>480</v>
      </c>
      <c r="H414" s="26">
        <v>38.82</v>
      </c>
      <c r="I414" s="26">
        <v>-76.75</v>
      </c>
      <c r="J414" s="26">
        <v>5.5</v>
      </c>
      <c r="P414" s="52" t="s">
        <v>187</v>
      </c>
      <c r="Q414" s="52"/>
      <c r="R414" s="52" t="s">
        <v>524</v>
      </c>
      <c r="S414" s="52" t="s">
        <v>658</v>
      </c>
      <c r="AB414" s="26" t="s">
        <v>479</v>
      </c>
      <c r="AC414" s="26" t="s">
        <v>492</v>
      </c>
      <c r="AJ414" s="26" t="s">
        <v>478</v>
      </c>
      <c r="AK414" s="26" t="s">
        <v>478</v>
      </c>
      <c r="AL414" s="26" t="s">
        <v>252</v>
      </c>
      <c r="AM414" s="26" t="s">
        <v>222</v>
      </c>
      <c r="AN414" s="26">
        <v>4</v>
      </c>
      <c r="AO414" s="26">
        <v>4</v>
      </c>
      <c r="AP414" s="26" t="s">
        <v>184</v>
      </c>
      <c r="AT414" s="63"/>
      <c r="AY414" s="26">
        <v>537.41999999999996</v>
      </c>
      <c r="AZ414" s="26">
        <v>360.54</v>
      </c>
      <c r="DP414" s="12"/>
      <c r="DR414" s="15"/>
      <c r="EN414" s="26">
        <v>23</v>
      </c>
    </row>
    <row r="415" spans="1:144" s="42" customFormat="1" x14ac:dyDescent="0.25">
      <c r="A415" s="42">
        <v>23</v>
      </c>
      <c r="B415" s="42" t="s">
        <v>475</v>
      </c>
      <c r="C415" s="42" t="s">
        <v>476</v>
      </c>
      <c r="D415" s="42">
        <v>2016</v>
      </c>
      <c r="E415" s="42">
        <v>2011</v>
      </c>
      <c r="F415" s="42" t="s">
        <v>499</v>
      </c>
      <c r="G415" s="42" t="s">
        <v>481</v>
      </c>
      <c r="H415" s="42">
        <v>38.92</v>
      </c>
      <c r="I415" s="42">
        <v>-76.150000000000006</v>
      </c>
      <c r="J415" s="42">
        <v>4.8</v>
      </c>
      <c r="P415" s="59" t="s">
        <v>188</v>
      </c>
      <c r="Q415" s="59"/>
      <c r="R415" s="59" t="s">
        <v>519</v>
      </c>
      <c r="S415" s="59" t="s">
        <v>658</v>
      </c>
      <c r="AB415" s="42" t="s">
        <v>479</v>
      </c>
      <c r="AC415" s="42" t="s">
        <v>492</v>
      </c>
      <c r="AJ415" s="42" t="s">
        <v>478</v>
      </c>
      <c r="AK415" s="42" t="s">
        <v>478</v>
      </c>
      <c r="AL415" s="42" t="s">
        <v>252</v>
      </c>
      <c r="AM415" s="42" t="s">
        <v>222</v>
      </c>
      <c r="AN415" s="42">
        <v>4</v>
      </c>
      <c r="AO415" s="42">
        <v>4</v>
      </c>
      <c r="AP415" s="42" t="s">
        <v>184</v>
      </c>
      <c r="AT415" s="63"/>
      <c r="AY415" s="42">
        <v>1.5</v>
      </c>
      <c r="AZ415" s="42">
        <v>1.5</v>
      </c>
      <c r="DP415" s="12"/>
      <c r="DR415" s="15"/>
      <c r="EN415" s="42">
        <v>23</v>
      </c>
    </row>
    <row r="416" spans="1:144" s="42" customFormat="1" x14ac:dyDescent="0.25">
      <c r="A416" s="42">
        <v>23</v>
      </c>
      <c r="B416" s="42" t="s">
        <v>475</v>
      </c>
      <c r="C416" s="42" t="s">
        <v>476</v>
      </c>
      <c r="D416" s="42">
        <v>2016</v>
      </c>
      <c r="E416" s="42">
        <v>2011</v>
      </c>
      <c r="F416" s="42" t="s">
        <v>499</v>
      </c>
      <c r="G416" s="42" t="s">
        <v>481</v>
      </c>
      <c r="H416" s="42">
        <v>38.92</v>
      </c>
      <c r="I416" s="42">
        <v>-76.150000000000006</v>
      </c>
      <c r="J416" s="42">
        <v>4.8</v>
      </c>
      <c r="P416" s="59" t="s">
        <v>188</v>
      </c>
      <c r="Q416" s="59"/>
      <c r="R416" s="59" t="s">
        <v>513</v>
      </c>
      <c r="S416" s="59" t="s">
        <v>658</v>
      </c>
      <c r="AB416" s="42" t="s">
        <v>479</v>
      </c>
      <c r="AC416" s="42" t="s">
        <v>492</v>
      </c>
      <c r="AJ416" s="42" t="s">
        <v>478</v>
      </c>
      <c r="AK416" s="42" t="s">
        <v>478</v>
      </c>
      <c r="AL416" s="42" t="s">
        <v>252</v>
      </c>
      <c r="AM416" s="42" t="s">
        <v>222</v>
      </c>
      <c r="AN416" s="42">
        <v>4</v>
      </c>
      <c r="AO416" s="42">
        <v>4</v>
      </c>
      <c r="AP416" s="42" t="s">
        <v>184</v>
      </c>
      <c r="AT416" s="63"/>
      <c r="AY416" s="42">
        <v>1.5</v>
      </c>
      <c r="AZ416" s="42">
        <v>1.5</v>
      </c>
      <c r="DP416" s="12"/>
      <c r="DR416" s="15"/>
      <c r="EN416" s="42">
        <v>23</v>
      </c>
    </row>
    <row r="417" spans="1:144" s="42" customFormat="1" x14ac:dyDescent="0.25">
      <c r="A417" s="42">
        <v>23</v>
      </c>
      <c r="B417" s="42" t="s">
        <v>475</v>
      </c>
      <c r="C417" s="42" t="s">
        <v>476</v>
      </c>
      <c r="D417" s="42">
        <v>2016</v>
      </c>
      <c r="E417" s="42">
        <v>2011</v>
      </c>
      <c r="F417" s="42" t="s">
        <v>499</v>
      </c>
      <c r="G417" s="42" t="s">
        <v>481</v>
      </c>
      <c r="H417" s="42">
        <v>38.92</v>
      </c>
      <c r="I417" s="42">
        <v>-76.150000000000006</v>
      </c>
      <c r="J417" s="42">
        <v>4.8</v>
      </c>
      <c r="P417" s="59" t="s">
        <v>188</v>
      </c>
      <c r="Q417" s="59"/>
      <c r="R417" s="59" t="s">
        <v>514</v>
      </c>
      <c r="S417" s="59" t="s">
        <v>658</v>
      </c>
      <c r="AB417" s="42" t="s">
        <v>479</v>
      </c>
      <c r="AC417" s="42" t="s">
        <v>492</v>
      </c>
      <c r="AJ417" s="42" t="s">
        <v>478</v>
      </c>
      <c r="AK417" s="42" t="s">
        <v>478</v>
      </c>
      <c r="AL417" s="42" t="s">
        <v>252</v>
      </c>
      <c r="AM417" s="42" t="s">
        <v>222</v>
      </c>
      <c r="AN417" s="42">
        <v>4</v>
      </c>
      <c r="AO417" s="42">
        <v>4</v>
      </c>
      <c r="AP417" s="42" t="s">
        <v>184</v>
      </c>
      <c r="AT417" s="63"/>
      <c r="AY417" s="42">
        <v>1.5</v>
      </c>
      <c r="AZ417" s="42">
        <v>1.5</v>
      </c>
      <c r="DP417" s="12"/>
      <c r="DR417" s="15"/>
      <c r="EN417" s="42">
        <v>23</v>
      </c>
    </row>
    <row r="418" spans="1:144" s="42" customFormat="1" x14ac:dyDescent="0.25">
      <c r="A418" s="42">
        <v>23</v>
      </c>
      <c r="B418" s="42" t="s">
        <v>475</v>
      </c>
      <c r="C418" s="42" t="s">
        <v>476</v>
      </c>
      <c r="D418" s="42">
        <v>2016</v>
      </c>
      <c r="E418" s="42">
        <v>2011</v>
      </c>
      <c r="F418" s="42" t="s">
        <v>499</v>
      </c>
      <c r="G418" s="42" t="s">
        <v>481</v>
      </c>
      <c r="H418" s="42">
        <v>38.92</v>
      </c>
      <c r="I418" s="42">
        <v>-76.150000000000006</v>
      </c>
      <c r="J418" s="42">
        <v>4.8</v>
      </c>
      <c r="P418" s="59" t="s">
        <v>188</v>
      </c>
      <c r="Q418" s="59"/>
      <c r="R418" s="59" t="s">
        <v>520</v>
      </c>
      <c r="S418" s="59" t="s">
        <v>658</v>
      </c>
      <c r="AB418" s="42" t="s">
        <v>479</v>
      </c>
      <c r="AC418" s="42" t="s">
        <v>492</v>
      </c>
      <c r="AJ418" s="42" t="s">
        <v>478</v>
      </c>
      <c r="AK418" s="42" t="s">
        <v>478</v>
      </c>
      <c r="AL418" s="42" t="s">
        <v>252</v>
      </c>
      <c r="AM418" s="42" t="s">
        <v>222</v>
      </c>
      <c r="AN418" s="42">
        <v>4</v>
      </c>
      <c r="AO418" s="42">
        <v>4</v>
      </c>
      <c r="AP418" s="42" t="s">
        <v>184</v>
      </c>
      <c r="AT418" s="63"/>
      <c r="AY418" s="42">
        <v>174.25</v>
      </c>
      <c r="AZ418" s="42">
        <v>415.72</v>
      </c>
      <c r="DP418" s="12"/>
      <c r="DR418" s="15"/>
      <c r="EN418" s="42">
        <v>23</v>
      </c>
    </row>
    <row r="419" spans="1:144" s="42" customFormat="1" x14ac:dyDescent="0.25">
      <c r="A419" s="42">
        <v>23</v>
      </c>
      <c r="B419" s="42" t="s">
        <v>475</v>
      </c>
      <c r="C419" s="42" t="s">
        <v>476</v>
      </c>
      <c r="D419" s="42">
        <v>2016</v>
      </c>
      <c r="E419" s="42">
        <v>2011</v>
      </c>
      <c r="F419" s="42" t="s">
        <v>499</v>
      </c>
      <c r="G419" s="42" t="s">
        <v>481</v>
      </c>
      <c r="H419" s="42">
        <v>38.92</v>
      </c>
      <c r="I419" s="42">
        <v>-76.150000000000006</v>
      </c>
      <c r="J419" s="42">
        <v>4.8</v>
      </c>
      <c r="P419" s="59" t="s">
        <v>188</v>
      </c>
      <c r="Q419" s="59"/>
      <c r="R419" s="59" t="s">
        <v>515</v>
      </c>
      <c r="S419" s="59" t="s">
        <v>658</v>
      </c>
      <c r="AB419" s="42" t="s">
        <v>479</v>
      </c>
      <c r="AC419" s="42" t="s">
        <v>492</v>
      </c>
      <c r="AJ419" s="42" t="s">
        <v>478</v>
      </c>
      <c r="AK419" s="42" t="s">
        <v>478</v>
      </c>
      <c r="AL419" s="42" t="s">
        <v>252</v>
      </c>
      <c r="AM419" s="42" t="s">
        <v>222</v>
      </c>
      <c r="AN419" s="42">
        <v>4</v>
      </c>
      <c r="AO419" s="42">
        <v>4</v>
      </c>
      <c r="AP419" s="42" t="s">
        <v>184</v>
      </c>
      <c r="AT419" s="63"/>
      <c r="AY419" s="42">
        <v>302.44</v>
      </c>
      <c r="AZ419" s="42">
        <v>508.13</v>
      </c>
      <c r="DP419" s="12"/>
      <c r="DR419" s="15"/>
      <c r="EN419" s="42">
        <v>23</v>
      </c>
    </row>
    <row r="420" spans="1:144" s="42" customFormat="1" x14ac:dyDescent="0.25">
      <c r="A420" s="42">
        <v>23</v>
      </c>
      <c r="B420" s="42" t="s">
        <v>475</v>
      </c>
      <c r="C420" s="42" t="s">
        <v>476</v>
      </c>
      <c r="D420" s="42">
        <v>2016</v>
      </c>
      <c r="E420" s="42">
        <v>2011</v>
      </c>
      <c r="F420" s="42" t="s">
        <v>499</v>
      </c>
      <c r="G420" s="42" t="s">
        <v>481</v>
      </c>
      <c r="H420" s="42">
        <v>38.92</v>
      </c>
      <c r="I420" s="42">
        <v>-76.150000000000006</v>
      </c>
      <c r="J420" s="42">
        <v>4.8</v>
      </c>
      <c r="P420" s="59" t="s">
        <v>188</v>
      </c>
      <c r="Q420" s="59"/>
      <c r="R420" s="59" t="s">
        <v>521</v>
      </c>
      <c r="S420" s="59" t="s">
        <v>658</v>
      </c>
      <c r="AB420" s="42" t="s">
        <v>479</v>
      </c>
      <c r="AC420" s="42" t="s">
        <v>492</v>
      </c>
      <c r="AJ420" s="42" t="s">
        <v>478</v>
      </c>
      <c r="AK420" s="42" t="s">
        <v>478</v>
      </c>
      <c r="AL420" s="42" t="s">
        <v>252</v>
      </c>
      <c r="AM420" s="42" t="s">
        <v>222</v>
      </c>
      <c r="AN420" s="42">
        <v>4</v>
      </c>
      <c r="AO420" s="42">
        <v>4</v>
      </c>
      <c r="AP420" s="42" t="s">
        <v>184</v>
      </c>
      <c r="AT420" s="63"/>
      <c r="AY420" s="42">
        <v>624.39</v>
      </c>
      <c r="AZ420" s="42">
        <v>716.8</v>
      </c>
      <c r="DP420" s="12"/>
      <c r="DR420" s="15"/>
      <c r="EN420" s="42">
        <v>23</v>
      </c>
    </row>
    <row r="421" spans="1:144" s="42" customFormat="1" x14ac:dyDescent="0.25">
      <c r="A421" s="42">
        <v>23</v>
      </c>
      <c r="B421" s="42" t="s">
        <v>475</v>
      </c>
      <c r="C421" s="42" t="s">
        <v>476</v>
      </c>
      <c r="D421" s="42">
        <v>2016</v>
      </c>
      <c r="E421" s="42">
        <v>2011</v>
      </c>
      <c r="F421" s="42" t="s">
        <v>499</v>
      </c>
      <c r="G421" s="42" t="s">
        <v>481</v>
      </c>
      <c r="H421" s="42">
        <v>38.92</v>
      </c>
      <c r="I421" s="42">
        <v>-76.150000000000006</v>
      </c>
      <c r="J421" s="42">
        <v>4.8</v>
      </c>
      <c r="P421" s="59" t="s">
        <v>188</v>
      </c>
      <c r="Q421" s="59"/>
      <c r="R421" s="59" t="s">
        <v>510</v>
      </c>
      <c r="S421" s="59" t="s">
        <v>658</v>
      </c>
      <c r="AB421" s="42" t="s">
        <v>479</v>
      </c>
      <c r="AC421" s="42" t="s">
        <v>492</v>
      </c>
      <c r="AJ421" s="42" t="s">
        <v>478</v>
      </c>
      <c r="AK421" s="42" t="s">
        <v>478</v>
      </c>
      <c r="AL421" s="42" t="s">
        <v>252</v>
      </c>
      <c r="AM421" s="42" t="s">
        <v>222</v>
      </c>
      <c r="AN421" s="42">
        <v>4</v>
      </c>
      <c r="AO421" s="42">
        <v>4</v>
      </c>
      <c r="AP421" s="42" t="s">
        <v>184</v>
      </c>
      <c r="AT421" s="63"/>
      <c r="AY421" s="42">
        <v>663.14</v>
      </c>
      <c r="AZ421" s="42">
        <v>603.52</v>
      </c>
      <c r="DP421" s="12"/>
      <c r="DR421" s="15"/>
      <c r="EN421" s="42">
        <v>23</v>
      </c>
    </row>
    <row r="422" spans="1:144" s="42" customFormat="1" x14ac:dyDescent="0.25">
      <c r="A422" s="42">
        <v>23</v>
      </c>
      <c r="B422" s="42" t="s">
        <v>475</v>
      </c>
      <c r="C422" s="42" t="s">
        <v>476</v>
      </c>
      <c r="D422" s="42">
        <v>2016</v>
      </c>
      <c r="E422" s="42">
        <v>2011</v>
      </c>
      <c r="F422" s="42" t="s">
        <v>499</v>
      </c>
      <c r="G422" s="42" t="s">
        <v>481</v>
      </c>
      <c r="H422" s="42">
        <v>38.92</v>
      </c>
      <c r="I422" s="42">
        <v>-76.150000000000006</v>
      </c>
      <c r="J422" s="42">
        <v>4.8</v>
      </c>
      <c r="P422" s="59" t="s">
        <v>188</v>
      </c>
      <c r="Q422" s="59"/>
      <c r="R422" s="59" t="s">
        <v>511</v>
      </c>
      <c r="S422" s="59" t="s">
        <v>658</v>
      </c>
      <c r="AB422" s="42" t="s">
        <v>479</v>
      </c>
      <c r="AC422" s="42" t="s">
        <v>492</v>
      </c>
      <c r="AJ422" s="42" t="s">
        <v>478</v>
      </c>
      <c r="AK422" s="42" t="s">
        <v>478</v>
      </c>
      <c r="AL422" s="42" t="s">
        <v>252</v>
      </c>
      <c r="AM422" s="42" t="s">
        <v>222</v>
      </c>
      <c r="AN422" s="42">
        <v>4</v>
      </c>
      <c r="AO422" s="42">
        <v>4</v>
      </c>
      <c r="AP422" s="42" t="s">
        <v>184</v>
      </c>
      <c r="AT422" s="63"/>
      <c r="AY422" s="42">
        <v>147.43</v>
      </c>
      <c r="AZ422" s="42">
        <v>138.47999999999999</v>
      </c>
      <c r="DP422" s="12"/>
      <c r="DR422" s="15"/>
      <c r="EN422" s="42">
        <v>23</v>
      </c>
    </row>
    <row r="423" spans="1:144" s="42" customFormat="1" x14ac:dyDescent="0.25">
      <c r="A423" s="42">
        <v>23</v>
      </c>
      <c r="B423" s="42" t="s">
        <v>475</v>
      </c>
      <c r="C423" s="42" t="s">
        <v>476</v>
      </c>
      <c r="D423" s="42">
        <v>2016</v>
      </c>
      <c r="E423" s="42">
        <v>2011</v>
      </c>
      <c r="F423" s="42" t="s">
        <v>499</v>
      </c>
      <c r="G423" s="42" t="s">
        <v>481</v>
      </c>
      <c r="H423" s="42">
        <v>38.92</v>
      </c>
      <c r="I423" s="42">
        <v>-76.150000000000006</v>
      </c>
      <c r="J423" s="42">
        <v>4.8</v>
      </c>
      <c r="P423" s="59" t="s">
        <v>188</v>
      </c>
      <c r="Q423" s="59"/>
      <c r="R423" s="59" t="s">
        <v>523</v>
      </c>
      <c r="S423" s="59" t="s">
        <v>658</v>
      </c>
      <c r="AB423" s="42" t="s">
        <v>479</v>
      </c>
      <c r="AC423" s="42" t="s">
        <v>492</v>
      </c>
      <c r="AJ423" s="42" t="s">
        <v>478</v>
      </c>
      <c r="AK423" s="42" t="s">
        <v>478</v>
      </c>
      <c r="AL423" s="42" t="s">
        <v>252</v>
      </c>
      <c r="AM423" s="42" t="s">
        <v>222</v>
      </c>
      <c r="AN423" s="42">
        <v>4</v>
      </c>
      <c r="AO423" s="42">
        <v>4</v>
      </c>
      <c r="AP423" s="42" t="s">
        <v>184</v>
      </c>
      <c r="AT423" s="63"/>
      <c r="AY423" s="42">
        <v>108.67</v>
      </c>
      <c r="AZ423" s="42">
        <v>96.75</v>
      </c>
      <c r="DP423" s="12"/>
      <c r="DR423" s="15"/>
      <c r="EN423" s="42">
        <v>23</v>
      </c>
    </row>
    <row r="424" spans="1:144" s="38" customFormat="1" x14ac:dyDescent="0.25">
      <c r="A424" s="38">
        <v>24</v>
      </c>
      <c r="B424" s="38" t="s">
        <v>526</v>
      </c>
      <c r="C424" s="38" t="s">
        <v>527</v>
      </c>
      <c r="D424" s="38">
        <v>2013</v>
      </c>
      <c r="E424" s="38">
        <v>2003</v>
      </c>
      <c r="F424" s="38" t="s">
        <v>354</v>
      </c>
      <c r="G424" s="38" t="s">
        <v>528</v>
      </c>
      <c r="H424" s="38">
        <v>31.48</v>
      </c>
      <c r="I424" s="38">
        <v>-83.53</v>
      </c>
      <c r="J424" s="38">
        <v>108.4</v>
      </c>
      <c r="K424" s="38">
        <v>19.600000000000001</v>
      </c>
      <c r="L424" s="38">
        <v>18.600000000000001</v>
      </c>
      <c r="M424" s="38">
        <v>976</v>
      </c>
      <c r="N424" s="38">
        <v>1192</v>
      </c>
      <c r="P424" s="57" t="s">
        <v>187</v>
      </c>
      <c r="Q424" s="57"/>
      <c r="R424" s="57"/>
      <c r="S424" s="57" t="s">
        <v>661</v>
      </c>
      <c r="T424" s="38">
        <f t="shared" ref="T424:T432" si="57">(1.55+1.78)/2</f>
        <v>1.665</v>
      </c>
      <c r="W424" s="38" t="s">
        <v>248</v>
      </c>
      <c r="AA424" s="38" t="s">
        <v>1688</v>
      </c>
      <c r="AB424" s="38" t="s">
        <v>1503</v>
      </c>
      <c r="AC424" s="38" t="s">
        <v>1727</v>
      </c>
      <c r="AD424" s="38" t="s">
        <v>530</v>
      </c>
      <c r="AE424" s="38" t="s">
        <v>530</v>
      </c>
      <c r="AF424" s="38" t="s">
        <v>252</v>
      </c>
      <c r="AG424" s="38" t="s">
        <v>312</v>
      </c>
      <c r="AH424" s="38" t="s">
        <v>529</v>
      </c>
      <c r="AI424" s="38" t="s">
        <v>693</v>
      </c>
      <c r="AJ424" s="38" t="s">
        <v>452</v>
      </c>
      <c r="AK424" s="38" t="s">
        <v>452</v>
      </c>
      <c r="AL424" s="38" t="s">
        <v>252</v>
      </c>
      <c r="AM424" s="38" t="s">
        <v>160</v>
      </c>
      <c r="AN424" s="38">
        <v>4</v>
      </c>
      <c r="AO424" s="38">
        <v>4</v>
      </c>
      <c r="AP424" s="38" t="s">
        <v>184</v>
      </c>
      <c r="AR424" s="38">
        <f>(4.4+7.5)/2*1000</f>
        <v>5950</v>
      </c>
      <c r="AS424" s="38">
        <f>AR424/(117+149)</f>
        <v>22.368421052631579</v>
      </c>
      <c r="AT424" s="64"/>
      <c r="AY424" s="38">
        <f>1.3*1000</f>
        <v>1300</v>
      </c>
      <c r="AZ424" s="38">
        <f>3.2*1000</f>
        <v>3200</v>
      </c>
      <c r="BB424" s="38">
        <f>(1.64+1.65+1.63+1.65+1.69+1.73+1.66)/7</f>
        <v>1.6642857142857144</v>
      </c>
      <c r="BC424" s="38">
        <f>(1.65+1.63+1.61+1.64+1.65+1.71+1.64)/7</f>
        <v>1.6471428571428572</v>
      </c>
      <c r="BE424" s="38">
        <f>4.6/1000*100</f>
        <v>0.45999999999999996</v>
      </c>
      <c r="BF424" s="38">
        <v>0.74</v>
      </c>
      <c r="BH424" s="38">
        <v>0.2</v>
      </c>
      <c r="BI424" s="38">
        <v>0.5</v>
      </c>
      <c r="CO424" s="38">
        <f>(24.8+17.7)/2</f>
        <v>21.25</v>
      </c>
      <c r="CP424" s="38">
        <f>(23.1+21)/2</f>
        <v>22.05</v>
      </c>
      <c r="DP424" s="12"/>
      <c r="DR424" s="15"/>
      <c r="EL424" s="38" t="s">
        <v>943</v>
      </c>
      <c r="EN424" s="38">
        <v>24</v>
      </c>
    </row>
    <row r="425" spans="1:144" s="38" customFormat="1" x14ac:dyDescent="0.25">
      <c r="A425" s="38">
        <v>24</v>
      </c>
      <c r="B425" s="38" t="s">
        <v>526</v>
      </c>
      <c r="C425" s="38" t="s">
        <v>527</v>
      </c>
      <c r="D425" s="38">
        <v>2013</v>
      </c>
      <c r="E425" s="38">
        <v>2003</v>
      </c>
      <c r="F425" s="38" t="s">
        <v>354</v>
      </c>
      <c r="G425" s="38" t="s">
        <v>528</v>
      </c>
      <c r="H425" s="38">
        <v>31.48</v>
      </c>
      <c r="I425" s="38">
        <v>-83.53</v>
      </c>
      <c r="J425" s="38">
        <v>108.4</v>
      </c>
      <c r="K425" s="38">
        <v>19.600000000000001</v>
      </c>
      <c r="L425" s="38">
        <v>18.600000000000001</v>
      </c>
      <c r="M425" s="38">
        <v>976</v>
      </c>
      <c r="N425" s="38">
        <v>1192</v>
      </c>
      <c r="P425" s="57" t="s">
        <v>187</v>
      </c>
      <c r="Q425" s="57"/>
      <c r="R425" s="57"/>
      <c r="S425" s="57" t="s">
        <v>661</v>
      </c>
      <c r="T425" s="38">
        <f t="shared" si="57"/>
        <v>1.665</v>
      </c>
      <c r="W425" s="38" t="s">
        <v>248</v>
      </c>
      <c r="AA425" s="38" t="s">
        <v>1688</v>
      </c>
      <c r="AB425" s="38" t="s">
        <v>479</v>
      </c>
      <c r="AC425" s="38" t="s">
        <v>1727</v>
      </c>
      <c r="AD425" s="38" t="s">
        <v>530</v>
      </c>
      <c r="AE425" s="38" t="s">
        <v>530</v>
      </c>
      <c r="AF425" s="38" t="s">
        <v>252</v>
      </c>
      <c r="AG425" s="38" t="s">
        <v>312</v>
      </c>
      <c r="AH425" s="38" t="s">
        <v>529</v>
      </c>
      <c r="AI425" s="38" t="s">
        <v>693</v>
      </c>
      <c r="AJ425" s="38" t="s">
        <v>452</v>
      </c>
      <c r="AK425" s="38" t="s">
        <v>452</v>
      </c>
      <c r="AL425" s="38" t="s">
        <v>252</v>
      </c>
      <c r="AM425" s="38" t="s">
        <v>160</v>
      </c>
      <c r="AN425" s="38">
        <v>4</v>
      </c>
      <c r="AO425" s="38">
        <v>4</v>
      </c>
      <c r="AP425" s="38" t="s">
        <v>184</v>
      </c>
      <c r="AR425" s="38">
        <f>8.8/2*1000</f>
        <v>4400</v>
      </c>
      <c r="AS425" s="38">
        <f>AR425/181</f>
        <v>24.30939226519337</v>
      </c>
      <c r="AT425" s="64"/>
      <c r="AY425" s="38">
        <f t="shared" ref="AY425:AY426" si="58">1.3*1000</f>
        <v>1300</v>
      </c>
      <c r="AZ425" s="38">
        <f>2.4*1000</f>
        <v>2400</v>
      </c>
      <c r="BE425" s="38">
        <f t="shared" ref="BE425:BE426" si="59">4.6/1000*100</f>
        <v>0.45999999999999996</v>
      </c>
      <c r="BF425" s="38">
        <v>0.7</v>
      </c>
      <c r="BH425" s="38">
        <v>0.2</v>
      </c>
      <c r="BI425" s="38">
        <v>0.5</v>
      </c>
      <c r="DP425" s="12"/>
      <c r="DR425" s="15"/>
      <c r="EL425" s="38" t="s">
        <v>943</v>
      </c>
      <c r="EN425" s="38">
        <v>24</v>
      </c>
    </row>
    <row r="426" spans="1:144" s="38" customFormat="1" x14ac:dyDescent="0.25">
      <c r="A426" s="38">
        <v>24</v>
      </c>
      <c r="B426" s="38" t="s">
        <v>526</v>
      </c>
      <c r="C426" s="38" t="s">
        <v>527</v>
      </c>
      <c r="D426" s="38">
        <v>2013</v>
      </c>
      <c r="E426" s="38">
        <v>2003</v>
      </c>
      <c r="F426" s="38" t="s">
        <v>354</v>
      </c>
      <c r="G426" s="38" t="s">
        <v>528</v>
      </c>
      <c r="H426" s="38">
        <v>31.48</v>
      </c>
      <c r="I426" s="38">
        <v>-83.53</v>
      </c>
      <c r="J426" s="38">
        <v>108.4</v>
      </c>
      <c r="K426" s="38">
        <v>19.600000000000001</v>
      </c>
      <c r="L426" s="38">
        <v>18.600000000000001</v>
      </c>
      <c r="M426" s="38">
        <v>976</v>
      </c>
      <c r="N426" s="38">
        <v>1192</v>
      </c>
      <c r="P426" s="57" t="s">
        <v>187</v>
      </c>
      <c r="Q426" s="57"/>
      <c r="R426" s="57"/>
      <c r="S426" s="57" t="s">
        <v>661</v>
      </c>
      <c r="T426" s="38">
        <f t="shared" si="57"/>
        <v>1.665</v>
      </c>
      <c r="W426" s="38" t="s">
        <v>248</v>
      </c>
      <c r="AA426" s="38" t="s">
        <v>1688</v>
      </c>
      <c r="AB426" s="38" t="s">
        <v>250</v>
      </c>
      <c r="AC426" s="38" t="s">
        <v>1727</v>
      </c>
      <c r="AD426" s="38" t="s">
        <v>530</v>
      </c>
      <c r="AE426" s="38" t="s">
        <v>530</v>
      </c>
      <c r="AF426" s="38" t="s">
        <v>252</v>
      </c>
      <c r="AG426" s="38" t="s">
        <v>312</v>
      </c>
      <c r="AH426" s="38" t="s">
        <v>529</v>
      </c>
      <c r="AI426" s="38" t="s">
        <v>693</v>
      </c>
      <c r="AJ426" s="38" t="s">
        <v>452</v>
      </c>
      <c r="AK426" s="38" t="s">
        <v>452</v>
      </c>
      <c r="AL426" s="38" t="s">
        <v>252</v>
      </c>
      <c r="AM426" s="38" t="s">
        <v>160</v>
      </c>
      <c r="AN426" s="38">
        <v>4</v>
      </c>
      <c r="AO426" s="38">
        <v>4</v>
      </c>
      <c r="AP426" s="38" t="s">
        <v>184</v>
      </c>
      <c r="AR426" s="38">
        <f>5/2*1000</f>
        <v>2500</v>
      </c>
      <c r="AS426" s="38">
        <f>AR426/121</f>
        <v>20.66115702479339</v>
      </c>
      <c r="AT426" s="64"/>
      <c r="AY426" s="38">
        <f t="shared" si="58"/>
        <v>1300</v>
      </c>
      <c r="AZ426" s="38">
        <f>1.3*1000</f>
        <v>1300</v>
      </c>
      <c r="BE426" s="38">
        <f t="shared" si="59"/>
        <v>0.45999999999999996</v>
      </c>
      <c r="BF426" s="38">
        <v>0.59</v>
      </c>
      <c r="BH426" s="38">
        <v>0.2</v>
      </c>
      <c r="BI426" s="38">
        <v>0.4</v>
      </c>
      <c r="DP426" s="12"/>
      <c r="DR426" s="15"/>
      <c r="EL426" s="38" t="s">
        <v>943</v>
      </c>
      <c r="EN426" s="38">
        <v>24</v>
      </c>
    </row>
    <row r="427" spans="1:144" s="38" customFormat="1" x14ac:dyDescent="0.25">
      <c r="A427" s="38">
        <v>24</v>
      </c>
      <c r="B427" s="38" t="s">
        <v>526</v>
      </c>
      <c r="C427" s="38" t="s">
        <v>527</v>
      </c>
      <c r="D427" s="38">
        <v>2013</v>
      </c>
      <c r="E427" s="38">
        <v>2003</v>
      </c>
      <c r="F427" s="38" t="s">
        <v>354</v>
      </c>
      <c r="G427" s="38" t="s">
        <v>528</v>
      </c>
      <c r="H427" s="38">
        <v>31.48</v>
      </c>
      <c r="I427" s="38">
        <v>-83.53</v>
      </c>
      <c r="J427" s="38">
        <v>108.4</v>
      </c>
      <c r="K427" s="38">
        <v>19.600000000000001</v>
      </c>
      <c r="L427" s="38">
        <v>18.600000000000001</v>
      </c>
      <c r="M427" s="38">
        <v>976</v>
      </c>
      <c r="N427" s="38">
        <v>1192</v>
      </c>
      <c r="P427" s="57" t="s">
        <v>187</v>
      </c>
      <c r="Q427" s="57"/>
      <c r="R427" s="57"/>
      <c r="S427" s="57" t="s">
        <v>661</v>
      </c>
      <c r="T427" s="38">
        <f t="shared" si="57"/>
        <v>1.665</v>
      </c>
      <c r="W427" s="38" t="s">
        <v>248</v>
      </c>
      <c r="AA427" s="38" t="s">
        <v>1688</v>
      </c>
      <c r="AB427" s="38" t="s">
        <v>1503</v>
      </c>
      <c r="AC427" s="38" t="s">
        <v>1727</v>
      </c>
      <c r="AD427" s="38" t="s">
        <v>530</v>
      </c>
      <c r="AE427" s="38" t="s">
        <v>530</v>
      </c>
      <c r="AF427" s="38" t="s">
        <v>252</v>
      </c>
      <c r="AG427" s="38" t="s">
        <v>312</v>
      </c>
      <c r="AH427" s="38" t="s">
        <v>529</v>
      </c>
      <c r="AI427" s="38" t="s">
        <v>693</v>
      </c>
      <c r="AJ427" s="38" t="s">
        <v>532</v>
      </c>
      <c r="AK427" s="38" t="s">
        <v>532</v>
      </c>
      <c r="AL427" s="38" t="s">
        <v>252</v>
      </c>
      <c r="AM427" s="38" t="s">
        <v>160</v>
      </c>
      <c r="AN427" s="38">
        <v>4</v>
      </c>
      <c r="AO427" s="38">
        <v>4</v>
      </c>
      <c r="AP427" s="38" t="s">
        <v>184</v>
      </c>
      <c r="AR427" s="38">
        <f>(4.2+6.9)/2*1000</f>
        <v>5550.0000000000009</v>
      </c>
      <c r="AS427" s="38">
        <f>AR427/(116+137)</f>
        <v>21.936758893280636</v>
      </c>
      <c r="AT427" s="64"/>
      <c r="AY427" s="38">
        <f>3.4*1000</f>
        <v>3400</v>
      </c>
      <c r="AZ427" s="38">
        <f>3.1*1000</f>
        <v>3100</v>
      </c>
      <c r="BB427" s="38">
        <v>1.65</v>
      </c>
      <c r="BC427" s="38">
        <v>1.63</v>
      </c>
      <c r="BE427" s="38">
        <v>0.5</v>
      </c>
      <c r="BF427" s="38">
        <v>0.73</v>
      </c>
      <c r="BH427" s="38">
        <v>0.3</v>
      </c>
      <c r="BI427" s="38">
        <v>0.5</v>
      </c>
      <c r="CO427" s="38">
        <f>(28.5+37.6)/2</f>
        <v>33.049999999999997</v>
      </c>
      <c r="CP427" s="38">
        <f>(27.2+36.5)/2</f>
        <v>31.85</v>
      </c>
      <c r="DP427" s="12"/>
      <c r="DR427" s="15"/>
      <c r="EL427" s="38" t="s">
        <v>943</v>
      </c>
      <c r="EN427" s="38">
        <v>24</v>
      </c>
    </row>
    <row r="428" spans="1:144" s="38" customFormat="1" x14ac:dyDescent="0.25">
      <c r="A428" s="38">
        <v>24</v>
      </c>
      <c r="B428" s="38" t="s">
        <v>526</v>
      </c>
      <c r="C428" s="38" t="s">
        <v>527</v>
      </c>
      <c r="D428" s="38">
        <v>2013</v>
      </c>
      <c r="E428" s="38">
        <v>2003</v>
      </c>
      <c r="F428" s="38" t="s">
        <v>354</v>
      </c>
      <c r="G428" s="38" t="s">
        <v>528</v>
      </c>
      <c r="H428" s="38">
        <v>31.48</v>
      </c>
      <c r="I428" s="38">
        <v>-83.53</v>
      </c>
      <c r="J428" s="38">
        <v>108.4</v>
      </c>
      <c r="K428" s="38">
        <v>19.600000000000001</v>
      </c>
      <c r="L428" s="38">
        <v>18.600000000000001</v>
      </c>
      <c r="M428" s="38">
        <v>976</v>
      </c>
      <c r="N428" s="38">
        <v>1192</v>
      </c>
      <c r="P428" s="57" t="s">
        <v>187</v>
      </c>
      <c r="Q428" s="57"/>
      <c r="R428" s="57"/>
      <c r="S428" s="57" t="s">
        <v>661</v>
      </c>
      <c r="T428" s="38">
        <f t="shared" si="57"/>
        <v>1.665</v>
      </c>
      <c r="W428" s="38" t="s">
        <v>248</v>
      </c>
      <c r="AA428" s="38" t="s">
        <v>1688</v>
      </c>
      <c r="AB428" s="38" t="s">
        <v>479</v>
      </c>
      <c r="AC428" s="38" t="s">
        <v>1727</v>
      </c>
      <c r="AD428" s="38" t="s">
        <v>530</v>
      </c>
      <c r="AE428" s="38" t="s">
        <v>530</v>
      </c>
      <c r="AF428" s="38" t="s">
        <v>252</v>
      </c>
      <c r="AG428" s="38" t="s">
        <v>312</v>
      </c>
      <c r="AH428" s="38" t="s">
        <v>529</v>
      </c>
      <c r="AI428" s="38" t="s">
        <v>693</v>
      </c>
      <c r="AJ428" s="38" t="s">
        <v>532</v>
      </c>
      <c r="AK428" s="38" t="s">
        <v>532</v>
      </c>
      <c r="AL428" s="38" t="s">
        <v>252</v>
      </c>
      <c r="AM428" s="38" t="s">
        <v>160</v>
      </c>
      <c r="AN428" s="38">
        <v>4</v>
      </c>
      <c r="AO428" s="38">
        <v>4</v>
      </c>
      <c r="AP428" s="38" t="s">
        <v>184</v>
      </c>
      <c r="AR428" s="38">
        <f>9.8/2*1000</f>
        <v>4900</v>
      </c>
      <c r="AS428" s="38">
        <f>AR428/193</f>
        <v>25.388601036269431</v>
      </c>
      <c r="AT428" s="64"/>
      <c r="AY428" s="38">
        <f t="shared" ref="AY428:AY429" si="60">3.4*1000</f>
        <v>3400</v>
      </c>
      <c r="AZ428" s="38">
        <f>3.8*1000</f>
        <v>3800</v>
      </c>
      <c r="BE428" s="38">
        <v>0.5</v>
      </c>
      <c r="BF428" s="38">
        <v>0.74</v>
      </c>
      <c r="BH428" s="38">
        <v>0.3</v>
      </c>
      <c r="BI428" s="38">
        <v>0.5</v>
      </c>
      <c r="DP428" s="12"/>
      <c r="DR428" s="15"/>
      <c r="EL428" s="38" t="s">
        <v>943</v>
      </c>
      <c r="EN428" s="38">
        <v>24</v>
      </c>
    </row>
    <row r="429" spans="1:144" s="38" customFormat="1" x14ac:dyDescent="0.25">
      <c r="A429" s="38">
        <v>24</v>
      </c>
      <c r="B429" s="38" t="s">
        <v>526</v>
      </c>
      <c r="C429" s="38" t="s">
        <v>527</v>
      </c>
      <c r="D429" s="38">
        <v>2013</v>
      </c>
      <c r="E429" s="38">
        <v>2003</v>
      </c>
      <c r="F429" s="38" t="s">
        <v>354</v>
      </c>
      <c r="G429" s="38" t="s">
        <v>528</v>
      </c>
      <c r="H429" s="38">
        <v>31.48</v>
      </c>
      <c r="I429" s="38">
        <v>-83.53</v>
      </c>
      <c r="J429" s="38">
        <v>108.4</v>
      </c>
      <c r="K429" s="38">
        <v>19.600000000000001</v>
      </c>
      <c r="L429" s="38">
        <v>18.600000000000001</v>
      </c>
      <c r="M429" s="38">
        <v>976</v>
      </c>
      <c r="N429" s="38">
        <v>1192</v>
      </c>
      <c r="P429" s="57" t="s">
        <v>187</v>
      </c>
      <c r="Q429" s="57"/>
      <c r="R429" s="57"/>
      <c r="S429" s="57" t="s">
        <v>661</v>
      </c>
      <c r="T429" s="38">
        <f t="shared" si="57"/>
        <v>1.665</v>
      </c>
      <c r="W429" s="38" t="s">
        <v>248</v>
      </c>
      <c r="AA429" s="38" t="s">
        <v>1688</v>
      </c>
      <c r="AB429" s="38" t="s">
        <v>250</v>
      </c>
      <c r="AC429" s="38" t="s">
        <v>1727</v>
      </c>
      <c r="AD429" s="38" t="s">
        <v>530</v>
      </c>
      <c r="AE429" s="38" t="s">
        <v>530</v>
      </c>
      <c r="AF429" s="38" t="s">
        <v>252</v>
      </c>
      <c r="AG429" s="38" t="s">
        <v>312</v>
      </c>
      <c r="AH429" s="38" t="s">
        <v>529</v>
      </c>
      <c r="AI429" s="38" t="s">
        <v>693</v>
      </c>
      <c r="AJ429" s="38" t="s">
        <v>532</v>
      </c>
      <c r="AK429" s="38" t="s">
        <v>532</v>
      </c>
      <c r="AL429" s="38" t="s">
        <v>252</v>
      </c>
      <c r="AM429" s="38" t="s">
        <v>160</v>
      </c>
      <c r="AN429" s="38">
        <v>4</v>
      </c>
      <c r="AO429" s="38">
        <v>4</v>
      </c>
      <c r="AP429" s="38" t="s">
        <v>184</v>
      </c>
      <c r="AR429" s="38">
        <f>3.3/2*1000</f>
        <v>1650</v>
      </c>
      <c r="AS429" s="38">
        <f>AR429/83</f>
        <v>19.879518072289155</v>
      </c>
      <c r="AT429" s="64"/>
      <c r="AY429" s="38">
        <f t="shared" si="60"/>
        <v>3400</v>
      </c>
      <c r="AZ429" s="38">
        <f>2.5*1000</f>
        <v>2500</v>
      </c>
      <c r="BE429" s="38">
        <v>0.5</v>
      </c>
      <c r="BF429" s="38">
        <v>0.54</v>
      </c>
      <c r="BH429" s="38">
        <v>0.3</v>
      </c>
      <c r="BI429" s="38">
        <v>0.3</v>
      </c>
      <c r="DP429" s="12"/>
      <c r="DR429" s="15"/>
      <c r="EL429" s="38" t="s">
        <v>943</v>
      </c>
      <c r="EN429" s="38">
        <v>24</v>
      </c>
    </row>
    <row r="430" spans="1:144" s="38" customFormat="1" x14ac:dyDescent="0.25">
      <c r="A430" s="38">
        <v>24</v>
      </c>
      <c r="B430" s="38" t="s">
        <v>526</v>
      </c>
      <c r="C430" s="38" t="s">
        <v>527</v>
      </c>
      <c r="D430" s="38">
        <v>2013</v>
      </c>
      <c r="E430" s="38">
        <v>2003</v>
      </c>
      <c r="F430" s="38" t="s">
        <v>354</v>
      </c>
      <c r="G430" s="38" t="s">
        <v>528</v>
      </c>
      <c r="H430" s="38">
        <v>31.48</v>
      </c>
      <c r="I430" s="38">
        <v>-83.53</v>
      </c>
      <c r="J430" s="38">
        <v>108.4</v>
      </c>
      <c r="K430" s="38">
        <v>19.600000000000001</v>
      </c>
      <c r="L430" s="38">
        <v>18.600000000000001</v>
      </c>
      <c r="M430" s="38">
        <v>976</v>
      </c>
      <c r="N430" s="38">
        <v>1192</v>
      </c>
      <c r="P430" s="57" t="s">
        <v>187</v>
      </c>
      <c r="Q430" s="57"/>
      <c r="R430" s="57"/>
      <c r="S430" s="57" t="s">
        <v>661</v>
      </c>
      <c r="T430" s="38">
        <f t="shared" si="57"/>
        <v>1.665</v>
      </c>
      <c r="W430" s="38" t="s">
        <v>248</v>
      </c>
      <c r="AA430" s="38" t="s">
        <v>1688</v>
      </c>
      <c r="AB430" s="38" t="s">
        <v>1503</v>
      </c>
      <c r="AC430" s="38" t="s">
        <v>1727</v>
      </c>
      <c r="AD430" s="38" t="s">
        <v>530</v>
      </c>
      <c r="AE430" s="38" t="s">
        <v>530</v>
      </c>
      <c r="AF430" s="38" t="s">
        <v>252</v>
      </c>
      <c r="AG430" s="38" t="s">
        <v>312</v>
      </c>
      <c r="AH430" s="38" t="s">
        <v>529</v>
      </c>
      <c r="AI430" s="38" t="s">
        <v>693</v>
      </c>
      <c r="AJ430" s="38" t="s">
        <v>531</v>
      </c>
      <c r="AK430" s="38" t="s">
        <v>531</v>
      </c>
      <c r="AL430" s="38" t="s">
        <v>252</v>
      </c>
      <c r="AM430" s="38" t="s">
        <v>160</v>
      </c>
      <c r="AN430" s="38">
        <v>4</v>
      </c>
      <c r="AO430" s="38">
        <v>4</v>
      </c>
      <c r="AP430" s="38" t="s">
        <v>184</v>
      </c>
      <c r="AR430" s="38">
        <f>(4.9+7.6)/2*1000</f>
        <v>6250</v>
      </c>
      <c r="AS430" s="38">
        <f>AR430/(116+171)</f>
        <v>21.777003484320556</v>
      </c>
      <c r="AT430" s="64"/>
      <c r="AY430" s="38">
        <f>3.9*1000</f>
        <v>3900</v>
      </c>
      <c r="AZ430" s="38">
        <f>4.6*1000</f>
        <v>4600</v>
      </c>
      <c r="BB430" s="38">
        <v>1.73</v>
      </c>
      <c r="BC430" s="38">
        <v>1.71</v>
      </c>
      <c r="BE430" s="38">
        <v>0.56000000000000005</v>
      </c>
      <c r="BF430" s="38">
        <v>0.7</v>
      </c>
      <c r="BH430" s="38">
        <v>0.3</v>
      </c>
      <c r="BI430" s="38">
        <v>1.5</v>
      </c>
      <c r="CO430" s="38">
        <f>(27+22.8+18)/3</f>
        <v>22.599999999999998</v>
      </c>
      <c r="CP430" s="38">
        <f>(33.1+24.1+19.4)/3</f>
        <v>25.533333333333331</v>
      </c>
      <c r="DP430" s="12"/>
      <c r="DR430" s="15"/>
      <c r="EL430" s="38" t="s">
        <v>943</v>
      </c>
      <c r="EN430" s="38">
        <v>24</v>
      </c>
    </row>
    <row r="431" spans="1:144" s="38" customFormat="1" x14ac:dyDescent="0.25">
      <c r="A431" s="38">
        <v>24</v>
      </c>
      <c r="B431" s="38" t="s">
        <v>526</v>
      </c>
      <c r="C431" s="38" t="s">
        <v>527</v>
      </c>
      <c r="D431" s="38">
        <v>2013</v>
      </c>
      <c r="E431" s="38">
        <v>2003</v>
      </c>
      <c r="F431" s="38" t="s">
        <v>354</v>
      </c>
      <c r="G431" s="38" t="s">
        <v>528</v>
      </c>
      <c r="H431" s="38">
        <v>31.48</v>
      </c>
      <c r="I431" s="38">
        <v>-83.53</v>
      </c>
      <c r="J431" s="38">
        <v>108.4</v>
      </c>
      <c r="K431" s="38">
        <v>19.600000000000001</v>
      </c>
      <c r="L431" s="38">
        <v>18.600000000000001</v>
      </c>
      <c r="M431" s="38">
        <v>976</v>
      </c>
      <c r="N431" s="38">
        <v>1192</v>
      </c>
      <c r="P431" s="57" t="s">
        <v>187</v>
      </c>
      <c r="Q431" s="57"/>
      <c r="R431" s="57"/>
      <c r="S431" s="57" t="s">
        <v>661</v>
      </c>
      <c r="T431" s="38">
        <f t="shared" si="57"/>
        <v>1.665</v>
      </c>
      <c r="W431" s="38" t="s">
        <v>248</v>
      </c>
      <c r="AA431" s="38" t="s">
        <v>1688</v>
      </c>
      <c r="AB431" s="38" t="s">
        <v>479</v>
      </c>
      <c r="AC431" s="38" t="s">
        <v>1727</v>
      </c>
      <c r="AD431" s="38" t="s">
        <v>530</v>
      </c>
      <c r="AE431" s="38" t="s">
        <v>530</v>
      </c>
      <c r="AF431" s="38" t="s">
        <v>252</v>
      </c>
      <c r="AG431" s="38" t="s">
        <v>312</v>
      </c>
      <c r="AH431" s="38" t="s">
        <v>529</v>
      </c>
      <c r="AI431" s="38" t="s">
        <v>693</v>
      </c>
      <c r="AJ431" s="38" t="s">
        <v>531</v>
      </c>
      <c r="AK431" s="38" t="s">
        <v>531</v>
      </c>
      <c r="AL431" s="38" t="s">
        <v>252</v>
      </c>
      <c r="AM431" s="38" t="s">
        <v>160</v>
      </c>
      <c r="AN431" s="38">
        <v>4</v>
      </c>
      <c r="AO431" s="38">
        <v>4</v>
      </c>
      <c r="AP431" s="38" t="s">
        <v>184</v>
      </c>
      <c r="AR431" s="38">
        <f>9.3/2*1000</f>
        <v>4650</v>
      </c>
      <c r="AS431" s="38">
        <f>AR431/173</f>
        <v>26.878612716763005</v>
      </c>
      <c r="AT431" s="64"/>
      <c r="AY431" s="38">
        <f t="shared" ref="AY431:AY432" si="61">3.9*1000</f>
        <v>3900</v>
      </c>
      <c r="AZ431" s="38">
        <f>5.3*1000</f>
        <v>5300</v>
      </c>
      <c r="BE431" s="38">
        <v>0.56000000000000005</v>
      </c>
      <c r="BF431" s="38">
        <v>0.73</v>
      </c>
      <c r="BH431" s="38">
        <v>0.3</v>
      </c>
      <c r="BI431" s="38">
        <v>0.5</v>
      </c>
      <c r="DP431" s="12"/>
      <c r="DR431" s="15"/>
      <c r="EL431" s="38" t="s">
        <v>943</v>
      </c>
      <c r="EN431" s="38">
        <v>24</v>
      </c>
    </row>
    <row r="432" spans="1:144" s="38" customFormat="1" x14ac:dyDescent="0.25">
      <c r="A432" s="38">
        <v>24</v>
      </c>
      <c r="B432" s="38" t="s">
        <v>526</v>
      </c>
      <c r="C432" s="38" t="s">
        <v>527</v>
      </c>
      <c r="D432" s="38">
        <v>2013</v>
      </c>
      <c r="E432" s="38">
        <v>2003</v>
      </c>
      <c r="F432" s="38" t="s">
        <v>354</v>
      </c>
      <c r="G432" s="38" t="s">
        <v>528</v>
      </c>
      <c r="H432" s="38">
        <v>31.48</v>
      </c>
      <c r="I432" s="38">
        <v>-83.53</v>
      </c>
      <c r="J432" s="38">
        <v>108.4</v>
      </c>
      <c r="K432" s="38">
        <v>19.600000000000001</v>
      </c>
      <c r="L432" s="38">
        <v>18.600000000000001</v>
      </c>
      <c r="M432" s="38">
        <v>976</v>
      </c>
      <c r="N432" s="38">
        <v>1192</v>
      </c>
      <c r="P432" s="57" t="s">
        <v>187</v>
      </c>
      <c r="Q432" s="57"/>
      <c r="R432" s="57"/>
      <c r="S432" s="57" t="s">
        <v>661</v>
      </c>
      <c r="T432" s="38">
        <f t="shared" si="57"/>
        <v>1.665</v>
      </c>
      <c r="W432" s="38" t="s">
        <v>248</v>
      </c>
      <c r="AA432" s="38" t="s">
        <v>1688</v>
      </c>
      <c r="AB432" s="38" t="s">
        <v>250</v>
      </c>
      <c r="AC432" s="38" t="s">
        <v>1727</v>
      </c>
      <c r="AD432" s="38" t="s">
        <v>530</v>
      </c>
      <c r="AE432" s="38" t="s">
        <v>530</v>
      </c>
      <c r="AF432" s="38" t="s">
        <v>252</v>
      </c>
      <c r="AG432" s="38" t="s">
        <v>312</v>
      </c>
      <c r="AH432" s="38" t="s">
        <v>529</v>
      </c>
      <c r="AI432" s="38" t="s">
        <v>693</v>
      </c>
      <c r="AJ432" s="38" t="s">
        <v>531</v>
      </c>
      <c r="AK432" s="38" t="s">
        <v>531</v>
      </c>
      <c r="AL432" s="38" t="s">
        <v>252</v>
      </c>
      <c r="AM432" s="38" t="s">
        <v>160</v>
      </c>
      <c r="AN432" s="38">
        <v>4</v>
      </c>
      <c r="AO432" s="38">
        <v>4</v>
      </c>
      <c r="AP432" s="38" t="s">
        <v>184</v>
      </c>
      <c r="AR432" s="38">
        <f>3.5/2*1000</f>
        <v>1750</v>
      </c>
      <c r="AS432" s="38">
        <f>AR432/90</f>
        <v>19.444444444444443</v>
      </c>
      <c r="AT432" s="64"/>
      <c r="AY432" s="38">
        <f t="shared" si="61"/>
        <v>3900</v>
      </c>
      <c r="AZ432" s="38">
        <f>3.5*1000</f>
        <v>3500</v>
      </c>
      <c r="BE432" s="38">
        <v>0.56000000000000005</v>
      </c>
      <c r="BF432" s="38">
        <v>0.52</v>
      </c>
      <c r="BH432" s="38">
        <v>0.3</v>
      </c>
      <c r="BI432" s="38">
        <v>0.3</v>
      </c>
      <c r="DP432" s="12"/>
      <c r="DR432" s="15"/>
      <c r="EL432" s="38" t="s">
        <v>943</v>
      </c>
      <c r="EN432" s="38">
        <v>24</v>
      </c>
    </row>
    <row r="433" spans="1:144" s="42" customFormat="1" x14ac:dyDescent="0.25">
      <c r="A433" s="42">
        <v>25</v>
      </c>
      <c r="B433" s="42" t="s">
        <v>534</v>
      </c>
      <c r="C433" s="42" t="s">
        <v>535</v>
      </c>
      <c r="D433" s="42">
        <v>2009</v>
      </c>
      <c r="E433" s="42">
        <v>2004</v>
      </c>
      <c r="F433" s="42" t="s">
        <v>387</v>
      </c>
      <c r="G433" s="42" t="s">
        <v>538</v>
      </c>
      <c r="H433" s="42">
        <f>(44+53/60+44+22/60+42+44/60+42+52/60)/4</f>
        <v>43.712499999999999</v>
      </c>
      <c r="I433" s="42">
        <f>(-73-28/60-73-26/60-76-39/60-70-3/60)/4</f>
        <v>-73.400000000000006</v>
      </c>
      <c r="J433" s="42">
        <v>301</v>
      </c>
      <c r="P433" s="59" t="s">
        <v>187</v>
      </c>
      <c r="Q433" s="59"/>
      <c r="R433" s="59"/>
      <c r="S433" s="59" t="s">
        <v>657</v>
      </c>
      <c r="U433" s="42">
        <f>(212+195+408+470)/(212+195+408+470+726+491+484+445+62+314+108+85)*100</f>
        <v>32.125</v>
      </c>
      <c r="V433" s="42">
        <f>(726+491+484+445)/(212+195+408+470+726+491+484+445+62+314+108+85)*100</f>
        <v>53.65</v>
      </c>
      <c r="W433" s="42" t="s">
        <v>175</v>
      </c>
      <c r="AA433" s="42" t="s">
        <v>1689</v>
      </c>
      <c r="AB433" s="42" t="s">
        <v>173</v>
      </c>
      <c r="AC433" s="42" t="s">
        <v>852</v>
      </c>
      <c r="AD433" s="42" t="s">
        <v>536</v>
      </c>
      <c r="AE433" s="42" t="s">
        <v>536</v>
      </c>
      <c r="AF433" s="42" t="s">
        <v>252</v>
      </c>
      <c r="AG433" s="42" t="s">
        <v>539</v>
      </c>
      <c r="AH433" s="42" t="s">
        <v>539</v>
      </c>
      <c r="AI433" s="42" t="s">
        <v>252</v>
      </c>
      <c r="AM433" s="42" t="s">
        <v>222</v>
      </c>
      <c r="AN433" s="42">
        <v>4</v>
      </c>
      <c r="AO433" s="42">
        <v>4</v>
      </c>
      <c r="AP433" s="42" t="s">
        <v>184</v>
      </c>
      <c r="AT433" s="63"/>
      <c r="BE433" s="42">
        <f>21/1000*100</f>
        <v>2.1</v>
      </c>
      <c r="BF433" s="42">
        <v>2</v>
      </c>
      <c r="BK433" s="42">
        <v>10.9</v>
      </c>
      <c r="BL433" s="42">
        <v>11.5</v>
      </c>
      <c r="BN433" s="42">
        <v>58</v>
      </c>
      <c r="BO433" s="42">
        <v>57</v>
      </c>
      <c r="BQ433" s="42">
        <v>7.24</v>
      </c>
      <c r="BR433" s="42">
        <v>7.22</v>
      </c>
      <c r="BT433" s="42" t="s">
        <v>1523</v>
      </c>
      <c r="BU433" s="42" t="s">
        <v>1523</v>
      </c>
      <c r="CC433" s="42">
        <f>16.5*10</f>
        <v>165</v>
      </c>
      <c r="CD433" s="42">
        <v>160</v>
      </c>
      <c r="DG433" s="42">
        <v>0.11700000000000001</v>
      </c>
      <c r="DH433" s="42">
        <v>0.11799999999999999</v>
      </c>
      <c r="DI433" s="42" t="s">
        <v>541</v>
      </c>
      <c r="DP433" s="12">
        <v>5</v>
      </c>
      <c r="DQ433" s="42">
        <v>5</v>
      </c>
      <c r="DR433" s="42" t="s">
        <v>544</v>
      </c>
      <c r="DS433" s="42">
        <v>501</v>
      </c>
      <c r="DT433" s="42">
        <v>510</v>
      </c>
      <c r="DU433" s="42" t="s">
        <v>543</v>
      </c>
      <c r="DV433" s="42">
        <v>3.41</v>
      </c>
      <c r="DW433" s="42">
        <v>3.76</v>
      </c>
      <c r="DX433" s="42" t="s">
        <v>835</v>
      </c>
      <c r="EK433" s="42" t="s">
        <v>693</v>
      </c>
      <c r="EL433" s="42" t="s">
        <v>545</v>
      </c>
      <c r="EM433" s="42" t="s">
        <v>956</v>
      </c>
      <c r="EN433" s="42">
        <v>25</v>
      </c>
    </row>
    <row r="434" spans="1:144" s="42" customFormat="1" x14ac:dyDescent="0.25">
      <c r="A434" s="42">
        <v>25</v>
      </c>
      <c r="B434" s="42" t="s">
        <v>534</v>
      </c>
      <c r="C434" s="42" t="s">
        <v>535</v>
      </c>
      <c r="D434" s="42">
        <v>2009</v>
      </c>
      <c r="E434" s="42">
        <v>2004</v>
      </c>
      <c r="F434" s="42" t="s">
        <v>387</v>
      </c>
      <c r="G434" s="42" t="s">
        <v>538</v>
      </c>
      <c r="H434" s="42">
        <f>(44+53/60+44+22/60+42+44/60+42+52/60)/4</f>
        <v>43.712499999999999</v>
      </c>
      <c r="I434" s="42">
        <f>(-73-28/60-73-26/60-76-39/60-70-3/60)/4</f>
        <v>-73.400000000000006</v>
      </c>
      <c r="J434" s="42">
        <v>301</v>
      </c>
      <c r="P434" s="59" t="s">
        <v>187</v>
      </c>
      <c r="Q434" s="59"/>
      <c r="R434" s="59"/>
      <c r="S434" s="59" t="s">
        <v>657</v>
      </c>
      <c r="U434" s="42">
        <f>(212+195+408+470)/(212+195+408+470+726+491+484+445+62+314+108+85)*100</f>
        <v>32.125</v>
      </c>
      <c r="V434" s="42">
        <f>(726+491+484+445)/(212+195+408+470+726+491+484+445+62+314+108+85)*100</f>
        <v>53.65</v>
      </c>
      <c r="W434" s="42" t="s">
        <v>175</v>
      </c>
      <c r="AA434" s="42" t="s">
        <v>1689</v>
      </c>
      <c r="AB434" s="42" t="s">
        <v>173</v>
      </c>
      <c r="AC434" s="42" t="s">
        <v>852</v>
      </c>
      <c r="AD434" s="42" t="s">
        <v>536</v>
      </c>
      <c r="AE434" s="42" t="s">
        <v>536</v>
      </c>
      <c r="AF434" s="42" t="s">
        <v>252</v>
      </c>
      <c r="AG434" s="42" t="s">
        <v>539</v>
      </c>
      <c r="AH434" s="42" t="s">
        <v>539</v>
      </c>
      <c r="AI434" s="42" t="s">
        <v>252</v>
      </c>
      <c r="AM434" s="42" t="s">
        <v>222</v>
      </c>
      <c r="AN434" s="42">
        <v>4</v>
      </c>
      <c r="AO434" s="42">
        <v>4</v>
      </c>
      <c r="AP434" s="42" t="s">
        <v>184</v>
      </c>
      <c r="AT434" s="63"/>
      <c r="BE434" s="42">
        <v>2.1</v>
      </c>
      <c r="BF434" s="42">
        <v>2</v>
      </c>
      <c r="BK434" s="42">
        <v>10.9</v>
      </c>
      <c r="BL434" s="42">
        <v>10.199999999999999</v>
      </c>
      <c r="BN434" s="42">
        <v>58</v>
      </c>
      <c r="BO434" s="42">
        <v>60</v>
      </c>
      <c r="BQ434" s="42">
        <v>7.24</v>
      </c>
      <c r="BR434" s="42">
        <v>7.19</v>
      </c>
      <c r="BT434" s="42" t="s">
        <v>1523</v>
      </c>
      <c r="BU434" s="42" t="s">
        <v>1523</v>
      </c>
      <c r="CC434" s="42">
        <f>16.5*10</f>
        <v>165</v>
      </c>
      <c r="CD434" s="42">
        <v>177</v>
      </c>
      <c r="DG434" s="42">
        <v>0.11700000000000001</v>
      </c>
      <c r="DH434" s="42">
        <v>0.12</v>
      </c>
      <c r="DI434" s="42" t="s">
        <v>541</v>
      </c>
      <c r="DP434" s="12">
        <v>5</v>
      </c>
      <c r="DQ434" s="42">
        <v>5.0999999999999996</v>
      </c>
      <c r="DR434" s="42" t="s">
        <v>544</v>
      </c>
      <c r="DS434" s="42">
        <v>501</v>
      </c>
      <c r="DT434" s="42">
        <v>492</v>
      </c>
      <c r="DU434" s="42" t="s">
        <v>543</v>
      </c>
      <c r="DV434" s="42">
        <v>3.41</v>
      </c>
      <c r="DW434" s="42">
        <v>6.27</v>
      </c>
      <c r="DX434" s="42" t="s">
        <v>835</v>
      </c>
      <c r="EK434" s="42" t="s">
        <v>693</v>
      </c>
      <c r="EL434" s="42" t="s">
        <v>545</v>
      </c>
      <c r="EM434" s="42" t="s">
        <v>956</v>
      </c>
      <c r="EN434" s="42">
        <v>25</v>
      </c>
    </row>
    <row r="435" spans="1:144" s="42" customFormat="1" x14ac:dyDescent="0.25">
      <c r="A435" s="42">
        <v>25</v>
      </c>
      <c r="B435" s="42" t="s">
        <v>534</v>
      </c>
      <c r="C435" s="42" t="s">
        <v>535</v>
      </c>
      <c r="D435" s="42">
        <v>2009</v>
      </c>
      <c r="E435" s="42">
        <v>2004</v>
      </c>
      <c r="F435" s="42" t="s">
        <v>387</v>
      </c>
      <c r="G435" s="42" t="s">
        <v>538</v>
      </c>
      <c r="H435" s="42">
        <f>(44+53/60+44+22/60+42+44/60+42+52/60)/4</f>
        <v>43.712499999999999</v>
      </c>
      <c r="I435" s="42">
        <f>(-73-28/60-73-26/60-76-39/60-70-3/60)/4</f>
        <v>-73.400000000000006</v>
      </c>
      <c r="J435" s="42">
        <v>301</v>
      </c>
      <c r="P435" s="59" t="s">
        <v>187</v>
      </c>
      <c r="Q435" s="59"/>
      <c r="R435" s="59"/>
      <c r="S435" s="59" t="s">
        <v>657</v>
      </c>
      <c r="U435" s="42">
        <f>(212+195+408+470)/(212+195+408+470+726+491+484+445+62+314+108+85)*100</f>
        <v>32.125</v>
      </c>
      <c r="V435" s="42">
        <f>(726+491+484+445)/(212+195+408+470+726+491+484+445+62+314+108+85)*100</f>
        <v>53.65</v>
      </c>
      <c r="W435" s="42" t="s">
        <v>175</v>
      </c>
      <c r="AA435" s="42" t="s">
        <v>1689</v>
      </c>
      <c r="AB435" s="42" t="s">
        <v>173</v>
      </c>
      <c r="AC435" s="42" t="s">
        <v>852</v>
      </c>
      <c r="AD435" s="42" t="s">
        <v>537</v>
      </c>
      <c r="AE435" s="42" t="s">
        <v>537</v>
      </c>
      <c r="AF435" s="42" t="s">
        <v>252</v>
      </c>
      <c r="AG435" s="42" t="s">
        <v>539</v>
      </c>
      <c r="AH435" s="42" t="s">
        <v>539</v>
      </c>
      <c r="AI435" s="42" t="s">
        <v>252</v>
      </c>
      <c r="AM435" s="42" t="s">
        <v>222</v>
      </c>
      <c r="AN435" s="42">
        <v>4</v>
      </c>
      <c r="AO435" s="42">
        <v>4</v>
      </c>
      <c r="AP435" s="42" t="s">
        <v>184</v>
      </c>
      <c r="AT435" s="63"/>
      <c r="BE435" s="42">
        <v>2.2999999999999998</v>
      </c>
      <c r="BF435" s="42">
        <v>2.1</v>
      </c>
      <c r="BK435" s="42">
        <v>11</v>
      </c>
      <c r="BL435" s="42">
        <v>10.9</v>
      </c>
      <c r="BN435" s="42">
        <v>62</v>
      </c>
      <c r="BO435" s="42">
        <v>65</v>
      </c>
      <c r="BQ435" s="42">
        <v>7.19</v>
      </c>
      <c r="BR435" s="42">
        <v>7.24</v>
      </c>
      <c r="BT435" s="42" t="s">
        <v>1523</v>
      </c>
      <c r="BU435" s="42" t="s">
        <v>1523</v>
      </c>
      <c r="CC435" s="42">
        <f>21.8*10</f>
        <v>218</v>
      </c>
      <c r="CD435" s="42">
        <v>224</v>
      </c>
      <c r="DG435" s="42">
        <v>0.121</v>
      </c>
      <c r="DH435" s="42">
        <v>0.124</v>
      </c>
      <c r="DI435" s="42" t="s">
        <v>541</v>
      </c>
      <c r="DP435" s="12">
        <v>5</v>
      </c>
      <c r="DQ435" s="42">
        <v>4.7</v>
      </c>
      <c r="DR435" s="42" t="s">
        <v>544</v>
      </c>
      <c r="DS435" s="42">
        <v>549</v>
      </c>
      <c r="DT435" s="42">
        <v>525</v>
      </c>
      <c r="DU435" s="42" t="s">
        <v>543</v>
      </c>
      <c r="DV435" s="42">
        <v>6.94</v>
      </c>
      <c r="DW435" s="42">
        <v>5.91</v>
      </c>
      <c r="DX435" s="42" t="s">
        <v>835</v>
      </c>
      <c r="EK435" s="42" t="s">
        <v>693</v>
      </c>
      <c r="EL435" s="42" t="s">
        <v>545</v>
      </c>
      <c r="EM435" s="42" t="s">
        <v>956</v>
      </c>
      <c r="EN435" s="42">
        <v>25</v>
      </c>
    </row>
    <row r="436" spans="1:144" s="42" customFormat="1" x14ac:dyDescent="0.25">
      <c r="A436" s="42">
        <v>25</v>
      </c>
      <c r="B436" s="42" t="s">
        <v>534</v>
      </c>
      <c r="C436" s="42" t="s">
        <v>535</v>
      </c>
      <c r="D436" s="42">
        <v>2009</v>
      </c>
      <c r="E436" s="42">
        <v>2004</v>
      </c>
      <c r="F436" s="42" t="s">
        <v>387</v>
      </c>
      <c r="G436" s="42" t="s">
        <v>538</v>
      </c>
      <c r="H436" s="42">
        <f>(44+53/60+44+22/60+42+44/60+42+52/60)/4</f>
        <v>43.712499999999999</v>
      </c>
      <c r="I436" s="42">
        <f>(-73-28/60-73-26/60-76-39/60-70-3/60)/4</f>
        <v>-73.400000000000006</v>
      </c>
      <c r="J436" s="42">
        <v>301</v>
      </c>
      <c r="P436" s="59" t="s">
        <v>187</v>
      </c>
      <c r="Q436" s="59"/>
      <c r="R436" s="59"/>
      <c r="S436" s="59" t="s">
        <v>657</v>
      </c>
      <c r="U436" s="42">
        <f>(212+195+408+470)/(212+195+408+470+726+491+484+445+62+314+108+85)*100</f>
        <v>32.125</v>
      </c>
      <c r="V436" s="42">
        <f>(726+491+484+445)/(212+195+408+470+726+491+484+445+62+314+108+85)*100</f>
        <v>53.65</v>
      </c>
      <c r="W436" s="42" t="s">
        <v>175</v>
      </c>
      <c r="AA436" s="42" t="s">
        <v>1689</v>
      </c>
      <c r="AB436" s="42" t="s">
        <v>173</v>
      </c>
      <c r="AC436" s="42" t="s">
        <v>852</v>
      </c>
      <c r="AD436" s="42" t="s">
        <v>537</v>
      </c>
      <c r="AE436" s="42" t="s">
        <v>537</v>
      </c>
      <c r="AF436" s="42" t="s">
        <v>252</v>
      </c>
      <c r="AG436" s="42" t="s">
        <v>539</v>
      </c>
      <c r="AH436" s="42" t="s">
        <v>539</v>
      </c>
      <c r="AI436" s="42" t="s">
        <v>252</v>
      </c>
      <c r="AM436" s="42" t="s">
        <v>222</v>
      </c>
      <c r="AN436" s="42">
        <v>4</v>
      </c>
      <c r="AO436" s="42">
        <v>4</v>
      </c>
      <c r="AP436" s="42" t="s">
        <v>184</v>
      </c>
      <c r="AT436" s="63"/>
      <c r="BE436" s="42">
        <v>2.2999999999999998</v>
      </c>
      <c r="BF436" s="42">
        <v>2.1</v>
      </c>
      <c r="BK436" s="42">
        <v>11</v>
      </c>
      <c r="BL436" s="42">
        <v>11.6</v>
      </c>
      <c r="BN436" s="42">
        <v>62</v>
      </c>
      <c r="BO436" s="42">
        <v>63</v>
      </c>
      <c r="BQ436" s="42">
        <v>7.19</v>
      </c>
      <c r="BR436" s="42">
        <v>7.29</v>
      </c>
      <c r="BT436" s="42" t="s">
        <v>1523</v>
      </c>
      <c r="BU436" s="42" t="s">
        <v>1523</v>
      </c>
      <c r="CC436" s="42">
        <f>21.8*10</f>
        <v>218</v>
      </c>
      <c r="CD436" s="42">
        <v>214</v>
      </c>
      <c r="DG436" s="42">
        <v>0.121</v>
      </c>
      <c r="DH436" s="42">
        <v>0.12</v>
      </c>
      <c r="DI436" s="42" t="s">
        <v>541</v>
      </c>
      <c r="DP436" s="12">
        <v>5</v>
      </c>
      <c r="DQ436" s="42">
        <v>5</v>
      </c>
      <c r="DR436" s="42" t="s">
        <v>544</v>
      </c>
      <c r="DS436" s="42">
        <v>549</v>
      </c>
      <c r="DT436" s="42">
        <v>527</v>
      </c>
      <c r="DU436" s="42" t="s">
        <v>543</v>
      </c>
      <c r="DV436" s="42">
        <v>6.94</v>
      </c>
      <c r="DW436" s="42">
        <v>6.42</v>
      </c>
      <c r="DX436" s="42" t="s">
        <v>835</v>
      </c>
      <c r="EK436" s="42" t="s">
        <v>693</v>
      </c>
      <c r="EL436" s="42" t="s">
        <v>545</v>
      </c>
      <c r="EM436" s="42" t="s">
        <v>956</v>
      </c>
      <c r="EN436" s="42">
        <v>25</v>
      </c>
    </row>
    <row r="437" spans="1:144" s="38" customFormat="1" x14ac:dyDescent="0.25">
      <c r="A437" s="38">
        <v>26</v>
      </c>
      <c r="B437" s="38" t="s">
        <v>546</v>
      </c>
      <c r="C437" s="38" t="s">
        <v>547</v>
      </c>
      <c r="D437" s="38">
        <v>2015</v>
      </c>
      <c r="E437" s="38">
        <v>2012</v>
      </c>
      <c r="F437" s="38" t="s">
        <v>387</v>
      </c>
      <c r="G437" s="38" t="s">
        <v>548</v>
      </c>
      <c r="H437" s="38">
        <f>35.39</f>
        <v>35.39</v>
      </c>
      <c r="I437" s="38">
        <f>-78.03</f>
        <v>-78.03</v>
      </c>
      <c r="J437" s="38">
        <v>24.3</v>
      </c>
      <c r="P437" s="57" t="s">
        <v>186</v>
      </c>
      <c r="Q437" s="57"/>
      <c r="R437" s="57" t="s">
        <v>553</v>
      </c>
      <c r="S437" s="57" t="s">
        <v>657</v>
      </c>
      <c r="W437" s="38" t="s">
        <v>248</v>
      </c>
      <c r="AA437" s="38" t="s">
        <v>1690</v>
      </c>
      <c r="AB437" s="38" t="s">
        <v>551</v>
      </c>
      <c r="AC437" s="38" t="s">
        <v>174</v>
      </c>
      <c r="AG437" s="38" t="s">
        <v>550</v>
      </c>
      <c r="AH437" s="38" t="s">
        <v>550</v>
      </c>
      <c r="AI437" s="38" t="s">
        <v>252</v>
      </c>
      <c r="AJ437" s="38">
        <v>0</v>
      </c>
      <c r="AK437" s="38">
        <v>0</v>
      </c>
      <c r="AL437" s="38" t="s">
        <v>252</v>
      </c>
      <c r="AM437" s="38" t="s">
        <v>222</v>
      </c>
      <c r="AN437" s="38">
        <v>4</v>
      </c>
      <c r="AO437" s="38">
        <v>4</v>
      </c>
      <c r="AP437" s="38" t="s">
        <v>448</v>
      </c>
      <c r="AR437" s="38">
        <f>(6.5+1.7)*1000</f>
        <v>8200</v>
      </c>
      <c r="AS437" s="38">
        <f>AR437/(205+53)</f>
        <v>31.782945736434108</v>
      </c>
      <c r="AT437" s="64" t="s">
        <v>562</v>
      </c>
      <c r="BH437" s="38">
        <v>10.685</v>
      </c>
      <c r="BI437" s="38">
        <v>29.363800000000001</v>
      </c>
      <c r="BJ437" s="38" t="s">
        <v>561</v>
      </c>
      <c r="DP437" s="12"/>
      <c r="DR437" s="15"/>
      <c r="EL437" s="38" t="s">
        <v>564</v>
      </c>
      <c r="EM437" s="38" t="s">
        <v>945</v>
      </c>
      <c r="EN437" s="38">
        <v>26</v>
      </c>
    </row>
    <row r="438" spans="1:144" s="38" customFormat="1" x14ac:dyDescent="0.25">
      <c r="A438" s="38">
        <v>26</v>
      </c>
      <c r="B438" s="38" t="s">
        <v>546</v>
      </c>
      <c r="C438" s="38" t="s">
        <v>547</v>
      </c>
      <c r="D438" s="38">
        <v>2015</v>
      </c>
      <c r="E438" s="38">
        <v>2012</v>
      </c>
      <c r="F438" s="38" t="s">
        <v>387</v>
      </c>
      <c r="G438" s="38" t="s">
        <v>548</v>
      </c>
      <c r="H438" s="38">
        <f>35.39</f>
        <v>35.39</v>
      </c>
      <c r="I438" s="38">
        <f>-78.03</f>
        <v>-78.03</v>
      </c>
      <c r="J438" s="38">
        <v>24.3</v>
      </c>
      <c r="P438" s="57" t="s">
        <v>186</v>
      </c>
      <c r="Q438" s="57"/>
      <c r="R438" s="57" t="s">
        <v>553</v>
      </c>
      <c r="S438" s="57" t="s">
        <v>657</v>
      </c>
      <c r="W438" s="38" t="s">
        <v>248</v>
      </c>
      <c r="AA438" s="38" t="s">
        <v>1690</v>
      </c>
      <c r="AB438" s="38" t="s">
        <v>552</v>
      </c>
      <c r="AC438" s="38" t="s">
        <v>174</v>
      </c>
      <c r="AG438" s="38" t="s">
        <v>550</v>
      </c>
      <c r="AH438" s="38" t="s">
        <v>550</v>
      </c>
      <c r="AI438" s="38" t="s">
        <v>252</v>
      </c>
      <c r="AJ438" s="38">
        <v>0</v>
      </c>
      <c r="AK438" s="38">
        <v>0</v>
      </c>
      <c r="AL438" s="38" t="s">
        <v>252</v>
      </c>
      <c r="AM438" s="38" t="s">
        <v>222</v>
      </c>
      <c r="AN438" s="38">
        <v>4</v>
      </c>
      <c r="AO438" s="38">
        <v>4</v>
      </c>
      <c r="AP438" s="38" t="s">
        <v>448</v>
      </c>
      <c r="AR438" s="38">
        <f>(9.6+2.8)*1000</f>
        <v>12399.999999999998</v>
      </c>
      <c r="AS438" s="38">
        <f>AR438/(256+66)</f>
        <v>38.509316770186331</v>
      </c>
      <c r="AT438" s="64" t="s">
        <v>562</v>
      </c>
      <c r="BH438" s="38">
        <v>10.685</v>
      </c>
      <c r="BI438" s="38">
        <v>14.356</v>
      </c>
      <c r="BJ438" s="38" t="s">
        <v>561</v>
      </c>
      <c r="DP438" s="12"/>
      <c r="DR438" s="15"/>
      <c r="EL438" s="38" t="s">
        <v>564</v>
      </c>
      <c r="EM438" s="38" t="s">
        <v>945</v>
      </c>
      <c r="EN438" s="38">
        <v>26</v>
      </c>
    </row>
    <row r="439" spans="1:144" s="38" customFormat="1" x14ac:dyDescent="0.25">
      <c r="A439" s="38">
        <v>26</v>
      </c>
      <c r="B439" s="38" t="s">
        <v>546</v>
      </c>
      <c r="C439" s="38" t="s">
        <v>547</v>
      </c>
      <c r="D439" s="38">
        <v>2015</v>
      </c>
      <c r="E439" s="38">
        <v>2012</v>
      </c>
      <c r="F439" s="38" t="s">
        <v>387</v>
      </c>
      <c r="G439" s="38" t="s">
        <v>548</v>
      </c>
      <c r="H439" s="38">
        <f t="shared" ref="H439:H478" si="62">35.39</f>
        <v>35.39</v>
      </c>
      <c r="I439" s="38">
        <f t="shared" ref="I439:I478" si="63">-78.03</f>
        <v>-78.03</v>
      </c>
      <c r="J439" s="38">
        <v>24.3</v>
      </c>
      <c r="P439" s="57" t="s">
        <v>186</v>
      </c>
      <c r="Q439" s="57"/>
      <c r="R439" s="57" t="s">
        <v>553</v>
      </c>
      <c r="S439" s="57" t="s">
        <v>657</v>
      </c>
      <c r="W439" s="38" t="s">
        <v>248</v>
      </c>
      <c r="AA439" s="38" t="s">
        <v>1690</v>
      </c>
      <c r="AB439" s="38" t="s">
        <v>326</v>
      </c>
      <c r="AC439" s="38" t="s">
        <v>174</v>
      </c>
      <c r="AG439" s="38" t="s">
        <v>550</v>
      </c>
      <c r="AH439" s="38" t="s">
        <v>550</v>
      </c>
      <c r="AI439" s="38" t="s">
        <v>252</v>
      </c>
      <c r="AJ439" s="38">
        <v>0</v>
      </c>
      <c r="AK439" s="38">
        <v>0</v>
      </c>
      <c r="AL439" s="38" t="s">
        <v>252</v>
      </c>
      <c r="AM439" s="38" t="s">
        <v>222</v>
      </c>
      <c r="AN439" s="38">
        <v>4</v>
      </c>
      <c r="AO439" s="38">
        <v>4</v>
      </c>
      <c r="AP439" s="38" t="s">
        <v>448</v>
      </c>
      <c r="AR439" s="38">
        <f>(8.7+2.5)*1000</f>
        <v>11200</v>
      </c>
      <c r="AS439" s="38">
        <f>AR439/(288+71)</f>
        <v>31.197771587743734</v>
      </c>
      <c r="AT439" s="64" t="s">
        <v>562</v>
      </c>
      <c r="BH439" s="38">
        <v>10.685</v>
      </c>
      <c r="BI439" s="38">
        <v>29.85</v>
      </c>
      <c r="BJ439" s="38" t="s">
        <v>561</v>
      </c>
      <c r="DP439" s="12"/>
      <c r="DR439" s="15"/>
      <c r="EL439" s="38" t="s">
        <v>564</v>
      </c>
      <c r="EM439" s="38" t="s">
        <v>945</v>
      </c>
      <c r="EN439" s="38">
        <v>26</v>
      </c>
    </row>
    <row r="440" spans="1:144" s="38" customFormat="1" x14ac:dyDescent="0.25">
      <c r="A440" s="38">
        <v>26</v>
      </c>
      <c r="B440" s="38" t="s">
        <v>546</v>
      </c>
      <c r="C440" s="38" t="s">
        <v>547</v>
      </c>
      <c r="D440" s="38">
        <v>2015</v>
      </c>
      <c r="E440" s="38">
        <v>2012</v>
      </c>
      <c r="F440" s="38" t="s">
        <v>387</v>
      </c>
      <c r="G440" s="38" t="s">
        <v>548</v>
      </c>
      <c r="H440" s="38">
        <f t="shared" si="62"/>
        <v>35.39</v>
      </c>
      <c r="I440" s="38">
        <f t="shared" si="63"/>
        <v>-78.03</v>
      </c>
      <c r="J440" s="38">
        <v>24.3</v>
      </c>
      <c r="P440" s="57" t="s">
        <v>186</v>
      </c>
      <c r="Q440" s="57"/>
      <c r="R440" s="57" t="s">
        <v>554</v>
      </c>
      <c r="S440" s="57" t="s">
        <v>657</v>
      </c>
      <c r="W440" s="38" t="s">
        <v>248</v>
      </c>
      <c r="AA440" s="38" t="s">
        <v>1690</v>
      </c>
      <c r="AB440" s="38" t="s">
        <v>551</v>
      </c>
      <c r="AC440" s="38" t="s">
        <v>174</v>
      </c>
      <c r="AG440" s="38" t="s">
        <v>550</v>
      </c>
      <c r="AH440" s="38" t="s">
        <v>550</v>
      </c>
      <c r="AI440" s="38" t="s">
        <v>252</v>
      </c>
      <c r="AJ440" s="38">
        <v>0</v>
      </c>
      <c r="AK440" s="38">
        <v>0</v>
      </c>
      <c r="AL440" s="38" t="s">
        <v>252</v>
      </c>
      <c r="AM440" s="38" t="s">
        <v>222</v>
      </c>
      <c r="AN440" s="38">
        <v>4</v>
      </c>
      <c r="AO440" s="38">
        <v>4</v>
      </c>
      <c r="AP440" s="38" t="s">
        <v>448</v>
      </c>
      <c r="AR440" s="38">
        <f>(6.5+1.7)*1000</f>
        <v>8200</v>
      </c>
      <c r="AS440" s="38">
        <f>AR440/(205+53)</f>
        <v>31.782945736434108</v>
      </c>
      <c r="AT440" s="64" t="s">
        <v>562</v>
      </c>
      <c r="BH440" s="38">
        <v>14.273999999999999</v>
      </c>
      <c r="BI440" s="38">
        <v>27</v>
      </c>
      <c r="BJ440" s="38" t="s">
        <v>561</v>
      </c>
      <c r="DP440" s="12"/>
      <c r="DR440" s="15"/>
      <c r="EL440" s="38" t="s">
        <v>564</v>
      </c>
      <c r="EM440" s="38" t="s">
        <v>945</v>
      </c>
      <c r="EN440" s="38">
        <v>26</v>
      </c>
    </row>
    <row r="441" spans="1:144" s="38" customFormat="1" x14ac:dyDescent="0.25">
      <c r="A441" s="38">
        <v>26</v>
      </c>
      <c r="B441" s="38" t="s">
        <v>546</v>
      </c>
      <c r="C441" s="38" t="s">
        <v>547</v>
      </c>
      <c r="D441" s="38">
        <v>2015</v>
      </c>
      <c r="E441" s="38">
        <v>2012</v>
      </c>
      <c r="F441" s="38" t="s">
        <v>387</v>
      </c>
      <c r="G441" s="38" t="s">
        <v>548</v>
      </c>
      <c r="H441" s="38">
        <f t="shared" si="62"/>
        <v>35.39</v>
      </c>
      <c r="I441" s="38">
        <f t="shared" si="63"/>
        <v>-78.03</v>
      </c>
      <c r="J441" s="38">
        <v>24.3</v>
      </c>
      <c r="P441" s="57" t="s">
        <v>186</v>
      </c>
      <c r="Q441" s="57"/>
      <c r="R441" s="57" t="s">
        <v>554</v>
      </c>
      <c r="S441" s="57" t="s">
        <v>657</v>
      </c>
      <c r="W441" s="38" t="s">
        <v>248</v>
      </c>
      <c r="AA441" s="38" t="s">
        <v>1690</v>
      </c>
      <c r="AB441" s="38" t="s">
        <v>552</v>
      </c>
      <c r="AC441" s="38" t="s">
        <v>174</v>
      </c>
      <c r="AG441" s="38" t="s">
        <v>550</v>
      </c>
      <c r="AH441" s="38" t="s">
        <v>550</v>
      </c>
      <c r="AI441" s="38" t="s">
        <v>252</v>
      </c>
      <c r="AJ441" s="38">
        <v>0</v>
      </c>
      <c r="AK441" s="38">
        <v>0</v>
      </c>
      <c r="AL441" s="38" t="s">
        <v>252</v>
      </c>
      <c r="AM441" s="38" t="s">
        <v>222</v>
      </c>
      <c r="AN441" s="38">
        <v>4</v>
      </c>
      <c r="AO441" s="38">
        <v>4</v>
      </c>
      <c r="AP441" s="38" t="s">
        <v>448</v>
      </c>
      <c r="AR441" s="38">
        <f>(9.6+2.8)*1000</f>
        <v>12399.999999999998</v>
      </c>
      <c r="AS441" s="38">
        <f>AR441/(256+66)</f>
        <v>38.509316770186331</v>
      </c>
      <c r="AT441" s="64" t="s">
        <v>562</v>
      </c>
      <c r="BH441" s="38">
        <v>14.273999999999999</v>
      </c>
      <c r="BI441" s="38">
        <v>25.285</v>
      </c>
      <c r="BJ441" s="38" t="s">
        <v>561</v>
      </c>
      <c r="DP441" s="12"/>
      <c r="DR441" s="15"/>
      <c r="EL441" s="38" t="s">
        <v>564</v>
      </c>
      <c r="EM441" s="38" t="s">
        <v>945</v>
      </c>
      <c r="EN441" s="38">
        <v>26</v>
      </c>
    </row>
    <row r="442" spans="1:144" s="38" customFormat="1" x14ac:dyDescent="0.25">
      <c r="A442" s="38">
        <v>26</v>
      </c>
      <c r="B442" s="38" t="s">
        <v>546</v>
      </c>
      <c r="C442" s="38" t="s">
        <v>547</v>
      </c>
      <c r="D442" s="38">
        <v>2015</v>
      </c>
      <c r="E442" s="38">
        <v>2012</v>
      </c>
      <c r="F442" s="38" t="s">
        <v>387</v>
      </c>
      <c r="G442" s="38" t="s">
        <v>548</v>
      </c>
      <c r="H442" s="38">
        <f t="shared" si="62"/>
        <v>35.39</v>
      </c>
      <c r="I442" s="38">
        <f t="shared" si="63"/>
        <v>-78.03</v>
      </c>
      <c r="J442" s="38">
        <v>24.3</v>
      </c>
      <c r="P442" s="57" t="s">
        <v>186</v>
      </c>
      <c r="Q442" s="57"/>
      <c r="R442" s="57" t="s">
        <v>554</v>
      </c>
      <c r="S442" s="57" t="s">
        <v>657</v>
      </c>
      <c r="W442" s="38" t="s">
        <v>248</v>
      </c>
      <c r="AA442" s="38" t="s">
        <v>1690</v>
      </c>
      <c r="AB442" s="38" t="s">
        <v>326</v>
      </c>
      <c r="AC442" s="38" t="s">
        <v>174</v>
      </c>
      <c r="AG442" s="38" t="s">
        <v>550</v>
      </c>
      <c r="AH442" s="38" t="s">
        <v>550</v>
      </c>
      <c r="AI442" s="38" t="s">
        <v>252</v>
      </c>
      <c r="AJ442" s="38">
        <v>0</v>
      </c>
      <c r="AK442" s="38">
        <v>0</v>
      </c>
      <c r="AL442" s="38" t="s">
        <v>252</v>
      </c>
      <c r="AM442" s="38" t="s">
        <v>222</v>
      </c>
      <c r="AN442" s="38">
        <v>4</v>
      </c>
      <c r="AO442" s="38">
        <v>4</v>
      </c>
      <c r="AP442" s="38" t="s">
        <v>448</v>
      </c>
      <c r="AR442" s="38">
        <f>(8.7+2.5)*1000</f>
        <v>11200</v>
      </c>
      <c r="AS442" s="38">
        <f>AR442/(288+71)</f>
        <v>31.197771587743734</v>
      </c>
      <c r="AT442" s="64" t="s">
        <v>562</v>
      </c>
      <c r="BH442" s="38">
        <v>14.273999999999999</v>
      </c>
      <c r="BI442" s="38">
        <v>41.191000000000003</v>
      </c>
      <c r="BJ442" s="38" t="s">
        <v>561</v>
      </c>
      <c r="DP442" s="12"/>
      <c r="DR442" s="15"/>
      <c r="EL442" s="38" t="s">
        <v>564</v>
      </c>
      <c r="EM442" s="38" t="s">
        <v>945</v>
      </c>
      <c r="EN442" s="38">
        <v>26</v>
      </c>
    </row>
    <row r="443" spans="1:144" s="38" customFormat="1" x14ac:dyDescent="0.25">
      <c r="A443" s="38">
        <v>26</v>
      </c>
      <c r="B443" s="38" t="s">
        <v>546</v>
      </c>
      <c r="C443" s="38" t="s">
        <v>547</v>
      </c>
      <c r="D443" s="38">
        <v>2015</v>
      </c>
      <c r="E443" s="38">
        <v>2012</v>
      </c>
      <c r="F443" s="38" t="s">
        <v>387</v>
      </c>
      <c r="G443" s="38" t="s">
        <v>548</v>
      </c>
      <c r="H443" s="38">
        <f t="shared" si="62"/>
        <v>35.39</v>
      </c>
      <c r="I443" s="38">
        <f t="shared" si="63"/>
        <v>-78.03</v>
      </c>
      <c r="J443" s="38">
        <v>24.3</v>
      </c>
      <c r="P443" s="57" t="s">
        <v>186</v>
      </c>
      <c r="Q443" s="57"/>
      <c r="R443" s="57" t="s">
        <v>555</v>
      </c>
      <c r="S443" s="57" t="s">
        <v>657</v>
      </c>
      <c r="W443" s="38" t="s">
        <v>248</v>
      </c>
      <c r="AA443" s="38" t="s">
        <v>1690</v>
      </c>
      <c r="AB443" s="38" t="s">
        <v>551</v>
      </c>
      <c r="AC443" s="38" t="s">
        <v>174</v>
      </c>
      <c r="AG443" s="38" t="s">
        <v>550</v>
      </c>
      <c r="AH443" s="38" t="s">
        <v>550</v>
      </c>
      <c r="AI443" s="38" t="s">
        <v>252</v>
      </c>
      <c r="AJ443" s="38">
        <v>0</v>
      </c>
      <c r="AK443" s="38">
        <v>0</v>
      </c>
      <c r="AL443" s="38" t="s">
        <v>252</v>
      </c>
      <c r="AM443" s="38" t="s">
        <v>222</v>
      </c>
      <c r="AN443" s="38">
        <v>4</v>
      </c>
      <c r="AO443" s="38">
        <v>4</v>
      </c>
      <c r="AP443" s="38" t="s">
        <v>448</v>
      </c>
      <c r="AR443" s="38">
        <f>(6.5+1.7)*1000</f>
        <v>8200</v>
      </c>
      <c r="AS443" s="38">
        <f t="shared" ref="AS443" si="64">AR443/(205+53)</f>
        <v>31.782945736434108</v>
      </c>
      <c r="AT443" s="64" t="s">
        <v>562</v>
      </c>
      <c r="BH443" s="38">
        <v>11.582000000000001</v>
      </c>
      <c r="BI443" s="38">
        <v>36.215000000000003</v>
      </c>
      <c r="BJ443" s="38" t="s">
        <v>561</v>
      </c>
      <c r="DP443" s="12"/>
      <c r="DR443" s="15"/>
      <c r="EL443" s="38" t="s">
        <v>564</v>
      </c>
      <c r="EM443" s="38" t="s">
        <v>945</v>
      </c>
      <c r="EN443" s="38">
        <v>26</v>
      </c>
    </row>
    <row r="444" spans="1:144" s="38" customFormat="1" x14ac:dyDescent="0.25">
      <c r="A444" s="38">
        <v>26</v>
      </c>
      <c r="B444" s="38" t="s">
        <v>546</v>
      </c>
      <c r="C444" s="38" t="s">
        <v>547</v>
      </c>
      <c r="D444" s="38">
        <v>2015</v>
      </c>
      <c r="E444" s="38">
        <v>2012</v>
      </c>
      <c r="F444" s="38" t="s">
        <v>387</v>
      </c>
      <c r="G444" s="38" t="s">
        <v>548</v>
      </c>
      <c r="H444" s="38">
        <f t="shared" si="62"/>
        <v>35.39</v>
      </c>
      <c r="I444" s="38">
        <f t="shared" si="63"/>
        <v>-78.03</v>
      </c>
      <c r="J444" s="38">
        <v>24.3</v>
      </c>
      <c r="P444" s="57" t="s">
        <v>186</v>
      </c>
      <c r="Q444" s="57"/>
      <c r="R444" s="57" t="s">
        <v>555</v>
      </c>
      <c r="S444" s="57" t="s">
        <v>657</v>
      </c>
      <c r="W444" s="38" t="s">
        <v>248</v>
      </c>
      <c r="AA444" s="38" t="s">
        <v>1690</v>
      </c>
      <c r="AB444" s="38" t="s">
        <v>552</v>
      </c>
      <c r="AC444" s="38" t="s">
        <v>174</v>
      </c>
      <c r="AG444" s="38" t="s">
        <v>550</v>
      </c>
      <c r="AH444" s="38" t="s">
        <v>550</v>
      </c>
      <c r="AI444" s="38" t="s">
        <v>252</v>
      </c>
      <c r="AJ444" s="38">
        <v>0</v>
      </c>
      <c r="AK444" s="38">
        <v>0</v>
      </c>
      <c r="AL444" s="38" t="s">
        <v>252</v>
      </c>
      <c r="AM444" s="38" t="s">
        <v>222</v>
      </c>
      <c r="AN444" s="38">
        <v>4</v>
      </c>
      <c r="AO444" s="38">
        <v>4</v>
      </c>
      <c r="AP444" s="38" t="s">
        <v>448</v>
      </c>
      <c r="AR444" s="38">
        <f>(9.6+2.8)*1000</f>
        <v>12399.999999999998</v>
      </c>
      <c r="AS444" s="38">
        <f t="shared" ref="AS444" si="65">AR444/(256+66)</f>
        <v>38.509316770186331</v>
      </c>
      <c r="AT444" s="64" t="s">
        <v>562</v>
      </c>
      <c r="BH444" s="38">
        <v>11.582000000000001</v>
      </c>
      <c r="BI444" s="38">
        <v>23.082999999999998</v>
      </c>
      <c r="BJ444" s="38" t="s">
        <v>561</v>
      </c>
      <c r="DP444" s="12"/>
      <c r="DR444" s="15"/>
      <c r="EL444" s="38" t="s">
        <v>564</v>
      </c>
      <c r="EM444" s="38" t="s">
        <v>945</v>
      </c>
      <c r="EN444" s="38">
        <v>26</v>
      </c>
    </row>
    <row r="445" spans="1:144" s="38" customFormat="1" x14ac:dyDescent="0.25">
      <c r="A445" s="38">
        <v>26</v>
      </c>
      <c r="B445" s="38" t="s">
        <v>546</v>
      </c>
      <c r="C445" s="38" t="s">
        <v>547</v>
      </c>
      <c r="D445" s="38">
        <v>2015</v>
      </c>
      <c r="E445" s="38">
        <v>2012</v>
      </c>
      <c r="F445" s="38" t="s">
        <v>387</v>
      </c>
      <c r="G445" s="38" t="s">
        <v>548</v>
      </c>
      <c r="H445" s="38">
        <f t="shared" si="62"/>
        <v>35.39</v>
      </c>
      <c r="I445" s="38">
        <f t="shared" si="63"/>
        <v>-78.03</v>
      </c>
      <c r="J445" s="38">
        <v>24.3</v>
      </c>
      <c r="P445" s="57" t="s">
        <v>186</v>
      </c>
      <c r="Q445" s="57"/>
      <c r="R445" s="57" t="s">
        <v>555</v>
      </c>
      <c r="S445" s="57" t="s">
        <v>657</v>
      </c>
      <c r="W445" s="38" t="s">
        <v>248</v>
      </c>
      <c r="AA445" s="38" t="s">
        <v>1690</v>
      </c>
      <c r="AB445" s="38" t="s">
        <v>326</v>
      </c>
      <c r="AC445" s="38" t="s">
        <v>174</v>
      </c>
      <c r="AG445" s="38" t="s">
        <v>550</v>
      </c>
      <c r="AH445" s="38" t="s">
        <v>550</v>
      </c>
      <c r="AI445" s="38" t="s">
        <v>252</v>
      </c>
      <c r="AJ445" s="38">
        <v>0</v>
      </c>
      <c r="AK445" s="38">
        <v>0</v>
      </c>
      <c r="AL445" s="38" t="s">
        <v>252</v>
      </c>
      <c r="AM445" s="38" t="s">
        <v>222</v>
      </c>
      <c r="AN445" s="38">
        <v>4</v>
      </c>
      <c r="AO445" s="38">
        <v>4</v>
      </c>
      <c r="AP445" s="38" t="s">
        <v>448</v>
      </c>
      <c r="AR445" s="38">
        <f>(8.7+2.5)*1000</f>
        <v>11200</v>
      </c>
      <c r="AS445" s="38">
        <f t="shared" ref="AS445" si="66">AR445/(288+71)</f>
        <v>31.197771587743734</v>
      </c>
      <c r="AT445" s="64" t="s">
        <v>562</v>
      </c>
      <c r="BH445" s="38">
        <v>11.582000000000001</v>
      </c>
      <c r="BI445" s="38">
        <v>42.25</v>
      </c>
      <c r="BJ445" s="38" t="s">
        <v>561</v>
      </c>
      <c r="DP445" s="12"/>
      <c r="DR445" s="15"/>
      <c r="EL445" s="38" t="s">
        <v>564</v>
      </c>
      <c r="EM445" s="38" t="s">
        <v>945</v>
      </c>
      <c r="EN445" s="38">
        <v>26</v>
      </c>
    </row>
    <row r="446" spans="1:144" s="38" customFormat="1" x14ac:dyDescent="0.25">
      <c r="A446" s="38">
        <v>26</v>
      </c>
      <c r="B446" s="38" t="s">
        <v>546</v>
      </c>
      <c r="C446" s="38" t="s">
        <v>547</v>
      </c>
      <c r="D446" s="38">
        <v>2015</v>
      </c>
      <c r="E446" s="38">
        <v>2012</v>
      </c>
      <c r="F446" s="38" t="s">
        <v>387</v>
      </c>
      <c r="G446" s="38" t="s">
        <v>548</v>
      </c>
      <c r="H446" s="38">
        <f t="shared" si="62"/>
        <v>35.39</v>
      </c>
      <c r="I446" s="38">
        <f t="shared" si="63"/>
        <v>-78.03</v>
      </c>
      <c r="J446" s="38">
        <v>24.3</v>
      </c>
      <c r="P446" s="57" t="s">
        <v>186</v>
      </c>
      <c r="Q446" s="57"/>
      <c r="R446" s="57" t="s">
        <v>556</v>
      </c>
      <c r="S446" s="57" t="s">
        <v>657</v>
      </c>
      <c r="W446" s="38" t="s">
        <v>248</v>
      </c>
      <c r="AA446" s="38" t="s">
        <v>1690</v>
      </c>
      <c r="AB446" s="38" t="s">
        <v>551</v>
      </c>
      <c r="AC446" s="38" t="s">
        <v>174</v>
      </c>
      <c r="AG446" s="38" t="s">
        <v>550</v>
      </c>
      <c r="AH446" s="38" t="s">
        <v>550</v>
      </c>
      <c r="AI446" s="38" t="s">
        <v>252</v>
      </c>
      <c r="AJ446" s="38">
        <v>0</v>
      </c>
      <c r="AK446" s="38">
        <v>0</v>
      </c>
      <c r="AL446" s="38" t="s">
        <v>252</v>
      </c>
      <c r="AM446" s="38" t="s">
        <v>222</v>
      </c>
      <c r="AN446" s="38">
        <v>4</v>
      </c>
      <c r="AO446" s="38">
        <v>4</v>
      </c>
      <c r="AP446" s="38" t="s">
        <v>448</v>
      </c>
      <c r="AR446" s="38">
        <f>(6.5+1.7)*1000</f>
        <v>8200</v>
      </c>
      <c r="AS446" s="38">
        <f t="shared" ref="AS446" si="67">AR446/(205+53)</f>
        <v>31.782945736434108</v>
      </c>
      <c r="AT446" s="64" t="s">
        <v>562</v>
      </c>
      <c r="BH446" s="38">
        <v>12.153</v>
      </c>
      <c r="BI446" s="38">
        <v>21.289000000000001</v>
      </c>
      <c r="BJ446" s="38" t="s">
        <v>561</v>
      </c>
      <c r="DP446" s="12"/>
      <c r="DR446" s="15"/>
      <c r="EL446" s="38" t="s">
        <v>564</v>
      </c>
      <c r="EM446" s="38" t="s">
        <v>945</v>
      </c>
      <c r="EN446" s="38">
        <v>26</v>
      </c>
    </row>
    <row r="447" spans="1:144" s="38" customFormat="1" x14ac:dyDescent="0.25">
      <c r="A447" s="38">
        <v>26</v>
      </c>
      <c r="B447" s="38" t="s">
        <v>546</v>
      </c>
      <c r="C447" s="38" t="s">
        <v>547</v>
      </c>
      <c r="D447" s="38">
        <v>2015</v>
      </c>
      <c r="E447" s="38">
        <v>2012</v>
      </c>
      <c r="F447" s="38" t="s">
        <v>387</v>
      </c>
      <c r="G447" s="38" t="s">
        <v>548</v>
      </c>
      <c r="H447" s="38">
        <f t="shared" si="62"/>
        <v>35.39</v>
      </c>
      <c r="I447" s="38">
        <f t="shared" si="63"/>
        <v>-78.03</v>
      </c>
      <c r="J447" s="38">
        <v>24.3</v>
      </c>
      <c r="P447" s="57" t="s">
        <v>186</v>
      </c>
      <c r="Q447" s="57"/>
      <c r="R447" s="57" t="s">
        <v>556</v>
      </c>
      <c r="S447" s="57" t="s">
        <v>657</v>
      </c>
      <c r="W447" s="38" t="s">
        <v>248</v>
      </c>
      <c r="AA447" s="38" t="s">
        <v>1690</v>
      </c>
      <c r="AB447" s="38" t="s">
        <v>552</v>
      </c>
      <c r="AC447" s="38" t="s">
        <v>174</v>
      </c>
      <c r="AG447" s="38" t="s">
        <v>550</v>
      </c>
      <c r="AH447" s="38" t="s">
        <v>550</v>
      </c>
      <c r="AI447" s="38" t="s">
        <v>252</v>
      </c>
      <c r="AJ447" s="38">
        <v>0</v>
      </c>
      <c r="AK447" s="38">
        <v>0</v>
      </c>
      <c r="AL447" s="38" t="s">
        <v>252</v>
      </c>
      <c r="AM447" s="38" t="s">
        <v>222</v>
      </c>
      <c r="AN447" s="38">
        <v>4</v>
      </c>
      <c r="AO447" s="38">
        <v>4</v>
      </c>
      <c r="AP447" s="38" t="s">
        <v>448</v>
      </c>
      <c r="AR447" s="38">
        <f>(9.6+2.8)*1000</f>
        <v>12399.999999999998</v>
      </c>
      <c r="AS447" s="38">
        <f t="shared" ref="AS447" si="68">AR447/(256+66)</f>
        <v>38.509316770186331</v>
      </c>
      <c r="AT447" s="64" t="s">
        <v>562</v>
      </c>
      <c r="BH447" s="38">
        <v>12.153</v>
      </c>
      <c r="BI447" s="38">
        <v>26.346</v>
      </c>
      <c r="BJ447" s="38" t="s">
        <v>561</v>
      </c>
      <c r="DP447" s="12"/>
      <c r="DR447" s="15"/>
      <c r="EL447" s="38" t="s">
        <v>564</v>
      </c>
      <c r="EM447" s="38" t="s">
        <v>945</v>
      </c>
      <c r="EN447" s="38">
        <v>26</v>
      </c>
    </row>
    <row r="448" spans="1:144" s="38" customFormat="1" x14ac:dyDescent="0.25">
      <c r="A448" s="38">
        <v>26</v>
      </c>
      <c r="B448" s="38" t="s">
        <v>546</v>
      </c>
      <c r="C448" s="38" t="s">
        <v>547</v>
      </c>
      <c r="D448" s="38">
        <v>2015</v>
      </c>
      <c r="E448" s="38">
        <v>2012</v>
      </c>
      <c r="F448" s="38" t="s">
        <v>387</v>
      </c>
      <c r="G448" s="38" t="s">
        <v>548</v>
      </c>
      <c r="H448" s="38">
        <f t="shared" si="62"/>
        <v>35.39</v>
      </c>
      <c r="I448" s="38">
        <f t="shared" si="63"/>
        <v>-78.03</v>
      </c>
      <c r="J448" s="38">
        <v>24.3</v>
      </c>
      <c r="P448" s="57" t="s">
        <v>186</v>
      </c>
      <c r="Q448" s="57"/>
      <c r="R448" s="57" t="s">
        <v>556</v>
      </c>
      <c r="S448" s="57" t="s">
        <v>657</v>
      </c>
      <c r="W448" s="38" t="s">
        <v>248</v>
      </c>
      <c r="AA448" s="38" t="s">
        <v>1690</v>
      </c>
      <c r="AB448" s="38" t="s">
        <v>326</v>
      </c>
      <c r="AC448" s="38" t="s">
        <v>174</v>
      </c>
      <c r="AG448" s="38" t="s">
        <v>550</v>
      </c>
      <c r="AH448" s="38" t="s">
        <v>550</v>
      </c>
      <c r="AI448" s="38" t="s">
        <v>252</v>
      </c>
      <c r="AJ448" s="38">
        <v>0</v>
      </c>
      <c r="AK448" s="38">
        <v>0</v>
      </c>
      <c r="AL448" s="38" t="s">
        <v>252</v>
      </c>
      <c r="AM448" s="38" t="s">
        <v>222</v>
      </c>
      <c r="AN448" s="38">
        <v>4</v>
      </c>
      <c r="AO448" s="38">
        <v>4</v>
      </c>
      <c r="AP448" s="38" t="s">
        <v>448</v>
      </c>
      <c r="AR448" s="38">
        <f>(8.7+2.5)*1000</f>
        <v>11200</v>
      </c>
      <c r="AS448" s="38">
        <f t="shared" ref="AS448" si="69">AR448/(288+71)</f>
        <v>31.197771587743734</v>
      </c>
      <c r="AT448" s="64" t="s">
        <v>562</v>
      </c>
      <c r="BH448" s="38">
        <v>12.153</v>
      </c>
      <c r="BI448" s="38">
        <v>31.65</v>
      </c>
      <c r="BJ448" s="38" t="s">
        <v>561</v>
      </c>
      <c r="DP448" s="12"/>
      <c r="DR448" s="15"/>
      <c r="EL448" s="38" t="s">
        <v>564</v>
      </c>
      <c r="EM448" s="38" t="s">
        <v>945</v>
      </c>
      <c r="EN448" s="38">
        <v>26</v>
      </c>
    </row>
    <row r="449" spans="1:144" s="38" customFormat="1" x14ac:dyDescent="0.25">
      <c r="A449" s="38">
        <v>26</v>
      </c>
      <c r="B449" s="38" t="s">
        <v>546</v>
      </c>
      <c r="C449" s="38" t="s">
        <v>547</v>
      </c>
      <c r="D449" s="38">
        <v>2015</v>
      </c>
      <c r="E449" s="38">
        <v>2012</v>
      </c>
      <c r="F449" s="38" t="s">
        <v>387</v>
      </c>
      <c r="G449" s="38" t="s">
        <v>548</v>
      </c>
      <c r="H449" s="38">
        <f t="shared" si="62"/>
        <v>35.39</v>
      </c>
      <c r="I449" s="38">
        <f t="shared" si="63"/>
        <v>-78.03</v>
      </c>
      <c r="J449" s="38">
        <v>24.3</v>
      </c>
      <c r="P449" s="57" t="s">
        <v>186</v>
      </c>
      <c r="Q449" s="57"/>
      <c r="R449" s="57" t="s">
        <v>557</v>
      </c>
      <c r="S449" s="57" t="s">
        <v>657</v>
      </c>
      <c r="W449" s="38" t="s">
        <v>248</v>
      </c>
      <c r="AA449" s="38" t="s">
        <v>1690</v>
      </c>
      <c r="AB449" s="38" t="s">
        <v>551</v>
      </c>
      <c r="AC449" s="38" t="s">
        <v>174</v>
      </c>
      <c r="AG449" s="38" t="s">
        <v>550</v>
      </c>
      <c r="AH449" s="38" t="s">
        <v>550</v>
      </c>
      <c r="AI449" s="38" t="s">
        <v>252</v>
      </c>
      <c r="AJ449" s="38">
        <v>0</v>
      </c>
      <c r="AK449" s="38">
        <v>0</v>
      </c>
      <c r="AL449" s="38" t="s">
        <v>252</v>
      </c>
      <c r="AM449" s="38" t="s">
        <v>222</v>
      </c>
      <c r="AN449" s="38">
        <v>4</v>
      </c>
      <c r="AO449" s="38">
        <v>4</v>
      </c>
      <c r="AP449" s="38" t="s">
        <v>448</v>
      </c>
      <c r="AR449" s="38">
        <f>(6.5+1.7)*1000</f>
        <v>8200</v>
      </c>
      <c r="AS449" s="38">
        <f t="shared" ref="AS449" si="70">AR449/(205+53)</f>
        <v>31.782945736434108</v>
      </c>
      <c r="AT449" s="64" t="s">
        <v>562</v>
      </c>
      <c r="BH449" s="38">
        <v>12.643000000000001</v>
      </c>
      <c r="BI449" s="38">
        <v>15.497999999999999</v>
      </c>
      <c r="BJ449" s="38" t="s">
        <v>561</v>
      </c>
      <c r="DP449" s="12"/>
      <c r="DR449" s="15"/>
      <c r="EL449" s="38" t="s">
        <v>564</v>
      </c>
      <c r="EM449" s="38" t="s">
        <v>945</v>
      </c>
      <c r="EN449" s="38">
        <v>26</v>
      </c>
    </row>
    <row r="450" spans="1:144" s="38" customFormat="1" x14ac:dyDescent="0.25">
      <c r="A450" s="38">
        <v>26</v>
      </c>
      <c r="B450" s="38" t="s">
        <v>546</v>
      </c>
      <c r="C450" s="38" t="s">
        <v>547</v>
      </c>
      <c r="D450" s="38">
        <v>2015</v>
      </c>
      <c r="E450" s="38">
        <v>2012</v>
      </c>
      <c r="F450" s="38" t="s">
        <v>387</v>
      </c>
      <c r="G450" s="38" t="s">
        <v>548</v>
      </c>
      <c r="H450" s="38">
        <f t="shared" si="62"/>
        <v>35.39</v>
      </c>
      <c r="I450" s="38">
        <f t="shared" si="63"/>
        <v>-78.03</v>
      </c>
      <c r="J450" s="38">
        <v>24.3</v>
      </c>
      <c r="P450" s="57" t="s">
        <v>186</v>
      </c>
      <c r="Q450" s="57"/>
      <c r="R450" s="57" t="s">
        <v>557</v>
      </c>
      <c r="S450" s="57" t="s">
        <v>657</v>
      </c>
      <c r="W450" s="38" t="s">
        <v>248</v>
      </c>
      <c r="AA450" s="38" t="s">
        <v>1690</v>
      </c>
      <c r="AB450" s="38" t="s">
        <v>552</v>
      </c>
      <c r="AC450" s="38" t="s">
        <v>174</v>
      </c>
      <c r="AG450" s="38" t="s">
        <v>550</v>
      </c>
      <c r="AH450" s="38" t="s">
        <v>550</v>
      </c>
      <c r="AI450" s="38" t="s">
        <v>252</v>
      </c>
      <c r="AJ450" s="38">
        <v>0</v>
      </c>
      <c r="AK450" s="38">
        <v>0</v>
      </c>
      <c r="AL450" s="38" t="s">
        <v>252</v>
      </c>
      <c r="AM450" s="38" t="s">
        <v>222</v>
      </c>
      <c r="AN450" s="38">
        <v>4</v>
      </c>
      <c r="AO450" s="38">
        <v>4</v>
      </c>
      <c r="AP450" s="38" t="s">
        <v>448</v>
      </c>
      <c r="AR450" s="38">
        <f>(9.6+2.8)*1000</f>
        <v>12399.999999999998</v>
      </c>
      <c r="AS450" s="38">
        <f t="shared" ref="AS450" si="71">AR450/(256+66)</f>
        <v>38.509316770186331</v>
      </c>
      <c r="AT450" s="64" t="s">
        <v>562</v>
      </c>
      <c r="BH450" s="38">
        <v>12.643000000000001</v>
      </c>
      <c r="BI450" s="38">
        <v>26.75</v>
      </c>
      <c r="BJ450" s="38" t="s">
        <v>561</v>
      </c>
      <c r="DP450" s="12"/>
      <c r="DR450" s="15"/>
      <c r="EL450" s="38" t="s">
        <v>564</v>
      </c>
      <c r="EM450" s="38" t="s">
        <v>945</v>
      </c>
      <c r="EN450" s="38">
        <v>26</v>
      </c>
    </row>
    <row r="451" spans="1:144" s="38" customFormat="1" x14ac:dyDescent="0.25">
      <c r="A451" s="38">
        <v>26</v>
      </c>
      <c r="B451" s="38" t="s">
        <v>546</v>
      </c>
      <c r="C451" s="38" t="s">
        <v>547</v>
      </c>
      <c r="D451" s="38">
        <v>2015</v>
      </c>
      <c r="E451" s="38">
        <v>2012</v>
      </c>
      <c r="F451" s="38" t="s">
        <v>387</v>
      </c>
      <c r="G451" s="38" t="s">
        <v>548</v>
      </c>
      <c r="H451" s="38">
        <f t="shared" si="62"/>
        <v>35.39</v>
      </c>
      <c r="I451" s="38">
        <f t="shared" si="63"/>
        <v>-78.03</v>
      </c>
      <c r="J451" s="38">
        <v>24.3</v>
      </c>
      <c r="P451" s="57" t="s">
        <v>186</v>
      </c>
      <c r="Q451" s="57"/>
      <c r="R451" s="57" t="s">
        <v>557</v>
      </c>
      <c r="S451" s="57" t="s">
        <v>657</v>
      </c>
      <c r="W451" s="38" t="s">
        <v>248</v>
      </c>
      <c r="AA451" s="38" t="s">
        <v>1690</v>
      </c>
      <c r="AB451" s="38" t="s">
        <v>326</v>
      </c>
      <c r="AC451" s="38" t="s">
        <v>174</v>
      </c>
      <c r="AG451" s="38" t="s">
        <v>550</v>
      </c>
      <c r="AH451" s="38" t="s">
        <v>550</v>
      </c>
      <c r="AI451" s="38" t="s">
        <v>252</v>
      </c>
      <c r="AJ451" s="38">
        <v>0</v>
      </c>
      <c r="AK451" s="38">
        <v>0</v>
      </c>
      <c r="AL451" s="38" t="s">
        <v>252</v>
      </c>
      <c r="AM451" s="38" t="s">
        <v>222</v>
      </c>
      <c r="AN451" s="38">
        <v>4</v>
      </c>
      <c r="AO451" s="38">
        <v>4</v>
      </c>
      <c r="AP451" s="38" t="s">
        <v>448</v>
      </c>
      <c r="AR451" s="38">
        <f>(8.7+2.5)*1000</f>
        <v>11200</v>
      </c>
      <c r="AS451" s="38">
        <f t="shared" ref="AS451" si="72">AR451/(288+71)</f>
        <v>31.197771587743734</v>
      </c>
      <c r="AT451" s="64" t="s">
        <v>562</v>
      </c>
      <c r="BH451" s="38">
        <v>12.643000000000001</v>
      </c>
      <c r="BI451" s="38">
        <v>42.66</v>
      </c>
      <c r="BJ451" s="38" t="s">
        <v>561</v>
      </c>
      <c r="DP451" s="12"/>
      <c r="DR451" s="15"/>
      <c r="EL451" s="38" t="s">
        <v>564</v>
      </c>
      <c r="EM451" s="38" t="s">
        <v>945</v>
      </c>
      <c r="EN451" s="38">
        <v>26</v>
      </c>
    </row>
    <row r="452" spans="1:144" s="38" customFormat="1" x14ac:dyDescent="0.25">
      <c r="A452" s="38">
        <v>26</v>
      </c>
      <c r="B452" s="38" t="s">
        <v>546</v>
      </c>
      <c r="C452" s="38" t="s">
        <v>547</v>
      </c>
      <c r="D452" s="38">
        <v>2015</v>
      </c>
      <c r="E452" s="38">
        <v>2012</v>
      </c>
      <c r="F452" s="38" t="s">
        <v>387</v>
      </c>
      <c r="G452" s="38" t="s">
        <v>548</v>
      </c>
      <c r="H452" s="38">
        <f t="shared" si="62"/>
        <v>35.39</v>
      </c>
      <c r="I452" s="38">
        <f t="shared" si="63"/>
        <v>-78.03</v>
      </c>
      <c r="J452" s="38">
        <v>24.3</v>
      </c>
      <c r="P452" s="57" t="s">
        <v>186</v>
      </c>
      <c r="Q452" s="57"/>
      <c r="R452" s="57" t="s">
        <v>558</v>
      </c>
      <c r="S452" s="57" t="s">
        <v>657</v>
      </c>
      <c r="W452" s="38" t="s">
        <v>248</v>
      </c>
      <c r="AA452" s="38" t="s">
        <v>1690</v>
      </c>
      <c r="AB452" s="38" t="s">
        <v>551</v>
      </c>
      <c r="AC452" s="38" t="s">
        <v>174</v>
      </c>
      <c r="AG452" s="38" t="s">
        <v>550</v>
      </c>
      <c r="AH452" s="38" t="s">
        <v>550</v>
      </c>
      <c r="AI452" s="38" t="s">
        <v>252</v>
      </c>
      <c r="AJ452" s="38">
        <v>0</v>
      </c>
      <c r="AK452" s="38">
        <v>0</v>
      </c>
      <c r="AL452" s="38" t="s">
        <v>252</v>
      </c>
      <c r="AM452" s="38" t="s">
        <v>222</v>
      </c>
      <c r="AN452" s="38">
        <v>4</v>
      </c>
      <c r="AO452" s="38">
        <v>4</v>
      </c>
      <c r="AP452" s="38" t="s">
        <v>448</v>
      </c>
      <c r="AR452" s="38">
        <f>(6.5+1.7)*1000</f>
        <v>8200</v>
      </c>
      <c r="AS452" s="38">
        <f t="shared" ref="AS452" si="73">AR452/(205+53)</f>
        <v>31.782945736434108</v>
      </c>
      <c r="AT452" s="64" t="s">
        <v>562</v>
      </c>
      <c r="BH452" s="38">
        <v>4.3230000000000004</v>
      </c>
      <c r="BI452" s="38">
        <v>10.93</v>
      </c>
      <c r="BJ452" s="38" t="s">
        <v>561</v>
      </c>
      <c r="DP452" s="12"/>
      <c r="DR452" s="15"/>
      <c r="EL452" s="38" t="s">
        <v>564</v>
      </c>
      <c r="EM452" s="38" t="s">
        <v>945</v>
      </c>
      <c r="EN452" s="38">
        <v>26</v>
      </c>
    </row>
    <row r="453" spans="1:144" s="38" customFormat="1" x14ac:dyDescent="0.25">
      <c r="A453" s="38">
        <v>26</v>
      </c>
      <c r="B453" s="38" t="s">
        <v>546</v>
      </c>
      <c r="C453" s="38" t="s">
        <v>547</v>
      </c>
      <c r="D453" s="38">
        <v>2015</v>
      </c>
      <c r="E453" s="38">
        <v>2012</v>
      </c>
      <c r="F453" s="38" t="s">
        <v>387</v>
      </c>
      <c r="G453" s="38" t="s">
        <v>548</v>
      </c>
      <c r="H453" s="38">
        <f t="shared" si="62"/>
        <v>35.39</v>
      </c>
      <c r="I453" s="38">
        <f t="shared" si="63"/>
        <v>-78.03</v>
      </c>
      <c r="J453" s="38">
        <v>24.3</v>
      </c>
      <c r="P453" s="57" t="s">
        <v>186</v>
      </c>
      <c r="Q453" s="57"/>
      <c r="R453" s="57" t="s">
        <v>558</v>
      </c>
      <c r="S453" s="57" t="s">
        <v>657</v>
      </c>
      <c r="W453" s="38" t="s">
        <v>248</v>
      </c>
      <c r="AA453" s="38" t="s">
        <v>1690</v>
      </c>
      <c r="AB453" s="38" t="s">
        <v>552</v>
      </c>
      <c r="AC453" s="38" t="s">
        <v>174</v>
      </c>
      <c r="AG453" s="38" t="s">
        <v>550</v>
      </c>
      <c r="AH453" s="38" t="s">
        <v>550</v>
      </c>
      <c r="AI453" s="38" t="s">
        <v>252</v>
      </c>
      <c r="AJ453" s="38">
        <v>0</v>
      </c>
      <c r="AK453" s="38">
        <v>0</v>
      </c>
      <c r="AL453" s="38" t="s">
        <v>252</v>
      </c>
      <c r="AM453" s="38" t="s">
        <v>222</v>
      </c>
      <c r="AN453" s="38">
        <v>4</v>
      </c>
      <c r="AO453" s="38">
        <v>4</v>
      </c>
      <c r="AP453" s="38" t="s">
        <v>448</v>
      </c>
      <c r="AR453" s="38">
        <f>(9.6+2.8)*1000</f>
        <v>12399.999999999998</v>
      </c>
      <c r="AS453" s="38">
        <f t="shared" ref="AS453" si="74">AR453/(256+66)</f>
        <v>38.509316770186331</v>
      </c>
      <c r="AT453" s="64" t="s">
        <v>562</v>
      </c>
      <c r="BH453" s="38">
        <v>4.3230000000000004</v>
      </c>
      <c r="BI453" s="38">
        <v>6.1180000000000003</v>
      </c>
      <c r="BJ453" s="38" t="s">
        <v>561</v>
      </c>
      <c r="DP453" s="12"/>
      <c r="DR453" s="15"/>
      <c r="EL453" s="38" t="s">
        <v>564</v>
      </c>
      <c r="EM453" s="38" t="s">
        <v>945</v>
      </c>
      <c r="EN453" s="38">
        <v>26</v>
      </c>
    </row>
    <row r="454" spans="1:144" s="38" customFormat="1" x14ac:dyDescent="0.25">
      <c r="A454" s="38">
        <v>26</v>
      </c>
      <c r="B454" s="38" t="s">
        <v>546</v>
      </c>
      <c r="C454" s="38" t="s">
        <v>547</v>
      </c>
      <c r="D454" s="38">
        <v>2015</v>
      </c>
      <c r="E454" s="38">
        <v>2012</v>
      </c>
      <c r="F454" s="38" t="s">
        <v>387</v>
      </c>
      <c r="G454" s="38" t="s">
        <v>548</v>
      </c>
      <c r="H454" s="38">
        <f t="shared" si="62"/>
        <v>35.39</v>
      </c>
      <c r="I454" s="38">
        <f t="shared" si="63"/>
        <v>-78.03</v>
      </c>
      <c r="J454" s="38">
        <v>24.3</v>
      </c>
      <c r="P454" s="57" t="s">
        <v>186</v>
      </c>
      <c r="Q454" s="57"/>
      <c r="R454" s="57" t="s">
        <v>558</v>
      </c>
      <c r="S454" s="57" t="s">
        <v>657</v>
      </c>
      <c r="W454" s="38" t="s">
        <v>248</v>
      </c>
      <c r="AA454" s="38" t="s">
        <v>1690</v>
      </c>
      <c r="AB454" s="38" t="s">
        <v>326</v>
      </c>
      <c r="AC454" s="38" t="s">
        <v>174</v>
      </c>
      <c r="AG454" s="38" t="s">
        <v>550</v>
      </c>
      <c r="AH454" s="38" t="s">
        <v>550</v>
      </c>
      <c r="AI454" s="38" t="s">
        <v>252</v>
      </c>
      <c r="AJ454" s="38">
        <v>0</v>
      </c>
      <c r="AK454" s="38">
        <v>0</v>
      </c>
      <c r="AL454" s="38" t="s">
        <v>252</v>
      </c>
      <c r="AM454" s="38" t="s">
        <v>222</v>
      </c>
      <c r="AN454" s="38">
        <v>4</v>
      </c>
      <c r="AO454" s="38">
        <v>4</v>
      </c>
      <c r="AP454" s="38" t="s">
        <v>448</v>
      </c>
      <c r="AR454" s="38">
        <f>(8.7+2.5)*1000</f>
        <v>11200</v>
      </c>
      <c r="AS454" s="38">
        <f t="shared" ref="AS454" si="75">AR454/(288+71)</f>
        <v>31.197771587743734</v>
      </c>
      <c r="AT454" s="64" t="s">
        <v>562</v>
      </c>
      <c r="BH454" s="38">
        <v>4.3230000000000004</v>
      </c>
      <c r="BI454" s="38">
        <v>10.93</v>
      </c>
      <c r="BJ454" s="38" t="s">
        <v>561</v>
      </c>
      <c r="DP454" s="12"/>
      <c r="DR454" s="15"/>
      <c r="EL454" s="38" t="s">
        <v>564</v>
      </c>
      <c r="EM454" s="38" t="s">
        <v>945</v>
      </c>
      <c r="EN454" s="38">
        <v>26</v>
      </c>
    </row>
    <row r="455" spans="1:144" s="38" customFormat="1" x14ac:dyDescent="0.25">
      <c r="A455" s="38">
        <v>26</v>
      </c>
      <c r="B455" s="38" t="s">
        <v>546</v>
      </c>
      <c r="C455" s="38" t="s">
        <v>547</v>
      </c>
      <c r="D455" s="38">
        <v>2015</v>
      </c>
      <c r="E455" s="38">
        <v>2012</v>
      </c>
      <c r="F455" s="38" t="s">
        <v>387</v>
      </c>
      <c r="G455" s="38" t="s">
        <v>548</v>
      </c>
      <c r="H455" s="38">
        <f t="shared" si="62"/>
        <v>35.39</v>
      </c>
      <c r="I455" s="38">
        <f t="shared" si="63"/>
        <v>-78.03</v>
      </c>
      <c r="J455" s="38">
        <v>24.3</v>
      </c>
      <c r="P455" s="57" t="s">
        <v>186</v>
      </c>
      <c r="Q455" s="57"/>
      <c r="R455" s="57" t="s">
        <v>559</v>
      </c>
      <c r="S455" s="57" t="s">
        <v>657</v>
      </c>
      <c r="W455" s="38" t="s">
        <v>248</v>
      </c>
      <c r="AA455" s="38" t="s">
        <v>1690</v>
      </c>
      <c r="AB455" s="38" t="s">
        <v>551</v>
      </c>
      <c r="AC455" s="38" t="s">
        <v>174</v>
      </c>
      <c r="AG455" s="38" t="s">
        <v>550</v>
      </c>
      <c r="AH455" s="38" t="s">
        <v>550</v>
      </c>
      <c r="AI455" s="38" t="s">
        <v>252</v>
      </c>
      <c r="AJ455" s="38">
        <v>0</v>
      </c>
      <c r="AK455" s="38">
        <v>0</v>
      </c>
      <c r="AL455" s="38" t="s">
        <v>252</v>
      </c>
      <c r="AM455" s="38" t="s">
        <v>222</v>
      </c>
      <c r="AN455" s="38">
        <v>4</v>
      </c>
      <c r="AO455" s="38">
        <v>4</v>
      </c>
      <c r="AP455" s="38" t="s">
        <v>448</v>
      </c>
      <c r="AR455" s="38">
        <f>(6.5+1.7)*1000</f>
        <v>8200</v>
      </c>
      <c r="AS455" s="38">
        <f t="shared" ref="AS455" si="76">AR455/(205+53)</f>
        <v>31.782945736434108</v>
      </c>
      <c r="AT455" s="64" t="s">
        <v>562</v>
      </c>
      <c r="BH455" s="38">
        <v>2.0390000000000001</v>
      </c>
      <c r="BI455" s="38">
        <v>4.649</v>
      </c>
      <c r="BJ455" s="38" t="s">
        <v>561</v>
      </c>
      <c r="DP455" s="12"/>
      <c r="DR455" s="15"/>
      <c r="EL455" s="38" t="s">
        <v>564</v>
      </c>
      <c r="EM455" s="38" t="s">
        <v>945</v>
      </c>
      <c r="EN455" s="38">
        <v>26</v>
      </c>
    </row>
    <row r="456" spans="1:144" s="38" customFormat="1" x14ac:dyDescent="0.25">
      <c r="A456" s="38">
        <v>26</v>
      </c>
      <c r="B456" s="38" t="s">
        <v>546</v>
      </c>
      <c r="C456" s="38" t="s">
        <v>547</v>
      </c>
      <c r="D456" s="38">
        <v>2015</v>
      </c>
      <c r="E456" s="38">
        <v>2012</v>
      </c>
      <c r="F456" s="38" t="s">
        <v>387</v>
      </c>
      <c r="G456" s="38" t="s">
        <v>548</v>
      </c>
      <c r="H456" s="38">
        <f t="shared" si="62"/>
        <v>35.39</v>
      </c>
      <c r="I456" s="38">
        <f t="shared" si="63"/>
        <v>-78.03</v>
      </c>
      <c r="J456" s="38">
        <v>24.3</v>
      </c>
      <c r="P456" s="57" t="s">
        <v>186</v>
      </c>
      <c r="Q456" s="57"/>
      <c r="R456" s="57" t="s">
        <v>559</v>
      </c>
      <c r="S456" s="57" t="s">
        <v>657</v>
      </c>
      <c r="W456" s="38" t="s">
        <v>248</v>
      </c>
      <c r="AA456" s="38" t="s">
        <v>1690</v>
      </c>
      <c r="AB456" s="38" t="s">
        <v>552</v>
      </c>
      <c r="AC456" s="38" t="s">
        <v>174</v>
      </c>
      <c r="AG456" s="38" t="s">
        <v>550</v>
      </c>
      <c r="AH456" s="38" t="s">
        <v>550</v>
      </c>
      <c r="AI456" s="38" t="s">
        <v>252</v>
      </c>
      <c r="AJ456" s="38">
        <v>0</v>
      </c>
      <c r="AK456" s="38">
        <v>0</v>
      </c>
      <c r="AL456" s="38" t="s">
        <v>252</v>
      </c>
      <c r="AM456" s="38" t="s">
        <v>222</v>
      </c>
      <c r="AN456" s="38">
        <v>4</v>
      </c>
      <c r="AO456" s="38">
        <v>4</v>
      </c>
      <c r="AP456" s="38" t="s">
        <v>448</v>
      </c>
      <c r="AR456" s="38">
        <f>(9.6+2.8)*1000</f>
        <v>12399.999999999998</v>
      </c>
      <c r="AS456" s="38">
        <f t="shared" ref="AS456" si="77">AR456/(256+66)</f>
        <v>38.509316770186331</v>
      </c>
      <c r="AT456" s="64" t="s">
        <v>562</v>
      </c>
      <c r="BH456" s="38">
        <v>2.0390000000000001</v>
      </c>
      <c r="BI456" s="38">
        <v>5.6280000000000001</v>
      </c>
      <c r="BJ456" s="38" t="s">
        <v>561</v>
      </c>
      <c r="DP456" s="12"/>
      <c r="DR456" s="15"/>
      <c r="EL456" s="38" t="s">
        <v>564</v>
      </c>
      <c r="EM456" s="38" t="s">
        <v>945</v>
      </c>
      <c r="EN456" s="38">
        <v>26</v>
      </c>
    </row>
    <row r="457" spans="1:144" s="38" customFormat="1" x14ac:dyDescent="0.25">
      <c r="A457" s="38">
        <v>26</v>
      </c>
      <c r="B457" s="38" t="s">
        <v>546</v>
      </c>
      <c r="C457" s="38" t="s">
        <v>547</v>
      </c>
      <c r="D457" s="38">
        <v>2015</v>
      </c>
      <c r="E457" s="38">
        <v>2012</v>
      </c>
      <c r="F457" s="38" t="s">
        <v>387</v>
      </c>
      <c r="G457" s="38" t="s">
        <v>548</v>
      </c>
      <c r="H457" s="38">
        <f t="shared" si="62"/>
        <v>35.39</v>
      </c>
      <c r="I457" s="38">
        <f t="shared" si="63"/>
        <v>-78.03</v>
      </c>
      <c r="J457" s="38">
        <v>24.3</v>
      </c>
      <c r="P457" s="57" t="s">
        <v>186</v>
      </c>
      <c r="Q457" s="57"/>
      <c r="R457" s="57" t="s">
        <v>559</v>
      </c>
      <c r="S457" s="57" t="s">
        <v>657</v>
      </c>
      <c r="W457" s="38" t="s">
        <v>248</v>
      </c>
      <c r="AA457" s="38" t="s">
        <v>1690</v>
      </c>
      <c r="AB457" s="38" t="s">
        <v>326</v>
      </c>
      <c r="AC457" s="38" t="s">
        <v>174</v>
      </c>
      <c r="AG457" s="38" t="s">
        <v>550</v>
      </c>
      <c r="AH457" s="38" t="s">
        <v>550</v>
      </c>
      <c r="AI457" s="38" t="s">
        <v>252</v>
      </c>
      <c r="AJ457" s="38">
        <v>0</v>
      </c>
      <c r="AK457" s="38">
        <v>0</v>
      </c>
      <c r="AL457" s="38" t="s">
        <v>252</v>
      </c>
      <c r="AM457" s="38" t="s">
        <v>222</v>
      </c>
      <c r="AN457" s="38">
        <v>4</v>
      </c>
      <c r="AO457" s="38">
        <v>4</v>
      </c>
      <c r="AP457" s="38" t="s">
        <v>448</v>
      </c>
      <c r="AR457" s="38">
        <f>(8.7+2.5)*1000</f>
        <v>11200</v>
      </c>
      <c r="AS457" s="38">
        <f t="shared" ref="AS457" si="78">AR457/(288+71)</f>
        <v>31.197771587743734</v>
      </c>
      <c r="AT457" s="64" t="s">
        <v>562</v>
      </c>
      <c r="BH457" s="38">
        <v>2.0390000000000001</v>
      </c>
      <c r="BI457" s="38">
        <v>11.175000000000001</v>
      </c>
      <c r="BJ457" s="38" t="s">
        <v>561</v>
      </c>
      <c r="DP457" s="12"/>
      <c r="DR457" s="15"/>
      <c r="EL457" s="38" t="s">
        <v>564</v>
      </c>
      <c r="EM457" s="38" t="s">
        <v>945</v>
      </c>
      <c r="EN457" s="38">
        <v>26</v>
      </c>
    </row>
    <row r="458" spans="1:144" s="38" customFormat="1" x14ac:dyDescent="0.25">
      <c r="A458" s="38">
        <v>26</v>
      </c>
      <c r="B458" s="38" t="s">
        <v>546</v>
      </c>
      <c r="C458" s="38" t="s">
        <v>547</v>
      </c>
      <c r="D458" s="38">
        <v>2015</v>
      </c>
      <c r="E458" s="38">
        <v>2012</v>
      </c>
      <c r="F458" s="38" t="s">
        <v>387</v>
      </c>
      <c r="G458" s="38" t="s">
        <v>548</v>
      </c>
      <c r="H458" s="38">
        <f t="shared" si="62"/>
        <v>35.39</v>
      </c>
      <c r="I458" s="38">
        <f t="shared" si="63"/>
        <v>-78.03</v>
      </c>
      <c r="J458" s="38">
        <v>24.3</v>
      </c>
      <c r="P458" s="57" t="s">
        <v>186</v>
      </c>
      <c r="Q458" s="57"/>
      <c r="R458" s="57" t="s">
        <v>553</v>
      </c>
      <c r="S458" s="57" t="s">
        <v>657</v>
      </c>
      <c r="W458" s="38" t="s">
        <v>248</v>
      </c>
      <c r="AA458" s="38" t="s">
        <v>1690</v>
      </c>
      <c r="AB458" s="38" t="s">
        <v>551</v>
      </c>
      <c r="AC458" s="38" t="s">
        <v>174</v>
      </c>
      <c r="AG458" s="38" t="s">
        <v>560</v>
      </c>
      <c r="AH458" s="38" t="s">
        <v>560</v>
      </c>
      <c r="AI458" s="38" t="s">
        <v>252</v>
      </c>
      <c r="AJ458" s="38">
        <v>0</v>
      </c>
      <c r="AK458" s="38">
        <v>0</v>
      </c>
      <c r="AL458" s="38" t="s">
        <v>252</v>
      </c>
      <c r="AM458" s="38" t="s">
        <v>222</v>
      </c>
      <c r="AN458" s="38">
        <v>4</v>
      </c>
      <c r="AO458" s="38">
        <v>4</v>
      </c>
      <c r="AP458" s="38" t="s">
        <v>448</v>
      </c>
      <c r="AR458" s="38">
        <f>(6.5+1.7)*1000</f>
        <v>8200</v>
      </c>
      <c r="AS458" s="38">
        <f t="shared" ref="AS458" si="79">AR458/(205+53)</f>
        <v>31.782945736434108</v>
      </c>
      <c r="AT458" s="64" t="s">
        <v>563</v>
      </c>
      <c r="BH458" s="38">
        <v>9.5429999999999993</v>
      </c>
      <c r="BI458" s="38">
        <v>12.48</v>
      </c>
      <c r="BJ458" s="38" t="s">
        <v>561</v>
      </c>
      <c r="DP458" s="12"/>
      <c r="DR458" s="15"/>
      <c r="EL458" s="38" t="s">
        <v>564</v>
      </c>
      <c r="EM458" s="38" t="s">
        <v>945</v>
      </c>
      <c r="EN458" s="38">
        <v>26</v>
      </c>
    </row>
    <row r="459" spans="1:144" s="38" customFormat="1" x14ac:dyDescent="0.25">
      <c r="A459" s="38">
        <v>26</v>
      </c>
      <c r="B459" s="38" t="s">
        <v>546</v>
      </c>
      <c r="C459" s="38" t="s">
        <v>547</v>
      </c>
      <c r="D459" s="38">
        <v>2015</v>
      </c>
      <c r="E459" s="38">
        <v>2012</v>
      </c>
      <c r="F459" s="38" t="s">
        <v>387</v>
      </c>
      <c r="G459" s="38" t="s">
        <v>548</v>
      </c>
      <c r="H459" s="38">
        <f t="shared" si="62"/>
        <v>35.39</v>
      </c>
      <c r="I459" s="38">
        <f t="shared" si="63"/>
        <v>-78.03</v>
      </c>
      <c r="J459" s="38">
        <v>24.3</v>
      </c>
      <c r="P459" s="57" t="s">
        <v>186</v>
      </c>
      <c r="Q459" s="57"/>
      <c r="R459" s="57" t="s">
        <v>553</v>
      </c>
      <c r="S459" s="57" t="s">
        <v>657</v>
      </c>
      <c r="W459" s="38" t="s">
        <v>248</v>
      </c>
      <c r="AA459" s="38" t="s">
        <v>1690</v>
      </c>
      <c r="AB459" s="38" t="s">
        <v>552</v>
      </c>
      <c r="AC459" s="38" t="s">
        <v>174</v>
      </c>
      <c r="AG459" s="38" t="s">
        <v>560</v>
      </c>
      <c r="AH459" s="38" t="s">
        <v>560</v>
      </c>
      <c r="AI459" s="38" t="s">
        <v>252</v>
      </c>
      <c r="AJ459" s="38">
        <v>0</v>
      </c>
      <c r="AK459" s="38">
        <v>0</v>
      </c>
      <c r="AL459" s="38" t="s">
        <v>252</v>
      </c>
      <c r="AM459" s="38" t="s">
        <v>222</v>
      </c>
      <c r="AN459" s="38">
        <v>4</v>
      </c>
      <c r="AO459" s="38">
        <v>4</v>
      </c>
      <c r="AP459" s="38" t="s">
        <v>448</v>
      </c>
      <c r="AR459" s="38">
        <f>(9.6+2.8)*1000</f>
        <v>12399.999999999998</v>
      </c>
      <c r="AS459" s="38">
        <f t="shared" ref="AS459" si="80">AR459/(256+66)</f>
        <v>38.509316770186331</v>
      </c>
      <c r="AT459" s="64" t="s">
        <v>563</v>
      </c>
      <c r="BH459" s="38">
        <v>9.5429999999999993</v>
      </c>
      <c r="BI459" s="38">
        <v>11.42</v>
      </c>
      <c r="BJ459" s="38" t="s">
        <v>561</v>
      </c>
      <c r="DP459" s="12"/>
      <c r="DR459" s="15"/>
      <c r="EL459" s="38" t="s">
        <v>564</v>
      </c>
      <c r="EM459" s="38" t="s">
        <v>945</v>
      </c>
      <c r="EN459" s="38">
        <v>26</v>
      </c>
    </row>
    <row r="460" spans="1:144" s="38" customFormat="1" x14ac:dyDescent="0.25">
      <c r="A460" s="38">
        <v>26</v>
      </c>
      <c r="B460" s="38" t="s">
        <v>546</v>
      </c>
      <c r="C460" s="38" t="s">
        <v>547</v>
      </c>
      <c r="D460" s="38">
        <v>2015</v>
      </c>
      <c r="E460" s="38">
        <v>2012</v>
      </c>
      <c r="F460" s="38" t="s">
        <v>387</v>
      </c>
      <c r="G460" s="38" t="s">
        <v>548</v>
      </c>
      <c r="H460" s="38">
        <f t="shared" si="62"/>
        <v>35.39</v>
      </c>
      <c r="I460" s="38">
        <f t="shared" si="63"/>
        <v>-78.03</v>
      </c>
      <c r="J460" s="38">
        <v>24.3</v>
      </c>
      <c r="P460" s="57" t="s">
        <v>186</v>
      </c>
      <c r="Q460" s="57"/>
      <c r="R460" s="57" t="s">
        <v>553</v>
      </c>
      <c r="S460" s="57" t="s">
        <v>657</v>
      </c>
      <c r="W460" s="38" t="s">
        <v>248</v>
      </c>
      <c r="AA460" s="38" t="s">
        <v>1690</v>
      </c>
      <c r="AB460" s="38" t="s">
        <v>326</v>
      </c>
      <c r="AC460" s="38" t="s">
        <v>174</v>
      </c>
      <c r="AG460" s="38" t="s">
        <v>560</v>
      </c>
      <c r="AH460" s="38" t="s">
        <v>560</v>
      </c>
      <c r="AI460" s="38" t="s">
        <v>252</v>
      </c>
      <c r="AJ460" s="38">
        <v>0</v>
      </c>
      <c r="AK460" s="38">
        <v>0</v>
      </c>
      <c r="AL460" s="38" t="s">
        <v>252</v>
      </c>
      <c r="AM460" s="38" t="s">
        <v>222</v>
      </c>
      <c r="AN460" s="38">
        <v>4</v>
      </c>
      <c r="AO460" s="38">
        <v>4</v>
      </c>
      <c r="AP460" s="38" t="s">
        <v>448</v>
      </c>
      <c r="AR460" s="38">
        <f>(8.7+2.5)*1000</f>
        <v>11200</v>
      </c>
      <c r="AS460" s="38">
        <f t="shared" ref="AS460" si="81">AR460/(288+71)</f>
        <v>31.197771587743734</v>
      </c>
      <c r="AT460" s="64" t="s">
        <v>563</v>
      </c>
      <c r="BH460" s="38">
        <v>9.5429999999999993</v>
      </c>
      <c r="BI460" s="38">
        <v>19.899999999999999</v>
      </c>
      <c r="BJ460" s="38" t="s">
        <v>561</v>
      </c>
      <c r="DP460" s="12"/>
      <c r="DR460" s="15"/>
      <c r="EL460" s="38" t="s">
        <v>564</v>
      </c>
      <c r="EM460" s="38" t="s">
        <v>945</v>
      </c>
      <c r="EN460" s="38">
        <v>26</v>
      </c>
    </row>
    <row r="461" spans="1:144" s="38" customFormat="1" x14ac:dyDescent="0.25">
      <c r="A461" s="38">
        <v>26</v>
      </c>
      <c r="B461" s="38" t="s">
        <v>546</v>
      </c>
      <c r="C461" s="38" t="s">
        <v>547</v>
      </c>
      <c r="D461" s="38">
        <v>2015</v>
      </c>
      <c r="E461" s="38">
        <v>2012</v>
      </c>
      <c r="F461" s="38" t="s">
        <v>387</v>
      </c>
      <c r="G461" s="38" t="s">
        <v>548</v>
      </c>
      <c r="H461" s="38">
        <f t="shared" si="62"/>
        <v>35.39</v>
      </c>
      <c r="I461" s="38">
        <f t="shared" si="63"/>
        <v>-78.03</v>
      </c>
      <c r="J461" s="38">
        <v>24.3</v>
      </c>
      <c r="P461" s="57" t="s">
        <v>186</v>
      </c>
      <c r="Q461" s="57"/>
      <c r="R461" s="57" t="s">
        <v>554</v>
      </c>
      <c r="S461" s="57" t="s">
        <v>657</v>
      </c>
      <c r="W461" s="38" t="s">
        <v>248</v>
      </c>
      <c r="AA461" s="38" t="s">
        <v>1690</v>
      </c>
      <c r="AB461" s="38" t="s">
        <v>551</v>
      </c>
      <c r="AC461" s="38" t="s">
        <v>174</v>
      </c>
      <c r="AG461" s="38" t="s">
        <v>560</v>
      </c>
      <c r="AH461" s="38" t="s">
        <v>560</v>
      </c>
      <c r="AI461" s="38" t="s">
        <v>252</v>
      </c>
      <c r="AJ461" s="38">
        <v>0</v>
      </c>
      <c r="AK461" s="38">
        <v>0</v>
      </c>
      <c r="AL461" s="38" t="s">
        <v>252</v>
      </c>
      <c r="AM461" s="38" t="s">
        <v>222</v>
      </c>
      <c r="AN461" s="38">
        <v>4</v>
      </c>
      <c r="AO461" s="38">
        <v>4</v>
      </c>
      <c r="AP461" s="38" t="s">
        <v>448</v>
      </c>
      <c r="AR461" s="38">
        <f>(6.5+1.7)*1000</f>
        <v>8200</v>
      </c>
      <c r="AS461" s="38">
        <f t="shared" ref="AS461" si="82">AR461/(205+53)</f>
        <v>31.782945736434108</v>
      </c>
      <c r="AT461" s="64" t="s">
        <v>563</v>
      </c>
      <c r="BH461" s="38">
        <v>7.9119999999999999</v>
      </c>
      <c r="BI461" s="38">
        <v>13.458</v>
      </c>
      <c r="BJ461" s="38" t="s">
        <v>561</v>
      </c>
      <c r="DP461" s="12"/>
      <c r="DR461" s="15"/>
      <c r="EL461" s="38" t="s">
        <v>564</v>
      </c>
      <c r="EM461" s="38" t="s">
        <v>945</v>
      </c>
      <c r="EN461" s="38">
        <v>26</v>
      </c>
    </row>
    <row r="462" spans="1:144" s="38" customFormat="1" x14ac:dyDescent="0.25">
      <c r="A462" s="38">
        <v>26</v>
      </c>
      <c r="B462" s="38" t="s">
        <v>546</v>
      </c>
      <c r="C462" s="38" t="s">
        <v>547</v>
      </c>
      <c r="D462" s="38">
        <v>2015</v>
      </c>
      <c r="E462" s="38">
        <v>2012</v>
      </c>
      <c r="F462" s="38" t="s">
        <v>387</v>
      </c>
      <c r="G462" s="38" t="s">
        <v>548</v>
      </c>
      <c r="H462" s="38">
        <f t="shared" si="62"/>
        <v>35.39</v>
      </c>
      <c r="I462" s="38">
        <f t="shared" si="63"/>
        <v>-78.03</v>
      </c>
      <c r="J462" s="38">
        <v>24.3</v>
      </c>
      <c r="P462" s="57" t="s">
        <v>186</v>
      </c>
      <c r="Q462" s="57"/>
      <c r="R462" s="57" t="s">
        <v>554</v>
      </c>
      <c r="S462" s="57" t="s">
        <v>657</v>
      </c>
      <c r="W462" s="38" t="s">
        <v>248</v>
      </c>
      <c r="AA462" s="38" t="s">
        <v>1690</v>
      </c>
      <c r="AB462" s="38" t="s">
        <v>552</v>
      </c>
      <c r="AC462" s="38" t="s">
        <v>174</v>
      </c>
      <c r="AG462" s="38" t="s">
        <v>560</v>
      </c>
      <c r="AH462" s="38" t="s">
        <v>560</v>
      </c>
      <c r="AI462" s="38" t="s">
        <v>252</v>
      </c>
      <c r="AJ462" s="38">
        <v>0</v>
      </c>
      <c r="AK462" s="38">
        <v>0</v>
      </c>
      <c r="AL462" s="38" t="s">
        <v>252</v>
      </c>
      <c r="AM462" s="38" t="s">
        <v>222</v>
      </c>
      <c r="AN462" s="38">
        <v>4</v>
      </c>
      <c r="AO462" s="38">
        <v>4</v>
      </c>
      <c r="AP462" s="38" t="s">
        <v>448</v>
      </c>
      <c r="AR462" s="38">
        <f>(9.6+2.8)*1000</f>
        <v>12399.999999999998</v>
      </c>
      <c r="AS462" s="38">
        <f t="shared" ref="AS462" si="83">AR462/(256+66)</f>
        <v>38.509316770186331</v>
      </c>
      <c r="AT462" s="64" t="s">
        <v>563</v>
      </c>
      <c r="BH462" s="38">
        <v>7.9119999999999999</v>
      </c>
      <c r="BI462" s="38">
        <v>11.09</v>
      </c>
      <c r="BJ462" s="38" t="s">
        <v>561</v>
      </c>
      <c r="DP462" s="12"/>
      <c r="DR462" s="15"/>
      <c r="EL462" s="38" t="s">
        <v>564</v>
      </c>
      <c r="EM462" s="38" t="s">
        <v>945</v>
      </c>
      <c r="EN462" s="38">
        <v>26</v>
      </c>
    </row>
    <row r="463" spans="1:144" s="38" customFormat="1" x14ac:dyDescent="0.25">
      <c r="A463" s="38">
        <v>26</v>
      </c>
      <c r="B463" s="38" t="s">
        <v>546</v>
      </c>
      <c r="C463" s="38" t="s">
        <v>547</v>
      </c>
      <c r="D463" s="38">
        <v>2015</v>
      </c>
      <c r="E463" s="38">
        <v>2012</v>
      </c>
      <c r="F463" s="38" t="s">
        <v>387</v>
      </c>
      <c r="G463" s="38" t="s">
        <v>548</v>
      </c>
      <c r="H463" s="38">
        <f t="shared" si="62"/>
        <v>35.39</v>
      </c>
      <c r="I463" s="38">
        <f t="shared" si="63"/>
        <v>-78.03</v>
      </c>
      <c r="J463" s="38">
        <v>24.3</v>
      </c>
      <c r="P463" s="57" t="s">
        <v>186</v>
      </c>
      <c r="Q463" s="57"/>
      <c r="R463" s="57" t="s">
        <v>554</v>
      </c>
      <c r="S463" s="57" t="s">
        <v>657</v>
      </c>
      <c r="W463" s="38" t="s">
        <v>248</v>
      </c>
      <c r="AA463" s="38" t="s">
        <v>1690</v>
      </c>
      <c r="AB463" s="38" t="s">
        <v>326</v>
      </c>
      <c r="AC463" s="38" t="s">
        <v>174</v>
      </c>
      <c r="AG463" s="38" t="s">
        <v>560</v>
      </c>
      <c r="AH463" s="38" t="s">
        <v>560</v>
      </c>
      <c r="AI463" s="38" t="s">
        <v>252</v>
      </c>
      <c r="AJ463" s="38">
        <v>0</v>
      </c>
      <c r="AK463" s="38">
        <v>0</v>
      </c>
      <c r="AL463" s="38" t="s">
        <v>252</v>
      </c>
      <c r="AM463" s="38" t="s">
        <v>222</v>
      </c>
      <c r="AN463" s="38">
        <v>4</v>
      </c>
      <c r="AO463" s="38">
        <v>4</v>
      </c>
      <c r="AP463" s="38" t="s">
        <v>448</v>
      </c>
      <c r="AR463" s="38">
        <f>(8.7+2.5)*1000</f>
        <v>11200</v>
      </c>
      <c r="AS463" s="38">
        <f t="shared" ref="AS463" si="84">AR463/(288+71)</f>
        <v>31.197771587743734</v>
      </c>
      <c r="AT463" s="64" t="s">
        <v>563</v>
      </c>
      <c r="BH463" s="38">
        <v>7.9119999999999999</v>
      </c>
      <c r="BI463" s="38">
        <v>17.7</v>
      </c>
      <c r="BJ463" s="38" t="s">
        <v>561</v>
      </c>
      <c r="DP463" s="12"/>
      <c r="DR463" s="15"/>
      <c r="EL463" s="38" t="s">
        <v>564</v>
      </c>
      <c r="EM463" s="38" t="s">
        <v>945</v>
      </c>
      <c r="EN463" s="38">
        <v>26</v>
      </c>
    </row>
    <row r="464" spans="1:144" s="38" customFormat="1" x14ac:dyDescent="0.25">
      <c r="A464" s="38">
        <v>26</v>
      </c>
      <c r="B464" s="38" t="s">
        <v>546</v>
      </c>
      <c r="C464" s="38" t="s">
        <v>547</v>
      </c>
      <c r="D464" s="38">
        <v>2015</v>
      </c>
      <c r="E464" s="38">
        <v>2012</v>
      </c>
      <c r="F464" s="38" t="s">
        <v>387</v>
      </c>
      <c r="G464" s="38" t="s">
        <v>548</v>
      </c>
      <c r="H464" s="38">
        <f t="shared" si="62"/>
        <v>35.39</v>
      </c>
      <c r="I464" s="38">
        <f t="shared" si="63"/>
        <v>-78.03</v>
      </c>
      <c r="J464" s="38">
        <v>24.3</v>
      </c>
      <c r="P464" s="57" t="s">
        <v>186</v>
      </c>
      <c r="Q464" s="57"/>
      <c r="R464" s="57" t="s">
        <v>555</v>
      </c>
      <c r="S464" s="57" t="s">
        <v>657</v>
      </c>
      <c r="W464" s="38" t="s">
        <v>248</v>
      </c>
      <c r="AA464" s="38" t="s">
        <v>1690</v>
      </c>
      <c r="AB464" s="38" t="s">
        <v>551</v>
      </c>
      <c r="AC464" s="38" t="s">
        <v>174</v>
      </c>
      <c r="AG464" s="38" t="s">
        <v>560</v>
      </c>
      <c r="AH464" s="38" t="s">
        <v>560</v>
      </c>
      <c r="AI464" s="38" t="s">
        <v>252</v>
      </c>
      <c r="AJ464" s="38">
        <v>0</v>
      </c>
      <c r="AK464" s="38">
        <v>0</v>
      </c>
      <c r="AL464" s="38" t="s">
        <v>252</v>
      </c>
      <c r="AM464" s="38" t="s">
        <v>222</v>
      </c>
      <c r="AN464" s="38">
        <v>4</v>
      </c>
      <c r="AO464" s="38">
        <v>4</v>
      </c>
      <c r="AP464" s="38" t="s">
        <v>448</v>
      </c>
      <c r="AR464" s="38">
        <f>(6.5+1.7)*1000</f>
        <v>8200</v>
      </c>
      <c r="AS464" s="38">
        <f t="shared" ref="AS464" si="85">AR464/(205+53)</f>
        <v>31.782945736434108</v>
      </c>
      <c r="AT464" s="64" t="s">
        <v>563</v>
      </c>
      <c r="BH464" s="38">
        <v>7.4219999999999997</v>
      </c>
      <c r="BI464" s="38">
        <v>16.312999999999999</v>
      </c>
      <c r="BJ464" s="38" t="s">
        <v>561</v>
      </c>
      <c r="DP464" s="12"/>
      <c r="DR464" s="15"/>
      <c r="EL464" s="38" t="s">
        <v>564</v>
      </c>
      <c r="EM464" s="38" t="s">
        <v>945</v>
      </c>
      <c r="EN464" s="38">
        <v>26</v>
      </c>
    </row>
    <row r="465" spans="1:144" s="38" customFormat="1" x14ac:dyDescent="0.25">
      <c r="A465" s="38">
        <v>26</v>
      </c>
      <c r="B465" s="38" t="s">
        <v>546</v>
      </c>
      <c r="C465" s="38" t="s">
        <v>547</v>
      </c>
      <c r="D465" s="38">
        <v>2015</v>
      </c>
      <c r="E465" s="38">
        <v>2012</v>
      </c>
      <c r="F465" s="38" t="s">
        <v>387</v>
      </c>
      <c r="G465" s="38" t="s">
        <v>548</v>
      </c>
      <c r="H465" s="38">
        <f t="shared" si="62"/>
        <v>35.39</v>
      </c>
      <c r="I465" s="38">
        <f t="shared" si="63"/>
        <v>-78.03</v>
      </c>
      <c r="J465" s="38">
        <v>24.3</v>
      </c>
      <c r="P465" s="57" t="s">
        <v>186</v>
      </c>
      <c r="Q465" s="57"/>
      <c r="R465" s="57" t="s">
        <v>555</v>
      </c>
      <c r="S465" s="57" t="s">
        <v>657</v>
      </c>
      <c r="W465" s="38" t="s">
        <v>248</v>
      </c>
      <c r="AA465" s="38" t="s">
        <v>1690</v>
      </c>
      <c r="AB465" s="38" t="s">
        <v>552</v>
      </c>
      <c r="AC465" s="38" t="s">
        <v>174</v>
      </c>
      <c r="AG465" s="38" t="s">
        <v>560</v>
      </c>
      <c r="AH465" s="38" t="s">
        <v>560</v>
      </c>
      <c r="AI465" s="38" t="s">
        <v>252</v>
      </c>
      <c r="AJ465" s="38">
        <v>0</v>
      </c>
      <c r="AK465" s="38">
        <v>0</v>
      </c>
      <c r="AL465" s="38" t="s">
        <v>252</v>
      </c>
      <c r="AM465" s="38" t="s">
        <v>222</v>
      </c>
      <c r="AN465" s="38">
        <v>4</v>
      </c>
      <c r="AO465" s="38">
        <v>4</v>
      </c>
      <c r="AP465" s="38" t="s">
        <v>448</v>
      </c>
      <c r="AR465" s="38">
        <f>(9.6+2.8)*1000</f>
        <v>12399.999999999998</v>
      </c>
      <c r="AS465" s="38">
        <f t="shared" ref="AS465" si="86">AR465/(256+66)</f>
        <v>38.509316770186331</v>
      </c>
      <c r="AT465" s="64" t="s">
        <v>563</v>
      </c>
      <c r="BH465" s="38">
        <v>7.4219999999999997</v>
      </c>
      <c r="BI465" s="38">
        <v>14.927</v>
      </c>
      <c r="BJ465" s="38" t="s">
        <v>561</v>
      </c>
      <c r="DP465" s="12"/>
      <c r="DR465" s="15"/>
      <c r="EL465" s="38" t="s">
        <v>564</v>
      </c>
      <c r="EM465" s="38" t="s">
        <v>945</v>
      </c>
      <c r="EN465" s="38">
        <v>26</v>
      </c>
    </row>
    <row r="466" spans="1:144" s="38" customFormat="1" x14ac:dyDescent="0.25">
      <c r="A466" s="38">
        <v>26</v>
      </c>
      <c r="B466" s="38" t="s">
        <v>546</v>
      </c>
      <c r="C466" s="38" t="s">
        <v>547</v>
      </c>
      <c r="D466" s="38">
        <v>2015</v>
      </c>
      <c r="E466" s="38">
        <v>2012</v>
      </c>
      <c r="F466" s="38" t="s">
        <v>387</v>
      </c>
      <c r="G466" s="38" t="s">
        <v>548</v>
      </c>
      <c r="H466" s="38">
        <f t="shared" si="62"/>
        <v>35.39</v>
      </c>
      <c r="I466" s="38">
        <f t="shared" si="63"/>
        <v>-78.03</v>
      </c>
      <c r="J466" s="38">
        <v>24.3</v>
      </c>
      <c r="P466" s="57" t="s">
        <v>186</v>
      </c>
      <c r="Q466" s="57"/>
      <c r="R466" s="57" t="s">
        <v>555</v>
      </c>
      <c r="S466" s="57" t="s">
        <v>657</v>
      </c>
      <c r="W466" s="38" t="s">
        <v>248</v>
      </c>
      <c r="AA466" s="38" t="s">
        <v>1690</v>
      </c>
      <c r="AB466" s="38" t="s">
        <v>326</v>
      </c>
      <c r="AC466" s="38" t="s">
        <v>174</v>
      </c>
      <c r="AG466" s="38" t="s">
        <v>560</v>
      </c>
      <c r="AH466" s="38" t="s">
        <v>560</v>
      </c>
      <c r="AI466" s="38" t="s">
        <v>252</v>
      </c>
      <c r="AJ466" s="38">
        <v>0</v>
      </c>
      <c r="AK466" s="38">
        <v>0</v>
      </c>
      <c r="AL466" s="38" t="s">
        <v>252</v>
      </c>
      <c r="AM466" s="38" t="s">
        <v>222</v>
      </c>
      <c r="AN466" s="38">
        <v>4</v>
      </c>
      <c r="AO466" s="38">
        <v>4</v>
      </c>
      <c r="AP466" s="38" t="s">
        <v>448</v>
      </c>
      <c r="AR466" s="38">
        <f>(8.7+2.5)*1000</f>
        <v>11200</v>
      </c>
      <c r="AS466" s="38">
        <f t="shared" ref="AS466" si="87">AR466/(288+71)</f>
        <v>31.197771587743734</v>
      </c>
      <c r="AT466" s="64" t="s">
        <v>563</v>
      </c>
      <c r="BH466" s="38">
        <v>7.4219999999999997</v>
      </c>
      <c r="BI466" s="38">
        <v>23.33</v>
      </c>
      <c r="BJ466" s="38" t="s">
        <v>561</v>
      </c>
      <c r="DP466" s="12"/>
      <c r="DR466" s="15"/>
      <c r="EL466" s="38" t="s">
        <v>564</v>
      </c>
      <c r="EM466" s="38" t="s">
        <v>945</v>
      </c>
      <c r="EN466" s="38">
        <v>26</v>
      </c>
    </row>
    <row r="467" spans="1:144" s="38" customFormat="1" x14ac:dyDescent="0.25">
      <c r="A467" s="38">
        <v>26</v>
      </c>
      <c r="B467" s="38" t="s">
        <v>546</v>
      </c>
      <c r="C467" s="38" t="s">
        <v>547</v>
      </c>
      <c r="D467" s="38">
        <v>2015</v>
      </c>
      <c r="E467" s="38">
        <v>2012</v>
      </c>
      <c r="F467" s="38" t="s">
        <v>387</v>
      </c>
      <c r="G467" s="38" t="s">
        <v>548</v>
      </c>
      <c r="H467" s="38">
        <f t="shared" si="62"/>
        <v>35.39</v>
      </c>
      <c r="I467" s="38">
        <f t="shared" si="63"/>
        <v>-78.03</v>
      </c>
      <c r="J467" s="38">
        <v>24.3</v>
      </c>
      <c r="P467" s="57" t="s">
        <v>186</v>
      </c>
      <c r="Q467" s="57"/>
      <c r="R467" s="57" t="s">
        <v>556</v>
      </c>
      <c r="S467" s="57" t="s">
        <v>657</v>
      </c>
      <c r="W467" s="38" t="s">
        <v>248</v>
      </c>
      <c r="AA467" s="38" t="s">
        <v>1690</v>
      </c>
      <c r="AB467" s="38" t="s">
        <v>551</v>
      </c>
      <c r="AC467" s="38" t="s">
        <v>174</v>
      </c>
      <c r="AG467" s="38" t="s">
        <v>560</v>
      </c>
      <c r="AH467" s="38" t="s">
        <v>560</v>
      </c>
      <c r="AI467" s="38" t="s">
        <v>252</v>
      </c>
      <c r="AJ467" s="38">
        <v>0</v>
      </c>
      <c r="AK467" s="38">
        <v>0</v>
      </c>
      <c r="AL467" s="38" t="s">
        <v>252</v>
      </c>
      <c r="AM467" s="38" t="s">
        <v>222</v>
      </c>
      <c r="AN467" s="38">
        <v>4</v>
      </c>
      <c r="AO467" s="38">
        <v>4</v>
      </c>
      <c r="AP467" s="38" t="s">
        <v>448</v>
      </c>
      <c r="AR467" s="38">
        <f>(6.5+1.7)*1000</f>
        <v>8200</v>
      </c>
      <c r="AS467" s="38">
        <f t="shared" ref="AS467" si="88">AR467/(205+53)</f>
        <v>31.782945736434108</v>
      </c>
      <c r="AT467" s="64" t="s">
        <v>563</v>
      </c>
      <c r="BH467" s="38">
        <v>5.5469999999999997</v>
      </c>
      <c r="BI467" s="38">
        <v>6.77</v>
      </c>
      <c r="BJ467" s="38" t="s">
        <v>561</v>
      </c>
      <c r="DP467" s="12"/>
      <c r="DR467" s="15"/>
      <c r="EL467" s="38" t="s">
        <v>564</v>
      </c>
      <c r="EM467" s="38" t="s">
        <v>945</v>
      </c>
      <c r="EN467" s="38">
        <v>26</v>
      </c>
    </row>
    <row r="468" spans="1:144" s="38" customFormat="1" x14ac:dyDescent="0.25">
      <c r="A468" s="38">
        <v>26</v>
      </c>
      <c r="B468" s="38" t="s">
        <v>546</v>
      </c>
      <c r="C468" s="38" t="s">
        <v>547</v>
      </c>
      <c r="D468" s="38">
        <v>2015</v>
      </c>
      <c r="E468" s="38">
        <v>2012</v>
      </c>
      <c r="F468" s="38" t="s">
        <v>387</v>
      </c>
      <c r="G468" s="38" t="s">
        <v>548</v>
      </c>
      <c r="H468" s="38">
        <f t="shared" si="62"/>
        <v>35.39</v>
      </c>
      <c r="I468" s="38">
        <f t="shared" si="63"/>
        <v>-78.03</v>
      </c>
      <c r="J468" s="38">
        <v>24.3</v>
      </c>
      <c r="P468" s="57" t="s">
        <v>186</v>
      </c>
      <c r="Q468" s="57"/>
      <c r="R468" s="57" t="s">
        <v>556</v>
      </c>
      <c r="S468" s="57" t="s">
        <v>657</v>
      </c>
      <c r="W468" s="38" t="s">
        <v>248</v>
      </c>
      <c r="AA468" s="38" t="s">
        <v>1690</v>
      </c>
      <c r="AB468" s="38" t="s">
        <v>552</v>
      </c>
      <c r="AC468" s="38" t="s">
        <v>174</v>
      </c>
      <c r="AG468" s="38" t="s">
        <v>560</v>
      </c>
      <c r="AH468" s="38" t="s">
        <v>560</v>
      </c>
      <c r="AI468" s="38" t="s">
        <v>252</v>
      </c>
      <c r="AJ468" s="38">
        <v>0</v>
      </c>
      <c r="AK468" s="38">
        <v>0</v>
      </c>
      <c r="AL468" s="38" t="s">
        <v>252</v>
      </c>
      <c r="AM468" s="38" t="s">
        <v>222</v>
      </c>
      <c r="AN468" s="38">
        <v>4</v>
      </c>
      <c r="AO468" s="38">
        <v>4</v>
      </c>
      <c r="AP468" s="38" t="s">
        <v>448</v>
      </c>
      <c r="AR468" s="38">
        <f>(9.6+2.8)*1000</f>
        <v>12399.999999999998</v>
      </c>
      <c r="AS468" s="38">
        <f t="shared" ref="AS468" si="89">AR468/(256+66)</f>
        <v>38.509316770186331</v>
      </c>
      <c r="AT468" s="64" t="s">
        <v>563</v>
      </c>
      <c r="BH468" s="38">
        <v>5.5469999999999997</v>
      </c>
      <c r="BI468" s="38">
        <v>6.77</v>
      </c>
      <c r="BJ468" s="38" t="s">
        <v>561</v>
      </c>
      <c r="DP468" s="12"/>
      <c r="DR468" s="15"/>
      <c r="EL468" s="38" t="s">
        <v>564</v>
      </c>
      <c r="EM468" s="38" t="s">
        <v>945</v>
      </c>
      <c r="EN468" s="38">
        <v>26</v>
      </c>
    </row>
    <row r="469" spans="1:144" s="38" customFormat="1" x14ac:dyDescent="0.25">
      <c r="A469" s="38">
        <v>26</v>
      </c>
      <c r="B469" s="38" t="s">
        <v>546</v>
      </c>
      <c r="C469" s="38" t="s">
        <v>547</v>
      </c>
      <c r="D469" s="38">
        <v>2015</v>
      </c>
      <c r="E469" s="38">
        <v>2012</v>
      </c>
      <c r="F469" s="38" t="s">
        <v>387</v>
      </c>
      <c r="G469" s="38" t="s">
        <v>548</v>
      </c>
      <c r="H469" s="38">
        <f t="shared" si="62"/>
        <v>35.39</v>
      </c>
      <c r="I469" s="38">
        <f t="shared" si="63"/>
        <v>-78.03</v>
      </c>
      <c r="J469" s="38">
        <v>24.3</v>
      </c>
      <c r="P469" s="57" t="s">
        <v>186</v>
      </c>
      <c r="Q469" s="57"/>
      <c r="R469" s="57" t="s">
        <v>556</v>
      </c>
      <c r="S469" s="57" t="s">
        <v>657</v>
      </c>
      <c r="W469" s="38" t="s">
        <v>248</v>
      </c>
      <c r="AA469" s="38" t="s">
        <v>1690</v>
      </c>
      <c r="AB469" s="38" t="s">
        <v>326</v>
      </c>
      <c r="AC469" s="38" t="s">
        <v>174</v>
      </c>
      <c r="AG469" s="38" t="s">
        <v>560</v>
      </c>
      <c r="AH469" s="38" t="s">
        <v>560</v>
      </c>
      <c r="AI469" s="38" t="s">
        <v>252</v>
      </c>
      <c r="AJ469" s="38">
        <v>0</v>
      </c>
      <c r="AK469" s="38">
        <v>0</v>
      </c>
      <c r="AL469" s="38" t="s">
        <v>252</v>
      </c>
      <c r="AM469" s="38" t="s">
        <v>222</v>
      </c>
      <c r="AN469" s="38">
        <v>4</v>
      </c>
      <c r="AO469" s="38">
        <v>4</v>
      </c>
      <c r="AP469" s="38" t="s">
        <v>448</v>
      </c>
      <c r="AR469" s="38">
        <f>(8.7+2.5)*1000</f>
        <v>11200</v>
      </c>
      <c r="AS469" s="38">
        <f t="shared" ref="AS469" si="90">AR469/(288+71)</f>
        <v>31.197771587743734</v>
      </c>
      <c r="AT469" s="64" t="s">
        <v>563</v>
      </c>
      <c r="BH469" s="38">
        <v>5.5469999999999997</v>
      </c>
      <c r="BI469" s="38">
        <v>6.77</v>
      </c>
      <c r="BJ469" s="38" t="s">
        <v>561</v>
      </c>
      <c r="DP469" s="12"/>
      <c r="DR469" s="15"/>
      <c r="EL469" s="38" t="s">
        <v>564</v>
      </c>
      <c r="EM469" s="38" t="s">
        <v>945</v>
      </c>
      <c r="EN469" s="38">
        <v>26</v>
      </c>
    </row>
    <row r="470" spans="1:144" s="38" customFormat="1" x14ac:dyDescent="0.25">
      <c r="A470" s="38">
        <v>26</v>
      </c>
      <c r="B470" s="38" t="s">
        <v>546</v>
      </c>
      <c r="C470" s="38" t="s">
        <v>547</v>
      </c>
      <c r="D470" s="38">
        <v>2015</v>
      </c>
      <c r="E470" s="38">
        <v>2012</v>
      </c>
      <c r="F470" s="38" t="s">
        <v>387</v>
      </c>
      <c r="G470" s="38" t="s">
        <v>548</v>
      </c>
      <c r="H470" s="38">
        <f t="shared" si="62"/>
        <v>35.39</v>
      </c>
      <c r="I470" s="38">
        <f t="shared" si="63"/>
        <v>-78.03</v>
      </c>
      <c r="J470" s="38">
        <v>24.3</v>
      </c>
      <c r="P470" s="57" t="s">
        <v>186</v>
      </c>
      <c r="Q470" s="57"/>
      <c r="R470" s="57" t="s">
        <v>557</v>
      </c>
      <c r="S470" s="57" t="s">
        <v>657</v>
      </c>
      <c r="W470" s="38" t="s">
        <v>248</v>
      </c>
      <c r="AA470" s="38" t="s">
        <v>1690</v>
      </c>
      <c r="AB470" s="38" t="s">
        <v>551</v>
      </c>
      <c r="AC470" s="38" t="s">
        <v>174</v>
      </c>
      <c r="AG470" s="38" t="s">
        <v>560</v>
      </c>
      <c r="AH470" s="38" t="s">
        <v>560</v>
      </c>
      <c r="AI470" s="38" t="s">
        <v>252</v>
      </c>
      <c r="AJ470" s="38">
        <v>0</v>
      </c>
      <c r="AK470" s="38">
        <v>0</v>
      </c>
      <c r="AL470" s="38" t="s">
        <v>252</v>
      </c>
      <c r="AM470" s="38" t="s">
        <v>222</v>
      </c>
      <c r="AN470" s="38">
        <v>4</v>
      </c>
      <c r="AO470" s="38">
        <v>4</v>
      </c>
      <c r="AP470" s="38" t="s">
        <v>448</v>
      </c>
      <c r="AR470" s="38">
        <f>(6.5+1.7)*1000</f>
        <v>8200</v>
      </c>
      <c r="AS470" s="38">
        <f t="shared" ref="AS470" si="91">AR470/(205+53)</f>
        <v>31.782945736434108</v>
      </c>
      <c r="AT470" s="64" t="s">
        <v>563</v>
      </c>
      <c r="BH470" s="38">
        <v>7.7489999999999997</v>
      </c>
      <c r="BI470" s="38">
        <v>5.71</v>
      </c>
      <c r="BJ470" s="38" t="s">
        <v>561</v>
      </c>
      <c r="DP470" s="12"/>
      <c r="DR470" s="15"/>
      <c r="EL470" s="38" t="s">
        <v>564</v>
      </c>
      <c r="EM470" s="38" t="s">
        <v>945</v>
      </c>
      <c r="EN470" s="38">
        <v>26</v>
      </c>
    </row>
    <row r="471" spans="1:144" s="38" customFormat="1" x14ac:dyDescent="0.25">
      <c r="A471" s="38">
        <v>26</v>
      </c>
      <c r="B471" s="38" t="s">
        <v>546</v>
      </c>
      <c r="C471" s="38" t="s">
        <v>547</v>
      </c>
      <c r="D471" s="38">
        <v>2015</v>
      </c>
      <c r="E471" s="38">
        <v>2012</v>
      </c>
      <c r="F471" s="38" t="s">
        <v>387</v>
      </c>
      <c r="G471" s="38" t="s">
        <v>548</v>
      </c>
      <c r="H471" s="38">
        <f t="shared" si="62"/>
        <v>35.39</v>
      </c>
      <c r="I471" s="38">
        <f t="shared" si="63"/>
        <v>-78.03</v>
      </c>
      <c r="J471" s="38">
        <v>24.3</v>
      </c>
      <c r="P471" s="57" t="s">
        <v>186</v>
      </c>
      <c r="Q471" s="57"/>
      <c r="R471" s="57" t="s">
        <v>557</v>
      </c>
      <c r="S471" s="57" t="s">
        <v>657</v>
      </c>
      <c r="W471" s="38" t="s">
        <v>248</v>
      </c>
      <c r="AA471" s="38" t="s">
        <v>1690</v>
      </c>
      <c r="AB471" s="38" t="s">
        <v>552</v>
      </c>
      <c r="AC471" s="38" t="s">
        <v>174</v>
      </c>
      <c r="AG471" s="38" t="s">
        <v>560</v>
      </c>
      <c r="AH471" s="38" t="s">
        <v>560</v>
      </c>
      <c r="AI471" s="38" t="s">
        <v>252</v>
      </c>
      <c r="AJ471" s="38">
        <v>0</v>
      </c>
      <c r="AK471" s="38">
        <v>0</v>
      </c>
      <c r="AL471" s="38" t="s">
        <v>252</v>
      </c>
      <c r="AM471" s="38" t="s">
        <v>222</v>
      </c>
      <c r="AN471" s="38">
        <v>4</v>
      </c>
      <c r="AO471" s="38">
        <v>4</v>
      </c>
      <c r="AP471" s="38" t="s">
        <v>448</v>
      </c>
      <c r="AR471" s="38">
        <f>(9.6+2.8)*1000</f>
        <v>12399.999999999998</v>
      </c>
      <c r="AS471" s="38">
        <f t="shared" ref="AS471" si="92">AR471/(256+66)</f>
        <v>38.509316770186331</v>
      </c>
      <c r="AT471" s="64" t="s">
        <v>563</v>
      </c>
      <c r="BH471" s="38">
        <v>7.7489999999999997</v>
      </c>
      <c r="BI471" s="38">
        <v>4.4000000000000004</v>
      </c>
      <c r="BJ471" s="38" t="s">
        <v>561</v>
      </c>
      <c r="DP471" s="12"/>
      <c r="DR471" s="15"/>
      <c r="EL471" s="38" t="s">
        <v>564</v>
      </c>
      <c r="EM471" s="38" t="s">
        <v>945</v>
      </c>
      <c r="EN471" s="38">
        <v>26</v>
      </c>
    </row>
    <row r="472" spans="1:144" s="38" customFormat="1" x14ac:dyDescent="0.25">
      <c r="A472" s="38">
        <v>26</v>
      </c>
      <c r="B472" s="38" t="s">
        <v>546</v>
      </c>
      <c r="C472" s="38" t="s">
        <v>547</v>
      </c>
      <c r="D472" s="38">
        <v>2015</v>
      </c>
      <c r="E472" s="38">
        <v>2012</v>
      </c>
      <c r="F472" s="38" t="s">
        <v>387</v>
      </c>
      <c r="G472" s="38" t="s">
        <v>548</v>
      </c>
      <c r="H472" s="38">
        <f t="shared" si="62"/>
        <v>35.39</v>
      </c>
      <c r="I472" s="38">
        <f t="shared" si="63"/>
        <v>-78.03</v>
      </c>
      <c r="J472" s="38">
        <v>24.3</v>
      </c>
      <c r="P472" s="57" t="s">
        <v>186</v>
      </c>
      <c r="Q472" s="57"/>
      <c r="R472" s="57" t="s">
        <v>557</v>
      </c>
      <c r="S472" s="57" t="s">
        <v>657</v>
      </c>
      <c r="W472" s="38" t="s">
        <v>248</v>
      </c>
      <c r="AA472" s="38" t="s">
        <v>1690</v>
      </c>
      <c r="AB472" s="38" t="s">
        <v>326</v>
      </c>
      <c r="AC472" s="38" t="s">
        <v>174</v>
      </c>
      <c r="AG472" s="38" t="s">
        <v>560</v>
      </c>
      <c r="AH472" s="38" t="s">
        <v>560</v>
      </c>
      <c r="AI472" s="38" t="s">
        <v>252</v>
      </c>
      <c r="AJ472" s="38">
        <v>0</v>
      </c>
      <c r="AK472" s="38">
        <v>0</v>
      </c>
      <c r="AL472" s="38" t="s">
        <v>252</v>
      </c>
      <c r="AM472" s="38" t="s">
        <v>222</v>
      </c>
      <c r="AN472" s="38">
        <v>4</v>
      </c>
      <c r="AO472" s="38">
        <v>4</v>
      </c>
      <c r="AP472" s="38" t="s">
        <v>448</v>
      </c>
      <c r="AR472" s="38">
        <f>(8.7+2.5)*1000</f>
        <v>11200</v>
      </c>
      <c r="AS472" s="38">
        <f t="shared" ref="AS472" si="93">AR472/(288+71)</f>
        <v>31.197771587743734</v>
      </c>
      <c r="AT472" s="64" t="s">
        <v>563</v>
      </c>
      <c r="BH472" s="38">
        <v>7.7489999999999997</v>
      </c>
      <c r="BI472" s="38">
        <v>5.7</v>
      </c>
      <c r="BJ472" s="38" t="s">
        <v>561</v>
      </c>
      <c r="DP472" s="12"/>
      <c r="DR472" s="15"/>
      <c r="EL472" s="38" t="s">
        <v>564</v>
      </c>
      <c r="EM472" s="38" t="s">
        <v>945</v>
      </c>
      <c r="EN472" s="38">
        <v>26</v>
      </c>
    </row>
    <row r="473" spans="1:144" s="38" customFormat="1" x14ac:dyDescent="0.25">
      <c r="A473" s="38">
        <v>26</v>
      </c>
      <c r="B473" s="38" t="s">
        <v>546</v>
      </c>
      <c r="C473" s="38" t="s">
        <v>547</v>
      </c>
      <c r="D473" s="38">
        <v>2015</v>
      </c>
      <c r="E473" s="38">
        <v>2012</v>
      </c>
      <c r="F473" s="38" t="s">
        <v>387</v>
      </c>
      <c r="G473" s="38" t="s">
        <v>548</v>
      </c>
      <c r="H473" s="38">
        <f t="shared" si="62"/>
        <v>35.39</v>
      </c>
      <c r="I473" s="38">
        <f t="shared" si="63"/>
        <v>-78.03</v>
      </c>
      <c r="J473" s="38">
        <v>24.3</v>
      </c>
      <c r="P473" s="57" t="s">
        <v>186</v>
      </c>
      <c r="Q473" s="57"/>
      <c r="R473" s="57" t="s">
        <v>558</v>
      </c>
      <c r="S473" s="57" t="s">
        <v>657</v>
      </c>
      <c r="W473" s="38" t="s">
        <v>248</v>
      </c>
      <c r="AA473" s="38" t="s">
        <v>1690</v>
      </c>
      <c r="AB473" s="38" t="s">
        <v>551</v>
      </c>
      <c r="AC473" s="38" t="s">
        <v>174</v>
      </c>
      <c r="AG473" s="38" t="s">
        <v>560</v>
      </c>
      <c r="AH473" s="38" t="s">
        <v>560</v>
      </c>
      <c r="AI473" s="38" t="s">
        <v>252</v>
      </c>
      <c r="AJ473" s="38">
        <v>0</v>
      </c>
      <c r="AK473" s="38">
        <v>0</v>
      </c>
      <c r="AL473" s="38" t="s">
        <v>252</v>
      </c>
      <c r="AM473" s="38" t="s">
        <v>222</v>
      </c>
      <c r="AN473" s="38">
        <v>4</v>
      </c>
      <c r="AO473" s="38">
        <v>4</v>
      </c>
      <c r="AP473" s="38" t="s">
        <v>448</v>
      </c>
      <c r="AR473" s="38">
        <f>(6.5+1.7)*1000</f>
        <v>8200</v>
      </c>
      <c r="AS473" s="38">
        <f t="shared" ref="AS473" si="94">AR473/(205+53)</f>
        <v>31.782945736434108</v>
      </c>
      <c r="AT473" s="64" t="s">
        <v>563</v>
      </c>
      <c r="BH473" s="38">
        <v>4.3230000000000004</v>
      </c>
      <c r="BI473" s="38">
        <v>3.18</v>
      </c>
      <c r="BJ473" s="38" t="s">
        <v>561</v>
      </c>
      <c r="DP473" s="12"/>
      <c r="DR473" s="15"/>
      <c r="EL473" s="38" t="s">
        <v>564</v>
      </c>
      <c r="EM473" s="38" t="s">
        <v>945</v>
      </c>
      <c r="EN473" s="38">
        <v>26</v>
      </c>
    </row>
    <row r="474" spans="1:144" s="38" customFormat="1" x14ac:dyDescent="0.25">
      <c r="A474" s="38">
        <v>26</v>
      </c>
      <c r="B474" s="38" t="s">
        <v>546</v>
      </c>
      <c r="C474" s="38" t="s">
        <v>547</v>
      </c>
      <c r="D474" s="38">
        <v>2015</v>
      </c>
      <c r="E474" s="38">
        <v>2012</v>
      </c>
      <c r="F474" s="38" t="s">
        <v>387</v>
      </c>
      <c r="G474" s="38" t="s">
        <v>548</v>
      </c>
      <c r="H474" s="38">
        <f t="shared" si="62"/>
        <v>35.39</v>
      </c>
      <c r="I474" s="38">
        <f t="shared" si="63"/>
        <v>-78.03</v>
      </c>
      <c r="J474" s="38">
        <v>24.3</v>
      </c>
      <c r="P474" s="57" t="s">
        <v>186</v>
      </c>
      <c r="Q474" s="57"/>
      <c r="R474" s="57" t="s">
        <v>558</v>
      </c>
      <c r="S474" s="57" t="s">
        <v>657</v>
      </c>
      <c r="W474" s="38" t="s">
        <v>248</v>
      </c>
      <c r="AA474" s="38" t="s">
        <v>1690</v>
      </c>
      <c r="AB474" s="38" t="s">
        <v>552</v>
      </c>
      <c r="AC474" s="38" t="s">
        <v>174</v>
      </c>
      <c r="AG474" s="38" t="s">
        <v>560</v>
      </c>
      <c r="AH474" s="38" t="s">
        <v>560</v>
      </c>
      <c r="AI474" s="38" t="s">
        <v>252</v>
      </c>
      <c r="AJ474" s="38">
        <v>0</v>
      </c>
      <c r="AK474" s="38">
        <v>0</v>
      </c>
      <c r="AL474" s="38" t="s">
        <v>252</v>
      </c>
      <c r="AM474" s="38" t="s">
        <v>222</v>
      </c>
      <c r="AN474" s="38">
        <v>4</v>
      </c>
      <c r="AO474" s="38">
        <v>4</v>
      </c>
      <c r="AP474" s="38" t="s">
        <v>448</v>
      </c>
      <c r="AR474" s="38">
        <f>(9.6+2.8)*1000</f>
        <v>12399.999999999998</v>
      </c>
      <c r="AS474" s="38">
        <f t="shared" ref="AS474" si="95">AR474/(256+66)</f>
        <v>38.509316770186331</v>
      </c>
      <c r="AT474" s="64" t="s">
        <v>563</v>
      </c>
      <c r="BH474" s="38">
        <v>4.3230000000000004</v>
      </c>
      <c r="BI474" s="38">
        <v>4.2</v>
      </c>
      <c r="BJ474" s="38" t="s">
        <v>561</v>
      </c>
      <c r="DP474" s="12"/>
      <c r="DR474" s="15"/>
      <c r="EL474" s="38" t="s">
        <v>564</v>
      </c>
      <c r="EM474" s="38" t="s">
        <v>945</v>
      </c>
      <c r="EN474" s="38">
        <v>26</v>
      </c>
    </row>
    <row r="475" spans="1:144" s="38" customFormat="1" x14ac:dyDescent="0.25">
      <c r="A475" s="38">
        <v>26</v>
      </c>
      <c r="B475" s="38" t="s">
        <v>546</v>
      </c>
      <c r="C475" s="38" t="s">
        <v>547</v>
      </c>
      <c r="D475" s="38">
        <v>2015</v>
      </c>
      <c r="E475" s="38">
        <v>2012</v>
      </c>
      <c r="F475" s="38" t="s">
        <v>387</v>
      </c>
      <c r="G475" s="38" t="s">
        <v>548</v>
      </c>
      <c r="H475" s="38">
        <f t="shared" si="62"/>
        <v>35.39</v>
      </c>
      <c r="I475" s="38">
        <f t="shared" si="63"/>
        <v>-78.03</v>
      </c>
      <c r="J475" s="38">
        <v>24.3</v>
      </c>
      <c r="P475" s="57" t="s">
        <v>186</v>
      </c>
      <c r="Q475" s="57"/>
      <c r="R475" s="57" t="s">
        <v>558</v>
      </c>
      <c r="S475" s="57" t="s">
        <v>657</v>
      </c>
      <c r="W475" s="38" t="s">
        <v>248</v>
      </c>
      <c r="AA475" s="38" t="s">
        <v>1690</v>
      </c>
      <c r="AB475" s="38" t="s">
        <v>326</v>
      </c>
      <c r="AC475" s="38" t="s">
        <v>174</v>
      </c>
      <c r="AG475" s="38" t="s">
        <v>560</v>
      </c>
      <c r="AH475" s="38" t="s">
        <v>560</v>
      </c>
      <c r="AI475" s="38" t="s">
        <v>252</v>
      </c>
      <c r="AJ475" s="38">
        <v>0</v>
      </c>
      <c r="AK475" s="38">
        <v>0</v>
      </c>
      <c r="AL475" s="38" t="s">
        <v>252</v>
      </c>
      <c r="AM475" s="38" t="s">
        <v>222</v>
      </c>
      <c r="AN475" s="38">
        <v>4</v>
      </c>
      <c r="AO475" s="38">
        <v>4</v>
      </c>
      <c r="AP475" s="38" t="s">
        <v>448</v>
      </c>
      <c r="AR475" s="38">
        <f>(8.7+2.5)*1000</f>
        <v>11200</v>
      </c>
      <c r="AS475" s="38">
        <f t="shared" ref="AS475" si="96">AR475/(288+71)</f>
        <v>31.197771587743734</v>
      </c>
      <c r="AT475" s="64" t="s">
        <v>563</v>
      </c>
      <c r="BH475" s="38">
        <v>4.3230000000000004</v>
      </c>
      <c r="BI475" s="38">
        <v>3.18</v>
      </c>
      <c r="BJ475" s="38" t="s">
        <v>561</v>
      </c>
      <c r="DP475" s="12"/>
      <c r="DR475" s="15"/>
      <c r="EL475" s="38" t="s">
        <v>564</v>
      </c>
      <c r="EM475" s="38" t="s">
        <v>945</v>
      </c>
      <c r="EN475" s="38">
        <v>26</v>
      </c>
    </row>
    <row r="476" spans="1:144" s="38" customFormat="1" x14ac:dyDescent="0.25">
      <c r="A476" s="38">
        <v>26</v>
      </c>
      <c r="B476" s="38" t="s">
        <v>546</v>
      </c>
      <c r="C476" s="38" t="s">
        <v>547</v>
      </c>
      <c r="D476" s="38">
        <v>2015</v>
      </c>
      <c r="E476" s="38">
        <v>2012</v>
      </c>
      <c r="F476" s="38" t="s">
        <v>387</v>
      </c>
      <c r="G476" s="38" t="s">
        <v>548</v>
      </c>
      <c r="H476" s="38">
        <f t="shared" si="62"/>
        <v>35.39</v>
      </c>
      <c r="I476" s="38">
        <f t="shared" si="63"/>
        <v>-78.03</v>
      </c>
      <c r="J476" s="38">
        <v>24.3</v>
      </c>
      <c r="P476" s="57" t="s">
        <v>186</v>
      </c>
      <c r="Q476" s="57"/>
      <c r="R476" s="57" t="s">
        <v>559</v>
      </c>
      <c r="S476" s="57" t="s">
        <v>657</v>
      </c>
      <c r="W476" s="38" t="s">
        <v>248</v>
      </c>
      <c r="AA476" s="38" t="s">
        <v>1690</v>
      </c>
      <c r="AB476" s="38" t="s">
        <v>551</v>
      </c>
      <c r="AC476" s="38" t="s">
        <v>174</v>
      </c>
      <c r="AG476" s="38" t="s">
        <v>560</v>
      </c>
      <c r="AH476" s="38" t="s">
        <v>560</v>
      </c>
      <c r="AI476" s="38" t="s">
        <v>252</v>
      </c>
      <c r="AJ476" s="38">
        <v>0</v>
      </c>
      <c r="AK476" s="38">
        <v>0</v>
      </c>
      <c r="AL476" s="38" t="s">
        <v>252</v>
      </c>
      <c r="AM476" s="38" t="s">
        <v>222</v>
      </c>
      <c r="AN476" s="38">
        <v>4</v>
      </c>
      <c r="AO476" s="38">
        <v>4</v>
      </c>
      <c r="AP476" s="38" t="s">
        <v>448</v>
      </c>
      <c r="AR476" s="38">
        <f>(6.5+1.7)*1000</f>
        <v>8200</v>
      </c>
      <c r="AS476" s="38">
        <f t="shared" ref="AS476" si="97">AR476/(205+53)</f>
        <v>31.782945736434108</v>
      </c>
      <c r="AT476" s="64" t="s">
        <v>563</v>
      </c>
      <c r="BH476" s="38">
        <v>4.16</v>
      </c>
      <c r="BI476" s="38">
        <v>3.1</v>
      </c>
      <c r="BJ476" s="38" t="s">
        <v>561</v>
      </c>
      <c r="DP476" s="12"/>
      <c r="DR476" s="15"/>
      <c r="EL476" s="38" t="s">
        <v>564</v>
      </c>
      <c r="EM476" s="38" t="s">
        <v>945</v>
      </c>
      <c r="EN476" s="38">
        <v>26</v>
      </c>
    </row>
    <row r="477" spans="1:144" s="38" customFormat="1" x14ac:dyDescent="0.25">
      <c r="A477" s="38">
        <v>26</v>
      </c>
      <c r="B477" s="38" t="s">
        <v>546</v>
      </c>
      <c r="C477" s="38" t="s">
        <v>547</v>
      </c>
      <c r="D477" s="38">
        <v>2015</v>
      </c>
      <c r="E477" s="38">
        <v>2012</v>
      </c>
      <c r="F477" s="38" t="s">
        <v>387</v>
      </c>
      <c r="G477" s="38" t="s">
        <v>548</v>
      </c>
      <c r="H477" s="38">
        <f t="shared" si="62"/>
        <v>35.39</v>
      </c>
      <c r="I477" s="38">
        <f t="shared" si="63"/>
        <v>-78.03</v>
      </c>
      <c r="J477" s="38">
        <v>24.3</v>
      </c>
      <c r="P477" s="57" t="s">
        <v>186</v>
      </c>
      <c r="Q477" s="57"/>
      <c r="R477" s="57" t="s">
        <v>559</v>
      </c>
      <c r="S477" s="57" t="s">
        <v>657</v>
      </c>
      <c r="W477" s="38" t="s">
        <v>248</v>
      </c>
      <c r="AA477" s="38" t="s">
        <v>1690</v>
      </c>
      <c r="AB477" s="38" t="s">
        <v>552</v>
      </c>
      <c r="AC477" s="38" t="s">
        <v>174</v>
      </c>
      <c r="AG477" s="38" t="s">
        <v>560</v>
      </c>
      <c r="AH477" s="38" t="s">
        <v>560</v>
      </c>
      <c r="AI477" s="38" t="s">
        <v>252</v>
      </c>
      <c r="AJ477" s="38">
        <v>0</v>
      </c>
      <c r="AK477" s="38">
        <v>0</v>
      </c>
      <c r="AL477" s="38" t="s">
        <v>252</v>
      </c>
      <c r="AM477" s="38" t="s">
        <v>222</v>
      </c>
      <c r="AN477" s="38">
        <v>4</v>
      </c>
      <c r="AO477" s="38">
        <v>4</v>
      </c>
      <c r="AP477" s="38" t="s">
        <v>448</v>
      </c>
      <c r="AR477" s="38">
        <f>(9.6+2.8)*1000</f>
        <v>12399.999999999998</v>
      </c>
      <c r="AS477" s="38">
        <f t="shared" ref="AS477" si="98">AR477/(256+66)</f>
        <v>38.509316770186331</v>
      </c>
      <c r="AT477" s="64" t="s">
        <v>563</v>
      </c>
      <c r="BH477" s="38">
        <v>4.16</v>
      </c>
      <c r="BI477" s="38">
        <v>5.3</v>
      </c>
      <c r="BJ477" s="38" t="s">
        <v>561</v>
      </c>
      <c r="DP477" s="12"/>
      <c r="DR477" s="15"/>
      <c r="EL477" s="38" t="s">
        <v>564</v>
      </c>
      <c r="EM477" s="38" t="s">
        <v>945</v>
      </c>
      <c r="EN477" s="38">
        <v>26</v>
      </c>
    </row>
    <row r="478" spans="1:144" s="38" customFormat="1" x14ac:dyDescent="0.25">
      <c r="A478" s="38">
        <v>26</v>
      </c>
      <c r="B478" s="38" t="s">
        <v>546</v>
      </c>
      <c r="C478" s="38" t="s">
        <v>547</v>
      </c>
      <c r="D478" s="38">
        <v>2015</v>
      </c>
      <c r="E478" s="38">
        <v>2012</v>
      </c>
      <c r="F478" s="38" t="s">
        <v>387</v>
      </c>
      <c r="G478" s="38" t="s">
        <v>548</v>
      </c>
      <c r="H478" s="38">
        <f t="shared" si="62"/>
        <v>35.39</v>
      </c>
      <c r="I478" s="38">
        <f t="shared" si="63"/>
        <v>-78.03</v>
      </c>
      <c r="J478" s="38">
        <v>24.3</v>
      </c>
      <c r="P478" s="57" t="s">
        <v>186</v>
      </c>
      <c r="Q478" s="57"/>
      <c r="R478" s="57" t="s">
        <v>559</v>
      </c>
      <c r="S478" s="57" t="s">
        <v>657</v>
      </c>
      <c r="W478" s="38" t="s">
        <v>248</v>
      </c>
      <c r="AA478" s="38" t="s">
        <v>1690</v>
      </c>
      <c r="AB478" s="38" t="s">
        <v>326</v>
      </c>
      <c r="AC478" s="38" t="s">
        <v>174</v>
      </c>
      <c r="AG478" s="38" t="s">
        <v>560</v>
      </c>
      <c r="AH478" s="38" t="s">
        <v>560</v>
      </c>
      <c r="AI478" s="38" t="s">
        <v>252</v>
      </c>
      <c r="AJ478" s="38">
        <v>0</v>
      </c>
      <c r="AK478" s="38">
        <v>0</v>
      </c>
      <c r="AL478" s="38" t="s">
        <v>252</v>
      </c>
      <c r="AM478" s="38" t="s">
        <v>222</v>
      </c>
      <c r="AN478" s="38">
        <v>4</v>
      </c>
      <c r="AO478" s="38">
        <v>4</v>
      </c>
      <c r="AP478" s="38" t="s">
        <v>448</v>
      </c>
      <c r="AR478" s="38">
        <f>(8.7+2.5)*1000</f>
        <v>11200</v>
      </c>
      <c r="AS478" s="38">
        <f t="shared" ref="AS478" si="99">AR478/(288+71)</f>
        <v>31.197771587743734</v>
      </c>
      <c r="AT478" s="64" t="s">
        <v>563</v>
      </c>
      <c r="BH478" s="38">
        <v>4.16</v>
      </c>
      <c r="BI478" s="38">
        <v>6.3</v>
      </c>
      <c r="BJ478" s="38" t="s">
        <v>561</v>
      </c>
      <c r="DP478" s="12"/>
      <c r="DR478" s="15"/>
      <c r="EL478" s="38" t="s">
        <v>564</v>
      </c>
      <c r="EM478" s="38" t="s">
        <v>945</v>
      </c>
      <c r="EN478" s="38">
        <v>26</v>
      </c>
    </row>
    <row r="479" spans="1:144" s="23" customFormat="1" x14ac:dyDescent="0.25">
      <c r="A479" s="23">
        <v>26</v>
      </c>
      <c r="B479" s="23" t="s">
        <v>546</v>
      </c>
      <c r="C479" s="23" t="s">
        <v>547</v>
      </c>
      <c r="D479" s="23">
        <v>2015</v>
      </c>
      <c r="E479" s="23">
        <v>2012</v>
      </c>
      <c r="F479" s="23" t="s">
        <v>387</v>
      </c>
      <c r="G479" s="23" t="s">
        <v>549</v>
      </c>
      <c r="H479" s="23">
        <f>35.22</f>
        <v>35.22</v>
      </c>
      <c r="I479" s="23">
        <f>-77.65</f>
        <v>-77.650000000000006</v>
      </c>
      <c r="J479" s="23">
        <v>22.4</v>
      </c>
      <c r="P479" s="53" t="s">
        <v>186</v>
      </c>
      <c r="Q479" s="53"/>
      <c r="R479" s="53" t="s">
        <v>553</v>
      </c>
      <c r="S479" s="53" t="s">
        <v>657</v>
      </c>
      <c r="W479" s="23" t="s">
        <v>182</v>
      </c>
      <c r="AA479" s="23" t="s">
        <v>1690</v>
      </c>
      <c r="AB479" s="23" t="s">
        <v>551</v>
      </c>
      <c r="AC479" s="23" t="s">
        <v>174</v>
      </c>
      <c r="AG479" s="23" t="s">
        <v>550</v>
      </c>
      <c r="AH479" s="23" t="s">
        <v>550</v>
      </c>
      <c r="AI479" s="23" t="s">
        <v>252</v>
      </c>
      <c r="AJ479" s="23">
        <v>0</v>
      </c>
      <c r="AK479" s="23">
        <v>0</v>
      </c>
      <c r="AL479" s="23" t="s">
        <v>252</v>
      </c>
      <c r="AM479" s="23" t="s">
        <v>222</v>
      </c>
      <c r="AN479" s="23">
        <v>4</v>
      </c>
      <c r="AO479" s="23">
        <v>4</v>
      </c>
      <c r="AP479" s="23" t="s">
        <v>448</v>
      </c>
      <c r="AR479" s="23">
        <f>(6.1+1.6)*1000</f>
        <v>7699.9999999999991</v>
      </c>
      <c r="AS479" s="23">
        <f>AR479/(170+36)</f>
        <v>37.378640776699022</v>
      </c>
      <c r="AT479" s="64" t="s">
        <v>562</v>
      </c>
      <c r="BH479" s="23">
        <v>3.83</v>
      </c>
      <c r="BI479" s="23">
        <v>10.109</v>
      </c>
      <c r="BJ479" s="23" t="s">
        <v>561</v>
      </c>
      <c r="DP479" s="12"/>
      <c r="DR479" s="15"/>
      <c r="EL479" s="23" t="s">
        <v>564</v>
      </c>
      <c r="EM479" s="23" t="s">
        <v>945</v>
      </c>
      <c r="EN479" s="23">
        <v>26</v>
      </c>
    </row>
    <row r="480" spans="1:144" s="23" customFormat="1" x14ac:dyDescent="0.25">
      <c r="A480" s="23">
        <v>26</v>
      </c>
      <c r="B480" s="23" t="s">
        <v>546</v>
      </c>
      <c r="C480" s="23" t="s">
        <v>547</v>
      </c>
      <c r="D480" s="23">
        <v>2015</v>
      </c>
      <c r="E480" s="23">
        <v>2012</v>
      </c>
      <c r="F480" s="23" t="s">
        <v>387</v>
      </c>
      <c r="G480" s="23" t="s">
        <v>549</v>
      </c>
      <c r="H480" s="23">
        <f>35.22</f>
        <v>35.22</v>
      </c>
      <c r="I480" s="23">
        <f>-77.65</f>
        <v>-77.650000000000006</v>
      </c>
      <c r="J480" s="23">
        <v>22.4</v>
      </c>
      <c r="P480" s="53" t="s">
        <v>186</v>
      </c>
      <c r="Q480" s="53"/>
      <c r="R480" s="53" t="s">
        <v>553</v>
      </c>
      <c r="S480" s="53" t="s">
        <v>657</v>
      </c>
      <c r="W480" s="23" t="s">
        <v>182</v>
      </c>
      <c r="AA480" s="23" t="s">
        <v>1690</v>
      </c>
      <c r="AB480" s="23" t="s">
        <v>552</v>
      </c>
      <c r="AC480" s="23" t="s">
        <v>174</v>
      </c>
      <c r="AG480" s="23" t="s">
        <v>550</v>
      </c>
      <c r="AH480" s="23" t="s">
        <v>550</v>
      </c>
      <c r="AI480" s="23" t="s">
        <v>252</v>
      </c>
      <c r="AJ480" s="23">
        <v>0</v>
      </c>
      <c r="AK480" s="23">
        <v>0</v>
      </c>
      <c r="AL480" s="23" t="s">
        <v>252</v>
      </c>
      <c r="AM480" s="23" t="s">
        <v>222</v>
      </c>
      <c r="AN480" s="23">
        <v>4</v>
      </c>
      <c r="AO480" s="23">
        <v>4</v>
      </c>
      <c r="AP480" s="23" t="s">
        <v>448</v>
      </c>
      <c r="AR480" s="23">
        <f>(6.4+1.9)*1000</f>
        <v>8300</v>
      </c>
      <c r="AS480" s="23">
        <f>AR480/(110+27)</f>
        <v>60.583941605839414</v>
      </c>
      <c r="AT480" s="64" t="s">
        <v>562</v>
      </c>
      <c r="BH480" s="23">
        <v>3.83</v>
      </c>
      <c r="BI480" s="23">
        <v>6.032</v>
      </c>
      <c r="BJ480" s="23" t="s">
        <v>561</v>
      </c>
      <c r="DP480" s="12"/>
      <c r="DR480" s="15"/>
      <c r="EL480" s="23" t="s">
        <v>564</v>
      </c>
      <c r="EM480" s="23" t="s">
        <v>945</v>
      </c>
      <c r="EN480" s="23">
        <v>26</v>
      </c>
    </row>
    <row r="481" spans="1:144" s="23" customFormat="1" x14ac:dyDescent="0.25">
      <c r="A481" s="23">
        <v>26</v>
      </c>
      <c r="B481" s="23" t="s">
        <v>546</v>
      </c>
      <c r="C481" s="23" t="s">
        <v>547</v>
      </c>
      <c r="D481" s="23">
        <v>2015</v>
      </c>
      <c r="E481" s="23">
        <v>2012</v>
      </c>
      <c r="F481" s="23" t="s">
        <v>387</v>
      </c>
      <c r="G481" s="23" t="s">
        <v>549</v>
      </c>
      <c r="H481" s="23">
        <f t="shared" ref="H481:H520" si="100">35.22</f>
        <v>35.22</v>
      </c>
      <c r="I481" s="23">
        <f t="shared" ref="I481:I520" si="101">-77.65</f>
        <v>-77.650000000000006</v>
      </c>
      <c r="J481" s="23">
        <v>22.4</v>
      </c>
      <c r="P481" s="53" t="s">
        <v>186</v>
      </c>
      <c r="Q481" s="53"/>
      <c r="R481" s="53" t="s">
        <v>553</v>
      </c>
      <c r="S481" s="53" t="s">
        <v>657</v>
      </c>
      <c r="W481" s="23" t="s">
        <v>182</v>
      </c>
      <c r="AA481" s="23" t="s">
        <v>1690</v>
      </c>
      <c r="AB481" s="23" t="s">
        <v>326</v>
      </c>
      <c r="AC481" s="23" t="s">
        <v>174</v>
      </c>
      <c r="AG481" s="23" t="s">
        <v>550</v>
      </c>
      <c r="AH481" s="23" t="s">
        <v>550</v>
      </c>
      <c r="AI481" s="23" t="s">
        <v>252</v>
      </c>
      <c r="AJ481" s="23">
        <v>0</v>
      </c>
      <c r="AK481" s="23">
        <v>0</v>
      </c>
      <c r="AL481" s="23" t="s">
        <v>252</v>
      </c>
      <c r="AM481" s="23" t="s">
        <v>222</v>
      </c>
      <c r="AN481" s="23">
        <v>4</v>
      </c>
      <c r="AO481" s="23">
        <v>4</v>
      </c>
      <c r="AP481" s="23" t="s">
        <v>448</v>
      </c>
      <c r="AR481" s="23">
        <f>(6.5+1.8)*1000</f>
        <v>8300</v>
      </c>
      <c r="AS481" s="23">
        <f>AR481/(175+47)</f>
        <v>37.387387387387385</v>
      </c>
      <c r="AT481" s="64" t="s">
        <v>562</v>
      </c>
      <c r="BH481" s="23">
        <v>3.83</v>
      </c>
      <c r="BI481" s="23">
        <v>8.2330000000000005</v>
      </c>
      <c r="BJ481" s="23" t="s">
        <v>561</v>
      </c>
      <c r="DP481" s="12"/>
      <c r="DR481" s="15"/>
      <c r="EL481" s="23" t="s">
        <v>564</v>
      </c>
      <c r="EM481" s="23" t="s">
        <v>945</v>
      </c>
      <c r="EN481" s="23">
        <v>26</v>
      </c>
    </row>
    <row r="482" spans="1:144" s="23" customFormat="1" x14ac:dyDescent="0.25">
      <c r="A482" s="23">
        <v>26</v>
      </c>
      <c r="B482" s="23" t="s">
        <v>546</v>
      </c>
      <c r="C482" s="23" t="s">
        <v>547</v>
      </c>
      <c r="D482" s="23">
        <v>2015</v>
      </c>
      <c r="E482" s="23">
        <v>2012</v>
      </c>
      <c r="F482" s="23" t="s">
        <v>387</v>
      </c>
      <c r="G482" s="23" t="s">
        <v>549</v>
      </c>
      <c r="H482" s="23">
        <f t="shared" si="100"/>
        <v>35.22</v>
      </c>
      <c r="I482" s="23">
        <f t="shared" si="101"/>
        <v>-77.650000000000006</v>
      </c>
      <c r="J482" s="23">
        <v>22.4</v>
      </c>
      <c r="P482" s="53" t="s">
        <v>186</v>
      </c>
      <c r="Q482" s="53"/>
      <c r="R482" s="53" t="s">
        <v>554</v>
      </c>
      <c r="S482" s="53" t="s">
        <v>657</v>
      </c>
      <c r="W482" s="23" t="s">
        <v>182</v>
      </c>
      <c r="AA482" s="23" t="s">
        <v>1690</v>
      </c>
      <c r="AB482" s="23" t="s">
        <v>551</v>
      </c>
      <c r="AC482" s="23" t="s">
        <v>174</v>
      </c>
      <c r="AG482" s="23" t="s">
        <v>550</v>
      </c>
      <c r="AH482" s="23" t="s">
        <v>550</v>
      </c>
      <c r="AI482" s="23" t="s">
        <v>252</v>
      </c>
      <c r="AJ482" s="23">
        <v>0</v>
      </c>
      <c r="AK482" s="23">
        <v>0</v>
      </c>
      <c r="AL482" s="23" t="s">
        <v>252</v>
      </c>
      <c r="AM482" s="23" t="s">
        <v>222</v>
      </c>
      <c r="AN482" s="23">
        <v>4</v>
      </c>
      <c r="AO482" s="23">
        <v>4</v>
      </c>
      <c r="AP482" s="23" t="s">
        <v>448</v>
      </c>
      <c r="AR482" s="23">
        <f t="shared" ref="AR482" si="102">(6.1+1.6)*1000</f>
        <v>7699.9999999999991</v>
      </c>
      <c r="AS482" s="23">
        <f t="shared" ref="AS482" si="103">AR482/(170+36)</f>
        <v>37.378640776699022</v>
      </c>
      <c r="AT482" s="64" t="s">
        <v>562</v>
      </c>
      <c r="BH482" s="23">
        <v>2.1880000000000002</v>
      </c>
      <c r="BI482" s="23">
        <v>3.74</v>
      </c>
      <c r="BJ482" s="23" t="s">
        <v>561</v>
      </c>
      <c r="DP482" s="12"/>
      <c r="DR482" s="15"/>
      <c r="EL482" s="23" t="s">
        <v>564</v>
      </c>
      <c r="EM482" s="23" t="s">
        <v>945</v>
      </c>
      <c r="EN482" s="23">
        <v>26</v>
      </c>
    </row>
    <row r="483" spans="1:144" s="23" customFormat="1" x14ac:dyDescent="0.25">
      <c r="A483" s="23">
        <v>26</v>
      </c>
      <c r="B483" s="23" t="s">
        <v>546</v>
      </c>
      <c r="C483" s="23" t="s">
        <v>547</v>
      </c>
      <c r="D483" s="23">
        <v>2015</v>
      </c>
      <c r="E483" s="23">
        <v>2012</v>
      </c>
      <c r="F483" s="23" t="s">
        <v>387</v>
      </c>
      <c r="G483" s="23" t="s">
        <v>549</v>
      </c>
      <c r="H483" s="23">
        <f t="shared" si="100"/>
        <v>35.22</v>
      </c>
      <c r="I483" s="23">
        <f t="shared" si="101"/>
        <v>-77.650000000000006</v>
      </c>
      <c r="J483" s="23">
        <v>22.4</v>
      </c>
      <c r="P483" s="53" t="s">
        <v>186</v>
      </c>
      <c r="Q483" s="53"/>
      <c r="R483" s="53" t="s">
        <v>554</v>
      </c>
      <c r="S483" s="53" t="s">
        <v>657</v>
      </c>
      <c r="W483" s="23" t="s">
        <v>182</v>
      </c>
      <c r="AA483" s="23" t="s">
        <v>1690</v>
      </c>
      <c r="AB483" s="23" t="s">
        <v>552</v>
      </c>
      <c r="AC483" s="23" t="s">
        <v>174</v>
      </c>
      <c r="AG483" s="23" t="s">
        <v>550</v>
      </c>
      <c r="AH483" s="23" t="s">
        <v>550</v>
      </c>
      <c r="AI483" s="23" t="s">
        <v>252</v>
      </c>
      <c r="AJ483" s="23">
        <v>0</v>
      </c>
      <c r="AK483" s="23">
        <v>0</v>
      </c>
      <c r="AL483" s="23" t="s">
        <v>252</v>
      </c>
      <c r="AM483" s="23" t="s">
        <v>222</v>
      </c>
      <c r="AN483" s="23">
        <v>4</v>
      </c>
      <c r="AO483" s="23">
        <v>4</v>
      </c>
      <c r="AP483" s="23" t="s">
        <v>448</v>
      </c>
      <c r="AR483" s="23">
        <f t="shared" ref="AR483" si="104">(6.4+1.9)*1000</f>
        <v>8300</v>
      </c>
      <c r="AS483" s="23">
        <f t="shared" ref="AS483" si="105">AR483/(110+27)</f>
        <v>60.583941605839414</v>
      </c>
      <c r="AT483" s="64" t="s">
        <v>562</v>
      </c>
      <c r="BH483" s="23">
        <v>2.1880000000000002</v>
      </c>
      <c r="BI483" s="23">
        <v>3.74</v>
      </c>
      <c r="BJ483" s="23" t="s">
        <v>561</v>
      </c>
      <c r="DP483" s="12"/>
      <c r="DR483" s="15"/>
      <c r="EL483" s="23" t="s">
        <v>564</v>
      </c>
      <c r="EM483" s="23" t="s">
        <v>945</v>
      </c>
      <c r="EN483" s="23">
        <v>26</v>
      </c>
    </row>
    <row r="484" spans="1:144" s="23" customFormat="1" x14ac:dyDescent="0.25">
      <c r="A484" s="23">
        <v>26</v>
      </c>
      <c r="B484" s="23" t="s">
        <v>546</v>
      </c>
      <c r="C484" s="23" t="s">
        <v>547</v>
      </c>
      <c r="D484" s="23">
        <v>2015</v>
      </c>
      <c r="E484" s="23">
        <v>2012</v>
      </c>
      <c r="F484" s="23" t="s">
        <v>387</v>
      </c>
      <c r="G484" s="23" t="s">
        <v>549</v>
      </c>
      <c r="H484" s="23">
        <f t="shared" si="100"/>
        <v>35.22</v>
      </c>
      <c r="I484" s="23">
        <f t="shared" si="101"/>
        <v>-77.650000000000006</v>
      </c>
      <c r="J484" s="23">
        <v>22.4</v>
      </c>
      <c r="P484" s="53" t="s">
        <v>186</v>
      </c>
      <c r="Q484" s="53"/>
      <c r="R484" s="53" t="s">
        <v>554</v>
      </c>
      <c r="S484" s="53" t="s">
        <v>657</v>
      </c>
      <c r="W484" s="23" t="s">
        <v>182</v>
      </c>
      <c r="AA484" s="23" t="s">
        <v>1690</v>
      </c>
      <c r="AB484" s="23" t="s">
        <v>326</v>
      </c>
      <c r="AC484" s="23" t="s">
        <v>174</v>
      </c>
      <c r="AG484" s="23" t="s">
        <v>550</v>
      </c>
      <c r="AH484" s="23" t="s">
        <v>550</v>
      </c>
      <c r="AI484" s="23" t="s">
        <v>252</v>
      </c>
      <c r="AJ484" s="23">
        <v>0</v>
      </c>
      <c r="AK484" s="23">
        <v>0</v>
      </c>
      <c r="AL484" s="23" t="s">
        <v>252</v>
      </c>
      <c r="AM484" s="23" t="s">
        <v>222</v>
      </c>
      <c r="AN484" s="23">
        <v>4</v>
      </c>
      <c r="AO484" s="23">
        <v>4</v>
      </c>
      <c r="AP484" s="23" t="s">
        <v>448</v>
      </c>
      <c r="AR484" s="23">
        <f t="shared" ref="AR484" si="106">(6.5+1.8)*1000</f>
        <v>8300</v>
      </c>
      <c r="AS484" s="23">
        <f t="shared" ref="AS484" si="107">AR484/(175+47)</f>
        <v>37.387387387387385</v>
      </c>
      <c r="AT484" s="64" t="s">
        <v>562</v>
      </c>
      <c r="BH484" s="23">
        <v>2.1880000000000002</v>
      </c>
      <c r="BI484" s="23">
        <v>3.74</v>
      </c>
      <c r="BJ484" s="23" t="s">
        <v>561</v>
      </c>
      <c r="DP484" s="12"/>
      <c r="DR484" s="15"/>
      <c r="EL484" s="23" t="s">
        <v>564</v>
      </c>
      <c r="EM484" s="23" t="s">
        <v>945</v>
      </c>
      <c r="EN484" s="23">
        <v>26</v>
      </c>
    </row>
    <row r="485" spans="1:144" s="23" customFormat="1" x14ac:dyDescent="0.25">
      <c r="A485" s="23">
        <v>26</v>
      </c>
      <c r="B485" s="23" t="s">
        <v>546</v>
      </c>
      <c r="C485" s="23" t="s">
        <v>547</v>
      </c>
      <c r="D485" s="23">
        <v>2015</v>
      </c>
      <c r="E485" s="23">
        <v>2012</v>
      </c>
      <c r="F485" s="23" t="s">
        <v>387</v>
      </c>
      <c r="G485" s="23" t="s">
        <v>549</v>
      </c>
      <c r="H485" s="23">
        <f t="shared" si="100"/>
        <v>35.22</v>
      </c>
      <c r="I485" s="23">
        <f t="shared" si="101"/>
        <v>-77.650000000000006</v>
      </c>
      <c r="J485" s="23">
        <v>22.4</v>
      </c>
      <c r="P485" s="53" t="s">
        <v>186</v>
      </c>
      <c r="Q485" s="53"/>
      <c r="R485" s="53" t="s">
        <v>555</v>
      </c>
      <c r="S485" s="53" t="s">
        <v>657</v>
      </c>
      <c r="W485" s="23" t="s">
        <v>182</v>
      </c>
      <c r="AA485" s="23" t="s">
        <v>1690</v>
      </c>
      <c r="AB485" s="23" t="s">
        <v>551</v>
      </c>
      <c r="AC485" s="23" t="s">
        <v>174</v>
      </c>
      <c r="AG485" s="23" t="s">
        <v>550</v>
      </c>
      <c r="AH485" s="23" t="s">
        <v>550</v>
      </c>
      <c r="AI485" s="23" t="s">
        <v>252</v>
      </c>
      <c r="AJ485" s="23">
        <v>0</v>
      </c>
      <c r="AK485" s="23">
        <v>0</v>
      </c>
      <c r="AL485" s="23" t="s">
        <v>252</v>
      </c>
      <c r="AM485" s="23" t="s">
        <v>222</v>
      </c>
      <c r="AN485" s="23">
        <v>4</v>
      </c>
      <c r="AO485" s="23">
        <v>4</v>
      </c>
      <c r="AP485" s="23" t="s">
        <v>448</v>
      </c>
      <c r="AR485" s="23">
        <f t="shared" ref="AR485" si="108">(6.1+1.6)*1000</f>
        <v>7699.9999999999991</v>
      </c>
      <c r="AS485" s="23">
        <f t="shared" ref="AS485" si="109">AR485/(170+36)</f>
        <v>37.378640776699022</v>
      </c>
      <c r="AT485" s="64" t="s">
        <v>562</v>
      </c>
      <c r="BH485" s="23">
        <v>3.157</v>
      </c>
      <c r="BI485" s="23">
        <v>3.17</v>
      </c>
      <c r="BJ485" s="23" t="s">
        <v>561</v>
      </c>
      <c r="DP485" s="12"/>
      <c r="DR485" s="15"/>
      <c r="EL485" s="23" t="s">
        <v>564</v>
      </c>
      <c r="EM485" s="23" t="s">
        <v>945</v>
      </c>
      <c r="EN485" s="23">
        <v>26</v>
      </c>
    </row>
    <row r="486" spans="1:144" s="23" customFormat="1" x14ac:dyDescent="0.25">
      <c r="A486" s="23">
        <v>26</v>
      </c>
      <c r="B486" s="23" t="s">
        <v>546</v>
      </c>
      <c r="C486" s="23" t="s">
        <v>547</v>
      </c>
      <c r="D486" s="23">
        <v>2015</v>
      </c>
      <c r="E486" s="23">
        <v>2012</v>
      </c>
      <c r="F486" s="23" t="s">
        <v>387</v>
      </c>
      <c r="G486" s="23" t="s">
        <v>549</v>
      </c>
      <c r="H486" s="23">
        <f t="shared" si="100"/>
        <v>35.22</v>
      </c>
      <c r="I486" s="23">
        <f t="shared" si="101"/>
        <v>-77.650000000000006</v>
      </c>
      <c r="J486" s="23">
        <v>22.4</v>
      </c>
      <c r="P486" s="53" t="s">
        <v>186</v>
      </c>
      <c r="Q486" s="53"/>
      <c r="R486" s="53" t="s">
        <v>555</v>
      </c>
      <c r="S486" s="53" t="s">
        <v>657</v>
      </c>
      <c r="W486" s="23" t="s">
        <v>182</v>
      </c>
      <c r="AA486" s="23" t="s">
        <v>1690</v>
      </c>
      <c r="AB486" s="23" t="s">
        <v>552</v>
      </c>
      <c r="AC486" s="23" t="s">
        <v>174</v>
      </c>
      <c r="AG486" s="23" t="s">
        <v>550</v>
      </c>
      <c r="AH486" s="23" t="s">
        <v>550</v>
      </c>
      <c r="AI486" s="23" t="s">
        <v>252</v>
      </c>
      <c r="AJ486" s="23">
        <v>0</v>
      </c>
      <c r="AK486" s="23">
        <v>0</v>
      </c>
      <c r="AL486" s="23" t="s">
        <v>252</v>
      </c>
      <c r="AM486" s="23" t="s">
        <v>222</v>
      </c>
      <c r="AN486" s="23">
        <v>4</v>
      </c>
      <c r="AO486" s="23">
        <v>4</v>
      </c>
      <c r="AP486" s="23" t="s">
        <v>448</v>
      </c>
      <c r="AR486" s="23">
        <f t="shared" ref="AR486" si="110">(6.4+1.9)*1000</f>
        <v>8300</v>
      </c>
      <c r="AS486" s="23">
        <f t="shared" ref="AS486" si="111">AR486/(110+27)</f>
        <v>60.583941605839414</v>
      </c>
      <c r="AT486" s="64" t="s">
        <v>562</v>
      </c>
      <c r="BH486" s="23">
        <v>3.157</v>
      </c>
      <c r="BI486" s="23">
        <v>4.87</v>
      </c>
      <c r="BJ486" s="23" t="s">
        <v>561</v>
      </c>
      <c r="DP486" s="12"/>
      <c r="DR486" s="15"/>
      <c r="EL486" s="23" t="s">
        <v>564</v>
      </c>
      <c r="EM486" s="23" t="s">
        <v>945</v>
      </c>
      <c r="EN486" s="23">
        <v>26</v>
      </c>
    </row>
    <row r="487" spans="1:144" s="23" customFormat="1" x14ac:dyDescent="0.25">
      <c r="A487" s="23">
        <v>26</v>
      </c>
      <c r="B487" s="23" t="s">
        <v>546</v>
      </c>
      <c r="C487" s="23" t="s">
        <v>547</v>
      </c>
      <c r="D487" s="23">
        <v>2015</v>
      </c>
      <c r="E487" s="23">
        <v>2012</v>
      </c>
      <c r="F487" s="23" t="s">
        <v>387</v>
      </c>
      <c r="G487" s="23" t="s">
        <v>549</v>
      </c>
      <c r="H487" s="23">
        <f t="shared" si="100"/>
        <v>35.22</v>
      </c>
      <c r="I487" s="23">
        <f t="shared" si="101"/>
        <v>-77.650000000000006</v>
      </c>
      <c r="J487" s="23">
        <v>22.4</v>
      </c>
      <c r="P487" s="53" t="s">
        <v>186</v>
      </c>
      <c r="Q487" s="53"/>
      <c r="R487" s="53" t="s">
        <v>555</v>
      </c>
      <c r="S487" s="53" t="s">
        <v>657</v>
      </c>
      <c r="W487" s="23" t="s">
        <v>182</v>
      </c>
      <c r="AA487" s="23" t="s">
        <v>1690</v>
      </c>
      <c r="AB487" s="23" t="s">
        <v>326</v>
      </c>
      <c r="AC487" s="23" t="s">
        <v>174</v>
      </c>
      <c r="AG487" s="23" t="s">
        <v>550</v>
      </c>
      <c r="AH487" s="23" t="s">
        <v>550</v>
      </c>
      <c r="AI487" s="23" t="s">
        <v>252</v>
      </c>
      <c r="AJ487" s="23">
        <v>0</v>
      </c>
      <c r="AK487" s="23">
        <v>0</v>
      </c>
      <c r="AL487" s="23" t="s">
        <v>252</v>
      </c>
      <c r="AM487" s="23" t="s">
        <v>222</v>
      </c>
      <c r="AN487" s="23">
        <v>4</v>
      </c>
      <c r="AO487" s="23">
        <v>4</v>
      </c>
      <c r="AP487" s="23" t="s">
        <v>448</v>
      </c>
      <c r="AR487" s="23">
        <f t="shared" ref="AR487" si="112">(6.5+1.8)*1000</f>
        <v>8300</v>
      </c>
      <c r="AS487" s="23">
        <f t="shared" ref="AS487" si="113">AR487/(175+47)</f>
        <v>37.387387387387385</v>
      </c>
      <c r="AT487" s="64" t="s">
        <v>562</v>
      </c>
      <c r="BH487" s="23">
        <v>3.157</v>
      </c>
      <c r="BI487" s="23">
        <v>3.17</v>
      </c>
      <c r="BJ487" s="23" t="s">
        <v>561</v>
      </c>
      <c r="DP487" s="12"/>
      <c r="DR487" s="15"/>
      <c r="EL487" s="23" t="s">
        <v>564</v>
      </c>
      <c r="EM487" s="23" t="s">
        <v>945</v>
      </c>
      <c r="EN487" s="23">
        <v>26</v>
      </c>
    </row>
    <row r="488" spans="1:144" s="23" customFormat="1" x14ac:dyDescent="0.25">
      <c r="A488" s="23">
        <v>26</v>
      </c>
      <c r="B488" s="23" t="s">
        <v>546</v>
      </c>
      <c r="C488" s="23" t="s">
        <v>547</v>
      </c>
      <c r="D488" s="23">
        <v>2015</v>
      </c>
      <c r="E488" s="23">
        <v>2012</v>
      </c>
      <c r="F488" s="23" t="s">
        <v>387</v>
      </c>
      <c r="G488" s="23" t="s">
        <v>549</v>
      </c>
      <c r="H488" s="23">
        <f t="shared" si="100"/>
        <v>35.22</v>
      </c>
      <c r="I488" s="23">
        <f t="shared" si="101"/>
        <v>-77.650000000000006</v>
      </c>
      <c r="J488" s="23">
        <v>22.4</v>
      </c>
      <c r="P488" s="53" t="s">
        <v>186</v>
      </c>
      <c r="Q488" s="53"/>
      <c r="R488" s="53" t="s">
        <v>556</v>
      </c>
      <c r="S488" s="53" t="s">
        <v>657</v>
      </c>
      <c r="W488" s="23" t="s">
        <v>182</v>
      </c>
      <c r="AA488" s="23" t="s">
        <v>1690</v>
      </c>
      <c r="AB488" s="23" t="s">
        <v>551</v>
      </c>
      <c r="AC488" s="23" t="s">
        <v>174</v>
      </c>
      <c r="AG488" s="23" t="s">
        <v>550</v>
      </c>
      <c r="AH488" s="23" t="s">
        <v>550</v>
      </c>
      <c r="AI488" s="23" t="s">
        <v>252</v>
      </c>
      <c r="AJ488" s="23">
        <v>0</v>
      </c>
      <c r="AK488" s="23">
        <v>0</v>
      </c>
      <c r="AL488" s="23" t="s">
        <v>252</v>
      </c>
      <c r="AM488" s="23" t="s">
        <v>222</v>
      </c>
      <c r="AN488" s="23">
        <v>4</v>
      </c>
      <c r="AO488" s="23">
        <v>4</v>
      </c>
      <c r="AP488" s="23" t="s">
        <v>448</v>
      </c>
      <c r="AR488" s="23">
        <f t="shared" ref="AR488" si="114">(6.1+1.6)*1000</f>
        <v>7699.9999999999991</v>
      </c>
      <c r="AS488" s="23">
        <f t="shared" ref="AS488" si="115">AR488/(170+36)</f>
        <v>37.378640776699022</v>
      </c>
      <c r="AT488" s="64" t="s">
        <v>562</v>
      </c>
      <c r="BH488" s="23">
        <v>4.9400000000000004</v>
      </c>
      <c r="BI488" s="23">
        <v>3.5649999999999999</v>
      </c>
      <c r="BJ488" s="23" t="s">
        <v>561</v>
      </c>
      <c r="DP488" s="12"/>
      <c r="DR488" s="15"/>
      <c r="EL488" s="23" t="s">
        <v>564</v>
      </c>
      <c r="EM488" s="23" t="s">
        <v>945</v>
      </c>
      <c r="EN488" s="23">
        <v>26</v>
      </c>
    </row>
    <row r="489" spans="1:144" s="23" customFormat="1" x14ac:dyDescent="0.25">
      <c r="A489" s="23">
        <v>26</v>
      </c>
      <c r="B489" s="23" t="s">
        <v>546</v>
      </c>
      <c r="C489" s="23" t="s">
        <v>547</v>
      </c>
      <c r="D489" s="23">
        <v>2015</v>
      </c>
      <c r="E489" s="23">
        <v>2012</v>
      </c>
      <c r="F489" s="23" t="s">
        <v>387</v>
      </c>
      <c r="G489" s="23" t="s">
        <v>549</v>
      </c>
      <c r="H489" s="23">
        <f t="shared" si="100"/>
        <v>35.22</v>
      </c>
      <c r="I489" s="23">
        <f t="shared" si="101"/>
        <v>-77.650000000000006</v>
      </c>
      <c r="J489" s="23">
        <v>22.4</v>
      </c>
      <c r="P489" s="53" t="s">
        <v>186</v>
      </c>
      <c r="Q489" s="53"/>
      <c r="R489" s="53" t="s">
        <v>556</v>
      </c>
      <c r="S489" s="53" t="s">
        <v>657</v>
      </c>
      <c r="W489" s="23" t="s">
        <v>182</v>
      </c>
      <c r="AA489" s="23" t="s">
        <v>1690</v>
      </c>
      <c r="AB489" s="23" t="s">
        <v>552</v>
      </c>
      <c r="AC489" s="23" t="s">
        <v>174</v>
      </c>
      <c r="AG489" s="23" t="s">
        <v>550</v>
      </c>
      <c r="AH489" s="23" t="s">
        <v>550</v>
      </c>
      <c r="AI489" s="23" t="s">
        <v>252</v>
      </c>
      <c r="AJ489" s="23">
        <v>0</v>
      </c>
      <c r="AK489" s="23">
        <v>0</v>
      </c>
      <c r="AL489" s="23" t="s">
        <v>252</v>
      </c>
      <c r="AM489" s="23" t="s">
        <v>222</v>
      </c>
      <c r="AN489" s="23">
        <v>4</v>
      </c>
      <c r="AO489" s="23">
        <v>4</v>
      </c>
      <c r="AP489" s="23" t="s">
        <v>448</v>
      </c>
      <c r="AR489" s="23">
        <f t="shared" ref="AR489" si="116">(6.4+1.9)*1000</f>
        <v>8300</v>
      </c>
      <c r="AS489" s="23">
        <f t="shared" ref="AS489" si="117">AR489/(110+27)</f>
        <v>60.583941605839414</v>
      </c>
      <c r="AT489" s="64" t="s">
        <v>562</v>
      </c>
      <c r="BH489" s="23">
        <v>4.9400000000000004</v>
      </c>
      <c r="BI489" s="23">
        <v>3.5649999999999999</v>
      </c>
      <c r="BJ489" s="23" t="s">
        <v>561</v>
      </c>
      <c r="DP489" s="12"/>
      <c r="DR489" s="15"/>
      <c r="EL489" s="23" t="s">
        <v>564</v>
      </c>
      <c r="EM489" s="23" t="s">
        <v>945</v>
      </c>
      <c r="EN489" s="23">
        <v>26</v>
      </c>
    </row>
    <row r="490" spans="1:144" s="23" customFormat="1" x14ac:dyDescent="0.25">
      <c r="A490" s="23">
        <v>26</v>
      </c>
      <c r="B490" s="23" t="s">
        <v>546</v>
      </c>
      <c r="C490" s="23" t="s">
        <v>547</v>
      </c>
      <c r="D490" s="23">
        <v>2015</v>
      </c>
      <c r="E490" s="23">
        <v>2012</v>
      </c>
      <c r="F490" s="23" t="s">
        <v>387</v>
      </c>
      <c r="G490" s="23" t="s">
        <v>549</v>
      </c>
      <c r="H490" s="23">
        <f t="shared" si="100"/>
        <v>35.22</v>
      </c>
      <c r="I490" s="23">
        <f t="shared" si="101"/>
        <v>-77.650000000000006</v>
      </c>
      <c r="J490" s="23">
        <v>22.4</v>
      </c>
      <c r="P490" s="53" t="s">
        <v>186</v>
      </c>
      <c r="Q490" s="53"/>
      <c r="R490" s="53" t="s">
        <v>556</v>
      </c>
      <c r="S490" s="53" t="s">
        <v>657</v>
      </c>
      <c r="W490" s="23" t="s">
        <v>182</v>
      </c>
      <c r="AA490" s="23" t="s">
        <v>1690</v>
      </c>
      <c r="AB490" s="23" t="s">
        <v>326</v>
      </c>
      <c r="AC490" s="23" t="s">
        <v>174</v>
      </c>
      <c r="AG490" s="23" t="s">
        <v>550</v>
      </c>
      <c r="AH490" s="23" t="s">
        <v>550</v>
      </c>
      <c r="AI490" s="23" t="s">
        <v>252</v>
      </c>
      <c r="AJ490" s="23">
        <v>0</v>
      </c>
      <c r="AK490" s="23">
        <v>0</v>
      </c>
      <c r="AL490" s="23" t="s">
        <v>252</v>
      </c>
      <c r="AM490" s="23" t="s">
        <v>222</v>
      </c>
      <c r="AN490" s="23">
        <v>4</v>
      </c>
      <c r="AO490" s="23">
        <v>4</v>
      </c>
      <c r="AP490" s="23" t="s">
        <v>448</v>
      </c>
      <c r="AR490" s="23">
        <f t="shared" ref="AR490" si="118">(6.5+1.8)*1000</f>
        <v>8300</v>
      </c>
      <c r="AS490" s="23">
        <f t="shared" ref="AS490" si="119">AR490/(175+47)</f>
        <v>37.387387387387385</v>
      </c>
      <c r="AT490" s="64" t="s">
        <v>562</v>
      </c>
      <c r="BH490" s="23">
        <v>4.9400000000000004</v>
      </c>
      <c r="BI490" s="23">
        <v>3.5649999999999999</v>
      </c>
      <c r="BJ490" s="23" t="s">
        <v>561</v>
      </c>
      <c r="DP490" s="12"/>
      <c r="DR490" s="15"/>
      <c r="EL490" s="23" t="s">
        <v>564</v>
      </c>
      <c r="EM490" s="23" t="s">
        <v>945</v>
      </c>
      <c r="EN490" s="23">
        <v>26</v>
      </c>
    </row>
    <row r="491" spans="1:144" s="23" customFormat="1" x14ac:dyDescent="0.25">
      <c r="A491" s="23">
        <v>26</v>
      </c>
      <c r="B491" s="23" t="s">
        <v>546</v>
      </c>
      <c r="C491" s="23" t="s">
        <v>547</v>
      </c>
      <c r="D491" s="23">
        <v>2015</v>
      </c>
      <c r="E491" s="23">
        <v>2012</v>
      </c>
      <c r="F491" s="23" t="s">
        <v>387</v>
      </c>
      <c r="G491" s="23" t="s">
        <v>549</v>
      </c>
      <c r="H491" s="23">
        <f t="shared" si="100"/>
        <v>35.22</v>
      </c>
      <c r="I491" s="23">
        <f t="shared" si="101"/>
        <v>-77.650000000000006</v>
      </c>
      <c r="J491" s="23">
        <v>22.4</v>
      </c>
      <c r="P491" s="53" t="s">
        <v>186</v>
      </c>
      <c r="Q491" s="53"/>
      <c r="R491" s="53" t="s">
        <v>557</v>
      </c>
      <c r="S491" s="53" t="s">
        <v>657</v>
      </c>
      <c r="W491" s="23" t="s">
        <v>182</v>
      </c>
      <c r="AA491" s="23" t="s">
        <v>1690</v>
      </c>
      <c r="AB491" s="23" t="s">
        <v>551</v>
      </c>
      <c r="AC491" s="23" t="s">
        <v>174</v>
      </c>
      <c r="AG491" s="23" t="s">
        <v>550</v>
      </c>
      <c r="AH491" s="23" t="s">
        <v>550</v>
      </c>
      <c r="AI491" s="23" t="s">
        <v>252</v>
      </c>
      <c r="AJ491" s="23">
        <v>0</v>
      </c>
      <c r="AK491" s="23">
        <v>0</v>
      </c>
      <c r="AL491" s="23" t="s">
        <v>252</v>
      </c>
      <c r="AM491" s="23" t="s">
        <v>222</v>
      </c>
      <c r="AN491" s="23">
        <v>4</v>
      </c>
      <c r="AO491" s="23">
        <v>4</v>
      </c>
      <c r="AP491" s="23" t="s">
        <v>448</v>
      </c>
      <c r="AR491" s="23">
        <f t="shared" ref="AR491" si="120">(6.1+1.6)*1000</f>
        <v>7699.9999999999991</v>
      </c>
      <c r="AS491" s="23">
        <f t="shared" ref="AS491" si="121">AR491/(170+36)</f>
        <v>37.378640776699022</v>
      </c>
      <c r="AT491" s="64" t="s">
        <v>562</v>
      </c>
      <c r="BH491" s="23">
        <v>5.42</v>
      </c>
      <c r="BI491" s="23">
        <v>5.4</v>
      </c>
      <c r="BJ491" s="23" t="s">
        <v>561</v>
      </c>
      <c r="DP491" s="12"/>
      <c r="DR491" s="15"/>
      <c r="EL491" s="23" t="s">
        <v>564</v>
      </c>
      <c r="EM491" s="23" t="s">
        <v>945</v>
      </c>
      <c r="EN491" s="23">
        <v>26</v>
      </c>
    </row>
    <row r="492" spans="1:144" s="23" customFormat="1" x14ac:dyDescent="0.25">
      <c r="A492" s="23">
        <v>26</v>
      </c>
      <c r="B492" s="23" t="s">
        <v>546</v>
      </c>
      <c r="C492" s="23" t="s">
        <v>547</v>
      </c>
      <c r="D492" s="23">
        <v>2015</v>
      </c>
      <c r="E492" s="23">
        <v>2012</v>
      </c>
      <c r="F492" s="23" t="s">
        <v>387</v>
      </c>
      <c r="G492" s="23" t="s">
        <v>549</v>
      </c>
      <c r="H492" s="23">
        <f t="shared" si="100"/>
        <v>35.22</v>
      </c>
      <c r="I492" s="23">
        <f t="shared" si="101"/>
        <v>-77.650000000000006</v>
      </c>
      <c r="J492" s="23">
        <v>22.4</v>
      </c>
      <c r="P492" s="53" t="s">
        <v>186</v>
      </c>
      <c r="Q492" s="53"/>
      <c r="R492" s="53" t="s">
        <v>557</v>
      </c>
      <c r="S492" s="53" t="s">
        <v>657</v>
      </c>
      <c r="W492" s="23" t="s">
        <v>182</v>
      </c>
      <c r="AA492" s="23" t="s">
        <v>1690</v>
      </c>
      <c r="AB492" s="23" t="s">
        <v>552</v>
      </c>
      <c r="AC492" s="23" t="s">
        <v>174</v>
      </c>
      <c r="AG492" s="23" t="s">
        <v>550</v>
      </c>
      <c r="AH492" s="23" t="s">
        <v>550</v>
      </c>
      <c r="AI492" s="23" t="s">
        <v>252</v>
      </c>
      <c r="AJ492" s="23">
        <v>0</v>
      </c>
      <c r="AK492" s="23">
        <v>0</v>
      </c>
      <c r="AL492" s="23" t="s">
        <v>252</v>
      </c>
      <c r="AM492" s="23" t="s">
        <v>222</v>
      </c>
      <c r="AN492" s="23">
        <v>4</v>
      </c>
      <c r="AO492" s="23">
        <v>4</v>
      </c>
      <c r="AP492" s="23" t="s">
        <v>448</v>
      </c>
      <c r="AR492" s="23">
        <f t="shared" ref="AR492" si="122">(6.4+1.9)*1000</f>
        <v>8300</v>
      </c>
      <c r="AS492" s="23">
        <f t="shared" ref="AS492" si="123">AR492/(110+27)</f>
        <v>60.583941605839414</v>
      </c>
      <c r="AT492" s="64" t="s">
        <v>562</v>
      </c>
      <c r="BH492" s="23">
        <v>5.42</v>
      </c>
      <c r="BI492" s="23">
        <v>5.4</v>
      </c>
      <c r="BJ492" s="23" t="s">
        <v>561</v>
      </c>
      <c r="DP492" s="12"/>
      <c r="DR492" s="15"/>
      <c r="EL492" s="23" t="s">
        <v>564</v>
      </c>
      <c r="EM492" s="23" t="s">
        <v>945</v>
      </c>
      <c r="EN492" s="23">
        <v>26</v>
      </c>
    </row>
    <row r="493" spans="1:144" s="23" customFormat="1" x14ac:dyDescent="0.25">
      <c r="A493" s="23">
        <v>26</v>
      </c>
      <c r="B493" s="23" t="s">
        <v>546</v>
      </c>
      <c r="C493" s="23" t="s">
        <v>547</v>
      </c>
      <c r="D493" s="23">
        <v>2015</v>
      </c>
      <c r="E493" s="23">
        <v>2012</v>
      </c>
      <c r="F493" s="23" t="s">
        <v>387</v>
      </c>
      <c r="G493" s="23" t="s">
        <v>549</v>
      </c>
      <c r="H493" s="23">
        <f t="shared" si="100"/>
        <v>35.22</v>
      </c>
      <c r="I493" s="23">
        <f t="shared" si="101"/>
        <v>-77.650000000000006</v>
      </c>
      <c r="J493" s="23">
        <v>22.4</v>
      </c>
      <c r="P493" s="53" t="s">
        <v>186</v>
      </c>
      <c r="Q493" s="53"/>
      <c r="R493" s="53" t="s">
        <v>557</v>
      </c>
      <c r="S493" s="53" t="s">
        <v>657</v>
      </c>
      <c r="W493" s="23" t="s">
        <v>182</v>
      </c>
      <c r="AA493" s="23" t="s">
        <v>1690</v>
      </c>
      <c r="AB493" s="23" t="s">
        <v>326</v>
      </c>
      <c r="AC493" s="23" t="s">
        <v>174</v>
      </c>
      <c r="AG493" s="23" t="s">
        <v>550</v>
      </c>
      <c r="AH493" s="23" t="s">
        <v>550</v>
      </c>
      <c r="AI493" s="23" t="s">
        <v>252</v>
      </c>
      <c r="AJ493" s="23">
        <v>0</v>
      </c>
      <c r="AK493" s="23">
        <v>0</v>
      </c>
      <c r="AL493" s="23" t="s">
        <v>252</v>
      </c>
      <c r="AM493" s="23" t="s">
        <v>222</v>
      </c>
      <c r="AN493" s="23">
        <v>4</v>
      </c>
      <c r="AO493" s="23">
        <v>4</v>
      </c>
      <c r="AP493" s="23" t="s">
        <v>448</v>
      </c>
      <c r="AR493" s="23">
        <f t="shared" ref="AR493" si="124">(6.5+1.8)*1000</f>
        <v>8300</v>
      </c>
      <c r="AS493" s="23">
        <f t="shared" ref="AS493" si="125">AR493/(175+47)</f>
        <v>37.387387387387385</v>
      </c>
      <c r="AT493" s="64" t="s">
        <v>562</v>
      </c>
      <c r="BH493" s="23">
        <v>5.42</v>
      </c>
      <c r="BI493" s="23">
        <v>5.4</v>
      </c>
      <c r="BJ493" s="23" t="s">
        <v>561</v>
      </c>
      <c r="DP493" s="12"/>
      <c r="DR493" s="15"/>
      <c r="EL493" s="23" t="s">
        <v>564</v>
      </c>
      <c r="EM493" s="23" t="s">
        <v>945</v>
      </c>
      <c r="EN493" s="23">
        <v>26</v>
      </c>
    </row>
    <row r="494" spans="1:144" s="23" customFormat="1" x14ac:dyDescent="0.25">
      <c r="A494" s="23">
        <v>26</v>
      </c>
      <c r="B494" s="23" t="s">
        <v>546</v>
      </c>
      <c r="C494" s="23" t="s">
        <v>547</v>
      </c>
      <c r="D494" s="23">
        <v>2015</v>
      </c>
      <c r="E494" s="23">
        <v>2012</v>
      </c>
      <c r="F494" s="23" t="s">
        <v>387</v>
      </c>
      <c r="G494" s="23" t="s">
        <v>549</v>
      </c>
      <c r="H494" s="23">
        <f t="shared" si="100"/>
        <v>35.22</v>
      </c>
      <c r="I494" s="23">
        <f t="shared" si="101"/>
        <v>-77.650000000000006</v>
      </c>
      <c r="J494" s="23">
        <v>22.4</v>
      </c>
      <c r="P494" s="53" t="s">
        <v>186</v>
      </c>
      <c r="Q494" s="53"/>
      <c r="R494" s="53" t="s">
        <v>558</v>
      </c>
      <c r="S494" s="53" t="s">
        <v>657</v>
      </c>
      <c r="W494" s="23" t="s">
        <v>182</v>
      </c>
      <c r="AA494" s="23" t="s">
        <v>1690</v>
      </c>
      <c r="AB494" s="23" t="s">
        <v>551</v>
      </c>
      <c r="AC494" s="23" t="s">
        <v>174</v>
      </c>
      <c r="AG494" s="23" t="s">
        <v>550</v>
      </c>
      <c r="AH494" s="23" t="s">
        <v>550</v>
      </c>
      <c r="AI494" s="23" t="s">
        <v>252</v>
      </c>
      <c r="AJ494" s="23">
        <v>0</v>
      </c>
      <c r="AK494" s="23">
        <v>0</v>
      </c>
      <c r="AL494" s="23" t="s">
        <v>252</v>
      </c>
      <c r="AM494" s="23" t="s">
        <v>222</v>
      </c>
      <c r="AN494" s="23">
        <v>4</v>
      </c>
      <c r="AO494" s="23">
        <v>4</v>
      </c>
      <c r="AP494" s="23" t="s">
        <v>448</v>
      </c>
      <c r="AR494" s="23">
        <f t="shared" ref="AR494" si="126">(6.1+1.6)*1000</f>
        <v>7699.9999999999991</v>
      </c>
      <c r="AS494" s="23">
        <f t="shared" ref="AS494" si="127">AR494/(170+36)</f>
        <v>37.378640776699022</v>
      </c>
      <c r="AT494" s="64" t="s">
        <v>562</v>
      </c>
      <c r="BH494" s="23">
        <v>1.9770000000000001</v>
      </c>
      <c r="BI494" s="23">
        <v>3.69</v>
      </c>
      <c r="BJ494" s="23" t="s">
        <v>561</v>
      </c>
      <c r="DP494" s="12"/>
      <c r="DR494" s="15"/>
      <c r="EL494" s="23" t="s">
        <v>564</v>
      </c>
      <c r="EM494" s="23" t="s">
        <v>945</v>
      </c>
      <c r="EN494" s="23">
        <v>26</v>
      </c>
    </row>
    <row r="495" spans="1:144" s="23" customFormat="1" x14ac:dyDescent="0.25">
      <c r="A495" s="23">
        <v>26</v>
      </c>
      <c r="B495" s="23" t="s">
        <v>546</v>
      </c>
      <c r="C495" s="23" t="s">
        <v>547</v>
      </c>
      <c r="D495" s="23">
        <v>2015</v>
      </c>
      <c r="E495" s="23">
        <v>2012</v>
      </c>
      <c r="F495" s="23" t="s">
        <v>387</v>
      </c>
      <c r="G495" s="23" t="s">
        <v>549</v>
      </c>
      <c r="H495" s="23">
        <f t="shared" si="100"/>
        <v>35.22</v>
      </c>
      <c r="I495" s="23">
        <f t="shared" si="101"/>
        <v>-77.650000000000006</v>
      </c>
      <c r="J495" s="23">
        <v>22.4</v>
      </c>
      <c r="P495" s="53" t="s">
        <v>186</v>
      </c>
      <c r="Q495" s="53"/>
      <c r="R495" s="53" t="s">
        <v>558</v>
      </c>
      <c r="S495" s="53" t="s">
        <v>657</v>
      </c>
      <c r="W495" s="23" t="s">
        <v>182</v>
      </c>
      <c r="AA495" s="23" t="s">
        <v>1690</v>
      </c>
      <c r="AB495" s="23" t="s">
        <v>552</v>
      </c>
      <c r="AC495" s="23" t="s">
        <v>174</v>
      </c>
      <c r="AG495" s="23" t="s">
        <v>550</v>
      </c>
      <c r="AH495" s="23" t="s">
        <v>550</v>
      </c>
      <c r="AI495" s="23" t="s">
        <v>252</v>
      </c>
      <c r="AJ495" s="23">
        <v>0</v>
      </c>
      <c r="AK495" s="23">
        <v>0</v>
      </c>
      <c r="AL495" s="23" t="s">
        <v>252</v>
      </c>
      <c r="AM495" s="23" t="s">
        <v>222</v>
      </c>
      <c r="AN495" s="23">
        <v>4</v>
      </c>
      <c r="AO495" s="23">
        <v>4</v>
      </c>
      <c r="AP495" s="23" t="s">
        <v>448</v>
      </c>
      <c r="AR495" s="23">
        <f t="shared" ref="AR495" si="128">(6.4+1.9)*1000</f>
        <v>8300</v>
      </c>
      <c r="AS495" s="23">
        <f t="shared" ref="AS495" si="129">AR495/(110+27)</f>
        <v>60.583941605839414</v>
      </c>
      <c r="AT495" s="64" t="s">
        <v>562</v>
      </c>
      <c r="BH495" s="23">
        <v>1.9770000000000001</v>
      </c>
      <c r="BI495" s="23">
        <v>3.69</v>
      </c>
      <c r="BJ495" s="23" t="s">
        <v>561</v>
      </c>
      <c r="DP495" s="12"/>
      <c r="DR495" s="15"/>
      <c r="EL495" s="23" t="s">
        <v>564</v>
      </c>
      <c r="EM495" s="23" t="s">
        <v>945</v>
      </c>
      <c r="EN495" s="23">
        <v>26</v>
      </c>
    </row>
    <row r="496" spans="1:144" s="23" customFormat="1" x14ac:dyDescent="0.25">
      <c r="A496" s="23">
        <v>26</v>
      </c>
      <c r="B496" s="23" t="s">
        <v>546</v>
      </c>
      <c r="C496" s="23" t="s">
        <v>547</v>
      </c>
      <c r="D496" s="23">
        <v>2015</v>
      </c>
      <c r="E496" s="23">
        <v>2012</v>
      </c>
      <c r="F496" s="23" t="s">
        <v>387</v>
      </c>
      <c r="G496" s="23" t="s">
        <v>549</v>
      </c>
      <c r="H496" s="23">
        <f t="shared" si="100"/>
        <v>35.22</v>
      </c>
      <c r="I496" s="23">
        <f t="shared" si="101"/>
        <v>-77.650000000000006</v>
      </c>
      <c r="J496" s="23">
        <v>22.4</v>
      </c>
      <c r="P496" s="53" t="s">
        <v>186</v>
      </c>
      <c r="Q496" s="53"/>
      <c r="R496" s="53" t="s">
        <v>558</v>
      </c>
      <c r="S496" s="53" t="s">
        <v>657</v>
      </c>
      <c r="W496" s="23" t="s">
        <v>182</v>
      </c>
      <c r="AA496" s="23" t="s">
        <v>1690</v>
      </c>
      <c r="AB496" s="23" t="s">
        <v>326</v>
      </c>
      <c r="AC496" s="23" t="s">
        <v>174</v>
      </c>
      <c r="AG496" s="23" t="s">
        <v>550</v>
      </c>
      <c r="AH496" s="23" t="s">
        <v>550</v>
      </c>
      <c r="AI496" s="23" t="s">
        <v>252</v>
      </c>
      <c r="AJ496" s="23">
        <v>0</v>
      </c>
      <c r="AK496" s="23">
        <v>0</v>
      </c>
      <c r="AL496" s="23" t="s">
        <v>252</v>
      </c>
      <c r="AM496" s="23" t="s">
        <v>222</v>
      </c>
      <c r="AN496" s="23">
        <v>4</v>
      </c>
      <c r="AO496" s="23">
        <v>4</v>
      </c>
      <c r="AP496" s="23" t="s">
        <v>448</v>
      </c>
      <c r="AR496" s="23">
        <f t="shared" ref="AR496" si="130">(6.5+1.8)*1000</f>
        <v>8300</v>
      </c>
      <c r="AS496" s="23">
        <f t="shared" ref="AS496" si="131">AR496/(175+47)</f>
        <v>37.387387387387385</v>
      </c>
      <c r="AT496" s="64" t="s">
        <v>562</v>
      </c>
      <c r="BH496" s="23">
        <v>1.9770000000000001</v>
      </c>
      <c r="BI496" s="23">
        <v>3.69</v>
      </c>
      <c r="BJ496" s="23" t="s">
        <v>561</v>
      </c>
      <c r="DP496" s="12"/>
      <c r="DR496" s="15"/>
      <c r="EL496" s="23" t="s">
        <v>564</v>
      </c>
      <c r="EM496" s="23" t="s">
        <v>945</v>
      </c>
      <c r="EN496" s="23">
        <v>26</v>
      </c>
    </row>
    <row r="497" spans="1:144" s="23" customFormat="1" x14ac:dyDescent="0.25">
      <c r="A497" s="23">
        <v>26</v>
      </c>
      <c r="B497" s="23" t="s">
        <v>546</v>
      </c>
      <c r="C497" s="23" t="s">
        <v>547</v>
      </c>
      <c r="D497" s="23">
        <v>2015</v>
      </c>
      <c r="E497" s="23">
        <v>2012</v>
      </c>
      <c r="F497" s="23" t="s">
        <v>387</v>
      </c>
      <c r="G497" s="23" t="s">
        <v>549</v>
      </c>
      <c r="H497" s="23">
        <f t="shared" si="100"/>
        <v>35.22</v>
      </c>
      <c r="I497" s="23">
        <f t="shared" si="101"/>
        <v>-77.650000000000006</v>
      </c>
      <c r="J497" s="23">
        <v>22.4</v>
      </c>
      <c r="P497" s="53" t="s">
        <v>186</v>
      </c>
      <c r="Q497" s="53"/>
      <c r="R497" s="53" t="s">
        <v>559</v>
      </c>
      <c r="S497" s="53" t="s">
        <v>657</v>
      </c>
      <c r="W497" s="23" t="s">
        <v>182</v>
      </c>
      <c r="AA497" s="23" t="s">
        <v>1690</v>
      </c>
      <c r="AB497" s="23" t="s">
        <v>551</v>
      </c>
      <c r="AC497" s="23" t="s">
        <v>174</v>
      </c>
      <c r="AG497" s="23" t="s">
        <v>550</v>
      </c>
      <c r="AH497" s="23" t="s">
        <v>550</v>
      </c>
      <c r="AI497" s="23" t="s">
        <v>252</v>
      </c>
      <c r="AJ497" s="23">
        <v>0</v>
      </c>
      <c r="AK497" s="23">
        <v>0</v>
      </c>
      <c r="AL497" s="23" t="s">
        <v>252</v>
      </c>
      <c r="AM497" s="23" t="s">
        <v>222</v>
      </c>
      <c r="AN497" s="23">
        <v>4</v>
      </c>
      <c r="AO497" s="23">
        <v>4</v>
      </c>
      <c r="AP497" s="23" t="s">
        <v>448</v>
      </c>
      <c r="AR497" s="23">
        <f t="shared" ref="AR497" si="132">(6.1+1.6)*1000</f>
        <v>7699.9999999999991</v>
      </c>
      <c r="AS497" s="23">
        <f t="shared" ref="AS497" si="133">AR497/(170+36)</f>
        <v>37.378640776699022</v>
      </c>
      <c r="AT497" s="64" t="s">
        <v>562</v>
      </c>
      <c r="BH497" s="23">
        <v>4.3230000000000004</v>
      </c>
      <c r="BI497" s="23">
        <v>5.14</v>
      </c>
      <c r="BJ497" s="23" t="s">
        <v>561</v>
      </c>
      <c r="DP497" s="12"/>
      <c r="DR497" s="15"/>
      <c r="EL497" s="23" t="s">
        <v>564</v>
      </c>
      <c r="EM497" s="23" t="s">
        <v>945</v>
      </c>
      <c r="EN497" s="23">
        <v>26</v>
      </c>
    </row>
    <row r="498" spans="1:144" s="23" customFormat="1" x14ac:dyDescent="0.25">
      <c r="A498" s="23">
        <v>26</v>
      </c>
      <c r="B498" s="23" t="s">
        <v>546</v>
      </c>
      <c r="C498" s="23" t="s">
        <v>547</v>
      </c>
      <c r="D498" s="23">
        <v>2015</v>
      </c>
      <c r="E498" s="23">
        <v>2012</v>
      </c>
      <c r="F498" s="23" t="s">
        <v>387</v>
      </c>
      <c r="G498" s="23" t="s">
        <v>549</v>
      </c>
      <c r="H498" s="23">
        <f t="shared" si="100"/>
        <v>35.22</v>
      </c>
      <c r="I498" s="23">
        <f t="shared" si="101"/>
        <v>-77.650000000000006</v>
      </c>
      <c r="J498" s="23">
        <v>22.4</v>
      </c>
      <c r="P498" s="53" t="s">
        <v>186</v>
      </c>
      <c r="Q498" s="53"/>
      <c r="R498" s="53" t="s">
        <v>559</v>
      </c>
      <c r="S498" s="53" t="s">
        <v>657</v>
      </c>
      <c r="W498" s="23" t="s">
        <v>182</v>
      </c>
      <c r="AA498" s="23" t="s">
        <v>1690</v>
      </c>
      <c r="AB498" s="23" t="s">
        <v>552</v>
      </c>
      <c r="AC498" s="23" t="s">
        <v>174</v>
      </c>
      <c r="AG498" s="23" t="s">
        <v>550</v>
      </c>
      <c r="AH498" s="23" t="s">
        <v>550</v>
      </c>
      <c r="AI498" s="23" t="s">
        <v>252</v>
      </c>
      <c r="AJ498" s="23">
        <v>0</v>
      </c>
      <c r="AK498" s="23">
        <v>0</v>
      </c>
      <c r="AL498" s="23" t="s">
        <v>252</v>
      </c>
      <c r="AM498" s="23" t="s">
        <v>222</v>
      </c>
      <c r="AN498" s="23">
        <v>4</v>
      </c>
      <c r="AO498" s="23">
        <v>4</v>
      </c>
      <c r="AP498" s="23" t="s">
        <v>448</v>
      </c>
      <c r="AR498" s="23">
        <f t="shared" ref="AR498" si="134">(6.4+1.9)*1000</f>
        <v>8300</v>
      </c>
      <c r="AS498" s="23">
        <f t="shared" ref="AS498" si="135">AR498/(110+27)</f>
        <v>60.583941605839414</v>
      </c>
      <c r="AT498" s="64" t="s">
        <v>562</v>
      </c>
      <c r="BH498" s="23">
        <v>4.3230000000000004</v>
      </c>
      <c r="BI498" s="23">
        <v>4.32</v>
      </c>
      <c r="BJ498" s="23" t="s">
        <v>561</v>
      </c>
      <c r="DP498" s="12"/>
      <c r="DR498" s="15"/>
      <c r="EL498" s="23" t="s">
        <v>564</v>
      </c>
      <c r="EM498" s="23" t="s">
        <v>945</v>
      </c>
      <c r="EN498" s="23">
        <v>26</v>
      </c>
    </row>
    <row r="499" spans="1:144" s="23" customFormat="1" x14ac:dyDescent="0.25">
      <c r="A499" s="23">
        <v>26</v>
      </c>
      <c r="B499" s="23" t="s">
        <v>546</v>
      </c>
      <c r="C499" s="23" t="s">
        <v>547</v>
      </c>
      <c r="D499" s="23">
        <v>2015</v>
      </c>
      <c r="E499" s="23">
        <v>2012</v>
      </c>
      <c r="F499" s="23" t="s">
        <v>387</v>
      </c>
      <c r="G499" s="23" t="s">
        <v>549</v>
      </c>
      <c r="H499" s="23">
        <f t="shared" si="100"/>
        <v>35.22</v>
      </c>
      <c r="I499" s="23">
        <f t="shared" si="101"/>
        <v>-77.650000000000006</v>
      </c>
      <c r="J499" s="23">
        <v>22.4</v>
      </c>
      <c r="P499" s="53" t="s">
        <v>186</v>
      </c>
      <c r="Q499" s="53"/>
      <c r="R499" s="53" t="s">
        <v>559</v>
      </c>
      <c r="S499" s="53" t="s">
        <v>657</v>
      </c>
      <c r="W499" s="23" t="s">
        <v>182</v>
      </c>
      <c r="AA499" s="23" t="s">
        <v>1690</v>
      </c>
      <c r="AB499" s="23" t="s">
        <v>326</v>
      </c>
      <c r="AC499" s="23" t="s">
        <v>174</v>
      </c>
      <c r="AG499" s="23" t="s">
        <v>550</v>
      </c>
      <c r="AH499" s="23" t="s">
        <v>550</v>
      </c>
      <c r="AI499" s="23" t="s">
        <v>252</v>
      </c>
      <c r="AJ499" s="23">
        <v>0</v>
      </c>
      <c r="AK499" s="23">
        <v>0</v>
      </c>
      <c r="AL499" s="23" t="s">
        <v>252</v>
      </c>
      <c r="AM499" s="23" t="s">
        <v>222</v>
      </c>
      <c r="AN499" s="23">
        <v>4</v>
      </c>
      <c r="AO499" s="23">
        <v>4</v>
      </c>
      <c r="AP499" s="23" t="s">
        <v>448</v>
      </c>
      <c r="AR499" s="23">
        <f t="shared" ref="AR499" si="136">(6.5+1.8)*1000</f>
        <v>8300</v>
      </c>
      <c r="AS499" s="23">
        <f t="shared" ref="AS499" si="137">AR499/(175+47)</f>
        <v>37.387387387387385</v>
      </c>
      <c r="AT499" s="64" t="s">
        <v>562</v>
      </c>
      <c r="BH499" s="23">
        <v>4.3230000000000004</v>
      </c>
      <c r="BI499" s="23">
        <v>5.14</v>
      </c>
      <c r="BJ499" s="23" t="s">
        <v>561</v>
      </c>
      <c r="DP499" s="12"/>
      <c r="DR499" s="15"/>
      <c r="EL499" s="23" t="s">
        <v>564</v>
      </c>
      <c r="EM499" s="23" t="s">
        <v>945</v>
      </c>
      <c r="EN499" s="23">
        <v>26</v>
      </c>
    </row>
    <row r="500" spans="1:144" s="23" customFormat="1" x14ac:dyDescent="0.25">
      <c r="A500" s="23">
        <v>26</v>
      </c>
      <c r="B500" s="23" t="s">
        <v>546</v>
      </c>
      <c r="C500" s="23" t="s">
        <v>547</v>
      </c>
      <c r="D500" s="23">
        <v>2015</v>
      </c>
      <c r="E500" s="23">
        <v>2012</v>
      </c>
      <c r="F500" s="23" t="s">
        <v>387</v>
      </c>
      <c r="G500" s="23" t="s">
        <v>549</v>
      </c>
      <c r="H500" s="23">
        <f t="shared" si="100"/>
        <v>35.22</v>
      </c>
      <c r="I500" s="23">
        <f t="shared" si="101"/>
        <v>-77.650000000000006</v>
      </c>
      <c r="J500" s="23">
        <v>22.4</v>
      </c>
      <c r="P500" s="53" t="s">
        <v>186</v>
      </c>
      <c r="Q500" s="53"/>
      <c r="R500" s="53" t="s">
        <v>553</v>
      </c>
      <c r="S500" s="53" t="s">
        <v>657</v>
      </c>
      <c r="W500" s="23" t="s">
        <v>182</v>
      </c>
      <c r="AA500" s="23" t="s">
        <v>1690</v>
      </c>
      <c r="AB500" s="23" t="s">
        <v>551</v>
      </c>
      <c r="AC500" s="23" t="s">
        <v>174</v>
      </c>
      <c r="AG500" s="23" t="s">
        <v>560</v>
      </c>
      <c r="AH500" s="23" t="s">
        <v>560</v>
      </c>
      <c r="AI500" s="23" t="s">
        <v>252</v>
      </c>
      <c r="AJ500" s="23">
        <v>0</v>
      </c>
      <c r="AK500" s="23">
        <v>0</v>
      </c>
      <c r="AL500" s="23" t="s">
        <v>252</v>
      </c>
      <c r="AM500" s="23" t="s">
        <v>222</v>
      </c>
      <c r="AN500" s="23">
        <v>4</v>
      </c>
      <c r="AO500" s="23">
        <v>4</v>
      </c>
      <c r="AP500" s="23" t="s">
        <v>448</v>
      </c>
      <c r="AR500" s="23">
        <f t="shared" ref="AR500" si="138">(6.1+1.6)*1000</f>
        <v>7699.9999999999991</v>
      </c>
      <c r="AS500" s="23">
        <f t="shared" ref="AS500" si="139">AR500/(170+36)</f>
        <v>37.378640776699022</v>
      </c>
      <c r="AT500" s="64" t="s">
        <v>563</v>
      </c>
      <c r="BH500" s="23">
        <v>4.133</v>
      </c>
      <c r="BI500" s="23">
        <v>6.9059999999999997</v>
      </c>
      <c r="BJ500" s="23" t="s">
        <v>561</v>
      </c>
      <c r="DP500" s="12"/>
      <c r="DR500" s="15"/>
      <c r="EL500" s="23" t="s">
        <v>564</v>
      </c>
      <c r="EM500" s="23" t="s">
        <v>945</v>
      </c>
      <c r="EN500" s="23">
        <v>26</v>
      </c>
    </row>
    <row r="501" spans="1:144" s="23" customFormat="1" x14ac:dyDescent="0.25">
      <c r="A501" s="23">
        <v>26</v>
      </c>
      <c r="B501" s="23" t="s">
        <v>546</v>
      </c>
      <c r="C501" s="23" t="s">
        <v>547</v>
      </c>
      <c r="D501" s="23">
        <v>2015</v>
      </c>
      <c r="E501" s="23">
        <v>2012</v>
      </c>
      <c r="F501" s="23" t="s">
        <v>387</v>
      </c>
      <c r="G501" s="23" t="s">
        <v>549</v>
      </c>
      <c r="H501" s="23">
        <f t="shared" si="100"/>
        <v>35.22</v>
      </c>
      <c r="I501" s="23">
        <f t="shared" si="101"/>
        <v>-77.650000000000006</v>
      </c>
      <c r="J501" s="23">
        <v>22.4</v>
      </c>
      <c r="P501" s="53" t="s">
        <v>186</v>
      </c>
      <c r="Q501" s="53"/>
      <c r="R501" s="53" t="s">
        <v>553</v>
      </c>
      <c r="S501" s="53" t="s">
        <v>657</v>
      </c>
      <c r="W501" s="23" t="s">
        <v>182</v>
      </c>
      <c r="AA501" s="23" t="s">
        <v>1690</v>
      </c>
      <c r="AB501" s="23" t="s">
        <v>552</v>
      </c>
      <c r="AC501" s="23" t="s">
        <v>174</v>
      </c>
      <c r="AG501" s="23" t="s">
        <v>560</v>
      </c>
      <c r="AH501" s="23" t="s">
        <v>560</v>
      </c>
      <c r="AI501" s="23" t="s">
        <v>252</v>
      </c>
      <c r="AJ501" s="23">
        <v>0</v>
      </c>
      <c r="AK501" s="23">
        <v>0</v>
      </c>
      <c r="AL501" s="23" t="s">
        <v>252</v>
      </c>
      <c r="AM501" s="23" t="s">
        <v>222</v>
      </c>
      <c r="AN501" s="23">
        <v>4</v>
      </c>
      <c r="AO501" s="23">
        <v>4</v>
      </c>
      <c r="AP501" s="23" t="s">
        <v>448</v>
      </c>
      <c r="AR501" s="23">
        <f t="shared" ref="AR501" si="140">(6.4+1.9)*1000</f>
        <v>8300</v>
      </c>
      <c r="AS501" s="23">
        <f t="shared" ref="AS501" si="141">AR501/(110+27)</f>
        <v>60.583941605839414</v>
      </c>
      <c r="AT501" s="64" t="s">
        <v>563</v>
      </c>
      <c r="BH501" s="23">
        <v>4.133</v>
      </c>
      <c r="BI501" s="23">
        <v>6.9059999999999997</v>
      </c>
      <c r="BJ501" s="23" t="s">
        <v>561</v>
      </c>
      <c r="DP501" s="12"/>
      <c r="DR501" s="15"/>
      <c r="EL501" s="23" t="s">
        <v>564</v>
      </c>
      <c r="EM501" s="23" t="s">
        <v>945</v>
      </c>
      <c r="EN501" s="23">
        <v>26</v>
      </c>
    </row>
    <row r="502" spans="1:144" s="23" customFormat="1" x14ac:dyDescent="0.25">
      <c r="A502" s="23">
        <v>26</v>
      </c>
      <c r="B502" s="23" t="s">
        <v>546</v>
      </c>
      <c r="C502" s="23" t="s">
        <v>547</v>
      </c>
      <c r="D502" s="23">
        <v>2015</v>
      </c>
      <c r="E502" s="23">
        <v>2012</v>
      </c>
      <c r="F502" s="23" t="s">
        <v>387</v>
      </c>
      <c r="G502" s="23" t="s">
        <v>549</v>
      </c>
      <c r="H502" s="23">
        <f t="shared" si="100"/>
        <v>35.22</v>
      </c>
      <c r="I502" s="23">
        <f t="shared" si="101"/>
        <v>-77.650000000000006</v>
      </c>
      <c r="J502" s="23">
        <v>22.4</v>
      </c>
      <c r="P502" s="53" t="s">
        <v>186</v>
      </c>
      <c r="Q502" s="53"/>
      <c r="R502" s="53" t="s">
        <v>553</v>
      </c>
      <c r="S502" s="53" t="s">
        <v>657</v>
      </c>
      <c r="W502" s="23" t="s">
        <v>182</v>
      </c>
      <c r="AA502" s="23" t="s">
        <v>1690</v>
      </c>
      <c r="AB502" s="23" t="s">
        <v>326</v>
      </c>
      <c r="AC502" s="23" t="s">
        <v>174</v>
      </c>
      <c r="AG502" s="23" t="s">
        <v>560</v>
      </c>
      <c r="AH502" s="23" t="s">
        <v>560</v>
      </c>
      <c r="AI502" s="23" t="s">
        <v>252</v>
      </c>
      <c r="AJ502" s="23">
        <v>0</v>
      </c>
      <c r="AK502" s="23">
        <v>0</v>
      </c>
      <c r="AL502" s="23" t="s">
        <v>252</v>
      </c>
      <c r="AM502" s="23" t="s">
        <v>222</v>
      </c>
      <c r="AN502" s="23">
        <v>4</v>
      </c>
      <c r="AO502" s="23">
        <v>4</v>
      </c>
      <c r="AP502" s="23" t="s">
        <v>448</v>
      </c>
      <c r="AR502" s="23">
        <f t="shared" ref="AR502" si="142">(6.5+1.8)*1000</f>
        <v>8300</v>
      </c>
      <c r="AS502" s="23">
        <f t="shared" ref="AS502" si="143">AR502/(175+47)</f>
        <v>37.387387387387385</v>
      </c>
      <c r="AT502" s="64" t="s">
        <v>563</v>
      </c>
      <c r="BH502" s="23">
        <v>4.133</v>
      </c>
      <c r="BI502" s="23">
        <v>6.9059999999999997</v>
      </c>
      <c r="BJ502" s="23" t="s">
        <v>561</v>
      </c>
      <c r="DP502" s="12"/>
      <c r="DR502" s="15"/>
      <c r="EL502" s="23" t="s">
        <v>564</v>
      </c>
      <c r="EM502" s="23" t="s">
        <v>945</v>
      </c>
      <c r="EN502" s="23">
        <v>26</v>
      </c>
    </row>
    <row r="503" spans="1:144" s="23" customFormat="1" x14ac:dyDescent="0.25">
      <c r="A503" s="23">
        <v>26</v>
      </c>
      <c r="B503" s="23" t="s">
        <v>546</v>
      </c>
      <c r="C503" s="23" t="s">
        <v>547</v>
      </c>
      <c r="D503" s="23">
        <v>2015</v>
      </c>
      <c r="E503" s="23">
        <v>2012</v>
      </c>
      <c r="F503" s="23" t="s">
        <v>387</v>
      </c>
      <c r="G503" s="23" t="s">
        <v>549</v>
      </c>
      <c r="H503" s="23">
        <f t="shared" si="100"/>
        <v>35.22</v>
      </c>
      <c r="I503" s="23">
        <f t="shared" si="101"/>
        <v>-77.650000000000006</v>
      </c>
      <c r="J503" s="23">
        <v>22.4</v>
      </c>
      <c r="P503" s="53" t="s">
        <v>186</v>
      </c>
      <c r="Q503" s="53"/>
      <c r="R503" s="53" t="s">
        <v>554</v>
      </c>
      <c r="S503" s="53" t="s">
        <v>657</v>
      </c>
      <c r="W503" s="23" t="s">
        <v>182</v>
      </c>
      <c r="AA503" s="23" t="s">
        <v>1690</v>
      </c>
      <c r="AB503" s="23" t="s">
        <v>551</v>
      </c>
      <c r="AC503" s="23" t="s">
        <v>174</v>
      </c>
      <c r="AG503" s="23" t="s">
        <v>560</v>
      </c>
      <c r="AH503" s="23" t="s">
        <v>560</v>
      </c>
      <c r="AI503" s="23" t="s">
        <v>252</v>
      </c>
      <c r="AJ503" s="23">
        <v>0</v>
      </c>
      <c r="AK503" s="23">
        <v>0</v>
      </c>
      <c r="AL503" s="23" t="s">
        <v>252</v>
      </c>
      <c r="AM503" s="23" t="s">
        <v>222</v>
      </c>
      <c r="AN503" s="23">
        <v>4</v>
      </c>
      <c r="AO503" s="23">
        <v>4</v>
      </c>
      <c r="AP503" s="23" t="s">
        <v>448</v>
      </c>
      <c r="AR503" s="23">
        <f t="shared" ref="AR503" si="144">(6.1+1.6)*1000</f>
        <v>7699.9999999999991</v>
      </c>
      <c r="AS503" s="23">
        <f t="shared" ref="AS503" si="145">AR503/(170+36)</f>
        <v>37.378640776699022</v>
      </c>
      <c r="AT503" s="64" t="s">
        <v>563</v>
      </c>
      <c r="BH503" s="23">
        <v>2.2469999999999999</v>
      </c>
      <c r="BI503" s="23">
        <v>3.8780000000000001</v>
      </c>
      <c r="BJ503" s="23" t="s">
        <v>561</v>
      </c>
      <c r="DP503" s="12"/>
      <c r="DR503" s="15"/>
      <c r="EL503" s="23" t="s">
        <v>564</v>
      </c>
      <c r="EM503" s="23" t="s">
        <v>945</v>
      </c>
      <c r="EN503" s="23">
        <v>26</v>
      </c>
    </row>
    <row r="504" spans="1:144" s="23" customFormat="1" x14ac:dyDescent="0.25">
      <c r="A504" s="23">
        <v>26</v>
      </c>
      <c r="B504" s="23" t="s">
        <v>546</v>
      </c>
      <c r="C504" s="23" t="s">
        <v>547</v>
      </c>
      <c r="D504" s="23">
        <v>2015</v>
      </c>
      <c r="E504" s="23">
        <v>2012</v>
      </c>
      <c r="F504" s="23" t="s">
        <v>387</v>
      </c>
      <c r="G504" s="23" t="s">
        <v>549</v>
      </c>
      <c r="H504" s="23">
        <f t="shared" si="100"/>
        <v>35.22</v>
      </c>
      <c r="I504" s="23">
        <f t="shared" si="101"/>
        <v>-77.650000000000006</v>
      </c>
      <c r="J504" s="23">
        <v>22.4</v>
      </c>
      <c r="P504" s="53" t="s">
        <v>186</v>
      </c>
      <c r="Q504" s="53"/>
      <c r="R504" s="53" t="s">
        <v>554</v>
      </c>
      <c r="S504" s="53" t="s">
        <v>657</v>
      </c>
      <c r="W504" s="23" t="s">
        <v>182</v>
      </c>
      <c r="AA504" s="23" t="s">
        <v>1690</v>
      </c>
      <c r="AB504" s="23" t="s">
        <v>552</v>
      </c>
      <c r="AC504" s="23" t="s">
        <v>174</v>
      </c>
      <c r="AG504" s="23" t="s">
        <v>560</v>
      </c>
      <c r="AH504" s="23" t="s">
        <v>560</v>
      </c>
      <c r="AI504" s="23" t="s">
        <v>252</v>
      </c>
      <c r="AJ504" s="23">
        <v>0</v>
      </c>
      <c r="AK504" s="23">
        <v>0</v>
      </c>
      <c r="AL504" s="23" t="s">
        <v>252</v>
      </c>
      <c r="AM504" s="23" t="s">
        <v>222</v>
      </c>
      <c r="AN504" s="23">
        <v>4</v>
      </c>
      <c r="AO504" s="23">
        <v>4</v>
      </c>
      <c r="AP504" s="23" t="s">
        <v>448</v>
      </c>
      <c r="AR504" s="23">
        <f t="shared" ref="AR504" si="146">(6.4+1.9)*1000</f>
        <v>8300</v>
      </c>
      <c r="AS504" s="23">
        <f t="shared" ref="AS504" si="147">AR504/(110+27)</f>
        <v>60.583941605839414</v>
      </c>
      <c r="AT504" s="64" t="s">
        <v>563</v>
      </c>
      <c r="BH504" s="23">
        <v>2.2469999999999999</v>
      </c>
      <c r="BI504" s="23">
        <v>3.8780000000000001</v>
      </c>
      <c r="BJ504" s="23" t="s">
        <v>561</v>
      </c>
      <c r="DP504" s="12"/>
      <c r="DR504" s="15"/>
      <c r="EL504" s="23" t="s">
        <v>564</v>
      </c>
      <c r="EM504" s="23" t="s">
        <v>945</v>
      </c>
      <c r="EN504" s="23">
        <v>26</v>
      </c>
    </row>
    <row r="505" spans="1:144" s="23" customFormat="1" x14ac:dyDescent="0.25">
      <c r="A505" s="23">
        <v>26</v>
      </c>
      <c r="B505" s="23" t="s">
        <v>546</v>
      </c>
      <c r="C505" s="23" t="s">
        <v>547</v>
      </c>
      <c r="D505" s="23">
        <v>2015</v>
      </c>
      <c r="E505" s="23">
        <v>2012</v>
      </c>
      <c r="F505" s="23" t="s">
        <v>387</v>
      </c>
      <c r="G505" s="23" t="s">
        <v>549</v>
      </c>
      <c r="H505" s="23">
        <f t="shared" si="100"/>
        <v>35.22</v>
      </c>
      <c r="I505" s="23">
        <f t="shared" si="101"/>
        <v>-77.650000000000006</v>
      </c>
      <c r="J505" s="23">
        <v>22.4</v>
      </c>
      <c r="P505" s="53" t="s">
        <v>186</v>
      </c>
      <c r="Q505" s="53"/>
      <c r="R505" s="53" t="s">
        <v>554</v>
      </c>
      <c r="S505" s="53" t="s">
        <v>657</v>
      </c>
      <c r="W505" s="23" t="s">
        <v>182</v>
      </c>
      <c r="AA505" s="23" t="s">
        <v>1690</v>
      </c>
      <c r="AB505" s="23" t="s">
        <v>326</v>
      </c>
      <c r="AC505" s="23" t="s">
        <v>174</v>
      </c>
      <c r="AG505" s="23" t="s">
        <v>560</v>
      </c>
      <c r="AH505" s="23" t="s">
        <v>560</v>
      </c>
      <c r="AI505" s="23" t="s">
        <v>252</v>
      </c>
      <c r="AJ505" s="23">
        <v>0</v>
      </c>
      <c r="AK505" s="23">
        <v>0</v>
      </c>
      <c r="AL505" s="23" t="s">
        <v>252</v>
      </c>
      <c r="AM505" s="23" t="s">
        <v>222</v>
      </c>
      <c r="AN505" s="23">
        <v>4</v>
      </c>
      <c r="AO505" s="23">
        <v>4</v>
      </c>
      <c r="AP505" s="23" t="s">
        <v>448</v>
      </c>
      <c r="AR505" s="23">
        <f t="shared" ref="AR505" si="148">(6.5+1.8)*1000</f>
        <v>8300</v>
      </c>
      <c r="AS505" s="23">
        <f t="shared" ref="AS505" si="149">AR505/(175+47)</f>
        <v>37.387387387387385</v>
      </c>
      <c r="AT505" s="64" t="s">
        <v>563</v>
      </c>
      <c r="BH505" s="23">
        <v>2.2469999999999999</v>
      </c>
      <c r="BI505" s="23">
        <v>3.8780000000000001</v>
      </c>
      <c r="BJ505" s="23" t="s">
        <v>561</v>
      </c>
      <c r="DP505" s="12"/>
      <c r="DR505" s="15"/>
      <c r="EL505" s="23" t="s">
        <v>564</v>
      </c>
      <c r="EM505" s="23" t="s">
        <v>945</v>
      </c>
      <c r="EN505" s="23">
        <v>26</v>
      </c>
    </row>
    <row r="506" spans="1:144" s="23" customFormat="1" x14ac:dyDescent="0.25">
      <c r="A506" s="23">
        <v>26</v>
      </c>
      <c r="B506" s="23" t="s">
        <v>546</v>
      </c>
      <c r="C506" s="23" t="s">
        <v>547</v>
      </c>
      <c r="D506" s="23">
        <v>2015</v>
      </c>
      <c r="E506" s="23">
        <v>2012</v>
      </c>
      <c r="F506" s="23" t="s">
        <v>387</v>
      </c>
      <c r="G506" s="23" t="s">
        <v>549</v>
      </c>
      <c r="H506" s="23">
        <f t="shared" si="100"/>
        <v>35.22</v>
      </c>
      <c r="I506" s="23">
        <f t="shared" si="101"/>
        <v>-77.650000000000006</v>
      </c>
      <c r="J506" s="23">
        <v>22.4</v>
      </c>
      <c r="P506" s="53" t="s">
        <v>186</v>
      </c>
      <c r="Q506" s="53"/>
      <c r="R506" s="53" t="s">
        <v>555</v>
      </c>
      <c r="S506" s="53" t="s">
        <v>657</v>
      </c>
      <c r="W506" s="23" t="s">
        <v>182</v>
      </c>
      <c r="AA506" s="23" t="s">
        <v>1690</v>
      </c>
      <c r="AB506" s="23" t="s">
        <v>551</v>
      </c>
      <c r="AC506" s="23" t="s">
        <v>174</v>
      </c>
      <c r="AG506" s="23" t="s">
        <v>560</v>
      </c>
      <c r="AH506" s="23" t="s">
        <v>560</v>
      </c>
      <c r="AI506" s="23" t="s">
        <v>252</v>
      </c>
      <c r="AJ506" s="23">
        <v>0</v>
      </c>
      <c r="AK506" s="23">
        <v>0</v>
      </c>
      <c r="AL506" s="23" t="s">
        <v>252</v>
      </c>
      <c r="AM506" s="23" t="s">
        <v>222</v>
      </c>
      <c r="AN506" s="23">
        <v>4</v>
      </c>
      <c r="AO506" s="23">
        <v>4</v>
      </c>
      <c r="AP506" s="23" t="s">
        <v>448</v>
      </c>
      <c r="AR506" s="23">
        <f t="shared" ref="AR506" si="150">(6.1+1.6)*1000</f>
        <v>7699.9999999999991</v>
      </c>
      <c r="AS506" s="23">
        <f t="shared" ref="AS506" si="151">AR506/(170+36)</f>
        <v>37.378640776699022</v>
      </c>
      <c r="AT506" s="64" t="s">
        <v>563</v>
      </c>
      <c r="BH506" s="23">
        <v>2.7269999999999999</v>
      </c>
      <c r="BI506" s="23">
        <v>3.8690000000000002</v>
      </c>
      <c r="BJ506" s="23" t="s">
        <v>561</v>
      </c>
      <c r="DP506" s="12"/>
      <c r="DR506" s="15"/>
      <c r="EL506" s="23" t="s">
        <v>564</v>
      </c>
      <c r="EM506" s="23" t="s">
        <v>945</v>
      </c>
      <c r="EN506" s="23">
        <v>26</v>
      </c>
    </row>
    <row r="507" spans="1:144" s="23" customFormat="1" x14ac:dyDescent="0.25">
      <c r="A507" s="23">
        <v>26</v>
      </c>
      <c r="B507" s="23" t="s">
        <v>546</v>
      </c>
      <c r="C507" s="23" t="s">
        <v>547</v>
      </c>
      <c r="D507" s="23">
        <v>2015</v>
      </c>
      <c r="E507" s="23">
        <v>2012</v>
      </c>
      <c r="F507" s="23" t="s">
        <v>387</v>
      </c>
      <c r="G507" s="23" t="s">
        <v>549</v>
      </c>
      <c r="H507" s="23">
        <f t="shared" si="100"/>
        <v>35.22</v>
      </c>
      <c r="I507" s="23">
        <f t="shared" si="101"/>
        <v>-77.650000000000006</v>
      </c>
      <c r="J507" s="23">
        <v>22.4</v>
      </c>
      <c r="P507" s="53" t="s">
        <v>186</v>
      </c>
      <c r="Q507" s="53"/>
      <c r="R507" s="53" t="s">
        <v>555</v>
      </c>
      <c r="S507" s="53" t="s">
        <v>657</v>
      </c>
      <c r="W507" s="23" t="s">
        <v>182</v>
      </c>
      <c r="AA507" s="23" t="s">
        <v>1690</v>
      </c>
      <c r="AB507" s="23" t="s">
        <v>552</v>
      </c>
      <c r="AC507" s="23" t="s">
        <v>174</v>
      </c>
      <c r="AG507" s="23" t="s">
        <v>560</v>
      </c>
      <c r="AH507" s="23" t="s">
        <v>560</v>
      </c>
      <c r="AI507" s="23" t="s">
        <v>252</v>
      </c>
      <c r="AJ507" s="23">
        <v>0</v>
      </c>
      <c r="AK507" s="23">
        <v>0</v>
      </c>
      <c r="AL507" s="23" t="s">
        <v>252</v>
      </c>
      <c r="AM507" s="23" t="s">
        <v>222</v>
      </c>
      <c r="AN507" s="23">
        <v>4</v>
      </c>
      <c r="AO507" s="23">
        <v>4</v>
      </c>
      <c r="AP507" s="23" t="s">
        <v>448</v>
      </c>
      <c r="AR507" s="23">
        <f t="shared" ref="AR507" si="152">(6.4+1.9)*1000</f>
        <v>8300</v>
      </c>
      <c r="AS507" s="23">
        <f t="shared" ref="AS507" si="153">AR507/(110+27)</f>
        <v>60.583941605839414</v>
      </c>
      <c r="AT507" s="64" t="s">
        <v>563</v>
      </c>
      <c r="BH507" s="23">
        <v>2.7269999999999999</v>
      </c>
      <c r="BI507" s="23">
        <v>3.8690000000000002</v>
      </c>
      <c r="BJ507" s="23" t="s">
        <v>561</v>
      </c>
      <c r="DP507" s="12"/>
      <c r="DR507" s="15"/>
      <c r="EL507" s="23" t="s">
        <v>564</v>
      </c>
      <c r="EM507" s="23" t="s">
        <v>945</v>
      </c>
      <c r="EN507" s="23">
        <v>26</v>
      </c>
    </row>
    <row r="508" spans="1:144" s="23" customFormat="1" x14ac:dyDescent="0.25">
      <c r="A508" s="23">
        <v>26</v>
      </c>
      <c r="B508" s="23" t="s">
        <v>546</v>
      </c>
      <c r="C508" s="23" t="s">
        <v>547</v>
      </c>
      <c r="D508" s="23">
        <v>2015</v>
      </c>
      <c r="E508" s="23">
        <v>2012</v>
      </c>
      <c r="F508" s="23" t="s">
        <v>387</v>
      </c>
      <c r="G508" s="23" t="s">
        <v>549</v>
      </c>
      <c r="H508" s="23">
        <f t="shared" si="100"/>
        <v>35.22</v>
      </c>
      <c r="I508" s="23">
        <f t="shared" si="101"/>
        <v>-77.650000000000006</v>
      </c>
      <c r="J508" s="23">
        <v>22.4</v>
      </c>
      <c r="P508" s="53" t="s">
        <v>186</v>
      </c>
      <c r="Q508" s="53"/>
      <c r="R508" s="53" t="s">
        <v>555</v>
      </c>
      <c r="S508" s="53" t="s">
        <v>657</v>
      </c>
      <c r="W508" s="23" t="s">
        <v>182</v>
      </c>
      <c r="AA508" s="23" t="s">
        <v>1690</v>
      </c>
      <c r="AB508" s="23" t="s">
        <v>326</v>
      </c>
      <c r="AC508" s="23" t="s">
        <v>174</v>
      </c>
      <c r="AG508" s="23" t="s">
        <v>560</v>
      </c>
      <c r="AH508" s="23" t="s">
        <v>560</v>
      </c>
      <c r="AI508" s="23" t="s">
        <v>252</v>
      </c>
      <c r="AJ508" s="23">
        <v>0</v>
      </c>
      <c r="AK508" s="23">
        <v>0</v>
      </c>
      <c r="AL508" s="23" t="s">
        <v>252</v>
      </c>
      <c r="AM508" s="23" t="s">
        <v>222</v>
      </c>
      <c r="AN508" s="23">
        <v>4</v>
      </c>
      <c r="AO508" s="23">
        <v>4</v>
      </c>
      <c r="AP508" s="23" t="s">
        <v>448</v>
      </c>
      <c r="AR508" s="23">
        <f t="shared" ref="AR508" si="154">(6.5+1.8)*1000</f>
        <v>8300</v>
      </c>
      <c r="AS508" s="23">
        <f t="shared" ref="AS508" si="155">AR508/(175+47)</f>
        <v>37.387387387387385</v>
      </c>
      <c r="AT508" s="64" t="s">
        <v>563</v>
      </c>
      <c r="BH508" s="23">
        <v>2.7269999999999999</v>
      </c>
      <c r="BI508" s="23">
        <v>3.8690000000000002</v>
      </c>
      <c r="BJ508" s="23" t="s">
        <v>561</v>
      </c>
      <c r="DP508" s="12"/>
      <c r="DR508" s="15"/>
      <c r="EL508" s="23" t="s">
        <v>564</v>
      </c>
      <c r="EM508" s="23" t="s">
        <v>945</v>
      </c>
      <c r="EN508" s="23">
        <v>26</v>
      </c>
    </row>
    <row r="509" spans="1:144" s="23" customFormat="1" x14ac:dyDescent="0.25">
      <c r="A509" s="23">
        <v>26</v>
      </c>
      <c r="B509" s="23" t="s">
        <v>546</v>
      </c>
      <c r="C509" s="23" t="s">
        <v>547</v>
      </c>
      <c r="D509" s="23">
        <v>2015</v>
      </c>
      <c r="E509" s="23">
        <v>2012</v>
      </c>
      <c r="F509" s="23" t="s">
        <v>387</v>
      </c>
      <c r="G509" s="23" t="s">
        <v>549</v>
      </c>
      <c r="H509" s="23">
        <f t="shared" si="100"/>
        <v>35.22</v>
      </c>
      <c r="I509" s="23">
        <f t="shared" si="101"/>
        <v>-77.650000000000006</v>
      </c>
      <c r="J509" s="23">
        <v>22.4</v>
      </c>
      <c r="P509" s="53" t="s">
        <v>186</v>
      </c>
      <c r="Q509" s="53"/>
      <c r="R509" s="53" t="s">
        <v>556</v>
      </c>
      <c r="S509" s="53" t="s">
        <v>657</v>
      </c>
      <c r="W509" s="23" t="s">
        <v>182</v>
      </c>
      <c r="AA509" s="23" t="s">
        <v>1690</v>
      </c>
      <c r="AB509" s="23" t="s">
        <v>551</v>
      </c>
      <c r="AC509" s="23" t="s">
        <v>174</v>
      </c>
      <c r="AG509" s="23" t="s">
        <v>560</v>
      </c>
      <c r="AH509" s="23" t="s">
        <v>560</v>
      </c>
      <c r="AI509" s="23" t="s">
        <v>252</v>
      </c>
      <c r="AJ509" s="23">
        <v>0</v>
      </c>
      <c r="AK509" s="23">
        <v>0</v>
      </c>
      <c r="AL509" s="23" t="s">
        <v>252</v>
      </c>
      <c r="AM509" s="23" t="s">
        <v>222</v>
      </c>
      <c r="AN509" s="23">
        <v>4</v>
      </c>
      <c r="AO509" s="23">
        <v>4</v>
      </c>
      <c r="AP509" s="23" t="s">
        <v>448</v>
      </c>
      <c r="AR509" s="23">
        <f t="shared" ref="AR509" si="156">(6.1+1.6)*1000</f>
        <v>7699.9999999999991</v>
      </c>
      <c r="AS509" s="23">
        <f t="shared" ref="AS509" si="157">AR509/(170+36)</f>
        <v>37.378640776699022</v>
      </c>
      <c r="AT509" s="64" t="s">
        <v>563</v>
      </c>
      <c r="BH509" s="23">
        <v>4.8380000000000001</v>
      </c>
      <c r="BI509" s="23">
        <v>5.7350000000000003</v>
      </c>
      <c r="BJ509" s="23" t="s">
        <v>561</v>
      </c>
      <c r="DP509" s="12"/>
      <c r="DR509" s="15"/>
      <c r="EL509" s="23" t="s">
        <v>564</v>
      </c>
      <c r="EM509" s="23" t="s">
        <v>945</v>
      </c>
      <c r="EN509" s="23">
        <v>26</v>
      </c>
    </row>
    <row r="510" spans="1:144" s="23" customFormat="1" x14ac:dyDescent="0.25">
      <c r="A510" s="23">
        <v>26</v>
      </c>
      <c r="B510" s="23" t="s">
        <v>546</v>
      </c>
      <c r="C510" s="23" t="s">
        <v>547</v>
      </c>
      <c r="D510" s="23">
        <v>2015</v>
      </c>
      <c r="E510" s="23">
        <v>2012</v>
      </c>
      <c r="F510" s="23" t="s">
        <v>387</v>
      </c>
      <c r="G510" s="23" t="s">
        <v>549</v>
      </c>
      <c r="H510" s="23">
        <f t="shared" si="100"/>
        <v>35.22</v>
      </c>
      <c r="I510" s="23">
        <f t="shared" si="101"/>
        <v>-77.650000000000006</v>
      </c>
      <c r="J510" s="23">
        <v>22.4</v>
      </c>
      <c r="P510" s="53" t="s">
        <v>186</v>
      </c>
      <c r="Q510" s="53"/>
      <c r="R510" s="53" t="s">
        <v>556</v>
      </c>
      <c r="S510" s="53" t="s">
        <v>657</v>
      </c>
      <c r="W510" s="23" t="s">
        <v>182</v>
      </c>
      <c r="AA510" s="23" t="s">
        <v>1690</v>
      </c>
      <c r="AB510" s="23" t="s">
        <v>552</v>
      </c>
      <c r="AC510" s="23" t="s">
        <v>174</v>
      </c>
      <c r="AG510" s="23" t="s">
        <v>560</v>
      </c>
      <c r="AH510" s="23" t="s">
        <v>560</v>
      </c>
      <c r="AI510" s="23" t="s">
        <v>252</v>
      </c>
      <c r="AJ510" s="23">
        <v>0</v>
      </c>
      <c r="AK510" s="23">
        <v>0</v>
      </c>
      <c r="AL510" s="23" t="s">
        <v>252</v>
      </c>
      <c r="AM510" s="23" t="s">
        <v>222</v>
      </c>
      <c r="AN510" s="23">
        <v>4</v>
      </c>
      <c r="AO510" s="23">
        <v>4</v>
      </c>
      <c r="AP510" s="23" t="s">
        <v>448</v>
      </c>
      <c r="AR510" s="23">
        <f t="shared" ref="AR510" si="158">(6.4+1.9)*1000</f>
        <v>8300</v>
      </c>
      <c r="AS510" s="23">
        <f t="shared" ref="AS510" si="159">AR510/(110+27)</f>
        <v>60.583941605839414</v>
      </c>
      <c r="AT510" s="64" t="s">
        <v>563</v>
      </c>
      <c r="BH510" s="23">
        <v>4.8380000000000001</v>
      </c>
      <c r="BI510" s="23">
        <v>5.7350000000000003</v>
      </c>
      <c r="BJ510" s="23" t="s">
        <v>561</v>
      </c>
      <c r="DP510" s="12"/>
      <c r="DR510" s="15"/>
      <c r="EL510" s="23" t="s">
        <v>564</v>
      </c>
      <c r="EM510" s="23" t="s">
        <v>945</v>
      </c>
      <c r="EN510" s="23">
        <v>26</v>
      </c>
    </row>
    <row r="511" spans="1:144" s="23" customFormat="1" x14ac:dyDescent="0.25">
      <c r="A511" s="23">
        <v>26</v>
      </c>
      <c r="B511" s="23" t="s">
        <v>546</v>
      </c>
      <c r="C511" s="23" t="s">
        <v>547</v>
      </c>
      <c r="D511" s="23">
        <v>2015</v>
      </c>
      <c r="E511" s="23">
        <v>2012</v>
      </c>
      <c r="F511" s="23" t="s">
        <v>387</v>
      </c>
      <c r="G511" s="23" t="s">
        <v>549</v>
      </c>
      <c r="H511" s="23">
        <f t="shared" si="100"/>
        <v>35.22</v>
      </c>
      <c r="I511" s="23">
        <f t="shared" si="101"/>
        <v>-77.650000000000006</v>
      </c>
      <c r="J511" s="23">
        <v>22.4</v>
      </c>
      <c r="P511" s="53" t="s">
        <v>186</v>
      </c>
      <c r="Q511" s="53"/>
      <c r="R511" s="53" t="s">
        <v>556</v>
      </c>
      <c r="S511" s="53" t="s">
        <v>657</v>
      </c>
      <c r="W511" s="23" t="s">
        <v>182</v>
      </c>
      <c r="AA511" s="23" t="s">
        <v>1690</v>
      </c>
      <c r="AB511" s="23" t="s">
        <v>326</v>
      </c>
      <c r="AC511" s="23" t="s">
        <v>174</v>
      </c>
      <c r="AG511" s="23" t="s">
        <v>560</v>
      </c>
      <c r="AH511" s="23" t="s">
        <v>560</v>
      </c>
      <c r="AI511" s="23" t="s">
        <v>252</v>
      </c>
      <c r="AJ511" s="23">
        <v>0</v>
      </c>
      <c r="AK511" s="23">
        <v>0</v>
      </c>
      <c r="AL511" s="23" t="s">
        <v>252</v>
      </c>
      <c r="AM511" s="23" t="s">
        <v>222</v>
      </c>
      <c r="AN511" s="23">
        <v>4</v>
      </c>
      <c r="AO511" s="23">
        <v>4</v>
      </c>
      <c r="AP511" s="23" t="s">
        <v>448</v>
      </c>
      <c r="AR511" s="23">
        <f t="shared" ref="AR511" si="160">(6.5+1.8)*1000</f>
        <v>8300</v>
      </c>
      <c r="AS511" s="23">
        <f t="shared" ref="AS511" si="161">AR511/(175+47)</f>
        <v>37.387387387387385</v>
      </c>
      <c r="AT511" s="64" t="s">
        <v>563</v>
      </c>
      <c r="BH511" s="23">
        <v>4.8380000000000001</v>
      </c>
      <c r="BI511" s="23">
        <v>5.7350000000000003</v>
      </c>
      <c r="BJ511" s="23" t="s">
        <v>561</v>
      </c>
      <c r="DP511" s="12"/>
      <c r="DR511" s="15"/>
      <c r="EL511" s="23" t="s">
        <v>564</v>
      </c>
      <c r="EM511" s="23" t="s">
        <v>945</v>
      </c>
      <c r="EN511" s="23">
        <v>26</v>
      </c>
    </row>
    <row r="512" spans="1:144" s="23" customFormat="1" x14ac:dyDescent="0.25">
      <c r="A512" s="23">
        <v>26</v>
      </c>
      <c r="B512" s="23" t="s">
        <v>546</v>
      </c>
      <c r="C512" s="23" t="s">
        <v>547</v>
      </c>
      <c r="D512" s="23">
        <v>2015</v>
      </c>
      <c r="E512" s="23">
        <v>2012</v>
      </c>
      <c r="F512" s="23" t="s">
        <v>387</v>
      </c>
      <c r="G512" s="23" t="s">
        <v>549</v>
      </c>
      <c r="H512" s="23">
        <f t="shared" si="100"/>
        <v>35.22</v>
      </c>
      <c r="I512" s="23">
        <f t="shared" si="101"/>
        <v>-77.650000000000006</v>
      </c>
      <c r="J512" s="23">
        <v>22.4</v>
      </c>
      <c r="P512" s="53" t="s">
        <v>186</v>
      </c>
      <c r="Q512" s="53"/>
      <c r="R512" s="53" t="s">
        <v>557</v>
      </c>
      <c r="S512" s="53" t="s">
        <v>657</v>
      </c>
      <c r="W512" s="23" t="s">
        <v>182</v>
      </c>
      <c r="AA512" s="23" t="s">
        <v>1690</v>
      </c>
      <c r="AB512" s="23" t="s">
        <v>551</v>
      </c>
      <c r="AC512" s="23" t="s">
        <v>174</v>
      </c>
      <c r="AG512" s="23" t="s">
        <v>560</v>
      </c>
      <c r="AH512" s="23" t="s">
        <v>560</v>
      </c>
      <c r="AI512" s="23" t="s">
        <v>252</v>
      </c>
      <c r="AJ512" s="23">
        <v>0</v>
      </c>
      <c r="AK512" s="23">
        <v>0</v>
      </c>
      <c r="AL512" s="23" t="s">
        <v>252</v>
      </c>
      <c r="AM512" s="23" t="s">
        <v>222</v>
      </c>
      <c r="AN512" s="23">
        <v>4</v>
      </c>
      <c r="AO512" s="23">
        <v>4</v>
      </c>
      <c r="AP512" s="23" t="s">
        <v>448</v>
      </c>
      <c r="AR512" s="23">
        <f t="shared" ref="AR512" si="162">(6.1+1.6)*1000</f>
        <v>7699.9999999999991</v>
      </c>
      <c r="AS512" s="23">
        <f t="shared" ref="AS512" si="163">AR512/(170+36)</f>
        <v>37.378640776699022</v>
      </c>
      <c r="AT512" s="64" t="s">
        <v>563</v>
      </c>
      <c r="BH512" s="23">
        <v>5.2370000000000001</v>
      </c>
      <c r="BI512" s="23">
        <v>6.38</v>
      </c>
      <c r="BJ512" s="23" t="s">
        <v>561</v>
      </c>
      <c r="DP512" s="12"/>
      <c r="DR512" s="15"/>
      <c r="EL512" s="23" t="s">
        <v>564</v>
      </c>
      <c r="EM512" s="23" t="s">
        <v>945</v>
      </c>
      <c r="EN512" s="23">
        <v>26</v>
      </c>
    </row>
    <row r="513" spans="1:144" s="23" customFormat="1" x14ac:dyDescent="0.25">
      <c r="A513" s="23">
        <v>26</v>
      </c>
      <c r="B513" s="23" t="s">
        <v>546</v>
      </c>
      <c r="C513" s="23" t="s">
        <v>547</v>
      </c>
      <c r="D513" s="23">
        <v>2015</v>
      </c>
      <c r="E513" s="23">
        <v>2012</v>
      </c>
      <c r="F513" s="23" t="s">
        <v>387</v>
      </c>
      <c r="G513" s="23" t="s">
        <v>549</v>
      </c>
      <c r="H513" s="23">
        <f t="shared" si="100"/>
        <v>35.22</v>
      </c>
      <c r="I513" s="23">
        <f t="shared" si="101"/>
        <v>-77.650000000000006</v>
      </c>
      <c r="J513" s="23">
        <v>22.4</v>
      </c>
      <c r="P513" s="53" t="s">
        <v>186</v>
      </c>
      <c r="Q513" s="53"/>
      <c r="R513" s="53" t="s">
        <v>557</v>
      </c>
      <c r="S513" s="53" t="s">
        <v>657</v>
      </c>
      <c r="W513" s="23" t="s">
        <v>182</v>
      </c>
      <c r="AA513" s="23" t="s">
        <v>1690</v>
      </c>
      <c r="AB513" s="23" t="s">
        <v>552</v>
      </c>
      <c r="AC513" s="23" t="s">
        <v>174</v>
      </c>
      <c r="AG513" s="23" t="s">
        <v>560</v>
      </c>
      <c r="AH513" s="23" t="s">
        <v>560</v>
      </c>
      <c r="AI513" s="23" t="s">
        <v>252</v>
      </c>
      <c r="AJ513" s="23">
        <v>0</v>
      </c>
      <c r="AK513" s="23">
        <v>0</v>
      </c>
      <c r="AL513" s="23" t="s">
        <v>252</v>
      </c>
      <c r="AM513" s="23" t="s">
        <v>222</v>
      </c>
      <c r="AN513" s="23">
        <v>4</v>
      </c>
      <c r="AO513" s="23">
        <v>4</v>
      </c>
      <c r="AP513" s="23" t="s">
        <v>448</v>
      </c>
      <c r="AR513" s="23">
        <f t="shared" ref="AR513" si="164">(6.4+1.9)*1000</f>
        <v>8300</v>
      </c>
      <c r="AS513" s="23">
        <f t="shared" ref="AS513" si="165">AR513/(110+27)</f>
        <v>60.583941605839414</v>
      </c>
      <c r="AT513" s="64" t="s">
        <v>563</v>
      </c>
      <c r="BH513" s="23">
        <v>5.2370000000000001</v>
      </c>
      <c r="BI513" s="23">
        <v>6.38</v>
      </c>
      <c r="BJ513" s="23" t="s">
        <v>561</v>
      </c>
      <c r="DP513" s="12"/>
      <c r="DR513" s="15"/>
      <c r="EL513" s="23" t="s">
        <v>564</v>
      </c>
      <c r="EM513" s="23" t="s">
        <v>945</v>
      </c>
      <c r="EN513" s="23">
        <v>26</v>
      </c>
    </row>
    <row r="514" spans="1:144" s="23" customFormat="1" x14ac:dyDescent="0.25">
      <c r="A514" s="23">
        <v>26</v>
      </c>
      <c r="B514" s="23" t="s">
        <v>546</v>
      </c>
      <c r="C514" s="23" t="s">
        <v>547</v>
      </c>
      <c r="D514" s="23">
        <v>2015</v>
      </c>
      <c r="E514" s="23">
        <v>2012</v>
      </c>
      <c r="F514" s="23" t="s">
        <v>387</v>
      </c>
      <c r="G514" s="23" t="s">
        <v>549</v>
      </c>
      <c r="H514" s="23">
        <f t="shared" si="100"/>
        <v>35.22</v>
      </c>
      <c r="I514" s="23">
        <f t="shared" si="101"/>
        <v>-77.650000000000006</v>
      </c>
      <c r="J514" s="23">
        <v>22.4</v>
      </c>
      <c r="P514" s="53" t="s">
        <v>186</v>
      </c>
      <c r="Q514" s="53"/>
      <c r="R514" s="53" t="s">
        <v>557</v>
      </c>
      <c r="S514" s="53" t="s">
        <v>657</v>
      </c>
      <c r="W514" s="23" t="s">
        <v>182</v>
      </c>
      <c r="AA514" s="23" t="s">
        <v>1690</v>
      </c>
      <c r="AB514" s="23" t="s">
        <v>326</v>
      </c>
      <c r="AC514" s="23" t="s">
        <v>174</v>
      </c>
      <c r="AG514" s="23" t="s">
        <v>560</v>
      </c>
      <c r="AH514" s="23" t="s">
        <v>560</v>
      </c>
      <c r="AI514" s="23" t="s">
        <v>252</v>
      </c>
      <c r="AJ514" s="23">
        <v>0</v>
      </c>
      <c r="AK514" s="23">
        <v>0</v>
      </c>
      <c r="AL514" s="23" t="s">
        <v>252</v>
      </c>
      <c r="AM514" s="23" t="s">
        <v>222</v>
      </c>
      <c r="AN514" s="23">
        <v>4</v>
      </c>
      <c r="AO514" s="23">
        <v>4</v>
      </c>
      <c r="AP514" s="23" t="s">
        <v>448</v>
      </c>
      <c r="AR514" s="23">
        <f t="shared" ref="AR514" si="166">(6.5+1.8)*1000</f>
        <v>8300</v>
      </c>
      <c r="AS514" s="23">
        <f t="shared" ref="AS514" si="167">AR514/(175+47)</f>
        <v>37.387387387387385</v>
      </c>
      <c r="AT514" s="64" t="s">
        <v>563</v>
      </c>
      <c r="BH514" s="23">
        <v>5.2370000000000001</v>
      </c>
      <c r="BI514" s="23">
        <v>6.38</v>
      </c>
      <c r="BJ514" s="23" t="s">
        <v>561</v>
      </c>
      <c r="DP514" s="12"/>
      <c r="DR514" s="15"/>
      <c r="EL514" s="23" t="s">
        <v>564</v>
      </c>
      <c r="EM514" s="23" t="s">
        <v>945</v>
      </c>
      <c r="EN514" s="23">
        <v>26</v>
      </c>
    </row>
    <row r="515" spans="1:144" s="23" customFormat="1" x14ac:dyDescent="0.25">
      <c r="A515" s="23">
        <v>26</v>
      </c>
      <c r="B515" s="23" t="s">
        <v>546</v>
      </c>
      <c r="C515" s="23" t="s">
        <v>547</v>
      </c>
      <c r="D515" s="23">
        <v>2015</v>
      </c>
      <c r="E515" s="23">
        <v>2012</v>
      </c>
      <c r="F515" s="23" t="s">
        <v>387</v>
      </c>
      <c r="G515" s="23" t="s">
        <v>549</v>
      </c>
      <c r="H515" s="23">
        <f t="shared" si="100"/>
        <v>35.22</v>
      </c>
      <c r="I515" s="23">
        <f t="shared" si="101"/>
        <v>-77.650000000000006</v>
      </c>
      <c r="J515" s="23">
        <v>22.4</v>
      </c>
      <c r="P515" s="53" t="s">
        <v>186</v>
      </c>
      <c r="Q515" s="53"/>
      <c r="R515" s="53" t="s">
        <v>558</v>
      </c>
      <c r="S515" s="53" t="s">
        <v>657</v>
      </c>
      <c r="W515" s="23" t="s">
        <v>182</v>
      </c>
      <c r="AA515" s="23" t="s">
        <v>1690</v>
      </c>
      <c r="AB515" s="23" t="s">
        <v>551</v>
      </c>
      <c r="AC515" s="23" t="s">
        <v>174</v>
      </c>
      <c r="AG515" s="23" t="s">
        <v>560</v>
      </c>
      <c r="AH515" s="23" t="s">
        <v>560</v>
      </c>
      <c r="AI515" s="23" t="s">
        <v>252</v>
      </c>
      <c r="AJ515" s="23">
        <v>0</v>
      </c>
      <c r="AK515" s="23">
        <v>0</v>
      </c>
      <c r="AL515" s="23" t="s">
        <v>252</v>
      </c>
      <c r="AM515" s="23" t="s">
        <v>222</v>
      </c>
      <c r="AN515" s="23">
        <v>4</v>
      </c>
      <c r="AO515" s="23">
        <v>4</v>
      </c>
      <c r="AP515" s="23" t="s">
        <v>448</v>
      </c>
      <c r="AR515" s="23">
        <f t="shared" ref="AR515" si="168">(6.1+1.6)*1000</f>
        <v>7699.9999999999991</v>
      </c>
      <c r="AS515" s="23">
        <f t="shared" ref="AS515" si="169">AR515/(170+36)</f>
        <v>37.378640776699022</v>
      </c>
      <c r="AT515" s="64" t="s">
        <v>563</v>
      </c>
      <c r="BH515" s="23">
        <v>3.5859999999999999</v>
      </c>
      <c r="BI515" s="23">
        <v>4.0750000000000002</v>
      </c>
      <c r="BJ515" s="23" t="s">
        <v>561</v>
      </c>
      <c r="DP515" s="12"/>
      <c r="DR515" s="15"/>
      <c r="EL515" s="23" t="s">
        <v>564</v>
      </c>
      <c r="EM515" s="23" t="s">
        <v>945</v>
      </c>
      <c r="EN515" s="23">
        <v>26</v>
      </c>
    </row>
    <row r="516" spans="1:144" s="23" customFormat="1" x14ac:dyDescent="0.25">
      <c r="A516" s="23">
        <v>26</v>
      </c>
      <c r="B516" s="23" t="s">
        <v>546</v>
      </c>
      <c r="C516" s="23" t="s">
        <v>547</v>
      </c>
      <c r="D516" s="23">
        <v>2015</v>
      </c>
      <c r="E516" s="23">
        <v>2012</v>
      </c>
      <c r="F516" s="23" t="s">
        <v>387</v>
      </c>
      <c r="G516" s="23" t="s">
        <v>549</v>
      </c>
      <c r="H516" s="23">
        <f t="shared" si="100"/>
        <v>35.22</v>
      </c>
      <c r="I516" s="23">
        <f t="shared" si="101"/>
        <v>-77.650000000000006</v>
      </c>
      <c r="J516" s="23">
        <v>22.4</v>
      </c>
      <c r="P516" s="53" t="s">
        <v>186</v>
      </c>
      <c r="Q516" s="53"/>
      <c r="R516" s="53" t="s">
        <v>558</v>
      </c>
      <c r="S516" s="53" t="s">
        <v>657</v>
      </c>
      <c r="W516" s="23" t="s">
        <v>182</v>
      </c>
      <c r="AA516" s="23" t="s">
        <v>1690</v>
      </c>
      <c r="AB516" s="23" t="s">
        <v>552</v>
      </c>
      <c r="AC516" s="23" t="s">
        <v>174</v>
      </c>
      <c r="AG516" s="23" t="s">
        <v>560</v>
      </c>
      <c r="AH516" s="23" t="s">
        <v>560</v>
      </c>
      <c r="AI516" s="23" t="s">
        <v>252</v>
      </c>
      <c r="AJ516" s="23">
        <v>0</v>
      </c>
      <c r="AK516" s="23">
        <v>0</v>
      </c>
      <c r="AL516" s="23" t="s">
        <v>252</v>
      </c>
      <c r="AM516" s="23" t="s">
        <v>222</v>
      </c>
      <c r="AN516" s="23">
        <v>4</v>
      </c>
      <c r="AO516" s="23">
        <v>4</v>
      </c>
      <c r="AP516" s="23" t="s">
        <v>448</v>
      </c>
      <c r="AR516" s="23">
        <f t="shared" ref="AR516" si="170">(6.4+1.9)*1000</f>
        <v>8300</v>
      </c>
      <c r="AS516" s="23">
        <f t="shared" ref="AS516" si="171">AR516/(110+27)</f>
        <v>60.583941605839414</v>
      </c>
      <c r="AT516" s="64" t="s">
        <v>563</v>
      </c>
      <c r="BH516" s="23">
        <v>3.5859999999999999</v>
      </c>
      <c r="BI516" s="23">
        <v>2.2799999999999998</v>
      </c>
      <c r="BJ516" s="23" t="s">
        <v>561</v>
      </c>
      <c r="DP516" s="12"/>
      <c r="DR516" s="15"/>
      <c r="EL516" s="23" t="s">
        <v>564</v>
      </c>
      <c r="EM516" s="23" t="s">
        <v>945</v>
      </c>
      <c r="EN516" s="23">
        <v>26</v>
      </c>
    </row>
    <row r="517" spans="1:144" s="23" customFormat="1" x14ac:dyDescent="0.25">
      <c r="A517" s="23">
        <v>26</v>
      </c>
      <c r="B517" s="23" t="s">
        <v>546</v>
      </c>
      <c r="C517" s="23" t="s">
        <v>547</v>
      </c>
      <c r="D517" s="23">
        <v>2015</v>
      </c>
      <c r="E517" s="23">
        <v>2012</v>
      </c>
      <c r="F517" s="23" t="s">
        <v>387</v>
      </c>
      <c r="G517" s="23" t="s">
        <v>549</v>
      </c>
      <c r="H517" s="23">
        <f t="shared" si="100"/>
        <v>35.22</v>
      </c>
      <c r="I517" s="23">
        <f t="shared" si="101"/>
        <v>-77.650000000000006</v>
      </c>
      <c r="J517" s="23">
        <v>22.4</v>
      </c>
      <c r="P517" s="53" t="s">
        <v>186</v>
      </c>
      <c r="Q517" s="53"/>
      <c r="R517" s="53" t="s">
        <v>558</v>
      </c>
      <c r="S517" s="53" t="s">
        <v>657</v>
      </c>
      <c r="W517" s="23" t="s">
        <v>182</v>
      </c>
      <c r="AA517" s="23" t="s">
        <v>1690</v>
      </c>
      <c r="AB517" s="23" t="s">
        <v>326</v>
      </c>
      <c r="AC517" s="23" t="s">
        <v>174</v>
      </c>
      <c r="AG517" s="23" t="s">
        <v>560</v>
      </c>
      <c r="AH517" s="23" t="s">
        <v>560</v>
      </c>
      <c r="AI517" s="23" t="s">
        <v>252</v>
      </c>
      <c r="AJ517" s="23">
        <v>0</v>
      </c>
      <c r="AK517" s="23">
        <v>0</v>
      </c>
      <c r="AL517" s="23" t="s">
        <v>252</v>
      </c>
      <c r="AM517" s="23" t="s">
        <v>222</v>
      </c>
      <c r="AN517" s="23">
        <v>4</v>
      </c>
      <c r="AO517" s="23">
        <v>4</v>
      </c>
      <c r="AP517" s="23" t="s">
        <v>448</v>
      </c>
      <c r="AR517" s="23">
        <f t="shared" ref="AR517" si="172">(6.5+1.8)*1000</f>
        <v>8300</v>
      </c>
      <c r="AS517" s="23">
        <f t="shared" ref="AS517" si="173">AR517/(175+47)</f>
        <v>37.387387387387385</v>
      </c>
      <c r="AT517" s="64" t="s">
        <v>563</v>
      </c>
      <c r="BH517" s="23">
        <v>3.5859999999999999</v>
      </c>
      <c r="BI517" s="23">
        <v>4.0750000000000002</v>
      </c>
      <c r="BJ517" s="23" t="s">
        <v>561</v>
      </c>
      <c r="DP517" s="12"/>
      <c r="DR517" s="15"/>
      <c r="EL517" s="23" t="s">
        <v>564</v>
      </c>
      <c r="EM517" s="23" t="s">
        <v>945</v>
      </c>
      <c r="EN517" s="23">
        <v>26</v>
      </c>
    </row>
    <row r="518" spans="1:144" s="23" customFormat="1" x14ac:dyDescent="0.25">
      <c r="A518" s="23">
        <v>26</v>
      </c>
      <c r="B518" s="23" t="s">
        <v>546</v>
      </c>
      <c r="C518" s="23" t="s">
        <v>547</v>
      </c>
      <c r="D518" s="23">
        <v>2015</v>
      </c>
      <c r="E518" s="23">
        <v>2012</v>
      </c>
      <c r="F518" s="23" t="s">
        <v>387</v>
      </c>
      <c r="G518" s="23" t="s">
        <v>549</v>
      </c>
      <c r="H518" s="23">
        <f t="shared" si="100"/>
        <v>35.22</v>
      </c>
      <c r="I518" s="23">
        <f t="shared" si="101"/>
        <v>-77.650000000000006</v>
      </c>
      <c r="J518" s="23">
        <v>22.4</v>
      </c>
      <c r="P518" s="53" t="s">
        <v>186</v>
      </c>
      <c r="Q518" s="53"/>
      <c r="R518" s="53" t="s">
        <v>559</v>
      </c>
      <c r="S518" s="53" t="s">
        <v>657</v>
      </c>
      <c r="W518" s="23" t="s">
        <v>182</v>
      </c>
      <c r="AA518" s="23" t="s">
        <v>1690</v>
      </c>
      <c r="AB518" s="23" t="s">
        <v>551</v>
      </c>
      <c r="AC518" s="23" t="s">
        <v>174</v>
      </c>
      <c r="AG518" s="23" t="s">
        <v>560</v>
      </c>
      <c r="AH518" s="23" t="s">
        <v>560</v>
      </c>
      <c r="AI518" s="23" t="s">
        <v>252</v>
      </c>
      <c r="AJ518" s="23">
        <v>0</v>
      </c>
      <c r="AK518" s="23">
        <v>0</v>
      </c>
      <c r="AL518" s="23" t="s">
        <v>252</v>
      </c>
      <c r="AM518" s="23" t="s">
        <v>222</v>
      </c>
      <c r="AN518" s="23">
        <v>4</v>
      </c>
      <c r="AO518" s="23">
        <v>4</v>
      </c>
      <c r="AP518" s="23" t="s">
        <v>448</v>
      </c>
      <c r="AR518" s="23">
        <f t="shared" ref="AR518" si="174">(6.1+1.6)*1000</f>
        <v>7699.9999999999991</v>
      </c>
      <c r="AS518" s="23">
        <f t="shared" ref="AS518" si="175">AR518/(170+36)</f>
        <v>37.378640776699022</v>
      </c>
      <c r="AT518" s="64" t="s">
        <v>563</v>
      </c>
      <c r="BH518" s="23">
        <v>6.4219999999999997</v>
      </c>
      <c r="BI518" s="23">
        <v>5.2</v>
      </c>
      <c r="BJ518" s="23" t="s">
        <v>561</v>
      </c>
      <c r="DP518" s="12"/>
      <c r="DR518" s="15"/>
      <c r="EL518" s="23" t="s">
        <v>564</v>
      </c>
      <c r="EM518" s="23" t="s">
        <v>945</v>
      </c>
      <c r="EN518" s="23">
        <v>26</v>
      </c>
    </row>
    <row r="519" spans="1:144" s="23" customFormat="1" x14ac:dyDescent="0.25">
      <c r="A519" s="23">
        <v>26</v>
      </c>
      <c r="B519" s="23" t="s">
        <v>546</v>
      </c>
      <c r="C519" s="23" t="s">
        <v>547</v>
      </c>
      <c r="D519" s="23">
        <v>2015</v>
      </c>
      <c r="E519" s="23">
        <v>2012</v>
      </c>
      <c r="F519" s="23" t="s">
        <v>387</v>
      </c>
      <c r="G519" s="23" t="s">
        <v>549</v>
      </c>
      <c r="H519" s="23">
        <f t="shared" si="100"/>
        <v>35.22</v>
      </c>
      <c r="I519" s="23">
        <f t="shared" si="101"/>
        <v>-77.650000000000006</v>
      </c>
      <c r="J519" s="23">
        <v>22.4</v>
      </c>
      <c r="P519" s="53" t="s">
        <v>186</v>
      </c>
      <c r="Q519" s="53"/>
      <c r="R519" s="53" t="s">
        <v>559</v>
      </c>
      <c r="S519" s="53" t="s">
        <v>657</v>
      </c>
      <c r="W519" s="23" t="s">
        <v>182</v>
      </c>
      <c r="AA519" s="23" t="s">
        <v>1690</v>
      </c>
      <c r="AB519" s="23" t="s">
        <v>552</v>
      </c>
      <c r="AC519" s="23" t="s">
        <v>174</v>
      </c>
      <c r="AG519" s="23" t="s">
        <v>560</v>
      </c>
      <c r="AH519" s="23" t="s">
        <v>560</v>
      </c>
      <c r="AI519" s="23" t="s">
        <v>252</v>
      </c>
      <c r="AJ519" s="23">
        <v>0</v>
      </c>
      <c r="AK519" s="23">
        <v>0</v>
      </c>
      <c r="AL519" s="23" t="s">
        <v>252</v>
      </c>
      <c r="AM519" s="23" t="s">
        <v>222</v>
      </c>
      <c r="AN519" s="23">
        <v>4</v>
      </c>
      <c r="AO519" s="23">
        <v>4</v>
      </c>
      <c r="AP519" s="23" t="s">
        <v>448</v>
      </c>
      <c r="AR519" s="23">
        <f t="shared" ref="AR519" si="176">(6.4+1.9)*1000</f>
        <v>8300</v>
      </c>
      <c r="AS519" s="23">
        <f t="shared" ref="AS519" si="177">AR519/(110+27)</f>
        <v>60.583941605839414</v>
      </c>
      <c r="AT519" s="64" t="s">
        <v>563</v>
      </c>
      <c r="BH519" s="23">
        <v>6.4219999999999997</v>
      </c>
      <c r="BI519" s="23">
        <v>4.1399999999999997</v>
      </c>
      <c r="BJ519" s="23" t="s">
        <v>561</v>
      </c>
      <c r="DP519" s="12"/>
      <c r="DR519" s="15"/>
      <c r="EL519" s="23" t="s">
        <v>564</v>
      </c>
      <c r="EM519" s="23" t="s">
        <v>945</v>
      </c>
      <c r="EN519" s="23">
        <v>26</v>
      </c>
    </row>
    <row r="520" spans="1:144" s="23" customFormat="1" x14ac:dyDescent="0.25">
      <c r="A520" s="23">
        <v>26</v>
      </c>
      <c r="B520" s="23" t="s">
        <v>546</v>
      </c>
      <c r="C520" s="23" t="s">
        <v>547</v>
      </c>
      <c r="D520" s="23">
        <v>2015</v>
      </c>
      <c r="E520" s="23">
        <v>2012</v>
      </c>
      <c r="F520" s="23" t="s">
        <v>387</v>
      </c>
      <c r="G520" s="23" t="s">
        <v>549</v>
      </c>
      <c r="H520" s="23">
        <f t="shared" si="100"/>
        <v>35.22</v>
      </c>
      <c r="I520" s="23">
        <f t="shared" si="101"/>
        <v>-77.650000000000006</v>
      </c>
      <c r="J520" s="23">
        <v>22.4</v>
      </c>
      <c r="P520" s="53" t="s">
        <v>186</v>
      </c>
      <c r="Q520" s="53"/>
      <c r="R520" s="53" t="s">
        <v>559</v>
      </c>
      <c r="S520" s="53" t="s">
        <v>657</v>
      </c>
      <c r="W520" s="23" t="s">
        <v>182</v>
      </c>
      <c r="AA520" s="23" t="s">
        <v>1690</v>
      </c>
      <c r="AB520" s="23" t="s">
        <v>326</v>
      </c>
      <c r="AC520" s="23" t="s">
        <v>174</v>
      </c>
      <c r="AG520" s="23" t="s">
        <v>560</v>
      </c>
      <c r="AH520" s="23" t="s">
        <v>560</v>
      </c>
      <c r="AI520" s="23" t="s">
        <v>252</v>
      </c>
      <c r="AJ520" s="23">
        <v>0</v>
      </c>
      <c r="AK520" s="23">
        <v>0</v>
      </c>
      <c r="AL520" s="23" t="s">
        <v>252</v>
      </c>
      <c r="AM520" s="23" t="s">
        <v>222</v>
      </c>
      <c r="AN520" s="23">
        <v>4</v>
      </c>
      <c r="AO520" s="23">
        <v>4</v>
      </c>
      <c r="AP520" s="23" t="s">
        <v>448</v>
      </c>
      <c r="AR520" s="23">
        <f t="shared" ref="AR520" si="178">(6.5+1.8)*1000</f>
        <v>8300</v>
      </c>
      <c r="AS520" s="23">
        <f t="shared" ref="AS520" si="179">AR520/(175+47)</f>
        <v>37.387387387387385</v>
      </c>
      <c r="AT520" s="64" t="s">
        <v>563</v>
      </c>
      <c r="BH520" s="23">
        <v>6.4219999999999997</v>
      </c>
      <c r="BI520" s="23">
        <v>6.58</v>
      </c>
      <c r="BJ520" s="23" t="s">
        <v>561</v>
      </c>
      <c r="DP520" s="12"/>
      <c r="DR520" s="15"/>
      <c r="EL520" s="23" t="s">
        <v>564</v>
      </c>
      <c r="EM520" s="23" t="s">
        <v>945</v>
      </c>
      <c r="EN520" s="23">
        <v>26</v>
      </c>
    </row>
    <row r="521" spans="1:144" s="42" customFormat="1" x14ac:dyDescent="0.25">
      <c r="A521" s="42">
        <v>27</v>
      </c>
      <c r="B521" s="42" t="s">
        <v>566</v>
      </c>
      <c r="C521" s="42" t="s">
        <v>567</v>
      </c>
      <c r="D521" s="42">
        <v>2017</v>
      </c>
      <c r="E521" s="42">
        <v>2008</v>
      </c>
      <c r="F521" s="42" t="s">
        <v>568</v>
      </c>
      <c r="G521" s="42" t="s">
        <v>569</v>
      </c>
      <c r="H521" s="42">
        <f t="shared" ref="H521:H526" si="180">42+52/60</f>
        <v>42.866666666666667</v>
      </c>
      <c r="I521" s="42">
        <f t="shared" ref="I521:I526" si="181">-76-33/60</f>
        <v>-76.55</v>
      </c>
      <c r="J521" s="42">
        <v>255.8</v>
      </c>
      <c r="N521" s="42">
        <v>979</v>
      </c>
      <c r="P521" s="59" t="s">
        <v>190</v>
      </c>
      <c r="Q521" s="59"/>
      <c r="R521" s="59" t="s">
        <v>570</v>
      </c>
      <c r="S521" s="59" t="s">
        <v>670</v>
      </c>
      <c r="W521" s="42" t="s">
        <v>182</v>
      </c>
      <c r="AA521" s="42" t="s">
        <v>1691</v>
      </c>
      <c r="AB521" s="42" t="s">
        <v>851</v>
      </c>
      <c r="AC521" s="42" t="s">
        <v>299</v>
      </c>
      <c r="AD521" s="42" t="s">
        <v>571</v>
      </c>
      <c r="AE521" s="42" t="s">
        <v>571</v>
      </c>
      <c r="AF521" s="42" t="s">
        <v>252</v>
      </c>
      <c r="AJ521" s="42" t="s">
        <v>572</v>
      </c>
      <c r="AK521" s="42" t="s">
        <v>572</v>
      </c>
      <c r="AL521" s="42" t="s">
        <v>252</v>
      </c>
      <c r="AM521" s="42" t="s">
        <v>222</v>
      </c>
      <c r="AN521" s="42">
        <v>4</v>
      </c>
      <c r="AO521" s="42">
        <v>4</v>
      </c>
      <c r="AP521" s="42" t="s">
        <v>448</v>
      </c>
      <c r="AT521" s="63"/>
      <c r="AY521" s="42">
        <v>5611</v>
      </c>
      <c r="AZ521" s="42">
        <v>5786</v>
      </c>
      <c r="DJ521" s="42">
        <f>14.59*10</f>
        <v>145.9</v>
      </c>
      <c r="DK521" s="42">
        <v>152</v>
      </c>
      <c r="DP521" s="12"/>
      <c r="DR521" s="15"/>
      <c r="EN521" s="42">
        <v>27</v>
      </c>
    </row>
    <row r="522" spans="1:144" s="42" customFormat="1" x14ac:dyDescent="0.25">
      <c r="A522" s="42">
        <v>27</v>
      </c>
      <c r="B522" s="42" t="s">
        <v>566</v>
      </c>
      <c r="C522" s="42" t="s">
        <v>567</v>
      </c>
      <c r="D522" s="42">
        <v>2017</v>
      </c>
      <c r="E522" s="42">
        <v>2008</v>
      </c>
      <c r="F522" s="42" t="s">
        <v>568</v>
      </c>
      <c r="G522" s="42" t="s">
        <v>569</v>
      </c>
      <c r="H522" s="42">
        <f t="shared" si="180"/>
        <v>42.866666666666667</v>
      </c>
      <c r="I522" s="42">
        <f t="shared" si="181"/>
        <v>-76.55</v>
      </c>
      <c r="J522" s="42">
        <v>255.8</v>
      </c>
      <c r="N522" s="42">
        <v>979</v>
      </c>
      <c r="P522" s="59" t="s">
        <v>190</v>
      </c>
      <c r="Q522" s="59"/>
      <c r="R522" s="59" t="s">
        <v>570</v>
      </c>
      <c r="S522" s="59" t="s">
        <v>670</v>
      </c>
      <c r="W522" s="42" t="s">
        <v>182</v>
      </c>
      <c r="AA522" s="42" t="s">
        <v>1691</v>
      </c>
      <c r="AB522" s="42" t="s">
        <v>851</v>
      </c>
      <c r="AC522" s="42" t="s">
        <v>299</v>
      </c>
      <c r="AD522" s="42" t="s">
        <v>571</v>
      </c>
      <c r="AE522" s="42" t="s">
        <v>571</v>
      </c>
      <c r="AF522" s="42" t="s">
        <v>252</v>
      </c>
      <c r="AJ522" s="42" t="s">
        <v>572</v>
      </c>
      <c r="AK522" s="42" t="s">
        <v>572</v>
      </c>
      <c r="AL522" s="42" t="s">
        <v>252</v>
      </c>
      <c r="AM522" s="42" t="s">
        <v>222</v>
      </c>
      <c r="AN522" s="42">
        <v>4</v>
      </c>
      <c r="AO522" s="42">
        <v>4</v>
      </c>
      <c r="AP522" s="42" t="s">
        <v>448</v>
      </c>
      <c r="AT522" s="63"/>
      <c r="AY522" s="42">
        <v>5611</v>
      </c>
      <c r="AZ522" s="42">
        <v>6302</v>
      </c>
      <c r="DJ522" s="42">
        <f t="shared" ref="DJ522:DJ523" si="182">14.59*10</f>
        <v>145.9</v>
      </c>
      <c r="DK522" s="42">
        <v>47.9</v>
      </c>
      <c r="DP522" s="12"/>
      <c r="DR522" s="15"/>
      <c r="EN522" s="42">
        <v>27</v>
      </c>
    </row>
    <row r="523" spans="1:144" s="42" customFormat="1" x14ac:dyDescent="0.25">
      <c r="A523" s="42">
        <v>27</v>
      </c>
      <c r="B523" s="42" t="s">
        <v>566</v>
      </c>
      <c r="C523" s="42" t="s">
        <v>567</v>
      </c>
      <c r="D523" s="42">
        <v>2017</v>
      </c>
      <c r="E523" s="42">
        <v>2008</v>
      </c>
      <c r="F523" s="42" t="s">
        <v>568</v>
      </c>
      <c r="G523" s="42" t="s">
        <v>569</v>
      </c>
      <c r="H523" s="42">
        <f t="shared" si="180"/>
        <v>42.866666666666667</v>
      </c>
      <c r="I523" s="42">
        <f t="shared" si="181"/>
        <v>-76.55</v>
      </c>
      <c r="J523" s="42">
        <v>255.8</v>
      </c>
      <c r="N523" s="42">
        <v>979</v>
      </c>
      <c r="P523" s="59" t="s">
        <v>190</v>
      </c>
      <c r="Q523" s="59"/>
      <c r="R523" s="59" t="s">
        <v>570</v>
      </c>
      <c r="S523" s="59" t="s">
        <v>670</v>
      </c>
      <c r="W523" s="42" t="s">
        <v>182</v>
      </c>
      <c r="AA523" s="42" t="s">
        <v>1691</v>
      </c>
      <c r="AB523" s="42" t="s">
        <v>851</v>
      </c>
      <c r="AC523" s="42" t="s">
        <v>299</v>
      </c>
      <c r="AD523" s="42" t="s">
        <v>571</v>
      </c>
      <c r="AE523" s="42" t="s">
        <v>571</v>
      </c>
      <c r="AF523" s="42" t="s">
        <v>252</v>
      </c>
      <c r="AJ523" s="42" t="s">
        <v>572</v>
      </c>
      <c r="AK523" s="42" t="s">
        <v>572</v>
      </c>
      <c r="AL523" s="42" t="s">
        <v>252</v>
      </c>
      <c r="AM523" s="42" t="s">
        <v>222</v>
      </c>
      <c r="AN523" s="42">
        <v>4</v>
      </c>
      <c r="AO523" s="42">
        <v>4</v>
      </c>
      <c r="AP523" s="42" t="s">
        <v>448</v>
      </c>
      <c r="AT523" s="63"/>
      <c r="AY523" s="42">
        <v>5611</v>
      </c>
      <c r="AZ523" s="42">
        <v>6477</v>
      </c>
      <c r="DJ523" s="42">
        <f t="shared" si="182"/>
        <v>145.9</v>
      </c>
      <c r="DK523" s="42">
        <v>136.9</v>
      </c>
      <c r="DP523" s="12"/>
      <c r="DR523" s="15"/>
      <c r="EN523" s="42">
        <v>27</v>
      </c>
    </row>
    <row r="524" spans="1:144" s="5" customFormat="1" x14ac:dyDescent="0.25">
      <c r="A524" s="42">
        <v>27</v>
      </c>
      <c r="B524" s="42" t="s">
        <v>566</v>
      </c>
      <c r="C524" s="42" t="s">
        <v>567</v>
      </c>
      <c r="D524" s="42">
        <v>2017</v>
      </c>
      <c r="E524" s="42">
        <v>2008</v>
      </c>
      <c r="F524" s="42" t="s">
        <v>568</v>
      </c>
      <c r="G524" s="42" t="s">
        <v>569</v>
      </c>
      <c r="H524" s="42">
        <f t="shared" si="180"/>
        <v>42.866666666666667</v>
      </c>
      <c r="I524" s="42">
        <f t="shared" si="181"/>
        <v>-76.55</v>
      </c>
      <c r="J524" s="42">
        <v>255.8</v>
      </c>
      <c r="K524" s="42"/>
      <c r="L524" s="42"/>
      <c r="M524" s="42"/>
      <c r="N524" s="42">
        <v>979</v>
      </c>
      <c r="O524" s="42"/>
      <c r="P524" s="59" t="s">
        <v>190</v>
      </c>
      <c r="Q524" s="59"/>
      <c r="R524" s="59" t="s">
        <v>570</v>
      </c>
      <c r="S524" s="59" t="s">
        <v>670</v>
      </c>
      <c r="T524" s="42"/>
      <c r="U524" s="42"/>
      <c r="V524" s="42"/>
      <c r="W524" s="42" t="s">
        <v>182</v>
      </c>
      <c r="X524" s="42"/>
      <c r="Y524" s="42"/>
      <c r="Z524" s="42"/>
      <c r="AA524" s="42" t="s">
        <v>1691</v>
      </c>
      <c r="AB524" s="42" t="s">
        <v>851</v>
      </c>
      <c r="AC524" s="42" t="s">
        <v>299</v>
      </c>
      <c r="AD524" s="42" t="s">
        <v>571</v>
      </c>
      <c r="AE524" s="42" t="s">
        <v>571</v>
      </c>
      <c r="AF524" s="42" t="s">
        <v>252</v>
      </c>
      <c r="AG524" s="42"/>
      <c r="AH524" s="42"/>
      <c r="AI524" s="42"/>
      <c r="AJ524" s="42" t="s">
        <v>572</v>
      </c>
      <c r="AK524" s="42" t="s">
        <v>572</v>
      </c>
      <c r="AL524" s="42" t="s">
        <v>252</v>
      </c>
      <c r="AM524" s="42" t="s">
        <v>222</v>
      </c>
      <c r="AN524" s="42">
        <v>4</v>
      </c>
      <c r="AO524" s="42">
        <v>4</v>
      </c>
      <c r="AP524" s="42" t="s">
        <v>448</v>
      </c>
      <c r="AQ524" s="42"/>
      <c r="AT524" s="64"/>
      <c r="AY524" s="5">
        <v>4914</v>
      </c>
      <c r="AZ524" s="5">
        <v>4623</v>
      </c>
      <c r="DJ524" s="5">
        <v>237.5</v>
      </c>
      <c r="DK524" s="5">
        <v>233.61</v>
      </c>
      <c r="DP524" s="12"/>
      <c r="DR524" s="15"/>
      <c r="EK524" s="42"/>
      <c r="EN524" s="42">
        <v>27</v>
      </c>
    </row>
    <row r="525" spans="1:144" s="5" customFormat="1" x14ac:dyDescent="0.25">
      <c r="A525" s="42">
        <v>27</v>
      </c>
      <c r="B525" s="42" t="s">
        <v>566</v>
      </c>
      <c r="C525" s="42" t="s">
        <v>567</v>
      </c>
      <c r="D525" s="42">
        <v>2017</v>
      </c>
      <c r="E525" s="42">
        <v>2008</v>
      </c>
      <c r="F525" s="42" t="s">
        <v>568</v>
      </c>
      <c r="G525" s="42" t="s">
        <v>569</v>
      </c>
      <c r="H525" s="42">
        <f t="shared" si="180"/>
        <v>42.866666666666667</v>
      </c>
      <c r="I525" s="42">
        <f t="shared" si="181"/>
        <v>-76.55</v>
      </c>
      <c r="J525" s="42">
        <v>255.8</v>
      </c>
      <c r="K525" s="42"/>
      <c r="L525" s="42"/>
      <c r="M525" s="42"/>
      <c r="N525" s="42">
        <v>979</v>
      </c>
      <c r="O525" s="42"/>
      <c r="P525" s="59" t="s">
        <v>190</v>
      </c>
      <c r="Q525" s="59"/>
      <c r="R525" s="59" t="s">
        <v>570</v>
      </c>
      <c r="S525" s="59" t="s">
        <v>670</v>
      </c>
      <c r="T525" s="42"/>
      <c r="U525" s="42"/>
      <c r="V525" s="42"/>
      <c r="W525" s="42" t="s">
        <v>182</v>
      </c>
      <c r="X525" s="42"/>
      <c r="Y525" s="42"/>
      <c r="Z525" s="42"/>
      <c r="AA525" s="42" t="s">
        <v>1691</v>
      </c>
      <c r="AB525" s="42" t="s">
        <v>851</v>
      </c>
      <c r="AC525" s="42" t="s">
        <v>299</v>
      </c>
      <c r="AD525" s="42" t="s">
        <v>571</v>
      </c>
      <c r="AE525" s="42" t="s">
        <v>571</v>
      </c>
      <c r="AF525" s="42" t="s">
        <v>252</v>
      </c>
      <c r="AG525" s="42"/>
      <c r="AH525" s="42"/>
      <c r="AI525" s="42"/>
      <c r="AJ525" s="42" t="s">
        <v>572</v>
      </c>
      <c r="AK525" s="42" t="s">
        <v>572</v>
      </c>
      <c r="AL525" s="42" t="s">
        <v>252</v>
      </c>
      <c r="AM525" s="42" t="s">
        <v>222</v>
      </c>
      <c r="AN525" s="42">
        <v>4</v>
      </c>
      <c r="AO525" s="42">
        <v>4</v>
      </c>
      <c r="AP525" s="42" t="s">
        <v>448</v>
      </c>
      <c r="AQ525" s="42"/>
      <c r="AT525" s="64"/>
      <c r="AY525" s="5">
        <v>4914</v>
      </c>
      <c r="AZ525" s="5">
        <v>5501</v>
      </c>
      <c r="DJ525" s="5">
        <v>237.5</v>
      </c>
      <c r="DK525" s="5">
        <v>54.49</v>
      </c>
      <c r="DP525" s="12"/>
      <c r="DR525" s="15"/>
      <c r="EK525" s="42"/>
      <c r="EN525" s="42">
        <v>27</v>
      </c>
    </row>
    <row r="526" spans="1:144" s="5" customFormat="1" x14ac:dyDescent="0.25">
      <c r="A526" s="42">
        <v>27</v>
      </c>
      <c r="B526" s="42" t="s">
        <v>566</v>
      </c>
      <c r="C526" s="42" t="s">
        <v>567</v>
      </c>
      <c r="D526" s="42">
        <v>2017</v>
      </c>
      <c r="E526" s="42">
        <v>2008</v>
      </c>
      <c r="F526" s="42" t="s">
        <v>568</v>
      </c>
      <c r="G526" s="42" t="s">
        <v>569</v>
      </c>
      <c r="H526" s="42">
        <f t="shared" si="180"/>
        <v>42.866666666666667</v>
      </c>
      <c r="I526" s="42">
        <f t="shared" si="181"/>
        <v>-76.55</v>
      </c>
      <c r="J526" s="42">
        <v>255.8</v>
      </c>
      <c r="K526" s="42"/>
      <c r="L526" s="42"/>
      <c r="M526" s="42"/>
      <c r="N526" s="42">
        <v>979</v>
      </c>
      <c r="O526" s="42"/>
      <c r="P526" s="59" t="s">
        <v>190</v>
      </c>
      <c r="Q526" s="59"/>
      <c r="R526" s="59" t="s">
        <v>570</v>
      </c>
      <c r="S526" s="59" t="s">
        <v>670</v>
      </c>
      <c r="T526" s="42"/>
      <c r="U526" s="42"/>
      <c r="V526" s="42"/>
      <c r="W526" s="42" t="s">
        <v>182</v>
      </c>
      <c r="X526" s="42"/>
      <c r="Y526" s="42"/>
      <c r="Z526" s="42"/>
      <c r="AA526" s="42" t="s">
        <v>1691</v>
      </c>
      <c r="AB526" s="42" t="s">
        <v>851</v>
      </c>
      <c r="AC526" s="42" t="s">
        <v>299</v>
      </c>
      <c r="AD526" s="42" t="s">
        <v>571</v>
      </c>
      <c r="AE526" s="42" t="s">
        <v>571</v>
      </c>
      <c r="AF526" s="42" t="s">
        <v>252</v>
      </c>
      <c r="AG526" s="42"/>
      <c r="AH526" s="42"/>
      <c r="AI526" s="42"/>
      <c r="AJ526" s="42" t="s">
        <v>572</v>
      </c>
      <c r="AK526" s="42" t="s">
        <v>572</v>
      </c>
      <c r="AL526" s="42" t="s">
        <v>252</v>
      </c>
      <c r="AM526" s="42" t="s">
        <v>222</v>
      </c>
      <c r="AN526" s="42">
        <v>4</v>
      </c>
      <c r="AO526" s="42">
        <v>4</v>
      </c>
      <c r="AP526" s="42" t="s">
        <v>448</v>
      </c>
      <c r="AQ526" s="42"/>
      <c r="AT526" s="64"/>
      <c r="AY526" s="5">
        <v>4914</v>
      </c>
      <c r="AZ526" s="5">
        <v>4918</v>
      </c>
      <c r="DJ526" s="5">
        <v>237.5</v>
      </c>
      <c r="DK526" s="5">
        <v>216.05</v>
      </c>
      <c r="DP526" s="12"/>
      <c r="DR526" s="15"/>
      <c r="EK526" s="42"/>
      <c r="EN526" s="42">
        <v>27</v>
      </c>
    </row>
    <row r="527" spans="1:144" s="38" customFormat="1" x14ac:dyDescent="0.25">
      <c r="A527" s="38">
        <v>28</v>
      </c>
      <c r="B527" s="38" t="s">
        <v>573</v>
      </c>
      <c r="C527" s="38" t="s">
        <v>574</v>
      </c>
      <c r="D527" s="38">
        <v>2007</v>
      </c>
      <c r="E527" s="38">
        <v>2005</v>
      </c>
      <c r="F527" s="38" t="s">
        <v>575</v>
      </c>
      <c r="G527" s="38" t="s">
        <v>576</v>
      </c>
      <c r="H527" s="38">
        <f>39+13/60</f>
        <v>39.216666666666669</v>
      </c>
      <c r="I527" s="38">
        <f>-92-7/60</f>
        <v>-92.11666666666666</v>
      </c>
      <c r="J527" s="38">
        <v>262.2</v>
      </c>
      <c r="P527" s="57" t="s">
        <v>186</v>
      </c>
      <c r="Q527" s="57"/>
      <c r="R527" s="57" t="s">
        <v>279</v>
      </c>
      <c r="S527" s="57" t="s">
        <v>667</v>
      </c>
      <c r="T527" s="38">
        <v>1.28</v>
      </c>
      <c r="U527" s="38">
        <f>100-V527-(21.3+45.5+49.9+24.8+54.6+42.9+23+38.3+39.7)/9</f>
        <v>5.2555555555555529</v>
      </c>
      <c r="V527" s="38">
        <f>(70.3+50.2+49+65.8+42.8+55.3+69.2+55.7+54.4)/9</f>
        <v>56.966666666666669</v>
      </c>
      <c r="W527" s="38" t="s">
        <v>577</v>
      </c>
      <c r="X527" s="38">
        <f>(5.9+5+5+6.1+4.9+5.1+5.9+5.1+5.1)/9</f>
        <v>5.344444444444445</v>
      </c>
      <c r="Y527" s="38">
        <f>(1+0.9+0.7+1+0.9+0.4+1+0.9+0.5)/9</f>
        <v>0.81111111111111123</v>
      </c>
      <c r="AA527" s="38" t="s">
        <v>1692</v>
      </c>
      <c r="AB527" s="38" t="s">
        <v>579</v>
      </c>
      <c r="AC527" s="38" t="s">
        <v>1736</v>
      </c>
      <c r="AD527" s="38" t="s">
        <v>578</v>
      </c>
      <c r="AE527" s="38" t="s">
        <v>578</v>
      </c>
      <c r="AF527" s="38" t="s">
        <v>252</v>
      </c>
      <c r="AG527" s="38" t="s">
        <v>580</v>
      </c>
      <c r="AH527" s="38" t="s">
        <v>217</v>
      </c>
      <c r="AI527" s="38" t="s">
        <v>693</v>
      </c>
      <c r="AJ527" s="38" t="s">
        <v>582</v>
      </c>
      <c r="AK527" s="38" t="s">
        <v>581</v>
      </c>
      <c r="AL527" s="38" t="s">
        <v>693</v>
      </c>
      <c r="AM527" s="38" t="s">
        <v>222</v>
      </c>
      <c r="AN527" s="38">
        <v>3</v>
      </c>
      <c r="AO527" s="38">
        <v>3</v>
      </c>
      <c r="AP527" s="38" t="s">
        <v>448</v>
      </c>
      <c r="AT527" s="64"/>
      <c r="BB527" s="38">
        <v>1.24</v>
      </c>
      <c r="BC527" s="38">
        <v>1.24</v>
      </c>
      <c r="CF527" s="38">
        <v>0.03</v>
      </c>
      <c r="CG527" s="38">
        <v>2.8000000000000001E-2</v>
      </c>
      <c r="CH527" s="38" t="s">
        <v>584</v>
      </c>
      <c r="CO527" s="38">
        <f>10^(1.0005)</f>
        <v>10.011519555381691</v>
      </c>
      <c r="CP527" s="38">
        <f>10^1.3276</f>
        <v>21.261798598625219</v>
      </c>
      <c r="DD527" s="38">
        <v>0.4743</v>
      </c>
      <c r="DE527" s="38">
        <v>0.4919</v>
      </c>
      <c r="DF527" s="38" t="s">
        <v>583</v>
      </c>
      <c r="DG527" s="38">
        <v>0.30649999999999999</v>
      </c>
      <c r="DH527" s="38">
        <v>0.32500000000000001</v>
      </c>
      <c r="DI527" s="38" t="s">
        <v>585</v>
      </c>
      <c r="DP527" s="12"/>
      <c r="DR527" s="15"/>
      <c r="EL527" s="38" t="s">
        <v>1157</v>
      </c>
      <c r="EN527" s="38">
        <v>28</v>
      </c>
    </row>
    <row r="528" spans="1:144" s="38" customFormat="1" x14ac:dyDescent="0.25">
      <c r="A528" s="38">
        <v>28</v>
      </c>
      <c r="B528" s="38" t="s">
        <v>573</v>
      </c>
      <c r="C528" s="38" t="s">
        <v>574</v>
      </c>
      <c r="D528" s="38">
        <v>2007</v>
      </c>
      <c r="E528" s="38">
        <v>2005</v>
      </c>
      <c r="F528" s="38" t="s">
        <v>575</v>
      </c>
      <c r="G528" s="38" t="s">
        <v>576</v>
      </c>
      <c r="H528" s="38">
        <f>39+13/60</f>
        <v>39.216666666666669</v>
      </c>
      <c r="I528" s="38">
        <f>-92-7/60</f>
        <v>-92.11666666666666</v>
      </c>
      <c r="J528" s="38">
        <v>262.2</v>
      </c>
      <c r="P528" s="57" t="s">
        <v>186</v>
      </c>
      <c r="Q528" s="57"/>
      <c r="R528" s="57" t="s">
        <v>279</v>
      </c>
      <c r="S528" s="57" t="s">
        <v>818</v>
      </c>
      <c r="T528" s="38">
        <v>1.28</v>
      </c>
      <c r="U528" s="38">
        <f>100-V528-(21.3+45.5+49.9+24.8+54.6+42.9+23+38.3+39.7)/9</f>
        <v>5.2555555555555529</v>
      </c>
      <c r="V528" s="38">
        <f>(70.3+50.2+49+65.8+42.8+55.3+69.2+55.7+54.4)/9</f>
        <v>56.966666666666669</v>
      </c>
      <c r="W528" s="38" t="s">
        <v>577</v>
      </c>
      <c r="X528" s="38">
        <f>(5.9+5+5+6.1+4.9+5.1+5.9+5.1+5.1)/9</f>
        <v>5.344444444444445</v>
      </c>
      <c r="Y528" s="38">
        <f t="shared" ref="Y528:Y529" si="183">(1+0.9+0.7+1+0.9+0.4+1+0.9+0.5)/9</f>
        <v>0.81111111111111123</v>
      </c>
      <c r="AA528" s="38" t="s">
        <v>1692</v>
      </c>
      <c r="AB528" s="38" t="s">
        <v>579</v>
      </c>
      <c r="AC528" s="38" t="s">
        <v>1736</v>
      </c>
      <c r="AD528" s="38" t="s">
        <v>578</v>
      </c>
      <c r="AE528" s="38" t="s">
        <v>578</v>
      </c>
      <c r="AF528" s="38" t="s">
        <v>252</v>
      </c>
      <c r="AG528" s="38" t="s">
        <v>580</v>
      </c>
      <c r="AH528" s="38" t="s">
        <v>217</v>
      </c>
      <c r="AI528" s="38" t="s">
        <v>693</v>
      </c>
      <c r="AJ528" s="38" t="s">
        <v>582</v>
      </c>
      <c r="AK528" s="38" t="s">
        <v>581</v>
      </c>
      <c r="AL528" s="38" t="s">
        <v>693</v>
      </c>
      <c r="AM528" s="38" t="s">
        <v>222</v>
      </c>
      <c r="AN528" s="38">
        <v>3</v>
      </c>
      <c r="AO528" s="38">
        <v>3</v>
      </c>
      <c r="AP528" s="38" t="s">
        <v>448</v>
      </c>
      <c r="AT528" s="64"/>
      <c r="BB528" s="38">
        <v>1.36</v>
      </c>
      <c r="BC528" s="38">
        <v>1.38</v>
      </c>
      <c r="CF528" s="38">
        <v>2.8000000000000001E-2</v>
      </c>
      <c r="CG528" s="38">
        <v>2.5999999999999999E-2</v>
      </c>
      <c r="CH528" s="38" t="s">
        <v>584</v>
      </c>
      <c r="CO528" s="38">
        <f>10^0.7856</f>
        <v>6.1037958555853074</v>
      </c>
      <c r="CP528" s="38">
        <f>10^1.2941</f>
        <v>19.683394644420513</v>
      </c>
      <c r="DD528" s="38">
        <v>0.4672</v>
      </c>
      <c r="DE528" s="38">
        <v>0.47420000000000001</v>
      </c>
      <c r="DF528" s="38" t="s">
        <v>583</v>
      </c>
      <c r="DG528" s="38">
        <v>0.35539999999999999</v>
      </c>
      <c r="DH528" s="38">
        <v>0.35539999999999999</v>
      </c>
      <c r="DI528" s="38" t="s">
        <v>585</v>
      </c>
      <c r="DP528" s="12"/>
      <c r="DR528" s="15"/>
      <c r="EL528" s="38" t="s">
        <v>1157</v>
      </c>
      <c r="EN528" s="38">
        <v>28</v>
      </c>
    </row>
    <row r="529" spans="1:144" s="38" customFormat="1" x14ac:dyDescent="0.25">
      <c r="A529" s="38">
        <v>28</v>
      </c>
      <c r="B529" s="38" t="s">
        <v>573</v>
      </c>
      <c r="C529" s="38" t="s">
        <v>574</v>
      </c>
      <c r="D529" s="38">
        <v>2007</v>
      </c>
      <c r="E529" s="38">
        <v>2005</v>
      </c>
      <c r="F529" s="38" t="s">
        <v>575</v>
      </c>
      <c r="G529" s="38" t="s">
        <v>576</v>
      </c>
      <c r="H529" s="38">
        <f>39+13/60</f>
        <v>39.216666666666669</v>
      </c>
      <c r="I529" s="38">
        <f>-92-7/60</f>
        <v>-92.11666666666666</v>
      </c>
      <c r="J529" s="38">
        <v>262.2</v>
      </c>
      <c r="P529" s="57" t="s">
        <v>186</v>
      </c>
      <c r="Q529" s="57"/>
      <c r="R529" s="57" t="s">
        <v>279</v>
      </c>
      <c r="S529" s="57" t="s">
        <v>1742</v>
      </c>
      <c r="T529" s="38">
        <v>1.28</v>
      </c>
      <c r="U529" s="38">
        <f>100-V529-(21.3+45.5+49.9+24.8+54.6+42.9+23+38.3+39.7)/9</f>
        <v>5.2555555555555529</v>
      </c>
      <c r="V529" s="38">
        <f>(70.3+50.2+49+65.8+42.8+55.3+69.2+55.7+54.4)/9</f>
        <v>56.966666666666669</v>
      </c>
      <c r="W529" s="38" t="s">
        <v>577</v>
      </c>
      <c r="X529" s="38">
        <f>(5.9+5+5+6.1+4.9+5.1+5.9+5.1+5.1)/9</f>
        <v>5.344444444444445</v>
      </c>
      <c r="Y529" s="38">
        <f t="shared" si="183"/>
        <v>0.81111111111111123</v>
      </c>
      <c r="AA529" s="38" t="s">
        <v>1692</v>
      </c>
      <c r="AB529" s="38" t="s">
        <v>579</v>
      </c>
      <c r="AC529" s="38" t="s">
        <v>1736</v>
      </c>
      <c r="AD529" s="38" t="s">
        <v>578</v>
      </c>
      <c r="AE529" s="38" t="s">
        <v>578</v>
      </c>
      <c r="AF529" s="38" t="s">
        <v>252</v>
      </c>
      <c r="AG529" s="38" t="s">
        <v>580</v>
      </c>
      <c r="AH529" s="38" t="s">
        <v>217</v>
      </c>
      <c r="AI529" s="38" t="s">
        <v>693</v>
      </c>
      <c r="AJ529" s="38" t="s">
        <v>582</v>
      </c>
      <c r="AK529" s="38" t="s">
        <v>581</v>
      </c>
      <c r="AL529" s="38" t="s">
        <v>693</v>
      </c>
      <c r="AM529" s="38" t="s">
        <v>222</v>
      </c>
      <c r="AN529" s="38">
        <v>3</v>
      </c>
      <c r="AO529" s="38">
        <v>3</v>
      </c>
      <c r="AP529" s="38" t="s">
        <v>448</v>
      </c>
      <c r="AT529" s="64"/>
      <c r="BB529" s="38">
        <v>1.22</v>
      </c>
      <c r="BC529" s="38">
        <v>1.25</v>
      </c>
      <c r="CF529" s="38">
        <v>2.8000000000000001E-2</v>
      </c>
      <c r="CG529" s="38">
        <v>1.9E-2</v>
      </c>
      <c r="CH529" s="38" t="s">
        <v>584</v>
      </c>
      <c r="CO529" s="38">
        <f>10^0.0959</f>
        <v>1.2470963266393924</v>
      </c>
      <c r="CP529" s="38">
        <f>10^0.5215</f>
        <v>3.3227678521107569</v>
      </c>
      <c r="DD529" s="38">
        <v>0.53639999999999999</v>
      </c>
      <c r="DE529" s="38">
        <v>0.51890000000000003</v>
      </c>
      <c r="DF529" s="38" t="s">
        <v>583</v>
      </c>
      <c r="DG529" s="38">
        <v>0.39579999999999999</v>
      </c>
      <c r="DH529" s="38">
        <v>0.38900000000000001</v>
      </c>
      <c r="DI529" s="38" t="s">
        <v>585</v>
      </c>
      <c r="DP529" s="12"/>
      <c r="DR529" s="15"/>
      <c r="EL529" s="38" t="s">
        <v>1157</v>
      </c>
      <c r="EN529" s="38">
        <v>28</v>
      </c>
    </row>
    <row r="530" spans="1:144" s="39" customFormat="1" x14ac:dyDescent="0.25">
      <c r="A530" s="39">
        <v>29</v>
      </c>
      <c r="B530" s="39" t="s">
        <v>1350</v>
      </c>
      <c r="C530" s="39" t="s">
        <v>586</v>
      </c>
      <c r="D530" s="39">
        <v>2009</v>
      </c>
      <c r="E530" s="39">
        <v>2006</v>
      </c>
      <c r="F530" s="39" t="s">
        <v>394</v>
      </c>
      <c r="G530" s="39" t="s">
        <v>587</v>
      </c>
      <c r="H530" s="39">
        <f t="shared" ref="H530:H565" si="184">43+20/60</f>
        <v>43.333333333333336</v>
      </c>
      <c r="I530" s="39">
        <f t="shared" ref="I530:I565" si="185">-89-43/60</f>
        <v>-89.716666666666669</v>
      </c>
      <c r="J530" s="39">
        <v>250</v>
      </c>
      <c r="P530" s="58" t="s">
        <v>189</v>
      </c>
      <c r="Q530" s="58"/>
      <c r="R530" s="58"/>
      <c r="S530" s="58" t="s">
        <v>671</v>
      </c>
      <c r="T530" s="39">
        <f t="shared" ref="T530:T565" si="186">(1.4+1.46+1.41+1.37+1.39+1.47+1.42)/7</f>
        <v>1.417142857142857</v>
      </c>
      <c r="W530" s="39" t="s">
        <v>175</v>
      </c>
      <c r="X530" s="39">
        <f t="shared" ref="X530:X565" si="187">(6.6+6.9+7+6.8+7.1+6.7+7)/7</f>
        <v>6.8714285714285719</v>
      </c>
      <c r="AA530" s="39" t="s">
        <v>1693</v>
      </c>
      <c r="AB530" s="39" t="s">
        <v>588</v>
      </c>
      <c r="AC530" s="39" t="s">
        <v>589</v>
      </c>
      <c r="AD530" s="39" t="s">
        <v>578</v>
      </c>
      <c r="AE530" s="39" t="s">
        <v>578</v>
      </c>
      <c r="AF530" s="39" t="s">
        <v>252</v>
      </c>
      <c r="AJ530" s="39" t="s">
        <v>597</v>
      </c>
      <c r="AK530" s="39" t="s">
        <v>597</v>
      </c>
      <c r="AM530" s="39" t="s">
        <v>590</v>
      </c>
      <c r="AN530" s="39">
        <v>4</v>
      </c>
      <c r="AO530" s="39">
        <v>4</v>
      </c>
      <c r="AP530" s="39" t="s">
        <v>184</v>
      </c>
      <c r="AT530" s="63"/>
      <c r="BB530" s="39">
        <v>1.47</v>
      </c>
      <c r="BC530" s="39">
        <v>1.4</v>
      </c>
      <c r="BE530" s="39">
        <v>3.63</v>
      </c>
      <c r="BF530" s="39">
        <v>4.2299999999999995</v>
      </c>
      <c r="BG530" s="39" t="s">
        <v>1211</v>
      </c>
      <c r="BK530" s="39">
        <v>45.8</v>
      </c>
      <c r="BL530" s="39">
        <v>37.799999999999997</v>
      </c>
      <c r="BN530" s="39">
        <v>244</v>
      </c>
      <c r="BO530" s="39">
        <v>204</v>
      </c>
      <c r="BQ530" s="39">
        <v>6.7</v>
      </c>
      <c r="BR530" s="39">
        <v>6.6</v>
      </c>
      <c r="CC530" s="39">
        <v>336</v>
      </c>
      <c r="CD530" s="39">
        <v>365</v>
      </c>
      <c r="CE530" s="39" t="s">
        <v>593</v>
      </c>
      <c r="CI530" s="39">
        <v>0.52980000000000005</v>
      </c>
      <c r="CJ530" s="39">
        <v>0.61539999999999995</v>
      </c>
      <c r="CK530" s="39" t="s">
        <v>1154</v>
      </c>
      <c r="DD530" s="39">
        <v>0.21</v>
      </c>
      <c r="DE530" s="39">
        <v>0.26800000000000002</v>
      </c>
      <c r="DP530" s="12"/>
      <c r="DR530" s="15"/>
      <c r="DS530" s="39">
        <v>1288</v>
      </c>
      <c r="DT530" s="39">
        <v>1376</v>
      </c>
      <c r="DU530" s="39" t="s">
        <v>592</v>
      </c>
      <c r="EE530" s="39">
        <f>40.3*0.012</f>
        <v>0.48359999999999997</v>
      </c>
      <c r="EF530" s="39">
        <f>87.1*0.012</f>
        <v>1.0451999999999999</v>
      </c>
      <c r="EG530" s="39" t="s">
        <v>1296</v>
      </c>
      <c r="EL530" s="39" t="s">
        <v>595</v>
      </c>
      <c r="EM530" s="39" t="s">
        <v>1153</v>
      </c>
      <c r="EN530" s="39">
        <v>29</v>
      </c>
    </row>
    <row r="531" spans="1:144" s="39" customFormat="1" x14ac:dyDescent="0.25">
      <c r="A531" s="39">
        <v>29</v>
      </c>
      <c r="B531" s="39" t="s">
        <v>1350</v>
      </c>
      <c r="C531" s="39" t="s">
        <v>586</v>
      </c>
      <c r="D531" s="39">
        <v>2009</v>
      </c>
      <c r="E531" s="39">
        <v>2006</v>
      </c>
      <c r="F531" s="39" t="s">
        <v>394</v>
      </c>
      <c r="G531" s="39" t="s">
        <v>587</v>
      </c>
      <c r="H531" s="39">
        <f t="shared" si="184"/>
        <v>43.333333333333336</v>
      </c>
      <c r="I531" s="39">
        <f t="shared" si="185"/>
        <v>-89.716666666666669</v>
      </c>
      <c r="J531" s="39">
        <v>250</v>
      </c>
      <c r="P531" s="58" t="s">
        <v>189</v>
      </c>
      <c r="Q531" s="58"/>
      <c r="R531" s="58"/>
      <c r="S531" s="58" t="s">
        <v>671</v>
      </c>
      <c r="T531" s="39">
        <f t="shared" si="186"/>
        <v>1.417142857142857</v>
      </c>
      <c r="W531" s="39" t="s">
        <v>175</v>
      </c>
      <c r="X531" s="39">
        <f t="shared" si="187"/>
        <v>6.8714285714285719</v>
      </c>
      <c r="AA531" s="39" t="s">
        <v>1693</v>
      </c>
      <c r="AB531" s="39" t="s">
        <v>1509</v>
      </c>
      <c r="AC531" s="39" t="s">
        <v>174</v>
      </c>
      <c r="AD531" s="39" t="s">
        <v>578</v>
      </c>
      <c r="AE531" s="39" t="s">
        <v>578</v>
      </c>
      <c r="AF531" s="39" t="s">
        <v>252</v>
      </c>
      <c r="AJ531" s="39" t="s">
        <v>597</v>
      </c>
      <c r="AK531" s="39" t="s">
        <v>597</v>
      </c>
      <c r="AM531" s="39" t="s">
        <v>590</v>
      </c>
      <c r="AN531" s="39">
        <v>4</v>
      </c>
      <c r="AO531" s="39">
        <v>4</v>
      </c>
      <c r="AP531" s="39" t="s">
        <v>184</v>
      </c>
      <c r="AT531" s="63"/>
      <c r="BB531" s="39">
        <v>1.47</v>
      </c>
      <c r="BC531" s="39">
        <v>1.4</v>
      </c>
      <c r="BE531" s="39">
        <v>3.63</v>
      </c>
      <c r="BF531" s="39">
        <v>4.2799999999999994</v>
      </c>
      <c r="BG531" s="39" t="s">
        <v>1211</v>
      </c>
      <c r="BK531" s="39">
        <v>45.8</v>
      </c>
      <c r="BL531" s="39">
        <v>42.3</v>
      </c>
      <c r="BN531" s="39">
        <v>244</v>
      </c>
      <c r="BO531" s="39">
        <v>269</v>
      </c>
      <c r="BQ531" s="39">
        <v>6.7</v>
      </c>
      <c r="BR531" s="39">
        <v>6.9</v>
      </c>
      <c r="CC531" s="39">
        <v>336</v>
      </c>
      <c r="CD531" s="39">
        <v>385</v>
      </c>
      <c r="CE531" s="39" t="s">
        <v>593</v>
      </c>
      <c r="CI531" s="39">
        <v>0.52980000000000005</v>
      </c>
      <c r="CJ531" s="39">
        <v>0.6</v>
      </c>
      <c r="CK531" s="39" t="s">
        <v>1154</v>
      </c>
      <c r="DD531" s="39">
        <v>0.21</v>
      </c>
      <c r="DE531" s="39">
        <v>0.24399999999999999</v>
      </c>
      <c r="DP531" s="12"/>
      <c r="DR531" s="15"/>
      <c r="DS531" s="39">
        <v>1288</v>
      </c>
      <c r="DT531" s="39">
        <v>1379</v>
      </c>
      <c r="DU531" s="39" t="s">
        <v>592</v>
      </c>
      <c r="EE531" s="39">
        <f t="shared" ref="EE531:EE535" si="188">40.3*0.012</f>
        <v>0.48359999999999997</v>
      </c>
      <c r="EF531" s="39">
        <f>108.2*0.012</f>
        <v>1.2984</v>
      </c>
      <c r="EG531" s="39" t="s">
        <v>1296</v>
      </c>
      <c r="EL531" s="39" t="s">
        <v>595</v>
      </c>
      <c r="EM531" s="39" t="s">
        <v>1153</v>
      </c>
      <c r="EN531" s="39">
        <v>29</v>
      </c>
    </row>
    <row r="532" spans="1:144" s="39" customFormat="1" x14ac:dyDescent="0.25">
      <c r="A532" s="39">
        <v>29</v>
      </c>
      <c r="B532" s="39" t="s">
        <v>1350</v>
      </c>
      <c r="C532" s="39" t="s">
        <v>586</v>
      </c>
      <c r="D532" s="39">
        <v>2009</v>
      </c>
      <c r="E532" s="39">
        <v>2006</v>
      </c>
      <c r="F532" s="39" t="s">
        <v>394</v>
      </c>
      <c r="G532" s="39" t="s">
        <v>587</v>
      </c>
      <c r="H532" s="39">
        <f t="shared" si="184"/>
        <v>43.333333333333336</v>
      </c>
      <c r="I532" s="39">
        <f t="shared" si="185"/>
        <v>-89.716666666666669</v>
      </c>
      <c r="J532" s="39">
        <v>250</v>
      </c>
      <c r="P532" s="58" t="s">
        <v>189</v>
      </c>
      <c r="Q532" s="58"/>
      <c r="R532" s="58"/>
      <c r="S532" s="58" t="s">
        <v>671</v>
      </c>
      <c r="T532" s="39">
        <f t="shared" si="186"/>
        <v>1.417142857142857</v>
      </c>
      <c r="W532" s="39" t="s">
        <v>175</v>
      </c>
      <c r="X532" s="39">
        <f t="shared" si="187"/>
        <v>6.8714285714285719</v>
      </c>
      <c r="AA532" s="39" t="s">
        <v>1693</v>
      </c>
      <c r="AB532" s="39" t="s">
        <v>172</v>
      </c>
      <c r="AC532" s="39" t="s">
        <v>589</v>
      </c>
      <c r="AD532" s="39" t="s">
        <v>578</v>
      </c>
      <c r="AE532" s="39" t="s">
        <v>578</v>
      </c>
      <c r="AF532" s="39" t="s">
        <v>252</v>
      </c>
      <c r="AJ532" s="39" t="s">
        <v>597</v>
      </c>
      <c r="AK532" s="39" t="s">
        <v>597</v>
      </c>
      <c r="AM532" s="39" t="s">
        <v>590</v>
      </c>
      <c r="AN532" s="39">
        <v>4</v>
      </c>
      <c r="AO532" s="39">
        <v>4</v>
      </c>
      <c r="AP532" s="39" t="s">
        <v>184</v>
      </c>
      <c r="AT532" s="63"/>
      <c r="BB532" s="39">
        <v>1.47</v>
      </c>
      <c r="BC532" s="39">
        <v>1.46</v>
      </c>
      <c r="BE532" s="39">
        <v>3.63</v>
      </c>
      <c r="BF532" s="39">
        <v>3.8299999999999996</v>
      </c>
      <c r="BG532" s="39" t="s">
        <v>1211</v>
      </c>
      <c r="BK532" s="39">
        <v>45.8</v>
      </c>
      <c r="BL532" s="39">
        <v>37.299999999999997</v>
      </c>
      <c r="BN532" s="39">
        <v>244</v>
      </c>
      <c r="BO532" s="39">
        <v>161</v>
      </c>
      <c r="BQ532" s="39">
        <v>6.7</v>
      </c>
      <c r="BR532" s="39">
        <v>6.6</v>
      </c>
      <c r="CC532" s="39">
        <v>336</v>
      </c>
      <c r="CD532" s="39">
        <v>337</v>
      </c>
      <c r="CE532" s="39" t="s">
        <v>593</v>
      </c>
      <c r="CI532" s="39">
        <v>0.52980000000000005</v>
      </c>
      <c r="CJ532" s="39">
        <v>0.63</v>
      </c>
      <c r="CK532" s="39" t="s">
        <v>1154</v>
      </c>
      <c r="DD532" s="39">
        <v>0.21</v>
      </c>
      <c r="DE532" s="39">
        <v>0.23799999999999999</v>
      </c>
      <c r="DP532" s="12"/>
      <c r="DR532" s="15"/>
      <c r="DS532" s="39">
        <v>1288</v>
      </c>
      <c r="DT532" s="39">
        <v>1336</v>
      </c>
      <c r="DU532" s="39" t="s">
        <v>592</v>
      </c>
      <c r="EE532" s="39">
        <f t="shared" si="188"/>
        <v>0.48359999999999997</v>
      </c>
      <c r="EF532" s="39">
        <f>105*0.012</f>
        <v>1.26</v>
      </c>
      <c r="EG532" s="39" t="s">
        <v>1296</v>
      </c>
      <c r="EL532" s="39" t="s">
        <v>595</v>
      </c>
      <c r="EM532" s="39" t="s">
        <v>1153</v>
      </c>
      <c r="EN532" s="39">
        <v>29</v>
      </c>
    </row>
    <row r="533" spans="1:144" s="39" customFormat="1" x14ac:dyDescent="0.25">
      <c r="A533" s="39">
        <v>29</v>
      </c>
      <c r="B533" s="39" t="s">
        <v>1350</v>
      </c>
      <c r="C533" s="39" t="s">
        <v>586</v>
      </c>
      <c r="D533" s="39">
        <v>2009</v>
      </c>
      <c r="E533" s="39">
        <v>2006</v>
      </c>
      <c r="F533" s="39" t="s">
        <v>394</v>
      </c>
      <c r="G533" s="39" t="s">
        <v>587</v>
      </c>
      <c r="H533" s="39">
        <f t="shared" si="184"/>
        <v>43.333333333333336</v>
      </c>
      <c r="I533" s="39">
        <f t="shared" si="185"/>
        <v>-89.716666666666669</v>
      </c>
      <c r="J533" s="39">
        <v>250</v>
      </c>
      <c r="P533" s="58" t="s">
        <v>189</v>
      </c>
      <c r="Q533" s="58"/>
      <c r="R533" s="58"/>
      <c r="S533" s="58" t="s">
        <v>671</v>
      </c>
      <c r="T533" s="39">
        <f t="shared" si="186"/>
        <v>1.417142857142857</v>
      </c>
      <c r="W533" s="39" t="s">
        <v>175</v>
      </c>
      <c r="X533" s="39">
        <f t="shared" si="187"/>
        <v>6.8714285714285719</v>
      </c>
      <c r="AA533" s="39" t="s">
        <v>1693</v>
      </c>
      <c r="AB533" s="39" t="s">
        <v>172</v>
      </c>
      <c r="AC533" s="39" t="s">
        <v>174</v>
      </c>
      <c r="AD533" s="39" t="s">
        <v>578</v>
      </c>
      <c r="AE533" s="39" t="s">
        <v>578</v>
      </c>
      <c r="AF533" s="39" t="s">
        <v>252</v>
      </c>
      <c r="AJ533" s="39" t="s">
        <v>597</v>
      </c>
      <c r="AK533" s="39" t="s">
        <v>597</v>
      </c>
      <c r="AM533" s="39" t="s">
        <v>590</v>
      </c>
      <c r="AN533" s="39">
        <v>4</v>
      </c>
      <c r="AO533" s="39">
        <v>4</v>
      </c>
      <c r="AP533" s="39" t="s">
        <v>184</v>
      </c>
      <c r="AT533" s="63"/>
      <c r="BB533" s="39">
        <v>1.47</v>
      </c>
      <c r="BC533" s="39">
        <v>1.41</v>
      </c>
      <c r="BE533" s="39">
        <v>3.63</v>
      </c>
      <c r="BF533" s="39">
        <v>4.2299999999999995</v>
      </c>
      <c r="BG533" s="39" t="s">
        <v>1211</v>
      </c>
      <c r="BK533" s="39">
        <v>45.8</v>
      </c>
      <c r="BL533" s="39">
        <v>54.5</v>
      </c>
      <c r="BN533" s="39">
        <v>244</v>
      </c>
      <c r="BO533" s="39">
        <v>204</v>
      </c>
      <c r="BQ533" s="39">
        <v>6.7</v>
      </c>
      <c r="BR533" s="39">
        <v>7</v>
      </c>
      <c r="CC533" s="39">
        <v>336</v>
      </c>
      <c r="CD533" s="39">
        <v>368</v>
      </c>
      <c r="CE533" s="39" t="s">
        <v>593</v>
      </c>
      <c r="CI533" s="39">
        <v>0.52980000000000005</v>
      </c>
      <c r="CJ533" s="39">
        <v>0.65</v>
      </c>
      <c r="CK533" s="39" t="s">
        <v>1154</v>
      </c>
      <c r="DD533" s="39">
        <v>0.21</v>
      </c>
      <c r="DE533" s="39">
        <v>0.221</v>
      </c>
      <c r="DP533" s="12"/>
      <c r="DR533" s="15"/>
      <c r="DS533" s="39">
        <v>1288</v>
      </c>
      <c r="DT533" s="39">
        <v>1354</v>
      </c>
      <c r="DU533" s="39" t="s">
        <v>592</v>
      </c>
      <c r="EE533" s="39">
        <f t="shared" si="188"/>
        <v>0.48359999999999997</v>
      </c>
      <c r="EF533" s="39">
        <f>70.9*0.012</f>
        <v>0.85080000000000011</v>
      </c>
      <c r="EG533" s="39" t="s">
        <v>1296</v>
      </c>
      <c r="EL533" s="39" t="s">
        <v>595</v>
      </c>
      <c r="EM533" s="39" t="s">
        <v>1153</v>
      </c>
      <c r="EN533" s="39">
        <v>29</v>
      </c>
    </row>
    <row r="534" spans="1:144" s="39" customFormat="1" x14ac:dyDescent="0.25">
      <c r="A534" s="39">
        <v>29</v>
      </c>
      <c r="B534" s="39" t="s">
        <v>1350</v>
      </c>
      <c r="C534" s="39" t="s">
        <v>586</v>
      </c>
      <c r="D534" s="39">
        <v>2009</v>
      </c>
      <c r="E534" s="39">
        <v>2006</v>
      </c>
      <c r="F534" s="39" t="s">
        <v>394</v>
      </c>
      <c r="G534" s="39" t="s">
        <v>587</v>
      </c>
      <c r="H534" s="39">
        <f t="shared" si="184"/>
        <v>43.333333333333336</v>
      </c>
      <c r="I534" s="39">
        <f t="shared" si="185"/>
        <v>-89.716666666666669</v>
      </c>
      <c r="J534" s="39">
        <v>250</v>
      </c>
      <c r="P534" s="58" t="s">
        <v>189</v>
      </c>
      <c r="Q534" s="58"/>
      <c r="R534" s="58"/>
      <c r="S534" s="58" t="s">
        <v>671</v>
      </c>
      <c r="T534" s="39">
        <f t="shared" si="186"/>
        <v>1.417142857142857</v>
      </c>
      <c r="W534" s="39" t="s">
        <v>175</v>
      </c>
      <c r="X534" s="39">
        <f t="shared" si="187"/>
        <v>6.8714285714285719</v>
      </c>
      <c r="AA534" s="39" t="s">
        <v>1693</v>
      </c>
      <c r="AB534" s="39" t="s">
        <v>1505</v>
      </c>
      <c r="AC534" s="39" t="s">
        <v>174</v>
      </c>
      <c r="AD534" s="39" t="s">
        <v>578</v>
      </c>
      <c r="AE534" s="39" t="s">
        <v>578</v>
      </c>
      <c r="AF534" s="39" t="s">
        <v>252</v>
      </c>
      <c r="AJ534" s="39" t="s">
        <v>597</v>
      </c>
      <c r="AK534" s="39" t="s">
        <v>597</v>
      </c>
      <c r="AM534" s="39" t="s">
        <v>590</v>
      </c>
      <c r="AN534" s="39">
        <v>4</v>
      </c>
      <c r="AO534" s="39">
        <v>4</v>
      </c>
      <c r="AP534" s="39" t="s">
        <v>184</v>
      </c>
      <c r="AT534" s="63"/>
      <c r="BB534" s="39">
        <v>1.47</v>
      </c>
      <c r="BC534" s="39">
        <v>1.37</v>
      </c>
      <c r="BE534" s="39">
        <v>3.63</v>
      </c>
      <c r="BF534" s="39">
        <v>4.13</v>
      </c>
      <c r="BG534" s="39" t="s">
        <v>1211</v>
      </c>
      <c r="BK534" s="39">
        <v>45.8</v>
      </c>
      <c r="BL534" s="39">
        <v>57.5</v>
      </c>
      <c r="BN534" s="39">
        <v>244</v>
      </c>
      <c r="BO534" s="39">
        <v>277</v>
      </c>
      <c r="BQ534" s="39">
        <v>6.7</v>
      </c>
      <c r="BR534" s="39">
        <v>6.8</v>
      </c>
      <c r="CC534" s="39">
        <v>336</v>
      </c>
      <c r="CD534" s="39">
        <v>352</v>
      </c>
      <c r="CE534" s="39" t="s">
        <v>593</v>
      </c>
      <c r="CI534" s="39">
        <v>0.52980000000000005</v>
      </c>
      <c r="CJ534" s="39">
        <v>0.64</v>
      </c>
      <c r="CK534" s="39" t="s">
        <v>1154</v>
      </c>
      <c r="DD534" s="39">
        <v>0.21</v>
      </c>
      <c r="DE534" s="39">
        <v>0.23300000000000001</v>
      </c>
      <c r="DP534" s="12"/>
      <c r="DR534" s="15"/>
      <c r="DS534" s="39">
        <v>1288</v>
      </c>
      <c r="DT534" s="39">
        <v>1382</v>
      </c>
      <c r="DU534" s="39" t="s">
        <v>592</v>
      </c>
      <c r="EE534" s="39">
        <f t="shared" si="188"/>
        <v>0.48359999999999997</v>
      </c>
      <c r="EF534" s="39">
        <f>88.6*0.012</f>
        <v>1.0631999999999999</v>
      </c>
      <c r="EG534" s="39" t="s">
        <v>1296</v>
      </c>
      <c r="EL534" s="39" t="s">
        <v>595</v>
      </c>
      <c r="EM534" s="39" t="s">
        <v>1153</v>
      </c>
      <c r="EN534" s="39">
        <v>29</v>
      </c>
    </row>
    <row r="535" spans="1:144" s="39" customFormat="1" x14ac:dyDescent="0.25">
      <c r="A535" s="39">
        <v>29</v>
      </c>
      <c r="B535" s="39" t="s">
        <v>1350</v>
      </c>
      <c r="C535" s="39" t="s">
        <v>586</v>
      </c>
      <c r="D535" s="39">
        <v>2009</v>
      </c>
      <c r="E535" s="39">
        <v>2006</v>
      </c>
      <c r="F535" s="39" t="s">
        <v>394</v>
      </c>
      <c r="G535" s="39" t="s">
        <v>587</v>
      </c>
      <c r="H535" s="39">
        <f t="shared" si="184"/>
        <v>43.333333333333336</v>
      </c>
      <c r="I535" s="39">
        <f t="shared" si="185"/>
        <v>-89.716666666666669</v>
      </c>
      <c r="J535" s="39">
        <v>250</v>
      </c>
      <c r="P535" s="58" t="s">
        <v>189</v>
      </c>
      <c r="Q535" s="58"/>
      <c r="R535" s="58"/>
      <c r="S535" s="58" t="s">
        <v>671</v>
      </c>
      <c r="T535" s="39">
        <f t="shared" si="186"/>
        <v>1.417142857142857</v>
      </c>
      <c r="W535" s="39" t="s">
        <v>175</v>
      </c>
      <c r="X535" s="39">
        <f t="shared" si="187"/>
        <v>6.8714285714285719</v>
      </c>
      <c r="AA535" s="39" t="s">
        <v>1693</v>
      </c>
      <c r="AB535" s="39" t="s">
        <v>1506</v>
      </c>
      <c r="AC535" s="39" t="s">
        <v>174</v>
      </c>
      <c r="AD535" s="39" t="s">
        <v>578</v>
      </c>
      <c r="AE535" s="39" t="s">
        <v>578</v>
      </c>
      <c r="AF535" s="39" t="s">
        <v>252</v>
      </c>
      <c r="AJ535" s="39" t="s">
        <v>597</v>
      </c>
      <c r="AK535" s="39" t="s">
        <v>597</v>
      </c>
      <c r="AM535" s="39" t="s">
        <v>590</v>
      </c>
      <c r="AN535" s="39">
        <v>4</v>
      </c>
      <c r="AO535" s="39">
        <v>4</v>
      </c>
      <c r="AP535" s="39" t="s">
        <v>184</v>
      </c>
      <c r="AT535" s="63"/>
      <c r="BB535" s="39">
        <v>1.47</v>
      </c>
      <c r="BC535" s="39">
        <v>1.39</v>
      </c>
      <c r="BE535" s="39">
        <v>3.63</v>
      </c>
      <c r="BF535" s="39">
        <v>3.7</v>
      </c>
      <c r="BG535" s="39" t="s">
        <v>1211</v>
      </c>
      <c r="BK535" s="39">
        <v>45.8</v>
      </c>
      <c r="BL535" s="39">
        <v>43.3</v>
      </c>
      <c r="BN535" s="39">
        <v>244</v>
      </c>
      <c r="BO535" s="39">
        <v>265</v>
      </c>
      <c r="BQ535" s="39">
        <v>6.7</v>
      </c>
      <c r="BR535" s="39">
        <v>7.1</v>
      </c>
      <c r="CC535" s="39">
        <v>336</v>
      </c>
      <c r="CD535" s="39">
        <v>411</v>
      </c>
      <c r="CE535" s="39" t="s">
        <v>593</v>
      </c>
      <c r="CI535" s="39">
        <v>0.52980000000000005</v>
      </c>
      <c r="CJ535" s="39">
        <v>0.63</v>
      </c>
      <c r="CK535" s="39" t="s">
        <v>1154</v>
      </c>
      <c r="DD535" s="39">
        <v>0.21</v>
      </c>
      <c r="DE535" s="39">
        <v>0.219</v>
      </c>
      <c r="DP535" s="12"/>
      <c r="DR535" s="15"/>
      <c r="DS535" s="39">
        <v>1288</v>
      </c>
      <c r="DT535" s="39">
        <v>1360</v>
      </c>
      <c r="DU535" s="39" t="s">
        <v>592</v>
      </c>
      <c r="EE535" s="39">
        <f t="shared" si="188"/>
        <v>0.48359999999999997</v>
      </c>
      <c r="EF535" s="39">
        <f>72.5*0.012</f>
        <v>0.87</v>
      </c>
      <c r="EG535" s="39" t="s">
        <v>1296</v>
      </c>
      <c r="EL535" s="39" t="s">
        <v>595</v>
      </c>
      <c r="EM535" s="39" t="s">
        <v>1153</v>
      </c>
      <c r="EN535" s="39">
        <v>29</v>
      </c>
    </row>
    <row r="536" spans="1:144" s="35" customFormat="1" x14ac:dyDescent="0.25">
      <c r="A536" s="35">
        <v>29</v>
      </c>
      <c r="B536" s="35" t="s">
        <v>1350</v>
      </c>
      <c r="C536" s="35" t="s">
        <v>586</v>
      </c>
      <c r="D536" s="35">
        <v>2009</v>
      </c>
      <c r="E536" s="35">
        <v>2006</v>
      </c>
      <c r="F536" s="35" t="s">
        <v>394</v>
      </c>
      <c r="G536" s="35" t="s">
        <v>587</v>
      </c>
      <c r="H536" s="35">
        <f t="shared" si="184"/>
        <v>43.333333333333336</v>
      </c>
      <c r="I536" s="35">
        <f t="shared" si="185"/>
        <v>-89.716666666666669</v>
      </c>
      <c r="J536" s="35">
        <v>250</v>
      </c>
      <c r="P536" s="54" t="s">
        <v>189</v>
      </c>
      <c r="Q536" s="54"/>
      <c r="R536" s="54"/>
      <c r="S536" s="54" t="s">
        <v>671</v>
      </c>
      <c r="T536" s="35">
        <f t="shared" si="186"/>
        <v>1.417142857142857</v>
      </c>
      <c r="W536" s="35" t="s">
        <v>175</v>
      </c>
      <c r="X536" s="35">
        <f t="shared" si="187"/>
        <v>6.8714285714285719</v>
      </c>
      <c r="AA536" s="35" t="s">
        <v>1693</v>
      </c>
      <c r="AB536" s="35" t="s">
        <v>588</v>
      </c>
      <c r="AC536" s="35" t="s">
        <v>589</v>
      </c>
      <c r="AD536" s="35" t="s">
        <v>578</v>
      </c>
      <c r="AE536" s="35" t="s">
        <v>578</v>
      </c>
      <c r="AF536" s="35" t="s">
        <v>252</v>
      </c>
      <c r="AJ536" s="35" t="s">
        <v>597</v>
      </c>
      <c r="AK536" s="35" t="s">
        <v>597</v>
      </c>
      <c r="AM536" s="35" t="s">
        <v>591</v>
      </c>
      <c r="AN536" s="35">
        <v>4</v>
      </c>
      <c r="AO536" s="35">
        <v>4</v>
      </c>
      <c r="AP536" s="35" t="s">
        <v>184</v>
      </c>
      <c r="AT536" s="63"/>
      <c r="BB536" s="35">
        <v>1.42</v>
      </c>
      <c r="BC536" s="35">
        <v>1.4</v>
      </c>
      <c r="BE536" s="35">
        <v>4</v>
      </c>
      <c r="BF536" s="35">
        <v>4.2299999999999995</v>
      </c>
      <c r="BG536" s="35" t="s">
        <v>1211</v>
      </c>
      <c r="BK536" s="35">
        <v>33</v>
      </c>
      <c r="BL536" s="35">
        <v>37.799999999999997</v>
      </c>
      <c r="BN536" s="35">
        <v>208</v>
      </c>
      <c r="BO536" s="35">
        <v>204</v>
      </c>
      <c r="BQ536" s="35">
        <v>7</v>
      </c>
      <c r="BR536" s="35">
        <v>6.6</v>
      </c>
      <c r="CC536" s="35">
        <v>407</v>
      </c>
      <c r="CD536" s="35">
        <v>365</v>
      </c>
      <c r="CE536" s="35" t="s">
        <v>593</v>
      </c>
      <c r="CI536" s="35">
        <v>0.57999999999999996</v>
      </c>
      <c r="CJ536" s="35">
        <v>0.61539999999999995</v>
      </c>
      <c r="CK536" s="35" t="s">
        <v>1154</v>
      </c>
      <c r="DD536" s="35">
        <v>0.216</v>
      </c>
      <c r="DE536" s="35">
        <v>0.26800000000000002</v>
      </c>
      <c r="DP536" s="12"/>
      <c r="DR536" s="15"/>
      <c r="DS536" s="35">
        <v>1306</v>
      </c>
      <c r="DT536" s="35">
        <v>1376</v>
      </c>
      <c r="DU536" s="35" t="s">
        <v>592</v>
      </c>
      <c r="EE536" s="35">
        <f>61.6*0.012</f>
        <v>0.73920000000000008</v>
      </c>
      <c r="EF536" s="35">
        <f>87.1*0.012</f>
        <v>1.0451999999999999</v>
      </c>
      <c r="EG536" s="35" t="s">
        <v>596</v>
      </c>
      <c r="EL536" s="35" t="s">
        <v>595</v>
      </c>
      <c r="EM536" s="35" t="s">
        <v>1153</v>
      </c>
      <c r="EN536" s="35">
        <v>29</v>
      </c>
    </row>
    <row r="537" spans="1:144" s="35" customFormat="1" x14ac:dyDescent="0.25">
      <c r="A537" s="35">
        <v>29</v>
      </c>
      <c r="B537" s="35" t="s">
        <v>1350</v>
      </c>
      <c r="C537" s="35" t="s">
        <v>586</v>
      </c>
      <c r="D537" s="35">
        <v>2009</v>
      </c>
      <c r="E537" s="35">
        <v>2006</v>
      </c>
      <c r="F537" s="35" t="s">
        <v>394</v>
      </c>
      <c r="G537" s="35" t="s">
        <v>587</v>
      </c>
      <c r="H537" s="35">
        <f t="shared" si="184"/>
        <v>43.333333333333336</v>
      </c>
      <c r="I537" s="35">
        <f t="shared" si="185"/>
        <v>-89.716666666666669</v>
      </c>
      <c r="J537" s="35">
        <v>250</v>
      </c>
      <c r="P537" s="54" t="s">
        <v>189</v>
      </c>
      <c r="Q537" s="54"/>
      <c r="R537" s="54"/>
      <c r="S537" s="54" t="s">
        <v>671</v>
      </c>
      <c r="T537" s="35">
        <f t="shared" si="186"/>
        <v>1.417142857142857</v>
      </c>
      <c r="W537" s="35" t="s">
        <v>175</v>
      </c>
      <c r="X537" s="35">
        <f t="shared" si="187"/>
        <v>6.8714285714285719</v>
      </c>
      <c r="AA537" s="35" t="s">
        <v>1693</v>
      </c>
      <c r="AB537" s="35" t="s">
        <v>1509</v>
      </c>
      <c r="AC537" s="35" t="s">
        <v>174</v>
      </c>
      <c r="AD537" s="35" t="s">
        <v>578</v>
      </c>
      <c r="AE537" s="35" t="s">
        <v>578</v>
      </c>
      <c r="AF537" s="35" t="s">
        <v>252</v>
      </c>
      <c r="AJ537" s="35" t="s">
        <v>597</v>
      </c>
      <c r="AK537" s="35" t="s">
        <v>597</v>
      </c>
      <c r="AM537" s="35" t="s">
        <v>591</v>
      </c>
      <c r="AN537" s="35">
        <v>4</v>
      </c>
      <c r="AO537" s="35">
        <v>4</v>
      </c>
      <c r="AP537" s="35" t="s">
        <v>184</v>
      </c>
      <c r="AT537" s="63"/>
      <c r="BB537" s="35">
        <v>1.42</v>
      </c>
      <c r="BC537" s="35">
        <v>1.4</v>
      </c>
      <c r="BE537" s="35">
        <v>4</v>
      </c>
      <c r="BF537" s="35">
        <v>4.2799999999999994</v>
      </c>
      <c r="BG537" s="35" t="s">
        <v>1211</v>
      </c>
      <c r="BK537" s="35">
        <v>33</v>
      </c>
      <c r="BL537" s="35">
        <v>42.3</v>
      </c>
      <c r="BN537" s="35">
        <v>208</v>
      </c>
      <c r="BO537" s="35">
        <v>269</v>
      </c>
      <c r="BQ537" s="35">
        <v>7</v>
      </c>
      <c r="BR537" s="35">
        <v>6.9</v>
      </c>
      <c r="CC537" s="35">
        <v>407</v>
      </c>
      <c r="CD537" s="35">
        <v>385</v>
      </c>
      <c r="CE537" s="35" t="s">
        <v>593</v>
      </c>
      <c r="CI537" s="35">
        <v>0.57999999999999996</v>
      </c>
      <c r="CJ537" s="35">
        <v>0.6</v>
      </c>
      <c r="CK537" s="35" t="s">
        <v>1154</v>
      </c>
      <c r="DD537" s="35">
        <v>0.216</v>
      </c>
      <c r="DE537" s="35">
        <v>0.24399999999999999</v>
      </c>
      <c r="DP537" s="12"/>
      <c r="DR537" s="15"/>
      <c r="DS537" s="35">
        <v>1306</v>
      </c>
      <c r="DT537" s="35">
        <v>1379</v>
      </c>
      <c r="DU537" s="35" t="s">
        <v>592</v>
      </c>
      <c r="EE537" s="35">
        <f t="shared" ref="EE537:EE541" si="189">61.6*0.012</f>
        <v>0.73920000000000008</v>
      </c>
      <c r="EF537" s="35">
        <f>108.2*0.012</f>
        <v>1.2984</v>
      </c>
      <c r="EG537" s="35" t="s">
        <v>596</v>
      </c>
      <c r="EL537" s="35" t="s">
        <v>595</v>
      </c>
      <c r="EM537" s="35" t="s">
        <v>1153</v>
      </c>
      <c r="EN537" s="35">
        <v>29</v>
      </c>
    </row>
    <row r="538" spans="1:144" s="35" customFormat="1" x14ac:dyDescent="0.25">
      <c r="A538" s="35">
        <v>29</v>
      </c>
      <c r="B538" s="35" t="s">
        <v>1350</v>
      </c>
      <c r="C538" s="35" t="s">
        <v>586</v>
      </c>
      <c r="D538" s="35">
        <v>2009</v>
      </c>
      <c r="E538" s="35">
        <v>2006</v>
      </c>
      <c r="F538" s="35" t="s">
        <v>394</v>
      </c>
      <c r="G538" s="35" t="s">
        <v>587</v>
      </c>
      <c r="H538" s="35">
        <f t="shared" si="184"/>
        <v>43.333333333333336</v>
      </c>
      <c r="I538" s="35">
        <f t="shared" si="185"/>
        <v>-89.716666666666669</v>
      </c>
      <c r="J538" s="35">
        <v>250</v>
      </c>
      <c r="P538" s="54" t="s">
        <v>189</v>
      </c>
      <c r="Q538" s="54"/>
      <c r="R538" s="54"/>
      <c r="S538" s="54" t="s">
        <v>671</v>
      </c>
      <c r="T538" s="35">
        <f t="shared" si="186"/>
        <v>1.417142857142857</v>
      </c>
      <c r="W538" s="35" t="s">
        <v>175</v>
      </c>
      <c r="X538" s="35">
        <f t="shared" si="187"/>
        <v>6.8714285714285719</v>
      </c>
      <c r="AA538" s="35" t="s">
        <v>1693</v>
      </c>
      <c r="AB538" s="35" t="s">
        <v>172</v>
      </c>
      <c r="AC538" s="35" t="s">
        <v>589</v>
      </c>
      <c r="AD538" s="35" t="s">
        <v>578</v>
      </c>
      <c r="AE538" s="35" t="s">
        <v>578</v>
      </c>
      <c r="AF538" s="35" t="s">
        <v>252</v>
      </c>
      <c r="AJ538" s="35" t="s">
        <v>597</v>
      </c>
      <c r="AK538" s="35" t="s">
        <v>597</v>
      </c>
      <c r="AM538" s="35" t="s">
        <v>591</v>
      </c>
      <c r="AN538" s="35">
        <v>4</v>
      </c>
      <c r="AO538" s="35">
        <v>4</v>
      </c>
      <c r="AP538" s="35" t="s">
        <v>184</v>
      </c>
      <c r="AT538" s="63"/>
      <c r="BB538" s="35">
        <v>1.42</v>
      </c>
      <c r="BC538" s="35">
        <v>1.46</v>
      </c>
      <c r="BE538" s="35">
        <v>4</v>
      </c>
      <c r="BF538" s="35">
        <v>3.8299999999999996</v>
      </c>
      <c r="BG538" s="35" t="s">
        <v>1211</v>
      </c>
      <c r="BK538" s="35">
        <v>33</v>
      </c>
      <c r="BL538" s="35">
        <v>37.299999999999997</v>
      </c>
      <c r="BN538" s="35">
        <v>208</v>
      </c>
      <c r="BO538" s="35">
        <v>161</v>
      </c>
      <c r="BQ538" s="35">
        <v>7</v>
      </c>
      <c r="BR538" s="35">
        <v>6.6</v>
      </c>
      <c r="CC538" s="35">
        <v>407</v>
      </c>
      <c r="CD538" s="35">
        <v>337</v>
      </c>
      <c r="CE538" s="35" t="s">
        <v>593</v>
      </c>
      <c r="CI538" s="35">
        <v>0.57999999999999996</v>
      </c>
      <c r="CJ538" s="35">
        <v>0.63</v>
      </c>
      <c r="CK538" s="35" t="s">
        <v>1154</v>
      </c>
      <c r="DD538" s="35">
        <v>0.216</v>
      </c>
      <c r="DE538" s="35">
        <v>0.23799999999999999</v>
      </c>
      <c r="DP538" s="12"/>
      <c r="DR538" s="15"/>
      <c r="DS538" s="35">
        <v>1306</v>
      </c>
      <c r="DT538" s="35">
        <v>1336</v>
      </c>
      <c r="DU538" s="35" t="s">
        <v>592</v>
      </c>
      <c r="EE538" s="35">
        <f t="shared" si="189"/>
        <v>0.73920000000000008</v>
      </c>
      <c r="EF538" s="35">
        <f>105*0.012</f>
        <v>1.26</v>
      </c>
      <c r="EG538" s="35" t="s">
        <v>596</v>
      </c>
      <c r="EL538" s="35" t="s">
        <v>595</v>
      </c>
      <c r="EM538" s="35" t="s">
        <v>1153</v>
      </c>
      <c r="EN538" s="35">
        <v>29</v>
      </c>
    </row>
    <row r="539" spans="1:144" s="35" customFormat="1" x14ac:dyDescent="0.25">
      <c r="A539" s="35">
        <v>29</v>
      </c>
      <c r="B539" s="35" t="s">
        <v>1350</v>
      </c>
      <c r="C539" s="35" t="s">
        <v>586</v>
      </c>
      <c r="D539" s="35">
        <v>2009</v>
      </c>
      <c r="E539" s="35">
        <v>2006</v>
      </c>
      <c r="F539" s="35" t="s">
        <v>394</v>
      </c>
      <c r="G539" s="35" t="s">
        <v>587</v>
      </c>
      <c r="H539" s="35">
        <f t="shared" si="184"/>
        <v>43.333333333333336</v>
      </c>
      <c r="I539" s="35">
        <f t="shared" si="185"/>
        <v>-89.716666666666669</v>
      </c>
      <c r="J539" s="35">
        <v>250</v>
      </c>
      <c r="P539" s="54" t="s">
        <v>189</v>
      </c>
      <c r="Q539" s="54"/>
      <c r="R539" s="54"/>
      <c r="S539" s="54" t="s">
        <v>671</v>
      </c>
      <c r="T539" s="35">
        <f t="shared" si="186"/>
        <v>1.417142857142857</v>
      </c>
      <c r="W539" s="35" t="s">
        <v>175</v>
      </c>
      <c r="X539" s="35">
        <f t="shared" si="187"/>
        <v>6.8714285714285719</v>
      </c>
      <c r="AA539" s="35" t="s">
        <v>1693</v>
      </c>
      <c r="AB539" s="35" t="s">
        <v>172</v>
      </c>
      <c r="AC539" s="35" t="s">
        <v>174</v>
      </c>
      <c r="AD539" s="35" t="s">
        <v>578</v>
      </c>
      <c r="AE539" s="35" t="s">
        <v>578</v>
      </c>
      <c r="AF539" s="35" t="s">
        <v>252</v>
      </c>
      <c r="AJ539" s="35" t="s">
        <v>597</v>
      </c>
      <c r="AK539" s="35" t="s">
        <v>597</v>
      </c>
      <c r="AM539" s="35" t="s">
        <v>591</v>
      </c>
      <c r="AN539" s="35">
        <v>4</v>
      </c>
      <c r="AO539" s="35">
        <v>4</v>
      </c>
      <c r="AP539" s="35" t="s">
        <v>184</v>
      </c>
      <c r="AT539" s="63"/>
      <c r="BB539" s="35">
        <v>1.42</v>
      </c>
      <c r="BC539" s="35">
        <v>1.41</v>
      </c>
      <c r="BE539" s="35">
        <v>4</v>
      </c>
      <c r="BF539" s="35">
        <v>4.2299999999999995</v>
      </c>
      <c r="BG539" s="35" t="s">
        <v>1211</v>
      </c>
      <c r="BK539" s="35">
        <v>33</v>
      </c>
      <c r="BL539" s="35">
        <v>54.5</v>
      </c>
      <c r="BN539" s="35">
        <v>208</v>
      </c>
      <c r="BO539" s="35">
        <v>204</v>
      </c>
      <c r="BQ539" s="35">
        <v>7</v>
      </c>
      <c r="BR539" s="35">
        <v>7</v>
      </c>
      <c r="CC539" s="35">
        <v>407</v>
      </c>
      <c r="CD539" s="35">
        <v>368</v>
      </c>
      <c r="CE539" s="35" t="s">
        <v>593</v>
      </c>
      <c r="CI539" s="35">
        <v>0.57999999999999996</v>
      </c>
      <c r="CJ539" s="35">
        <v>0.65</v>
      </c>
      <c r="CK539" s="35" t="s">
        <v>1154</v>
      </c>
      <c r="DD539" s="35">
        <v>0.216</v>
      </c>
      <c r="DE539" s="35">
        <v>0.221</v>
      </c>
      <c r="DP539" s="12"/>
      <c r="DR539" s="15"/>
      <c r="DS539" s="35">
        <v>1306</v>
      </c>
      <c r="DT539" s="35">
        <v>1354</v>
      </c>
      <c r="DU539" s="35" t="s">
        <v>592</v>
      </c>
      <c r="EE539" s="35">
        <f t="shared" si="189"/>
        <v>0.73920000000000008</v>
      </c>
      <c r="EF539" s="35">
        <f>70.9*0.012</f>
        <v>0.85080000000000011</v>
      </c>
      <c r="EG539" s="35" t="s">
        <v>596</v>
      </c>
      <c r="EL539" s="35" t="s">
        <v>595</v>
      </c>
      <c r="EM539" s="35" t="s">
        <v>1153</v>
      </c>
      <c r="EN539" s="35">
        <v>29</v>
      </c>
    </row>
    <row r="540" spans="1:144" s="35" customFormat="1" x14ac:dyDescent="0.25">
      <c r="A540" s="35">
        <v>29</v>
      </c>
      <c r="B540" s="35" t="s">
        <v>1350</v>
      </c>
      <c r="C540" s="35" t="s">
        <v>586</v>
      </c>
      <c r="D540" s="35">
        <v>2009</v>
      </c>
      <c r="E540" s="35">
        <v>2006</v>
      </c>
      <c r="F540" s="35" t="s">
        <v>394</v>
      </c>
      <c r="G540" s="35" t="s">
        <v>587</v>
      </c>
      <c r="H540" s="35">
        <f t="shared" si="184"/>
        <v>43.333333333333336</v>
      </c>
      <c r="I540" s="35">
        <f t="shared" si="185"/>
        <v>-89.716666666666669</v>
      </c>
      <c r="J540" s="35">
        <v>250</v>
      </c>
      <c r="P540" s="54" t="s">
        <v>189</v>
      </c>
      <c r="Q540" s="54"/>
      <c r="R540" s="54"/>
      <c r="S540" s="54" t="s">
        <v>671</v>
      </c>
      <c r="T540" s="35">
        <f t="shared" si="186"/>
        <v>1.417142857142857</v>
      </c>
      <c r="W540" s="35" t="s">
        <v>175</v>
      </c>
      <c r="X540" s="35">
        <f t="shared" si="187"/>
        <v>6.8714285714285719</v>
      </c>
      <c r="AA540" s="35" t="s">
        <v>1693</v>
      </c>
      <c r="AB540" s="35" t="s">
        <v>1505</v>
      </c>
      <c r="AC540" s="35" t="s">
        <v>174</v>
      </c>
      <c r="AD540" s="35" t="s">
        <v>578</v>
      </c>
      <c r="AE540" s="35" t="s">
        <v>578</v>
      </c>
      <c r="AF540" s="35" t="s">
        <v>252</v>
      </c>
      <c r="AJ540" s="35" t="s">
        <v>597</v>
      </c>
      <c r="AK540" s="35" t="s">
        <v>597</v>
      </c>
      <c r="AM540" s="35" t="s">
        <v>591</v>
      </c>
      <c r="AN540" s="35">
        <v>4</v>
      </c>
      <c r="AO540" s="35">
        <v>4</v>
      </c>
      <c r="AP540" s="35" t="s">
        <v>184</v>
      </c>
      <c r="AT540" s="63"/>
      <c r="BB540" s="35">
        <v>1.42</v>
      </c>
      <c r="BC540" s="35">
        <v>1.37</v>
      </c>
      <c r="BE540" s="35">
        <v>4</v>
      </c>
      <c r="BF540" s="35">
        <v>4.13</v>
      </c>
      <c r="BG540" s="35" t="s">
        <v>1211</v>
      </c>
      <c r="BK540" s="35">
        <v>33</v>
      </c>
      <c r="BL540" s="35">
        <v>57.5</v>
      </c>
      <c r="BN540" s="35">
        <v>208</v>
      </c>
      <c r="BO540" s="35">
        <v>277</v>
      </c>
      <c r="BQ540" s="35">
        <v>7</v>
      </c>
      <c r="BR540" s="35">
        <v>6.8</v>
      </c>
      <c r="CC540" s="35">
        <v>407</v>
      </c>
      <c r="CD540" s="35">
        <v>352</v>
      </c>
      <c r="CE540" s="35" t="s">
        <v>593</v>
      </c>
      <c r="CI540" s="35">
        <v>0.57999999999999996</v>
      </c>
      <c r="CJ540" s="35">
        <v>0.64</v>
      </c>
      <c r="CK540" s="35" t="s">
        <v>1154</v>
      </c>
      <c r="DD540" s="35">
        <v>0.216</v>
      </c>
      <c r="DE540" s="35">
        <v>0.23300000000000001</v>
      </c>
      <c r="DP540" s="12"/>
      <c r="DR540" s="15"/>
      <c r="DS540" s="35">
        <v>1306</v>
      </c>
      <c r="DT540" s="35">
        <v>1382</v>
      </c>
      <c r="DU540" s="35" t="s">
        <v>592</v>
      </c>
      <c r="EE540" s="35">
        <f t="shared" si="189"/>
        <v>0.73920000000000008</v>
      </c>
      <c r="EF540" s="35">
        <f>88.6*0.012</f>
        <v>1.0631999999999999</v>
      </c>
      <c r="EG540" s="35" t="s">
        <v>596</v>
      </c>
      <c r="EL540" s="35" t="s">
        <v>595</v>
      </c>
      <c r="EM540" s="35" t="s">
        <v>1153</v>
      </c>
      <c r="EN540" s="35">
        <v>29</v>
      </c>
    </row>
    <row r="541" spans="1:144" s="35" customFormat="1" x14ac:dyDescent="0.25">
      <c r="A541" s="35">
        <v>29</v>
      </c>
      <c r="B541" s="35" t="s">
        <v>1350</v>
      </c>
      <c r="C541" s="35" t="s">
        <v>586</v>
      </c>
      <c r="D541" s="35">
        <v>2009</v>
      </c>
      <c r="E541" s="35">
        <v>2006</v>
      </c>
      <c r="F541" s="35" t="s">
        <v>394</v>
      </c>
      <c r="G541" s="35" t="s">
        <v>587</v>
      </c>
      <c r="H541" s="35">
        <f t="shared" si="184"/>
        <v>43.333333333333336</v>
      </c>
      <c r="I541" s="35">
        <f t="shared" si="185"/>
        <v>-89.716666666666669</v>
      </c>
      <c r="J541" s="35">
        <v>250</v>
      </c>
      <c r="P541" s="54" t="s">
        <v>189</v>
      </c>
      <c r="Q541" s="54"/>
      <c r="R541" s="54"/>
      <c r="S541" s="54" t="s">
        <v>671</v>
      </c>
      <c r="T541" s="35">
        <f t="shared" si="186"/>
        <v>1.417142857142857</v>
      </c>
      <c r="W541" s="35" t="s">
        <v>175</v>
      </c>
      <c r="X541" s="35">
        <f t="shared" si="187"/>
        <v>6.8714285714285719</v>
      </c>
      <c r="AA541" s="35" t="s">
        <v>1693</v>
      </c>
      <c r="AB541" s="35" t="s">
        <v>1506</v>
      </c>
      <c r="AC541" s="35" t="s">
        <v>174</v>
      </c>
      <c r="AD541" s="35" t="s">
        <v>578</v>
      </c>
      <c r="AE541" s="35" t="s">
        <v>578</v>
      </c>
      <c r="AF541" s="35" t="s">
        <v>252</v>
      </c>
      <c r="AJ541" s="35" t="s">
        <v>597</v>
      </c>
      <c r="AK541" s="35" t="s">
        <v>597</v>
      </c>
      <c r="AM541" s="35" t="s">
        <v>591</v>
      </c>
      <c r="AN541" s="35">
        <v>4</v>
      </c>
      <c r="AO541" s="35">
        <v>4</v>
      </c>
      <c r="AP541" s="35" t="s">
        <v>184</v>
      </c>
      <c r="AT541" s="63"/>
      <c r="BB541" s="35">
        <v>1.42</v>
      </c>
      <c r="BC541" s="35">
        <v>1.39</v>
      </c>
      <c r="BE541" s="35">
        <v>4</v>
      </c>
      <c r="BF541" s="35">
        <v>3.7</v>
      </c>
      <c r="BG541" s="35" t="s">
        <v>1211</v>
      </c>
      <c r="BK541" s="35">
        <v>33</v>
      </c>
      <c r="BL541" s="35">
        <v>43.3</v>
      </c>
      <c r="BN541" s="35">
        <v>208</v>
      </c>
      <c r="BO541" s="35">
        <v>265</v>
      </c>
      <c r="BQ541" s="35">
        <v>7</v>
      </c>
      <c r="BR541" s="35">
        <v>7.1</v>
      </c>
      <c r="CC541" s="35">
        <v>407</v>
      </c>
      <c r="CD541" s="35">
        <v>411</v>
      </c>
      <c r="CE541" s="35" t="s">
        <v>593</v>
      </c>
      <c r="CI541" s="35">
        <v>0.57999999999999996</v>
      </c>
      <c r="CJ541" s="35">
        <v>0.63</v>
      </c>
      <c r="CK541" s="35" t="s">
        <v>1154</v>
      </c>
      <c r="DD541" s="35">
        <v>0.216</v>
      </c>
      <c r="DE541" s="35">
        <v>0.219</v>
      </c>
      <c r="DP541" s="12"/>
      <c r="DR541" s="15"/>
      <c r="DS541" s="35">
        <v>1306</v>
      </c>
      <c r="DT541" s="35">
        <v>1360</v>
      </c>
      <c r="DU541" s="35" t="s">
        <v>592</v>
      </c>
      <c r="EE541" s="35">
        <f t="shared" si="189"/>
        <v>0.73920000000000008</v>
      </c>
      <c r="EF541" s="35">
        <f>72.5*0.012</f>
        <v>0.87</v>
      </c>
      <c r="EG541" s="35" t="s">
        <v>596</v>
      </c>
      <c r="EL541" s="35" t="s">
        <v>595</v>
      </c>
      <c r="EM541" s="35" t="s">
        <v>1153</v>
      </c>
      <c r="EN541" s="35">
        <v>29</v>
      </c>
    </row>
    <row r="542" spans="1:144" s="39" customFormat="1" x14ac:dyDescent="0.25">
      <c r="A542" s="39">
        <v>29</v>
      </c>
      <c r="B542" s="39" t="s">
        <v>1350</v>
      </c>
      <c r="C542" s="39" t="s">
        <v>586</v>
      </c>
      <c r="D542" s="39">
        <v>2009</v>
      </c>
      <c r="E542" s="39">
        <v>2006</v>
      </c>
      <c r="F542" s="39" t="s">
        <v>394</v>
      </c>
      <c r="G542" s="39" t="s">
        <v>587</v>
      </c>
      <c r="H542" s="39">
        <f t="shared" si="184"/>
        <v>43.333333333333336</v>
      </c>
      <c r="I542" s="39">
        <f t="shared" si="185"/>
        <v>-89.716666666666669</v>
      </c>
      <c r="J542" s="39">
        <v>250</v>
      </c>
      <c r="P542" s="58" t="s">
        <v>189</v>
      </c>
      <c r="Q542" s="58"/>
      <c r="R542" s="58"/>
      <c r="S542" s="58" t="s">
        <v>657</v>
      </c>
      <c r="T542" s="39">
        <f t="shared" si="186"/>
        <v>1.417142857142857</v>
      </c>
      <c r="W542" s="39" t="s">
        <v>175</v>
      </c>
      <c r="X542" s="39">
        <f t="shared" si="187"/>
        <v>6.8714285714285719</v>
      </c>
      <c r="AA542" s="39" t="s">
        <v>1693</v>
      </c>
      <c r="AB542" s="39" t="s">
        <v>588</v>
      </c>
      <c r="AC542" s="39" t="s">
        <v>589</v>
      </c>
      <c r="AD542" s="39" t="s">
        <v>578</v>
      </c>
      <c r="AE542" s="39" t="s">
        <v>578</v>
      </c>
      <c r="AF542" s="39" t="s">
        <v>252</v>
      </c>
      <c r="AJ542" s="39" t="s">
        <v>597</v>
      </c>
      <c r="AK542" s="39" t="s">
        <v>597</v>
      </c>
      <c r="AM542" s="39" t="s">
        <v>590</v>
      </c>
      <c r="AN542" s="39">
        <v>4</v>
      </c>
      <c r="AO542" s="39">
        <v>4</v>
      </c>
      <c r="AP542" s="39" t="s">
        <v>184</v>
      </c>
      <c r="AT542" s="63"/>
      <c r="BB542" s="39">
        <v>1.49</v>
      </c>
      <c r="BC542" s="39">
        <v>1.45</v>
      </c>
      <c r="BE542" s="39">
        <v>2.93</v>
      </c>
      <c r="BF542" s="39">
        <v>3.3</v>
      </c>
      <c r="BG542" s="39" t="s">
        <v>1211</v>
      </c>
      <c r="BK542" s="39">
        <v>24.3</v>
      </c>
      <c r="BL542" s="39">
        <v>20.8</v>
      </c>
      <c r="BN542" s="39">
        <v>145</v>
      </c>
      <c r="BO542" s="39">
        <v>104</v>
      </c>
      <c r="BQ542" s="39">
        <v>7.1</v>
      </c>
      <c r="BR542" s="39">
        <v>6.8</v>
      </c>
      <c r="CC542" s="39">
        <v>293</v>
      </c>
      <c r="CD542" s="39">
        <v>313</v>
      </c>
      <c r="CE542" s="39" t="s">
        <v>593</v>
      </c>
      <c r="CI542" s="39">
        <v>1.3393999999999999</v>
      </c>
      <c r="CJ542" s="39">
        <v>1.2694000000000001</v>
      </c>
      <c r="CK542" s="39" t="s">
        <v>1154</v>
      </c>
      <c r="DD542" s="39">
        <v>0.23</v>
      </c>
      <c r="DE542" s="39">
        <v>0.23499999999999999</v>
      </c>
      <c r="DP542" s="12"/>
      <c r="DR542" s="15"/>
      <c r="DS542" s="39">
        <v>1092</v>
      </c>
      <c r="DT542" s="39">
        <v>1178</v>
      </c>
      <c r="DU542" s="39" t="s">
        <v>592</v>
      </c>
      <c r="EE542" s="39">
        <f>22*0.012</f>
        <v>0.26400000000000001</v>
      </c>
      <c r="EF542" s="39">
        <f>54.3*0.012</f>
        <v>0.65159999999999996</v>
      </c>
      <c r="EG542" s="39" t="s">
        <v>596</v>
      </c>
      <c r="EL542" s="39" t="s">
        <v>595</v>
      </c>
      <c r="EM542" s="39" t="s">
        <v>1153</v>
      </c>
      <c r="EN542" s="39">
        <v>29</v>
      </c>
    </row>
    <row r="543" spans="1:144" s="39" customFormat="1" x14ac:dyDescent="0.25">
      <c r="A543" s="39">
        <v>29</v>
      </c>
      <c r="B543" s="39" t="s">
        <v>1350</v>
      </c>
      <c r="C543" s="39" t="s">
        <v>586</v>
      </c>
      <c r="D543" s="39">
        <v>2009</v>
      </c>
      <c r="E543" s="39">
        <v>2006</v>
      </c>
      <c r="F543" s="39" t="s">
        <v>394</v>
      </c>
      <c r="G543" s="39" t="s">
        <v>587</v>
      </c>
      <c r="H543" s="39">
        <f t="shared" si="184"/>
        <v>43.333333333333336</v>
      </c>
      <c r="I543" s="39">
        <f t="shared" si="185"/>
        <v>-89.716666666666669</v>
      </c>
      <c r="J543" s="39">
        <v>250</v>
      </c>
      <c r="P543" s="58" t="s">
        <v>189</v>
      </c>
      <c r="Q543" s="58"/>
      <c r="R543" s="58"/>
      <c r="S543" s="58" t="s">
        <v>657</v>
      </c>
      <c r="T543" s="39">
        <f t="shared" si="186"/>
        <v>1.417142857142857</v>
      </c>
      <c r="W543" s="39" t="s">
        <v>175</v>
      </c>
      <c r="X543" s="39">
        <f t="shared" si="187"/>
        <v>6.8714285714285719</v>
      </c>
      <c r="AA543" s="39" t="s">
        <v>1693</v>
      </c>
      <c r="AB543" s="39" t="s">
        <v>1509</v>
      </c>
      <c r="AC543" s="39" t="s">
        <v>174</v>
      </c>
      <c r="AD543" s="39" t="s">
        <v>578</v>
      </c>
      <c r="AE543" s="39" t="s">
        <v>578</v>
      </c>
      <c r="AF543" s="39" t="s">
        <v>252</v>
      </c>
      <c r="AJ543" s="39" t="s">
        <v>597</v>
      </c>
      <c r="AK543" s="39" t="s">
        <v>597</v>
      </c>
      <c r="AM543" s="39" t="s">
        <v>590</v>
      </c>
      <c r="AN543" s="39">
        <v>4</v>
      </c>
      <c r="AO543" s="39">
        <v>4</v>
      </c>
      <c r="AP543" s="39" t="s">
        <v>184</v>
      </c>
      <c r="AT543" s="63"/>
      <c r="BB543" s="39">
        <v>1.49</v>
      </c>
      <c r="BC543" s="39">
        <v>1.42</v>
      </c>
      <c r="BE543" s="39">
        <v>2.93</v>
      </c>
      <c r="BF543" s="39">
        <v>3.38</v>
      </c>
      <c r="BG543" s="39" t="s">
        <v>1211</v>
      </c>
      <c r="BK543" s="39">
        <v>24.3</v>
      </c>
      <c r="BL543" s="39">
        <v>19</v>
      </c>
      <c r="BN543" s="39">
        <v>145</v>
      </c>
      <c r="BO543" s="39">
        <v>121</v>
      </c>
      <c r="BQ543" s="39">
        <v>7.1</v>
      </c>
      <c r="BR543" s="39">
        <v>6.6</v>
      </c>
      <c r="CC543" s="39">
        <v>293</v>
      </c>
      <c r="CD543" s="39">
        <v>404</v>
      </c>
      <c r="CE543" s="39" t="s">
        <v>593</v>
      </c>
      <c r="CI543" s="39">
        <v>1.3393999999999999</v>
      </c>
      <c r="CJ543" s="39">
        <v>1.3277000000000001</v>
      </c>
      <c r="CK543" s="39" t="s">
        <v>1154</v>
      </c>
      <c r="DD543" s="39">
        <v>0.23</v>
      </c>
      <c r="DE543" s="39">
        <v>0.22800000000000001</v>
      </c>
      <c r="DP543" s="12"/>
      <c r="DR543" s="15"/>
      <c r="DS543" s="39">
        <v>1092</v>
      </c>
      <c r="DT543" s="39">
        <v>1169</v>
      </c>
      <c r="DU543" s="39" t="s">
        <v>592</v>
      </c>
      <c r="EE543" s="39">
        <f t="shared" ref="EE543:EE547" si="190">22*0.012</f>
        <v>0.26400000000000001</v>
      </c>
      <c r="EF543" s="39">
        <f>29.1*0.012</f>
        <v>0.34920000000000001</v>
      </c>
      <c r="EG543" s="39" t="s">
        <v>596</v>
      </c>
      <c r="EL543" s="39" t="s">
        <v>595</v>
      </c>
      <c r="EM543" s="39" t="s">
        <v>1153</v>
      </c>
      <c r="EN543" s="39">
        <v>29</v>
      </c>
    </row>
    <row r="544" spans="1:144" s="39" customFormat="1" x14ac:dyDescent="0.25">
      <c r="A544" s="39">
        <v>29</v>
      </c>
      <c r="B544" s="39" t="s">
        <v>1350</v>
      </c>
      <c r="C544" s="39" t="s">
        <v>586</v>
      </c>
      <c r="D544" s="39">
        <v>2009</v>
      </c>
      <c r="E544" s="39">
        <v>2006</v>
      </c>
      <c r="F544" s="39" t="s">
        <v>394</v>
      </c>
      <c r="G544" s="39" t="s">
        <v>587</v>
      </c>
      <c r="H544" s="39">
        <f t="shared" si="184"/>
        <v>43.333333333333336</v>
      </c>
      <c r="I544" s="39">
        <f t="shared" si="185"/>
        <v>-89.716666666666669</v>
      </c>
      <c r="J544" s="39">
        <v>250</v>
      </c>
      <c r="P544" s="58" t="s">
        <v>189</v>
      </c>
      <c r="Q544" s="58"/>
      <c r="R544" s="58"/>
      <c r="S544" s="58" t="s">
        <v>657</v>
      </c>
      <c r="T544" s="39">
        <f t="shared" si="186"/>
        <v>1.417142857142857</v>
      </c>
      <c r="W544" s="39" t="s">
        <v>175</v>
      </c>
      <c r="X544" s="39">
        <f t="shared" si="187"/>
        <v>6.8714285714285719</v>
      </c>
      <c r="AA544" s="39" t="s">
        <v>1693</v>
      </c>
      <c r="AB544" s="39" t="s">
        <v>172</v>
      </c>
      <c r="AC544" s="39" t="s">
        <v>589</v>
      </c>
      <c r="AD544" s="39" t="s">
        <v>578</v>
      </c>
      <c r="AE544" s="39" t="s">
        <v>578</v>
      </c>
      <c r="AF544" s="39" t="s">
        <v>252</v>
      </c>
      <c r="AJ544" s="39" t="s">
        <v>597</v>
      </c>
      <c r="AK544" s="39" t="s">
        <v>597</v>
      </c>
      <c r="AM544" s="39" t="s">
        <v>590</v>
      </c>
      <c r="AN544" s="39">
        <v>4</v>
      </c>
      <c r="AO544" s="39">
        <v>4</v>
      </c>
      <c r="AP544" s="39" t="s">
        <v>184</v>
      </c>
      <c r="AT544" s="63"/>
      <c r="BB544" s="39">
        <v>1.49</v>
      </c>
      <c r="BC544" s="39">
        <v>1.48</v>
      </c>
      <c r="BE544" s="39">
        <v>2.93</v>
      </c>
      <c r="BF544" s="39">
        <v>3.25</v>
      </c>
      <c r="BG544" s="39" t="s">
        <v>1211</v>
      </c>
      <c r="BK544" s="39">
        <v>24.3</v>
      </c>
      <c r="BL544" s="39">
        <v>22.5</v>
      </c>
      <c r="BN544" s="39">
        <v>145</v>
      </c>
      <c r="BO544" s="39">
        <v>92</v>
      </c>
      <c r="BQ544" s="39">
        <v>7.1</v>
      </c>
      <c r="BR544" s="39">
        <v>7</v>
      </c>
      <c r="CC544" s="39">
        <v>293</v>
      </c>
      <c r="CD544" s="39">
        <v>279</v>
      </c>
      <c r="CE544" s="39" t="s">
        <v>593</v>
      </c>
      <c r="CI544" s="39">
        <v>1.3393999999999999</v>
      </c>
      <c r="CJ544" s="39">
        <v>1.3549</v>
      </c>
      <c r="CK544" s="39" t="s">
        <v>1154</v>
      </c>
      <c r="DD544" s="39">
        <v>0.23</v>
      </c>
      <c r="DE544" s="39">
        <v>0.22700000000000001</v>
      </c>
      <c r="DP544" s="12"/>
      <c r="DR544" s="15"/>
      <c r="DS544" s="39">
        <v>1092</v>
      </c>
      <c r="DT544" s="39">
        <v>1148</v>
      </c>
      <c r="DU544" s="39" t="s">
        <v>592</v>
      </c>
      <c r="EE544" s="39">
        <f t="shared" si="190"/>
        <v>0.26400000000000001</v>
      </c>
      <c r="EF544" s="39">
        <f>43.9*0.012</f>
        <v>0.52680000000000005</v>
      </c>
      <c r="EG544" s="39" t="s">
        <v>596</v>
      </c>
      <c r="EL544" s="39" t="s">
        <v>595</v>
      </c>
      <c r="EM544" s="39" t="s">
        <v>1153</v>
      </c>
      <c r="EN544" s="39">
        <v>29</v>
      </c>
    </row>
    <row r="545" spans="1:144" s="39" customFormat="1" x14ac:dyDescent="0.25">
      <c r="A545" s="39">
        <v>29</v>
      </c>
      <c r="B545" s="39" t="s">
        <v>1350</v>
      </c>
      <c r="C545" s="39" t="s">
        <v>586</v>
      </c>
      <c r="D545" s="39">
        <v>2009</v>
      </c>
      <c r="E545" s="39">
        <v>2006</v>
      </c>
      <c r="F545" s="39" t="s">
        <v>394</v>
      </c>
      <c r="G545" s="39" t="s">
        <v>587</v>
      </c>
      <c r="H545" s="39">
        <f t="shared" si="184"/>
        <v>43.333333333333336</v>
      </c>
      <c r="I545" s="39">
        <f t="shared" si="185"/>
        <v>-89.716666666666669</v>
      </c>
      <c r="J545" s="39">
        <v>250</v>
      </c>
      <c r="P545" s="58" t="s">
        <v>189</v>
      </c>
      <c r="Q545" s="58"/>
      <c r="R545" s="58"/>
      <c r="S545" s="58" t="s">
        <v>657</v>
      </c>
      <c r="T545" s="39">
        <f t="shared" si="186"/>
        <v>1.417142857142857</v>
      </c>
      <c r="W545" s="39" t="s">
        <v>175</v>
      </c>
      <c r="X545" s="39">
        <f t="shared" si="187"/>
        <v>6.8714285714285719</v>
      </c>
      <c r="AA545" s="39" t="s">
        <v>1693</v>
      </c>
      <c r="AB545" s="39" t="s">
        <v>172</v>
      </c>
      <c r="AC545" s="39" t="s">
        <v>174</v>
      </c>
      <c r="AD545" s="39" t="s">
        <v>578</v>
      </c>
      <c r="AE545" s="39" t="s">
        <v>578</v>
      </c>
      <c r="AF545" s="39" t="s">
        <v>252</v>
      </c>
      <c r="AJ545" s="39" t="s">
        <v>597</v>
      </c>
      <c r="AK545" s="39" t="s">
        <v>597</v>
      </c>
      <c r="AM545" s="39" t="s">
        <v>590</v>
      </c>
      <c r="AN545" s="39">
        <v>4</v>
      </c>
      <c r="AO545" s="39">
        <v>4</v>
      </c>
      <c r="AP545" s="39" t="s">
        <v>184</v>
      </c>
      <c r="AT545" s="63"/>
      <c r="BB545" s="39">
        <v>1.49</v>
      </c>
      <c r="BC545" s="39">
        <v>1.43</v>
      </c>
      <c r="BE545" s="39">
        <v>2.93</v>
      </c>
      <c r="BF545" s="39">
        <v>3.3299999999999996</v>
      </c>
      <c r="BG545" s="39" t="s">
        <v>1211</v>
      </c>
      <c r="BK545" s="39">
        <v>24.3</v>
      </c>
      <c r="BL545" s="39">
        <v>20.8</v>
      </c>
      <c r="BN545" s="39">
        <v>145</v>
      </c>
      <c r="BO545" s="39">
        <v>104</v>
      </c>
      <c r="BQ545" s="39">
        <v>7.1</v>
      </c>
      <c r="BR545" s="39">
        <v>6.7</v>
      </c>
      <c r="CC545" s="39">
        <v>293</v>
      </c>
      <c r="CD545" s="39">
        <v>365</v>
      </c>
      <c r="CE545" s="39" t="s">
        <v>593</v>
      </c>
      <c r="CI545" s="39">
        <v>1.3393999999999999</v>
      </c>
      <c r="CJ545" s="39">
        <v>1.38</v>
      </c>
      <c r="CK545" s="39" t="s">
        <v>1154</v>
      </c>
      <c r="DD545" s="39">
        <v>0.23</v>
      </c>
      <c r="DE545" s="39">
        <v>0.22700000000000001</v>
      </c>
      <c r="DP545" s="12"/>
      <c r="DR545" s="15"/>
      <c r="DS545" s="39">
        <v>1092</v>
      </c>
      <c r="DT545" s="39">
        <v>1189</v>
      </c>
      <c r="DU545" s="39" t="s">
        <v>592</v>
      </c>
      <c r="EE545" s="39">
        <f t="shared" si="190"/>
        <v>0.26400000000000001</v>
      </c>
      <c r="EF545" s="39">
        <f>34.3*0.012</f>
        <v>0.41159999999999997</v>
      </c>
      <c r="EG545" s="39" t="s">
        <v>596</v>
      </c>
      <c r="EL545" s="39" t="s">
        <v>595</v>
      </c>
      <c r="EM545" s="39" t="s">
        <v>1153</v>
      </c>
      <c r="EN545" s="39">
        <v>29</v>
      </c>
    </row>
    <row r="546" spans="1:144" s="39" customFormat="1" x14ac:dyDescent="0.25">
      <c r="A546" s="39">
        <v>29</v>
      </c>
      <c r="B546" s="39" t="s">
        <v>1350</v>
      </c>
      <c r="C546" s="39" t="s">
        <v>586</v>
      </c>
      <c r="D546" s="39">
        <v>2009</v>
      </c>
      <c r="E546" s="39">
        <v>2006</v>
      </c>
      <c r="F546" s="39" t="s">
        <v>394</v>
      </c>
      <c r="G546" s="39" t="s">
        <v>587</v>
      </c>
      <c r="H546" s="39">
        <f t="shared" si="184"/>
        <v>43.333333333333336</v>
      </c>
      <c r="I546" s="39">
        <f t="shared" si="185"/>
        <v>-89.716666666666669</v>
      </c>
      <c r="J546" s="39">
        <v>250</v>
      </c>
      <c r="P546" s="58" t="s">
        <v>189</v>
      </c>
      <c r="Q546" s="58"/>
      <c r="R546" s="58"/>
      <c r="S546" s="58" t="s">
        <v>657</v>
      </c>
      <c r="T546" s="39">
        <f t="shared" si="186"/>
        <v>1.417142857142857</v>
      </c>
      <c r="W546" s="39" t="s">
        <v>175</v>
      </c>
      <c r="X546" s="39">
        <f t="shared" si="187"/>
        <v>6.8714285714285719</v>
      </c>
      <c r="AA546" s="39" t="s">
        <v>1693</v>
      </c>
      <c r="AB546" s="39" t="s">
        <v>1505</v>
      </c>
      <c r="AC546" s="39" t="s">
        <v>174</v>
      </c>
      <c r="AD546" s="39" t="s">
        <v>578</v>
      </c>
      <c r="AE546" s="39" t="s">
        <v>578</v>
      </c>
      <c r="AF546" s="39" t="s">
        <v>252</v>
      </c>
      <c r="AJ546" s="39" t="s">
        <v>597</v>
      </c>
      <c r="AK546" s="39" t="s">
        <v>597</v>
      </c>
      <c r="AM546" s="39" t="s">
        <v>590</v>
      </c>
      <c r="AN546" s="39">
        <v>4</v>
      </c>
      <c r="AO546" s="39">
        <v>4</v>
      </c>
      <c r="AP546" s="39" t="s">
        <v>184</v>
      </c>
      <c r="AT546" s="63"/>
      <c r="BB546" s="39">
        <v>1.49</v>
      </c>
      <c r="BC546" s="39">
        <v>1.44</v>
      </c>
      <c r="BE546" s="39">
        <v>2.93</v>
      </c>
      <c r="BF546" s="39">
        <v>3.3</v>
      </c>
      <c r="BG546" s="39" t="s">
        <v>1211</v>
      </c>
      <c r="BK546" s="39">
        <v>24.3</v>
      </c>
      <c r="BL546" s="39">
        <v>22</v>
      </c>
      <c r="BN546" s="39">
        <v>145</v>
      </c>
      <c r="BO546" s="39">
        <v>132</v>
      </c>
      <c r="BQ546" s="39">
        <v>7.1</v>
      </c>
      <c r="BR546" s="39">
        <v>7.2</v>
      </c>
      <c r="CC546" s="39">
        <v>293</v>
      </c>
      <c r="CD546" s="39">
        <v>355</v>
      </c>
      <c r="CE546" s="39" t="s">
        <v>593</v>
      </c>
      <c r="CI546" s="39">
        <v>1.3393999999999999</v>
      </c>
      <c r="CJ546" s="39">
        <v>1.49</v>
      </c>
      <c r="CK546" s="39" t="s">
        <v>1154</v>
      </c>
      <c r="DD546" s="39">
        <v>0.23</v>
      </c>
      <c r="DE546" s="39">
        <v>0.22700000000000001</v>
      </c>
      <c r="DP546" s="12"/>
      <c r="DR546" s="15"/>
      <c r="DS546" s="39">
        <v>1092</v>
      </c>
      <c r="DT546" s="39">
        <v>1229</v>
      </c>
      <c r="DU546" s="39" t="s">
        <v>592</v>
      </c>
      <c r="EE546" s="39">
        <f t="shared" si="190"/>
        <v>0.26400000000000001</v>
      </c>
      <c r="EF546" s="39">
        <f>66*0.012</f>
        <v>0.79200000000000004</v>
      </c>
      <c r="EG546" s="39" t="s">
        <v>596</v>
      </c>
      <c r="EL546" s="39" t="s">
        <v>595</v>
      </c>
      <c r="EM546" s="39" t="s">
        <v>1153</v>
      </c>
      <c r="EN546" s="39">
        <v>29</v>
      </c>
    </row>
    <row r="547" spans="1:144" s="39" customFormat="1" x14ac:dyDescent="0.25">
      <c r="A547" s="39">
        <v>29</v>
      </c>
      <c r="B547" s="39" t="s">
        <v>1350</v>
      </c>
      <c r="C547" s="39" t="s">
        <v>586</v>
      </c>
      <c r="D547" s="39">
        <v>2009</v>
      </c>
      <c r="E547" s="39">
        <v>2006</v>
      </c>
      <c r="F547" s="39" t="s">
        <v>394</v>
      </c>
      <c r="G547" s="39" t="s">
        <v>587</v>
      </c>
      <c r="H547" s="39">
        <f t="shared" si="184"/>
        <v>43.333333333333336</v>
      </c>
      <c r="I547" s="39">
        <f t="shared" si="185"/>
        <v>-89.716666666666669</v>
      </c>
      <c r="J547" s="39">
        <v>250</v>
      </c>
      <c r="P547" s="58" t="s">
        <v>189</v>
      </c>
      <c r="Q547" s="58"/>
      <c r="R547" s="58"/>
      <c r="S547" s="58" t="s">
        <v>657</v>
      </c>
      <c r="T547" s="39">
        <f t="shared" si="186"/>
        <v>1.417142857142857</v>
      </c>
      <c r="W547" s="39" t="s">
        <v>175</v>
      </c>
      <c r="X547" s="39">
        <f t="shared" si="187"/>
        <v>6.8714285714285719</v>
      </c>
      <c r="AA547" s="39" t="s">
        <v>1693</v>
      </c>
      <c r="AB547" s="39" t="s">
        <v>1506</v>
      </c>
      <c r="AC547" s="39" t="s">
        <v>174</v>
      </c>
      <c r="AD547" s="39" t="s">
        <v>578</v>
      </c>
      <c r="AE547" s="39" t="s">
        <v>578</v>
      </c>
      <c r="AF547" s="39" t="s">
        <v>252</v>
      </c>
      <c r="AJ547" s="39" t="s">
        <v>597</v>
      </c>
      <c r="AK547" s="39" t="s">
        <v>597</v>
      </c>
      <c r="AM547" s="39" t="s">
        <v>590</v>
      </c>
      <c r="AN547" s="39">
        <v>4</v>
      </c>
      <c r="AO547" s="39">
        <v>4</v>
      </c>
      <c r="AP547" s="39" t="s">
        <v>184</v>
      </c>
      <c r="AT547" s="63"/>
      <c r="BB547" s="39">
        <v>1.49</v>
      </c>
      <c r="BC547" s="39">
        <v>1.45</v>
      </c>
      <c r="BE547" s="39">
        <v>2.93</v>
      </c>
      <c r="BF547" s="39">
        <v>3.13</v>
      </c>
      <c r="BG547" s="39" t="s">
        <v>1211</v>
      </c>
      <c r="BK547" s="39">
        <v>24.3</v>
      </c>
      <c r="BL547" s="39">
        <v>18.8</v>
      </c>
      <c r="BN547" s="39">
        <v>145</v>
      </c>
      <c r="BO547" s="39">
        <v>147</v>
      </c>
      <c r="BQ547" s="39">
        <v>7.1</v>
      </c>
      <c r="BR547" s="39">
        <v>6.8</v>
      </c>
      <c r="CC547" s="39">
        <v>293</v>
      </c>
      <c r="CD547" s="39">
        <v>302</v>
      </c>
      <c r="CE547" s="39" t="s">
        <v>593</v>
      </c>
      <c r="CI547" s="39">
        <v>1.3393999999999999</v>
      </c>
      <c r="CJ547" s="39">
        <v>1.53</v>
      </c>
      <c r="CK547" s="39" t="s">
        <v>1154</v>
      </c>
      <c r="DD547" s="39">
        <v>0.23</v>
      </c>
      <c r="DE547" s="39">
        <v>0.222</v>
      </c>
      <c r="DP547" s="12"/>
      <c r="DR547" s="15"/>
      <c r="DS547" s="39">
        <v>1092</v>
      </c>
      <c r="DT547" s="39">
        <v>1217</v>
      </c>
      <c r="DU547" s="39" t="s">
        <v>592</v>
      </c>
      <c r="EE547" s="39">
        <f t="shared" si="190"/>
        <v>0.26400000000000001</v>
      </c>
      <c r="EF547" s="39">
        <f>41.7*0.012</f>
        <v>0.50040000000000007</v>
      </c>
      <c r="EG547" s="39" t="s">
        <v>596</v>
      </c>
      <c r="EL547" s="39" t="s">
        <v>595</v>
      </c>
      <c r="EM547" s="39" t="s">
        <v>1153</v>
      </c>
      <c r="EN547" s="39">
        <v>29</v>
      </c>
    </row>
    <row r="548" spans="1:144" s="35" customFormat="1" x14ac:dyDescent="0.25">
      <c r="A548" s="35">
        <v>29</v>
      </c>
      <c r="B548" s="35" t="s">
        <v>1350</v>
      </c>
      <c r="C548" s="35" t="s">
        <v>586</v>
      </c>
      <c r="D548" s="35">
        <v>2009</v>
      </c>
      <c r="E548" s="35">
        <v>2006</v>
      </c>
      <c r="F548" s="35" t="s">
        <v>394</v>
      </c>
      <c r="G548" s="35" t="s">
        <v>587</v>
      </c>
      <c r="H548" s="35">
        <f t="shared" si="184"/>
        <v>43.333333333333336</v>
      </c>
      <c r="I548" s="35">
        <f t="shared" si="185"/>
        <v>-89.716666666666669</v>
      </c>
      <c r="J548" s="35">
        <v>250</v>
      </c>
      <c r="P548" s="54" t="s">
        <v>189</v>
      </c>
      <c r="Q548" s="54"/>
      <c r="R548" s="54"/>
      <c r="S548" s="54" t="s">
        <v>657</v>
      </c>
      <c r="T548" s="35">
        <f t="shared" si="186"/>
        <v>1.417142857142857</v>
      </c>
      <c r="W548" s="35" t="s">
        <v>175</v>
      </c>
      <c r="X548" s="35">
        <f t="shared" si="187"/>
        <v>6.8714285714285719</v>
      </c>
      <c r="AA548" s="35" t="s">
        <v>1693</v>
      </c>
      <c r="AB548" s="35" t="s">
        <v>588</v>
      </c>
      <c r="AC548" s="35" t="s">
        <v>589</v>
      </c>
      <c r="AD548" s="35" t="s">
        <v>578</v>
      </c>
      <c r="AE548" s="35" t="s">
        <v>578</v>
      </c>
      <c r="AF548" s="35" t="s">
        <v>252</v>
      </c>
      <c r="AJ548" s="35" t="s">
        <v>597</v>
      </c>
      <c r="AK548" s="35" t="s">
        <v>597</v>
      </c>
      <c r="AM548" s="35" t="s">
        <v>591</v>
      </c>
      <c r="AN548" s="35">
        <v>4</v>
      </c>
      <c r="AO548" s="35">
        <v>4</v>
      </c>
      <c r="AP548" s="35" t="s">
        <v>184</v>
      </c>
      <c r="AT548" s="63"/>
      <c r="BB548" s="35">
        <v>1.4</v>
      </c>
      <c r="BC548" s="35">
        <v>1.45</v>
      </c>
      <c r="BE548" s="35">
        <v>3.38</v>
      </c>
      <c r="BF548" s="35">
        <v>3.3</v>
      </c>
      <c r="BG548" s="35" t="s">
        <v>1211</v>
      </c>
      <c r="BK548" s="35">
        <v>28</v>
      </c>
      <c r="BL548" s="35">
        <v>20.8</v>
      </c>
      <c r="BN548" s="35">
        <v>120</v>
      </c>
      <c r="BO548" s="35">
        <v>104</v>
      </c>
      <c r="BQ548" s="35">
        <v>6.7</v>
      </c>
      <c r="BR548" s="35">
        <v>6.8</v>
      </c>
      <c r="CC548" s="35">
        <v>369</v>
      </c>
      <c r="CD548" s="35">
        <v>313</v>
      </c>
      <c r="CE548" s="35" t="s">
        <v>593</v>
      </c>
      <c r="CI548" s="35">
        <v>1.4172</v>
      </c>
      <c r="CJ548" s="35">
        <v>1.2694000000000001</v>
      </c>
      <c r="CK548" s="35" t="s">
        <v>1154</v>
      </c>
      <c r="DD548" s="35">
        <v>0.23</v>
      </c>
      <c r="DE548" s="35">
        <v>0.23499999999999999</v>
      </c>
      <c r="DP548" s="12"/>
      <c r="DR548" s="15"/>
      <c r="DS548" s="35">
        <v>1172</v>
      </c>
      <c r="DT548" s="35">
        <v>1178</v>
      </c>
      <c r="DU548" s="35" t="s">
        <v>592</v>
      </c>
      <c r="EE548" s="35">
        <f>40.7*0.012</f>
        <v>0.48840000000000006</v>
      </c>
      <c r="EF548" s="35">
        <f>54.3*0.012</f>
        <v>0.65159999999999996</v>
      </c>
      <c r="EG548" s="35" t="s">
        <v>596</v>
      </c>
      <c r="EL548" s="35" t="s">
        <v>595</v>
      </c>
      <c r="EM548" s="35" t="s">
        <v>1153</v>
      </c>
      <c r="EN548" s="35">
        <v>29</v>
      </c>
    </row>
    <row r="549" spans="1:144" s="35" customFormat="1" x14ac:dyDescent="0.25">
      <c r="A549" s="35">
        <v>29</v>
      </c>
      <c r="B549" s="35" t="s">
        <v>1350</v>
      </c>
      <c r="C549" s="35" t="s">
        <v>586</v>
      </c>
      <c r="D549" s="35">
        <v>2009</v>
      </c>
      <c r="E549" s="35">
        <v>2006</v>
      </c>
      <c r="F549" s="35" t="s">
        <v>394</v>
      </c>
      <c r="G549" s="35" t="s">
        <v>587</v>
      </c>
      <c r="H549" s="35">
        <f t="shared" si="184"/>
        <v>43.333333333333336</v>
      </c>
      <c r="I549" s="35">
        <f t="shared" si="185"/>
        <v>-89.716666666666669</v>
      </c>
      <c r="J549" s="35">
        <v>250</v>
      </c>
      <c r="P549" s="54" t="s">
        <v>189</v>
      </c>
      <c r="Q549" s="54"/>
      <c r="R549" s="54"/>
      <c r="S549" s="54" t="s">
        <v>657</v>
      </c>
      <c r="T549" s="35">
        <f t="shared" si="186"/>
        <v>1.417142857142857</v>
      </c>
      <c r="W549" s="35" t="s">
        <v>175</v>
      </c>
      <c r="X549" s="35">
        <f t="shared" si="187"/>
        <v>6.8714285714285719</v>
      </c>
      <c r="AA549" s="35" t="s">
        <v>1693</v>
      </c>
      <c r="AB549" s="35" t="s">
        <v>1509</v>
      </c>
      <c r="AC549" s="35" t="s">
        <v>174</v>
      </c>
      <c r="AD549" s="35" t="s">
        <v>578</v>
      </c>
      <c r="AE549" s="35" t="s">
        <v>578</v>
      </c>
      <c r="AF549" s="35" t="s">
        <v>252</v>
      </c>
      <c r="AJ549" s="35" t="s">
        <v>597</v>
      </c>
      <c r="AK549" s="35" t="s">
        <v>597</v>
      </c>
      <c r="AM549" s="35" t="s">
        <v>591</v>
      </c>
      <c r="AN549" s="35">
        <v>4</v>
      </c>
      <c r="AO549" s="35">
        <v>4</v>
      </c>
      <c r="AP549" s="35" t="s">
        <v>184</v>
      </c>
      <c r="AT549" s="63"/>
      <c r="BB549" s="35">
        <v>1.4</v>
      </c>
      <c r="BC549" s="35">
        <v>1.42</v>
      </c>
      <c r="BE549" s="35">
        <v>3.38</v>
      </c>
      <c r="BF549" s="35">
        <v>3.38</v>
      </c>
      <c r="BG549" s="35" t="s">
        <v>1211</v>
      </c>
      <c r="BK549" s="35">
        <v>28</v>
      </c>
      <c r="BL549" s="35">
        <v>19</v>
      </c>
      <c r="BN549" s="35">
        <v>120</v>
      </c>
      <c r="BO549" s="35">
        <v>121</v>
      </c>
      <c r="BQ549" s="35">
        <v>6.7</v>
      </c>
      <c r="BR549" s="35">
        <v>6.6</v>
      </c>
      <c r="CC549" s="35">
        <v>369</v>
      </c>
      <c r="CD549" s="35">
        <v>404</v>
      </c>
      <c r="CE549" s="35" t="s">
        <v>593</v>
      </c>
      <c r="CI549" s="35">
        <v>1.4172</v>
      </c>
      <c r="CJ549" s="35">
        <v>1.3277000000000001</v>
      </c>
      <c r="CK549" s="35" t="s">
        <v>1154</v>
      </c>
      <c r="DD549" s="35">
        <v>0.23</v>
      </c>
      <c r="DE549" s="35">
        <v>0.22800000000000001</v>
      </c>
      <c r="DP549" s="12"/>
      <c r="DR549" s="15"/>
      <c r="DS549" s="35">
        <v>1172</v>
      </c>
      <c r="DT549" s="35">
        <v>1169</v>
      </c>
      <c r="DU549" s="35" t="s">
        <v>592</v>
      </c>
      <c r="EE549" s="35">
        <f t="shared" ref="EE549:EE553" si="191">40.7*0.012</f>
        <v>0.48840000000000006</v>
      </c>
      <c r="EF549" s="35">
        <f>29.1*0.012</f>
        <v>0.34920000000000001</v>
      </c>
      <c r="EG549" s="35" t="s">
        <v>596</v>
      </c>
      <c r="EL549" s="35" t="s">
        <v>595</v>
      </c>
      <c r="EM549" s="35" t="s">
        <v>1153</v>
      </c>
      <c r="EN549" s="35">
        <v>29</v>
      </c>
    </row>
    <row r="550" spans="1:144" s="35" customFormat="1" x14ac:dyDescent="0.25">
      <c r="A550" s="35">
        <v>29</v>
      </c>
      <c r="B550" s="35" t="s">
        <v>1350</v>
      </c>
      <c r="C550" s="35" t="s">
        <v>586</v>
      </c>
      <c r="D550" s="35">
        <v>2009</v>
      </c>
      <c r="E550" s="35">
        <v>2006</v>
      </c>
      <c r="F550" s="35" t="s">
        <v>394</v>
      </c>
      <c r="G550" s="35" t="s">
        <v>587</v>
      </c>
      <c r="H550" s="35">
        <f t="shared" si="184"/>
        <v>43.333333333333336</v>
      </c>
      <c r="I550" s="35">
        <f t="shared" si="185"/>
        <v>-89.716666666666669</v>
      </c>
      <c r="J550" s="35">
        <v>250</v>
      </c>
      <c r="P550" s="54" t="s">
        <v>189</v>
      </c>
      <c r="Q550" s="54"/>
      <c r="R550" s="54"/>
      <c r="S550" s="54" t="s">
        <v>657</v>
      </c>
      <c r="T550" s="35">
        <f t="shared" si="186"/>
        <v>1.417142857142857</v>
      </c>
      <c r="W550" s="35" t="s">
        <v>175</v>
      </c>
      <c r="X550" s="35">
        <f t="shared" si="187"/>
        <v>6.8714285714285719</v>
      </c>
      <c r="AA550" s="35" t="s">
        <v>1693</v>
      </c>
      <c r="AB550" s="35" t="s">
        <v>172</v>
      </c>
      <c r="AC550" s="35" t="s">
        <v>589</v>
      </c>
      <c r="AD550" s="35" t="s">
        <v>578</v>
      </c>
      <c r="AE550" s="35" t="s">
        <v>578</v>
      </c>
      <c r="AF550" s="35" t="s">
        <v>252</v>
      </c>
      <c r="AJ550" s="35" t="s">
        <v>597</v>
      </c>
      <c r="AK550" s="35" t="s">
        <v>597</v>
      </c>
      <c r="AM550" s="35" t="s">
        <v>591</v>
      </c>
      <c r="AN550" s="35">
        <v>4</v>
      </c>
      <c r="AO550" s="35">
        <v>4</v>
      </c>
      <c r="AP550" s="35" t="s">
        <v>184</v>
      </c>
      <c r="AT550" s="63"/>
      <c r="BB550" s="35">
        <v>1.4</v>
      </c>
      <c r="BC550" s="35">
        <v>1.48</v>
      </c>
      <c r="BE550" s="35">
        <v>3.38</v>
      </c>
      <c r="BF550" s="35">
        <v>3.25</v>
      </c>
      <c r="BG550" s="35" t="s">
        <v>1211</v>
      </c>
      <c r="BK550" s="35">
        <v>28</v>
      </c>
      <c r="BL550" s="35">
        <v>22.5</v>
      </c>
      <c r="BN550" s="35">
        <v>120</v>
      </c>
      <c r="BO550" s="35">
        <v>92</v>
      </c>
      <c r="BQ550" s="35">
        <v>6.7</v>
      </c>
      <c r="BR550" s="35">
        <v>7</v>
      </c>
      <c r="CC550" s="35">
        <v>369</v>
      </c>
      <c r="CD550" s="35">
        <v>279</v>
      </c>
      <c r="CE550" s="35" t="s">
        <v>593</v>
      </c>
      <c r="CI550" s="35">
        <v>1.4172</v>
      </c>
      <c r="CJ550" s="35">
        <v>1.3549</v>
      </c>
      <c r="CK550" s="35" t="s">
        <v>1154</v>
      </c>
      <c r="DD550" s="35">
        <v>0.23</v>
      </c>
      <c r="DE550" s="35">
        <v>0.22700000000000001</v>
      </c>
      <c r="DP550" s="12"/>
      <c r="DR550" s="15"/>
      <c r="DS550" s="35">
        <v>1172</v>
      </c>
      <c r="DT550" s="35">
        <v>1148</v>
      </c>
      <c r="DU550" s="35" t="s">
        <v>592</v>
      </c>
      <c r="EE550" s="35">
        <f t="shared" si="191"/>
        <v>0.48840000000000006</v>
      </c>
      <c r="EF550" s="35">
        <f>43.9*0.012</f>
        <v>0.52680000000000005</v>
      </c>
      <c r="EG550" s="35" t="s">
        <v>596</v>
      </c>
      <c r="EL550" s="35" t="s">
        <v>595</v>
      </c>
      <c r="EM550" s="35" t="s">
        <v>1153</v>
      </c>
      <c r="EN550" s="35">
        <v>29</v>
      </c>
    </row>
    <row r="551" spans="1:144" s="35" customFormat="1" x14ac:dyDescent="0.25">
      <c r="A551" s="35">
        <v>29</v>
      </c>
      <c r="B551" s="35" t="s">
        <v>1350</v>
      </c>
      <c r="C551" s="35" t="s">
        <v>586</v>
      </c>
      <c r="D551" s="35">
        <v>2009</v>
      </c>
      <c r="E551" s="35">
        <v>2006</v>
      </c>
      <c r="F551" s="35" t="s">
        <v>394</v>
      </c>
      <c r="G551" s="35" t="s">
        <v>587</v>
      </c>
      <c r="H551" s="35">
        <f t="shared" si="184"/>
        <v>43.333333333333336</v>
      </c>
      <c r="I551" s="35">
        <f t="shared" si="185"/>
        <v>-89.716666666666669</v>
      </c>
      <c r="J551" s="35">
        <v>250</v>
      </c>
      <c r="P551" s="54" t="s">
        <v>189</v>
      </c>
      <c r="Q551" s="54"/>
      <c r="R551" s="54"/>
      <c r="S551" s="54" t="s">
        <v>657</v>
      </c>
      <c r="T551" s="35">
        <f t="shared" si="186"/>
        <v>1.417142857142857</v>
      </c>
      <c r="W551" s="35" t="s">
        <v>175</v>
      </c>
      <c r="X551" s="35">
        <f t="shared" si="187"/>
        <v>6.8714285714285719</v>
      </c>
      <c r="AA551" s="35" t="s">
        <v>1693</v>
      </c>
      <c r="AB551" s="35" t="s">
        <v>172</v>
      </c>
      <c r="AC551" s="35" t="s">
        <v>174</v>
      </c>
      <c r="AD551" s="35" t="s">
        <v>578</v>
      </c>
      <c r="AE551" s="35" t="s">
        <v>578</v>
      </c>
      <c r="AF551" s="35" t="s">
        <v>252</v>
      </c>
      <c r="AJ551" s="35" t="s">
        <v>597</v>
      </c>
      <c r="AK551" s="35" t="s">
        <v>597</v>
      </c>
      <c r="AM551" s="35" t="s">
        <v>591</v>
      </c>
      <c r="AN551" s="35">
        <v>4</v>
      </c>
      <c r="AO551" s="35">
        <v>4</v>
      </c>
      <c r="AP551" s="35" t="s">
        <v>184</v>
      </c>
      <c r="AT551" s="63"/>
      <c r="BB551" s="35">
        <v>1.4</v>
      </c>
      <c r="BC551" s="35">
        <v>1.43</v>
      </c>
      <c r="BE551" s="35">
        <v>3.38</v>
      </c>
      <c r="BF551" s="35">
        <v>3.3299999999999996</v>
      </c>
      <c r="BG551" s="35" t="s">
        <v>1211</v>
      </c>
      <c r="BK551" s="35">
        <v>28</v>
      </c>
      <c r="BL551" s="35">
        <v>20.8</v>
      </c>
      <c r="BN551" s="35">
        <v>120</v>
      </c>
      <c r="BO551" s="35">
        <v>104</v>
      </c>
      <c r="BQ551" s="35">
        <v>6.7</v>
      </c>
      <c r="BR551" s="35">
        <v>6.7</v>
      </c>
      <c r="CC551" s="35">
        <v>369</v>
      </c>
      <c r="CD551" s="35">
        <v>365</v>
      </c>
      <c r="CE551" s="35" t="s">
        <v>593</v>
      </c>
      <c r="CI551" s="35">
        <v>1.4172</v>
      </c>
      <c r="CJ551" s="35">
        <v>1.38</v>
      </c>
      <c r="CK551" s="35" t="s">
        <v>1154</v>
      </c>
      <c r="DD551" s="35">
        <v>0.23</v>
      </c>
      <c r="DE551" s="35">
        <v>0.22700000000000001</v>
      </c>
      <c r="DP551" s="12"/>
      <c r="DR551" s="15"/>
      <c r="DS551" s="35">
        <v>1172</v>
      </c>
      <c r="DT551" s="35">
        <v>1189</v>
      </c>
      <c r="DU551" s="35" t="s">
        <v>592</v>
      </c>
      <c r="EE551" s="35">
        <f t="shared" si="191"/>
        <v>0.48840000000000006</v>
      </c>
      <c r="EF551" s="35">
        <f>34.3*0.012</f>
        <v>0.41159999999999997</v>
      </c>
      <c r="EG551" s="35" t="s">
        <v>596</v>
      </c>
      <c r="EL551" s="35" t="s">
        <v>595</v>
      </c>
      <c r="EM551" s="35" t="s">
        <v>1153</v>
      </c>
      <c r="EN551" s="35">
        <v>29</v>
      </c>
    </row>
    <row r="552" spans="1:144" s="35" customFormat="1" x14ac:dyDescent="0.25">
      <c r="A552" s="35">
        <v>29</v>
      </c>
      <c r="B552" s="35" t="s">
        <v>1350</v>
      </c>
      <c r="C552" s="35" t="s">
        <v>586</v>
      </c>
      <c r="D552" s="35">
        <v>2009</v>
      </c>
      <c r="E552" s="35">
        <v>2006</v>
      </c>
      <c r="F552" s="35" t="s">
        <v>394</v>
      </c>
      <c r="G552" s="35" t="s">
        <v>587</v>
      </c>
      <c r="H552" s="35">
        <f t="shared" si="184"/>
        <v>43.333333333333336</v>
      </c>
      <c r="I552" s="35">
        <f t="shared" si="185"/>
        <v>-89.716666666666669</v>
      </c>
      <c r="J552" s="35">
        <v>250</v>
      </c>
      <c r="P552" s="54" t="s">
        <v>189</v>
      </c>
      <c r="Q552" s="54"/>
      <c r="R552" s="54"/>
      <c r="S552" s="54" t="s">
        <v>657</v>
      </c>
      <c r="T552" s="35">
        <f t="shared" si="186"/>
        <v>1.417142857142857</v>
      </c>
      <c r="W552" s="35" t="s">
        <v>175</v>
      </c>
      <c r="X552" s="35">
        <f t="shared" si="187"/>
        <v>6.8714285714285719</v>
      </c>
      <c r="AA552" s="35" t="s">
        <v>1693</v>
      </c>
      <c r="AB552" s="35" t="s">
        <v>1505</v>
      </c>
      <c r="AC552" s="35" t="s">
        <v>174</v>
      </c>
      <c r="AD552" s="35" t="s">
        <v>578</v>
      </c>
      <c r="AE552" s="35" t="s">
        <v>578</v>
      </c>
      <c r="AF552" s="35" t="s">
        <v>252</v>
      </c>
      <c r="AJ552" s="35" t="s">
        <v>597</v>
      </c>
      <c r="AK552" s="35" t="s">
        <v>597</v>
      </c>
      <c r="AM552" s="35" t="s">
        <v>591</v>
      </c>
      <c r="AN552" s="35">
        <v>4</v>
      </c>
      <c r="AO552" s="35">
        <v>4</v>
      </c>
      <c r="AP552" s="35" t="s">
        <v>184</v>
      </c>
      <c r="AT552" s="63"/>
      <c r="BB552" s="35">
        <v>1.4</v>
      </c>
      <c r="BC552" s="35">
        <v>1.44</v>
      </c>
      <c r="BE552" s="35">
        <v>3.38</v>
      </c>
      <c r="BF552" s="35">
        <v>3.3</v>
      </c>
      <c r="BG552" s="35" t="s">
        <v>1211</v>
      </c>
      <c r="BK552" s="35">
        <v>28</v>
      </c>
      <c r="BL552" s="35">
        <v>22</v>
      </c>
      <c r="BN552" s="35">
        <v>120</v>
      </c>
      <c r="BO552" s="35">
        <v>132</v>
      </c>
      <c r="BQ552" s="35">
        <v>6.7</v>
      </c>
      <c r="BR552" s="35">
        <v>7.2</v>
      </c>
      <c r="CC552" s="35">
        <v>369</v>
      </c>
      <c r="CD552" s="35">
        <v>355</v>
      </c>
      <c r="CE552" s="35" t="s">
        <v>593</v>
      </c>
      <c r="CI552" s="35">
        <v>1.4172</v>
      </c>
      <c r="CJ552" s="35">
        <v>1.49</v>
      </c>
      <c r="CK552" s="35" t="s">
        <v>1154</v>
      </c>
      <c r="DD552" s="35">
        <v>0.23</v>
      </c>
      <c r="DE552" s="35">
        <v>0.22700000000000001</v>
      </c>
      <c r="DP552" s="12"/>
      <c r="DR552" s="15"/>
      <c r="DS552" s="35">
        <v>1172</v>
      </c>
      <c r="DT552" s="35">
        <v>1229</v>
      </c>
      <c r="DU552" s="35" t="s">
        <v>592</v>
      </c>
      <c r="EE552" s="35">
        <f t="shared" si="191"/>
        <v>0.48840000000000006</v>
      </c>
      <c r="EF552" s="35">
        <f>66*0.012</f>
        <v>0.79200000000000004</v>
      </c>
      <c r="EG552" s="35" t="s">
        <v>596</v>
      </c>
      <c r="EL552" s="35" t="s">
        <v>595</v>
      </c>
      <c r="EM552" s="35" t="s">
        <v>1153</v>
      </c>
      <c r="EN552" s="35">
        <v>29</v>
      </c>
    </row>
    <row r="553" spans="1:144" s="35" customFormat="1" x14ac:dyDescent="0.25">
      <c r="A553" s="35">
        <v>29</v>
      </c>
      <c r="B553" s="35" t="s">
        <v>1350</v>
      </c>
      <c r="C553" s="35" t="s">
        <v>586</v>
      </c>
      <c r="D553" s="35">
        <v>2009</v>
      </c>
      <c r="E553" s="35">
        <v>2006</v>
      </c>
      <c r="F553" s="35" t="s">
        <v>394</v>
      </c>
      <c r="G553" s="35" t="s">
        <v>587</v>
      </c>
      <c r="H553" s="35">
        <f t="shared" si="184"/>
        <v>43.333333333333336</v>
      </c>
      <c r="I553" s="35">
        <f t="shared" si="185"/>
        <v>-89.716666666666669</v>
      </c>
      <c r="J553" s="35">
        <v>250</v>
      </c>
      <c r="P553" s="54" t="s">
        <v>189</v>
      </c>
      <c r="Q553" s="54"/>
      <c r="R553" s="54"/>
      <c r="S553" s="54" t="s">
        <v>657</v>
      </c>
      <c r="T553" s="35">
        <f t="shared" si="186"/>
        <v>1.417142857142857</v>
      </c>
      <c r="W553" s="35" t="s">
        <v>175</v>
      </c>
      <c r="X553" s="35">
        <f t="shared" si="187"/>
        <v>6.8714285714285719</v>
      </c>
      <c r="AA553" s="35" t="s">
        <v>1693</v>
      </c>
      <c r="AB553" s="35" t="s">
        <v>1506</v>
      </c>
      <c r="AC553" s="35" t="s">
        <v>174</v>
      </c>
      <c r="AD553" s="35" t="s">
        <v>578</v>
      </c>
      <c r="AE553" s="35" t="s">
        <v>578</v>
      </c>
      <c r="AF553" s="35" t="s">
        <v>252</v>
      </c>
      <c r="AJ553" s="35" t="s">
        <v>597</v>
      </c>
      <c r="AK553" s="35" t="s">
        <v>597</v>
      </c>
      <c r="AM553" s="35" t="s">
        <v>591</v>
      </c>
      <c r="AN553" s="35">
        <v>4</v>
      </c>
      <c r="AO553" s="35">
        <v>4</v>
      </c>
      <c r="AP553" s="35" t="s">
        <v>184</v>
      </c>
      <c r="AT553" s="63"/>
      <c r="BB553" s="35">
        <v>1.4</v>
      </c>
      <c r="BC553" s="35">
        <v>1.45</v>
      </c>
      <c r="BE553" s="35">
        <v>3.38</v>
      </c>
      <c r="BF553" s="35">
        <v>3.13</v>
      </c>
      <c r="BG553" s="35" t="s">
        <v>1211</v>
      </c>
      <c r="BK553" s="35">
        <v>28</v>
      </c>
      <c r="BL553" s="35">
        <v>18.8</v>
      </c>
      <c r="BN553" s="35">
        <v>120</v>
      </c>
      <c r="BO553" s="35">
        <v>147</v>
      </c>
      <c r="BQ553" s="35">
        <v>6.7</v>
      </c>
      <c r="BR553" s="35">
        <v>6.8</v>
      </c>
      <c r="CC553" s="35">
        <v>369</v>
      </c>
      <c r="CD553" s="35">
        <v>302</v>
      </c>
      <c r="CE553" s="35" t="s">
        <v>593</v>
      </c>
      <c r="CI553" s="35">
        <v>1.4172</v>
      </c>
      <c r="CJ553" s="35">
        <v>1.53</v>
      </c>
      <c r="CK553" s="35" t="s">
        <v>1154</v>
      </c>
      <c r="DD553" s="35">
        <v>0.23</v>
      </c>
      <c r="DE553" s="35">
        <v>0.222</v>
      </c>
      <c r="DP553" s="12"/>
      <c r="DR553" s="15"/>
      <c r="DS553" s="35">
        <v>1172</v>
      </c>
      <c r="DT553" s="35">
        <v>1217</v>
      </c>
      <c r="DU553" s="35" t="s">
        <v>592</v>
      </c>
      <c r="EE553" s="35">
        <f t="shared" si="191"/>
        <v>0.48840000000000006</v>
      </c>
      <c r="EF553" s="35">
        <f>41.7*0.012</f>
        <v>0.50040000000000007</v>
      </c>
      <c r="EG553" s="35" t="s">
        <v>596</v>
      </c>
      <c r="EL553" s="35" t="s">
        <v>595</v>
      </c>
      <c r="EM553" s="35" t="s">
        <v>1153</v>
      </c>
      <c r="EN553" s="35">
        <v>29</v>
      </c>
    </row>
    <row r="554" spans="1:144" s="39" customFormat="1" x14ac:dyDescent="0.25">
      <c r="A554" s="39">
        <v>29</v>
      </c>
      <c r="B554" s="39" t="s">
        <v>1350</v>
      </c>
      <c r="C554" s="39" t="s">
        <v>586</v>
      </c>
      <c r="D554" s="39">
        <v>2009</v>
      </c>
      <c r="E554" s="39">
        <v>2006</v>
      </c>
      <c r="F554" s="39" t="s">
        <v>394</v>
      </c>
      <c r="G554" s="39" t="s">
        <v>587</v>
      </c>
      <c r="H554" s="39">
        <f t="shared" si="184"/>
        <v>43.333333333333336</v>
      </c>
      <c r="I554" s="39">
        <f t="shared" si="185"/>
        <v>-89.716666666666669</v>
      </c>
      <c r="J554" s="39">
        <v>250</v>
      </c>
      <c r="P554" s="58" t="s">
        <v>189</v>
      </c>
      <c r="Q554" s="58"/>
      <c r="R554" s="58"/>
      <c r="S554" s="58" t="s">
        <v>668</v>
      </c>
      <c r="T554" s="39">
        <f t="shared" si="186"/>
        <v>1.417142857142857</v>
      </c>
      <c r="W554" s="39" t="s">
        <v>175</v>
      </c>
      <c r="X554" s="39">
        <f t="shared" si="187"/>
        <v>6.8714285714285719</v>
      </c>
      <c r="AA554" s="39" t="s">
        <v>1693</v>
      </c>
      <c r="AB554" s="39" t="s">
        <v>588</v>
      </c>
      <c r="AC554" s="39" t="s">
        <v>589</v>
      </c>
      <c r="AD554" s="39" t="s">
        <v>578</v>
      </c>
      <c r="AE554" s="39" t="s">
        <v>578</v>
      </c>
      <c r="AF554" s="39" t="s">
        <v>252</v>
      </c>
      <c r="AJ554" s="39" t="s">
        <v>597</v>
      </c>
      <c r="AK554" s="39" t="s">
        <v>597</v>
      </c>
      <c r="AM554" s="39" t="s">
        <v>590</v>
      </c>
      <c r="AN554" s="39">
        <v>4</v>
      </c>
      <c r="AO554" s="39">
        <v>4</v>
      </c>
      <c r="AP554" s="39" t="s">
        <v>184</v>
      </c>
      <c r="AT554" s="63"/>
      <c r="BB554" s="39">
        <v>1.57</v>
      </c>
      <c r="BC554" s="39">
        <v>1.55</v>
      </c>
      <c r="BE554" s="39">
        <v>2.58</v>
      </c>
      <c r="BF554" s="39">
        <v>2.75</v>
      </c>
      <c r="BG554" s="39" t="s">
        <v>1211</v>
      </c>
      <c r="BK554" s="39">
        <v>23.8</v>
      </c>
      <c r="BL554" s="39">
        <v>16.8</v>
      </c>
      <c r="BN554" s="39">
        <v>130</v>
      </c>
      <c r="BO554" s="39">
        <v>77</v>
      </c>
      <c r="BQ554" s="39">
        <v>6.7</v>
      </c>
      <c r="BR554" s="39">
        <v>6.7</v>
      </c>
      <c r="CC554" s="39">
        <v>166</v>
      </c>
      <c r="CD554" s="39">
        <v>263</v>
      </c>
      <c r="CE554" s="39" t="s">
        <v>593</v>
      </c>
      <c r="CI554" s="39">
        <v>1.49</v>
      </c>
      <c r="CJ554" s="39">
        <v>1.3345</v>
      </c>
      <c r="CK554" s="39" t="s">
        <v>1154</v>
      </c>
      <c r="DD554" s="39">
        <v>0.23400000000000001</v>
      </c>
      <c r="DE554" s="39">
        <v>0.23200000000000001</v>
      </c>
      <c r="DP554" s="12"/>
      <c r="DR554" s="15"/>
      <c r="DS554" s="39">
        <v>797</v>
      </c>
      <c r="DT554" s="39">
        <v>977</v>
      </c>
      <c r="DU554" s="39" t="s">
        <v>592</v>
      </c>
      <c r="EL554" s="39" t="s">
        <v>595</v>
      </c>
      <c r="EM554" s="39" t="s">
        <v>1153</v>
      </c>
      <c r="EN554" s="39">
        <v>29</v>
      </c>
    </row>
    <row r="555" spans="1:144" s="39" customFormat="1" x14ac:dyDescent="0.25">
      <c r="A555" s="39">
        <v>29</v>
      </c>
      <c r="B555" s="39" t="s">
        <v>1350</v>
      </c>
      <c r="C555" s="39" t="s">
        <v>586</v>
      </c>
      <c r="D555" s="39">
        <v>2009</v>
      </c>
      <c r="E555" s="39">
        <v>2006</v>
      </c>
      <c r="F555" s="39" t="s">
        <v>394</v>
      </c>
      <c r="G555" s="39" t="s">
        <v>587</v>
      </c>
      <c r="H555" s="39">
        <f t="shared" si="184"/>
        <v>43.333333333333336</v>
      </c>
      <c r="I555" s="39">
        <f t="shared" si="185"/>
        <v>-89.716666666666669</v>
      </c>
      <c r="J555" s="39">
        <v>250</v>
      </c>
      <c r="P555" s="58" t="s">
        <v>189</v>
      </c>
      <c r="Q555" s="58"/>
      <c r="R555" s="58"/>
      <c r="S555" s="58" t="s">
        <v>668</v>
      </c>
      <c r="T555" s="39">
        <f t="shared" si="186"/>
        <v>1.417142857142857</v>
      </c>
      <c r="W555" s="39" t="s">
        <v>175</v>
      </c>
      <c r="X555" s="39">
        <f t="shared" si="187"/>
        <v>6.8714285714285719</v>
      </c>
      <c r="AA555" s="39" t="s">
        <v>1693</v>
      </c>
      <c r="AB555" s="39" t="s">
        <v>1509</v>
      </c>
      <c r="AC555" s="39" t="s">
        <v>174</v>
      </c>
      <c r="AD555" s="39" t="s">
        <v>578</v>
      </c>
      <c r="AE555" s="39" t="s">
        <v>578</v>
      </c>
      <c r="AF555" s="39" t="s">
        <v>252</v>
      </c>
      <c r="AJ555" s="39" t="s">
        <v>597</v>
      </c>
      <c r="AK555" s="39" t="s">
        <v>597</v>
      </c>
      <c r="AM555" s="39" t="s">
        <v>590</v>
      </c>
      <c r="AN555" s="39">
        <v>4</v>
      </c>
      <c r="AO555" s="39">
        <v>4</v>
      </c>
      <c r="AP555" s="39" t="s">
        <v>184</v>
      </c>
      <c r="AT555" s="63"/>
      <c r="BB555" s="39">
        <v>1.57</v>
      </c>
      <c r="BC555" s="39">
        <v>1.5</v>
      </c>
      <c r="BE555" s="39">
        <v>2.58</v>
      </c>
      <c r="BF555" s="39">
        <v>2.9</v>
      </c>
      <c r="BG555" s="39" t="s">
        <v>1211</v>
      </c>
      <c r="BK555" s="39">
        <v>23.8</v>
      </c>
      <c r="BL555" s="39">
        <v>15.3</v>
      </c>
      <c r="BN555" s="39">
        <v>130</v>
      </c>
      <c r="BO555" s="39">
        <v>77</v>
      </c>
      <c r="BQ555" s="39">
        <v>6.7</v>
      </c>
      <c r="BR555" s="39">
        <v>7</v>
      </c>
      <c r="CC555" s="39">
        <v>166</v>
      </c>
      <c r="CD555" s="39">
        <v>286</v>
      </c>
      <c r="CE555" s="39" t="s">
        <v>593</v>
      </c>
      <c r="CI555" s="39">
        <v>1.49</v>
      </c>
      <c r="CJ555" s="39">
        <v>1.6107</v>
      </c>
      <c r="CK555" s="39" t="s">
        <v>1154</v>
      </c>
      <c r="DD555" s="39">
        <v>0.23400000000000001</v>
      </c>
      <c r="DE555" s="39">
        <v>0.23899999999999999</v>
      </c>
      <c r="DP555" s="12"/>
      <c r="DR555" s="15"/>
      <c r="DS555" s="39">
        <v>797</v>
      </c>
      <c r="DT555" s="39">
        <v>962</v>
      </c>
      <c r="DU555" s="39" t="s">
        <v>592</v>
      </c>
      <c r="EL555" s="39" t="s">
        <v>595</v>
      </c>
      <c r="EM555" s="39" t="s">
        <v>1153</v>
      </c>
      <c r="EN555" s="39">
        <v>29</v>
      </c>
    </row>
    <row r="556" spans="1:144" s="39" customFormat="1" x14ac:dyDescent="0.25">
      <c r="A556" s="39">
        <v>29</v>
      </c>
      <c r="B556" s="39" t="s">
        <v>1350</v>
      </c>
      <c r="C556" s="39" t="s">
        <v>586</v>
      </c>
      <c r="D556" s="39">
        <v>2009</v>
      </c>
      <c r="E556" s="39">
        <v>2006</v>
      </c>
      <c r="F556" s="39" t="s">
        <v>394</v>
      </c>
      <c r="G556" s="39" t="s">
        <v>587</v>
      </c>
      <c r="H556" s="39">
        <f t="shared" si="184"/>
        <v>43.333333333333336</v>
      </c>
      <c r="I556" s="39">
        <f t="shared" si="185"/>
        <v>-89.716666666666669</v>
      </c>
      <c r="J556" s="39">
        <v>250</v>
      </c>
      <c r="P556" s="58" t="s">
        <v>189</v>
      </c>
      <c r="Q556" s="58"/>
      <c r="R556" s="58"/>
      <c r="S556" s="58" t="s">
        <v>668</v>
      </c>
      <c r="T556" s="39">
        <f t="shared" si="186"/>
        <v>1.417142857142857</v>
      </c>
      <c r="W556" s="39" t="s">
        <v>175</v>
      </c>
      <c r="X556" s="39">
        <f t="shared" si="187"/>
        <v>6.8714285714285719</v>
      </c>
      <c r="AA556" s="39" t="s">
        <v>1693</v>
      </c>
      <c r="AB556" s="39" t="s">
        <v>172</v>
      </c>
      <c r="AC556" s="39" t="s">
        <v>589</v>
      </c>
      <c r="AD556" s="39" t="s">
        <v>578</v>
      </c>
      <c r="AE556" s="39" t="s">
        <v>578</v>
      </c>
      <c r="AF556" s="39" t="s">
        <v>252</v>
      </c>
      <c r="AJ556" s="39" t="s">
        <v>597</v>
      </c>
      <c r="AK556" s="39" t="s">
        <v>597</v>
      </c>
      <c r="AM556" s="39" t="s">
        <v>590</v>
      </c>
      <c r="AN556" s="39">
        <v>4</v>
      </c>
      <c r="AO556" s="39">
        <v>4</v>
      </c>
      <c r="AP556" s="39" t="s">
        <v>184</v>
      </c>
      <c r="AT556" s="63"/>
      <c r="BB556" s="39">
        <v>1.57</v>
      </c>
      <c r="BC556" s="39">
        <v>1.54</v>
      </c>
      <c r="BE556" s="39">
        <v>2.58</v>
      </c>
      <c r="BF556" s="39">
        <v>2.63</v>
      </c>
      <c r="BG556" s="39" t="s">
        <v>1211</v>
      </c>
      <c r="BK556" s="39">
        <v>23.8</v>
      </c>
      <c r="BL556" s="39">
        <v>13.8</v>
      </c>
      <c r="BN556" s="39">
        <v>130</v>
      </c>
      <c r="BO556" s="39">
        <v>73</v>
      </c>
      <c r="BQ556" s="39">
        <v>6.7</v>
      </c>
      <c r="BR556" s="39">
        <v>6.8</v>
      </c>
      <c r="CC556" s="39">
        <v>166</v>
      </c>
      <c r="CD556" s="39">
        <v>276</v>
      </c>
      <c r="CE556" s="39" t="s">
        <v>593</v>
      </c>
      <c r="CI556" s="39">
        <v>1.49</v>
      </c>
      <c r="CJ556" s="39">
        <v>1.54</v>
      </c>
      <c r="CK556" s="39" t="s">
        <v>1154</v>
      </c>
      <c r="DD556" s="39">
        <v>0.23400000000000001</v>
      </c>
      <c r="DE556" s="39">
        <v>0.23300000000000001</v>
      </c>
      <c r="DP556" s="12"/>
      <c r="DR556" s="15"/>
      <c r="DS556" s="39">
        <v>797</v>
      </c>
      <c r="DT556" s="39">
        <v>944</v>
      </c>
      <c r="DU556" s="39" t="s">
        <v>592</v>
      </c>
      <c r="EL556" s="39" t="s">
        <v>595</v>
      </c>
      <c r="EM556" s="39" t="s">
        <v>1153</v>
      </c>
      <c r="EN556" s="39">
        <v>29</v>
      </c>
    </row>
    <row r="557" spans="1:144" s="39" customFormat="1" x14ac:dyDescent="0.25">
      <c r="A557" s="39">
        <v>29</v>
      </c>
      <c r="B557" s="39" t="s">
        <v>1350</v>
      </c>
      <c r="C557" s="39" t="s">
        <v>586</v>
      </c>
      <c r="D557" s="39">
        <v>2009</v>
      </c>
      <c r="E557" s="39">
        <v>2006</v>
      </c>
      <c r="F557" s="39" t="s">
        <v>394</v>
      </c>
      <c r="G557" s="39" t="s">
        <v>587</v>
      </c>
      <c r="H557" s="39">
        <f t="shared" si="184"/>
        <v>43.333333333333336</v>
      </c>
      <c r="I557" s="39">
        <f t="shared" si="185"/>
        <v>-89.716666666666669</v>
      </c>
      <c r="J557" s="39">
        <v>250</v>
      </c>
      <c r="P557" s="58" t="s">
        <v>189</v>
      </c>
      <c r="Q557" s="58"/>
      <c r="R557" s="58"/>
      <c r="S557" s="58" t="s">
        <v>668</v>
      </c>
      <c r="T557" s="39">
        <f t="shared" si="186"/>
        <v>1.417142857142857</v>
      </c>
      <c r="W557" s="39" t="s">
        <v>175</v>
      </c>
      <c r="X557" s="39">
        <f t="shared" si="187"/>
        <v>6.8714285714285719</v>
      </c>
      <c r="AA557" s="39" t="s">
        <v>1693</v>
      </c>
      <c r="AB557" s="39" t="s">
        <v>172</v>
      </c>
      <c r="AC557" s="39" t="s">
        <v>174</v>
      </c>
      <c r="AD557" s="39" t="s">
        <v>578</v>
      </c>
      <c r="AE557" s="39" t="s">
        <v>578</v>
      </c>
      <c r="AF557" s="39" t="s">
        <v>252</v>
      </c>
      <c r="AJ557" s="39" t="s">
        <v>597</v>
      </c>
      <c r="AK557" s="39" t="s">
        <v>597</v>
      </c>
      <c r="AM557" s="39" t="s">
        <v>590</v>
      </c>
      <c r="AN557" s="39">
        <v>4</v>
      </c>
      <c r="AO557" s="39">
        <v>4</v>
      </c>
      <c r="AP557" s="39" t="s">
        <v>184</v>
      </c>
      <c r="AT557" s="63"/>
      <c r="BB557" s="39">
        <v>1.57</v>
      </c>
      <c r="BC557" s="39">
        <v>1.55</v>
      </c>
      <c r="BE557" s="39">
        <v>2.58</v>
      </c>
      <c r="BF557" s="39">
        <v>2.83</v>
      </c>
      <c r="BG557" s="39" t="s">
        <v>1211</v>
      </c>
      <c r="BK557" s="39">
        <v>23.8</v>
      </c>
      <c r="BL557" s="39">
        <v>16.8</v>
      </c>
      <c r="BN557" s="39">
        <v>130</v>
      </c>
      <c r="BO557" s="39">
        <v>71</v>
      </c>
      <c r="BQ557" s="39">
        <v>6.7</v>
      </c>
      <c r="BR557" s="39">
        <v>7.1</v>
      </c>
      <c r="CC557" s="39">
        <v>166</v>
      </c>
      <c r="CD557" s="39">
        <v>272</v>
      </c>
      <c r="CE557" s="39" t="s">
        <v>593</v>
      </c>
      <c r="CI557" s="39">
        <v>1.49</v>
      </c>
      <c r="CJ557" s="39">
        <v>1.3345</v>
      </c>
      <c r="CK557" s="39" t="s">
        <v>1154</v>
      </c>
      <c r="DD557" s="39">
        <v>0.23400000000000001</v>
      </c>
      <c r="DE557" s="39">
        <v>0.23</v>
      </c>
      <c r="DP557" s="12"/>
      <c r="DR557" s="15"/>
      <c r="DS557" s="39">
        <v>797</v>
      </c>
      <c r="DT557" s="39">
        <v>984</v>
      </c>
      <c r="DU557" s="39" t="s">
        <v>592</v>
      </c>
      <c r="EL557" s="39" t="s">
        <v>595</v>
      </c>
      <c r="EM557" s="39" t="s">
        <v>1153</v>
      </c>
      <c r="EN557" s="39">
        <v>29</v>
      </c>
    </row>
    <row r="558" spans="1:144" s="39" customFormat="1" x14ac:dyDescent="0.25">
      <c r="A558" s="39">
        <v>29</v>
      </c>
      <c r="B558" s="39" t="s">
        <v>1350</v>
      </c>
      <c r="C558" s="39" t="s">
        <v>586</v>
      </c>
      <c r="D558" s="39">
        <v>2009</v>
      </c>
      <c r="E558" s="39">
        <v>2006</v>
      </c>
      <c r="F558" s="39" t="s">
        <v>394</v>
      </c>
      <c r="G558" s="39" t="s">
        <v>587</v>
      </c>
      <c r="H558" s="39">
        <f t="shared" si="184"/>
        <v>43.333333333333336</v>
      </c>
      <c r="I558" s="39">
        <f t="shared" si="185"/>
        <v>-89.716666666666669</v>
      </c>
      <c r="J558" s="39">
        <v>250</v>
      </c>
      <c r="P558" s="58" t="s">
        <v>189</v>
      </c>
      <c r="Q558" s="58"/>
      <c r="R558" s="58"/>
      <c r="S558" s="58" t="s">
        <v>668</v>
      </c>
      <c r="T558" s="39">
        <f t="shared" si="186"/>
        <v>1.417142857142857</v>
      </c>
      <c r="W558" s="39" t="s">
        <v>175</v>
      </c>
      <c r="X558" s="39">
        <f t="shared" si="187"/>
        <v>6.8714285714285719</v>
      </c>
      <c r="AA558" s="39" t="s">
        <v>1693</v>
      </c>
      <c r="AB558" s="39" t="s">
        <v>1505</v>
      </c>
      <c r="AC558" s="39" t="s">
        <v>174</v>
      </c>
      <c r="AD558" s="39" t="s">
        <v>578</v>
      </c>
      <c r="AE558" s="39" t="s">
        <v>578</v>
      </c>
      <c r="AF558" s="39" t="s">
        <v>252</v>
      </c>
      <c r="AJ558" s="39" t="s">
        <v>597</v>
      </c>
      <c r="AK558" s="39" t="s">
        <v>597</v>
      </c>
      <c r="AM558" s="39" t="s">
        <v>590</v>
      </c>
      <c r="AN558" s="39">
        <v>4</v>
      </c>
      <c r="AO558" s="39">
        <v>4</v>
      </c>
      <c r="AP558" s="39" t="s">
        <v>184</v>
      </c>
      <c r="AT558" s="63"/>
      <c r="BB558" s="39">
        <v>1.57</v>
      </c>
      <c r="BC558" s="39">
        <v>1.55</v>
      </c>
      <c r="BE558" s="39">
        <v>2.58</v>
      </c>
      <c r="BF558" s="39">
        <v>2.38</v>
      </c>
      <c r="BG558" s="39" t="s">
        <v>1211</v>
      </c>
      <c r="BK558" s="39">
        <v>23.8</v>
      </c>
      <c r="BL558" s="39">
        <v>14.8</v>
      </c>
      <c r="BN558" s="39">
        <v>130</v>
      </c>
      <c r="BO558" s="39">
        <v>87</v>
      </c>
      <c r="BQ558" s="39">
        <v>6.7</v>
      </c>
      <c r="BR558" s="39">
        <v>6.8</v>
      </c>
      <c r="CC558" s="39">
        <v>166</v>
      </c>
      <c r="CD558" s="39">
        <v>249</v>
      </c>
      <c r="CE558" s="39" t="s">
        <v>593</v>
      </c>
      <c r="CI558" s="39">
        <v>1.49</v>
      </c>
      <c r="CJ558" s="39">
        <v>1.56</v>
      </c>
      <c r="CK558" s="39" t="s">
        <v>1154</v>
      </c>
      <c r="DD558" s="39">
        <v>0.23400000000000001</v>
      </c>
      <c r="DE558" s="39">
        <v>0.23</v>
      </c>
      <c r="DP558" s="12"/>
      <c r="DR558" s="15"/>
      <c r="DS558" s="39">
        <v>797</v>
      </c>
      <c r="DT558" s="39">
        <v>949</v>
      </c>
      <c r="DU558" s="39" t="s">
        <v>592</v>
      </c>
      <c r="EL558" s="39" t="s">
        <v>595</v>
      </c>
      <c r="EM558" s="39" t="s">
        <v>1153</v>
      </c>
      <c r="EN558" s="39">
        <v>29</v>
      </c>
    </row>
    <row r="559" spans="1:144" s="39" customFormat="1" x14ac:dyDescent="0.25">
      <c r="A559" s="39">
        <v>29</v>
      </c>
      <c r="B559" s="39" t="s">
        <v>1350</v>
      </c>
      <c r="C559" s="39" t="s">
        <v>586</v>
      </c>
      <c r="D559" s="39">
        <v>2009</v>
      </c>
      <c r="E559" s="39">
        <v>2006</v>
      </c>
      <c r="F559" s="39" t="s">
        <v>394</v>
      </c>
      <c r="G559" s="39" t="s">
        <v>587</v>
      </c>
      <c r="H559" s="39">
        <f t="shared" si="184"/>
        <v>43.333333333333336</v>
      </c>
      <c r="I559" s="39">
        <f t="shared" si="185"/>
        <v>-89.716666666666669</v>
      </c>
      <c r="J559" s="39">
        <v>250</v>
      </c>
      <c r="P559" s="58" t="s">
        <v>189</v>
      </c>
      <c r="Q559" s="58"/>
      <c r="R559" s="58"/>
      <c r="S559" s="58" t="s">
        <v>668</v>
      </c>
      <c r="T559" s="39">
        <f t="shared" si="186"/>
        <v>1.417142857142857</v>
      </c>
      <c r="W559" s="39" t="s">
        <v>175</v>
      </c>
      <c r="X559" s="39">
        <f t="shared" si="187"/>
        <v>6.8714285714285719</v>
      </c>
      <c r="AA559" s="39" t="s">
        <v>1693</v>
      </c>
      <c r="AB559" s="39" t="s">
        <v>1506</v>
      </c>
      <c r="AC559" s="39" t="s">
        <v>174</v>
      </c>
      <c r="AD559" s="39" t="s">
        <v>578</v>
      </c>
      <c r="AE559" s="39" t="s">
        <v>578</v>
      </c>
      <c r="AF559" s="39" t="s">
        <v>252</v>
      </c>
      <c r="AJ559" s="39" t="s">
        <v>597</v>
      </c>
      <c r="AK559" s="39" t="s">
        <v>597</v>
      </c>
      <c r="AM559" s="39" t="s">
        <v>590</v>
      </c>
      <c r="AN559" s="39">
        <v>4</v>
      </c>
      <c r="AO559" s="39">
        <v>4</v>
      </c>
      <c r="AP559" s="39" t="s">
        <v>184</v>
      </c>
      <c r="AT559" s="63"/>
      <c r="BB559" s="39">
        <v>1.57</v>
      </c>
      <c r="BC559" s="39">
        <v>1.51</v>
      </c>
      <c r="BE559" s="39">
        <v>2.58</v>
      </c>
      <c r="BF559" s="39">
        <v>2.38</v>
      </c>
      <c r="BG559" s="39" t="s">
        <v>1211</v>
      </c>
      <c r="BK559" s="39">
        <v>23.8</v>
      </c>
      <c r="BL559" s="39">
        <v>12.8</v>
      </c>
      <c r="BN559" s="39">
        <v>130</v>
      </c>
      <c r="BO559" s="39">
        <v>92</v>
      </c>
      <c r="BQ559" s="39">
        <v>6.7</v>
      </c>
      <c r="BR559" s="39">
        <v>7.2</v>
      </c>
      <c r="CC559" s="39">
        <v>166</v>
      </c>
      <c r="CD559" s="39">
        <v>238</v>
      </c>
      <c r="CE559" s="39" t="s">
        <v>593</v>
      </c>
      <c r="CI559" s="39">
        <v>1.49</v>
      </c>
      <c r="CJ559" s="39">
        <v>1.56</v>
      </c>
      <c r="CK559" s="39" t="s">
        <v>1154</v>
      </c>
      <c r="DD559" s="39">
        <v>0.23400000000000001</v>
      </c>
      <c r="DE559" s="39">
        <v>0.23400000000000001</v>
      </c>
      <c r="DP559" s="12"/>
      <c r="DR559" s="15"/>
      <c r="DS559" s="39">
        <v>797</v>
      </c>
      <c r="DT559" s="39">
        <v>922</v>
      </c>
      <c r="DU559" s="39" t="s">
        <v>592</v>
      </c>
      <c r="EL559" s="39" t="s">
        <v>595</v>
      </c>
      <c r="EM559" s="39" t="s">
        <v>1153</v>
      </c>
      <c r="EN559" s="39">
        <v>29</v>
      </c>
    </row>
    <row r="560" spans="1:144" s="35" customFormat="1" x14ac:dyDescent="0.25">
      <c r="A560" s="35">
        <v>29</v>
      </c>
      <c r="B560" s="35" t="s">
        <v>1350</v>
      </c>
      <c r="C560" s="35" t="s">
        <v>586</v>
      </c>
      <c r="D560" s="35">
        <v>2009</v>
      </c>
      <c r="E560" s="35">
        <v>2006</v>
      </c>
      <c r="F560" s="35" t="s">
        <v>394</v>
      </c>
      <c r="G560" s="35" t="s">
        <v>587</v>
      </c>
      <c r="H560" s="35">
        <f t="shared" si="184"/>
        <v>43.333333333333336</v>
      </c>
      <c r="I560" s="35">
        <f t="shared" si="185"/>
        <v>-89.716666666666669</v>
      </c>
      <c r="J560" s="35">
        <v>250</v>
      </c>
      <c r="P560" s="54" t="s">
        <v>189</v>
      </c>
      <c r="Q560" s="54"/>
      <c r="R560" s="54"/>
      <c r="S560" s="54" t="s">
        <v>668</v>
      </c>
      <c r="T560" s="35">
        <f t="shared" si="186"/>
        <v>1.417142857142857</v>
      </c>
      <c r="W560" s="35" t="s">
        <v>175</v>
      </c>
      <c r="X560" s="35">
        <f t="shared" si="187"/>
        <v>6.8714285714285719</v>
      </c>
      <c r="AA560" s="35" t="s">
        <v>1693</v>
      </c>
      <c r="AB560" s="35" t="s">
        <v>588</v>
      </c>
      <c r="AC560" s="35" t="s">
        <v>589</v>
      </c>
      <c r="AD560" s="35" t="s">
        <v>578</v>
      </c>
      <c r="AE560" s="35" t="s">
        <v>578</v>
      </c>
      <c r="AF560" s="35" t="s">
        <v>252</v>
      </c>
      <c r="AJ560" s="35" t="s">
        <v>597</v>
      </c>
      <c r="AK560" s="35" t="s">
        <v>597</v>
      </c>
      <c r="AM560" s="35" t="s">
        <v>591</v>
      </c>
      <c r="AN560" s="35">
        <v>4</v>
      </c>
      <c r="AO560" s="35">
        <v>4</v>
      </c>
      <c r="AP560" s="35" t="s">
        <v>184</v>
      </c>
      <c r="AT560" s="63"/>
      <c r="BB560" s="35">
        <v>1.57</v>
      </c>
      <c r="BC560" s="35">
        <v>1.55</v>
      </c>
      <c r="BE560" s="35">
        <v>2.48</v>
      </c>
      <c r="BF560" s="35">
        <v>2.75</v>
      </c>
      <c r="BG560" s="35" t="s">
        <v>1211</v>
      </c>
      <c r="BK560" s="35">
        <v>13</v>
      </c>
      <c r="BL560" s="35">
        <v>16.8</v>
      </c>
      <c r="BN560" s="35">
        <v>86</v>
      </c>
      <c r="BO560" s="35">
        <v>77</v>
      </c>
      <c r="BQ560" s="35">
        <v>7</v>
      </c>
      <c r="BR560" s="35">
        <v>6.7</v>
      </c>
      <c r="CC560" s="35">
        <v>267</v>
      </c>
      <c r="CD560" s="35">
        <v>263</v>
      </c>
      <c r="CE560" s="35" t="s">
        <v>593</v>
      </c>
      <c r="CI560" s="35">
        <v>1.54</v>
      </c>
      <c r="CJ560" s="35">
        <v>1.3345</v>
      </c>
      <c r="CK560" s="35" t="s">
        <v>1154</v>
      </c>
      <c r="DD560" s="35">
        <v>0.23400000000000001</v>
      </c>
      <c r="DE560" s="35">
        <v>0.23200000000000001</v>
      </c>
      <c r="DP560" s="12"/>
      <c r="DR560" s="15"/>
      <c r="DS560" s="35">
        <v>878</v>
      </c>
      <c r="DT560" s="35">
        <v>977</v>
      </c>
      <c r="DU560" s="35" t="s">
        <v>592</v>
      </c>
      <c r="EL560" s="35" t="s">
        <v>595</v>
      </c>
      <c r="EM560" s="35" t="s">
        <v>1153</v>
      </c>
      <c r="EN560" s="35">
        <v>29</v>
      </c>
    </row>
    <row r="561" spans="1:144" s="35" customFormat="1" x14ac:dyDescent="0.25">
      <c r="A561" s="35">
        <v>29</v>
      </c>
      <c r="B561" s="35" t="s">
        <v>1350</v>
      </c>
      <c r="C561" s="35" t="s">
        <v>586</v>
      </c>
      <c r="D561" s="35">
        <v>2009</v>
      </c>
      <c r="E561" s="35">
        <v>2006</v>
      </c>
      <c r="F561" s="35" t="s">
        <v>394</v>
      </c>
      <c r="G561" s="35" t="s">
        <v>587</v>
      </c>
      <c r="H561" s="35">
        <f t="shared" si="184"/>
        <v>43.333333333333336</v>
      </c>
      <c r="I561" s="35">
        <f t="shared" si="185"/>
        <v>-89.716666666666669</v>
      </c>
      <c r="J561" s="35">
        <v>250</v>
      </c>
      <c r="P561" s="54" t="s">
        <v>189</v>
      </c>
      <c r="Q561" s="54"/>
      <c r="R561" s="54"/>
      <c r="S561" s="54" t="s">
        <v>668</v>
      </c>
      <c r="T561" s="35">
        <f t="shared" si="186"/>
        <v>1.417142857142857</v>
      </c>
      <c r="W561" s="35" t="s">
        <v>175</v>
      </c>
      <c r="X561" s="35">
        <f t="shared" si="187"/>
        <v>6.8714285714285719</v>
      </c>
      <c r="AA561" s="35" t="s">
        <v>1693</v>
      </c>
      <c r="AB561" s="35" t="s">
        <v>1509</v>
      </c>
      <c r="AC561" s="35" t="s">
        <v>174</v>
      </c>
      <c r="AD561" s="35" t="s">
        <v>578</v>
      </c>
      <c r="AE561" s="35" t="s">
        <v>578</v>
      </c>
      <c r="AF561" s="35" t="s">
        <v>252</v>
      </c>
      <c r="AJ561" s="35" t="s">
        <v>597</v>
      </c>
      <c r="AK561" s="35" t="s">
        <v>597</v>
      </c>
      <c r="AM561" s="35" t="s">
        <v>591</v>
      </c>
      <c r="AN561" s="35">
        <v>4</v>
      </c>
      <c r="AO561" s="35">
        <v>4</v>
      </c>
      <c r="AP561" s="35" t="s">
        <v>184</v>
      </c>
      <c r="AT561" s="63"/>
      <c r="BB561" s="35">
        <v>1.57</v>
      </c>
      <c r="BC561" s="35">
        <v>1.5</v>
      </c>
      <c r="BE561" s="35">
        <v>2.48</v>
      </c>
      <c r="BF561" s="35">
        <v>2.9</v>
      </c>
      <c r="BG561" s="35" t="s">
        <v>1211</v>
      </c>
      <c r="BK561" s="35">
        <v>13</v>
      </c>
      <c r="BL561" s="35">
        <v>15.3</v>
      </c>
      <c r="BN561" s="35">
        <v>86</v>
      </c>
      <c r="BO561" s="35">
        <v>77</v>
      </c>
      <c r="BQ561" s="35">
        <v>7</v>
      </c>
      <c r="BR561" s="35">
        <v>7</v>
      </c>
      <c r="CC561" s="35">
        <v>267</v>
      </c>
      <c r="CD561" s="35">
        <v>286</v>
      </c>
      <c r="CE561" s="35" t="s">
        <v>593</v>
      </c>
      <c r="CI561" s="35">
        <v>1.54</v>
      </c>
      <c r="CJ561" s="35">
        <v>1.6107</v>
      </c>
      <c r="CK561" s="35" t="s">
        <v>1154</v>
      </c>
      <c r="DD561" s="35">
        <v>0.23400000000000001</v>
      </c>
      <c r="DE561" s="35">
        <v>0.23899999999999999</v>
      </c>
      <c r="DP561" s="12"/>
      <c r="DR561" s="15"/>
      <c r="DS561" s="35">
        <v>878</v>
      </c>
      <c r="DT561" s="35">
        <v>962</v>
      </c>
      <c r="DU561" s="35" t="s">
        <v>592</v>
      </c>
      <c r="EL561" s="35" t="s">
        <v>595</v>
      </c>
      <c r="EM561" s="35" t="s">
        <v>1153</v>
      </c>
      <c r="EN561" s="35">
        <v>29</v>
      </c>
    </row>
    <row r="562" spans="1:144" s="35" customFormat="1" x14ac:dyDescent="0.25">
      <c r="A562" s="35">
        <v>29</v>
      </c>
      <c r="B562" s="35" t="s">
        <v>1350</v>
      </c>
      <c r="C562" s="35" t="s">
        <v>586</v>
      </c>
      <c r="D562" s="35">
        <v>2009</v>
      </c>
      <c r="E562" s="35">
        <v>2006</v>
      </c>
      <c r="F562" s="35" t="s">
        <v>394</v>
      </c>
      <c r="G562" s="35" t="s">
        <v>587</v>
      </c>
      <c r="H562" s="35">
        <f t="shared" si="184"/>
        <v>43.333333333333336</v>
      </c>
      <c r="I562" s="35">
        <f t="shared" si="185"/>
        <v>-89.716666666666669</v>
      </c>
      <c r="J562" s="35">
        <v>250</v>
      </c>
      <c r="P562" s="54" t="s">
        <v>189</v>
      </c>
      <c r="Q562" s="54"/>
      <c r="R562" s="54"/>
      <c r="S562" s="54" t="s">
        <v>668</v>
      </c>
      <c r="T562" s="35">
        <f t="shared" si="186"/>
        <v>1.417142857142857</v>
      </c>
      <c r="W562" s="35" t="s">
        <v>175</v>
      </c>
      <c r="X562" s="35">
        <f t="shared" si="187"/>
        <v>6.8714285714285719</v>
      </c>
      <c r="AA562" s="35" t="s">
        <v>1693</v>
      </c>
      <c r="AB562" s="35" t="s">
        <v>172</v>
      </c>
      <c r="AC562" s="35" t="s">
        <v>589</v>
      </c>
      <c r="AD562" s="35" t="s">
        <v>578</v>
      </c>
      <c r="AE562" s="35" t="s">
        <v>578</v>
      </c>
      <c r="AF562" s="35" t="s">
        <v>252</v>
      </c>
      <c r="AJ562" s="35" t="s">
        <v>597</v>
      </c>
      <c r="AK562" s="35" t="s">
        <v>597</v>
      </c>
      <c r="AM562" s="35" t="s">
        <v>591</v>
      </c>
      <c r="AN562" s="35">
        <v>4</v>
      </c>
      <c r="AO562" s="35">
        <v>4</v>
      </c>
      <c r="AP562" s="35" t="s">
        <v>184</v>
      </c>
      <c r="AT562" s="63"/>
      <c r="BB562" s="35">
        <v>1.57</v>
      </c>
      <c r="BC562" s="35">
        <v>1.54</v>
      </c>
      <c r="BE562" s="35">
        <v>2.48</v>
      </c>
      <c r="BF562" s="35">
        <v>2.63</v>
      </c>
      <c r="BG562" s="35" t="s">
        <v>1211</v>
      </c>
      <c r="BK562" s="35">
        <v>13</v>
      </c>
      <c r="BL562" s="35">
        <v>13.8</v>
      </c>
      <c r="BN562" s="35">
        <v>86</v>
      </c>
      <c r="BO562" s="35">
        <v>73</v>
      </c>
      <c r="BQ562" s="35">
        <v>7</v>
      </c>
      <c r="BR562" s="35">
        <v>6.8</v>
      </c>
      <c r="CC562" s="35">
        <v>267</v>
      </c>
      <c r="CD562" s="35">
        <v>276</v>
      </c>
      <c r="CE562" s="35" t="s">
        <v>593</v>
      </c>
      <c r="CI562" s="35">
        <v>1.54</v>
      </c>
      <c r="CJ562" s="35">
        <v>1.54</v>
      </c>
      <c r="CK562" s="35" t="s">
        <v>1154</v>
      </c>
      <c r="DD562" s="35">
        <v>0.23400000000000001</v>
      </c>
      <c r="DE562" s="35">
        <v>0.23300000000000001</v>
      </c>
      <c r="DP562" s="12"/>
      <c r="DR562" s="15"/>
      <c r="DS562" s="35">
        <v>878</v>
      </c>
      <c r="DT562" s="35">
        <v>944</v>
      </c>
      <c r="DU562" s="35" t="s">
        <v>592</v>
      </c>
      <c r="EL562" s="35" t="s">
        <v>595</v>
      </c>
      <c r="EM562" s="35" t="s">
        <v>1153</v>
      </c>
      <c r="EN562" s="35">
        <v>29</v>
      </c>
    </row>
    <row r="563" spans="1:144" s="35" customFormat="1" x14ac:dyDescent="0.25">
      <c r="A563" s="35">
        <v>29</v>
      </c>
      <c r="B563" s="35" t="s">
        <v>1350</v>
      </c>
      <c r="C563" s="35" t="s">
        <v>586</v>
      </c>
      <c r="D563" s="35">
        <v>2009</v>
      </c>
      <c r="E563" s="35">
        <v>2006</v>
      </c>
      <c r="F563" s="35" t="s">
        <v>394</v>
      </c>
      <c r="G563" s="35" t="s">
        <v>587</v>
      </c>
      <c r="H563" s="35">
        <f t="shared" si="184"/>
        <v>43.333333333333336</v>
      </c>
      <c r="I563" s="35">
        <f t="shared" si="185"/>
        <v>-89.716666666666669</v>
      </c>
      <c r="J563" s="35">
        <v>250</v>
      </c>
      <c r="P563" s="54" t="s">
        <v>189</v>
      </c>
      <c r="Q563" s="54"/>
      <c r="R563" s="54"/>
      <c r="S563" s="54" t="s">
        <v>668</v>
      </c>
      <c r="T563" s="35">
        <f t="shared" si="186"/>
        <v>1.417142857142857</v>
      </c>
      <c r="W563" s="35" t="s">
        <v>175</v>
      </c>
      <c r="X563" s="35">
        <f t="shared" si="187"/>
        <v>6.8714285714285719</v>
      </c>
      <c r="AA563" s="35" t="s">
        <v>1693</v>
      </c>
      <c r="AB563" s="35" t="s">
        <v>172</v>
      </c>
      <c r="AC563" s="35" t="s">
        <v>174</v>
      </c>
      <c r="AD563" s="35" t="s">
        <v>578</v>
      </c>
      <c r="AE563" s="35" t="s">
        <v>578</v>
      </c>
      <c r="AF563" s="35" t="s">
        <v>252</v>
      </c>
      <c r="AJ563" s="35" t="s">
        <v>597</v>
      </c>
      <c r="AK563" s="35" t="s">
        <v>597</v>
      </c>
      <c r="AM563" s="35" t="s">
        <v>591</v>
      </c>
      <c r="AN563" s="35">
        <v>4</v>
      </c>
      <c r="AO563" s="35">
        <v>4</v>
      </c>
      <c r="AP563" s="35" t="s">
        <v>184</v>
      </c>
      <c r="AT563" s="63"/>
      <c r="BB563" s="35">
        <v>1.57</v>
      </c>
      <c r="BC563" s="35">
        <v>1.55</v>
      </c>
      <c r="BE563" s="35">
        <v>2.48</v>
      </c>
      <c r="BF563" s="35">
        <v>2.83</v>
      </c>
      <c r="BG563" s="35" t="s">
        <v>1211</v>
      </c>
      <c r="BK563" s="35">
        <v>13</v>
      </c>
      <c r="BL563" s="35">
        <v>16.8</v>
      </c>
      <c r="BN563" s="35">
        <v>86</v>
      </c>
      <c r="BO563" s="35">
        <v>71</v>
      </c>
      <c r="BQ563" s="35">
        <v>7</v>
      </c>
      <c r="BR563" s="35">
        <v>7.1</v>
      </c>
      <c r="CC563" s="35">
        <v>267</v>
      </c>
      <c r="CD563" s="35">
        <v>272</v>
      </c>
      <c r="CE563" s="35" t="s">
        <v>593</v>
      </c>
      <c r="CI563" s="35">
        <v>1.54</v>
      </c>
      <c r="CJ563" s="35">
        <v>1.3345</v>
      </c>
      <c r="CK563" s="35" t="s">
        <v>1154</v>
      </c>
      <c r="DD563" s="35">
        <v>0.23400000000000001</v>
      </c>
      <c r="DE563" s="35">
        <v>0.23</v>
      </c>
      <c r="DP563" s="12"/>
      <c r="DR563" s="15"/>
      <c r="DS563" s="35">
        <v>878</v>
      </c>
      <c r="DT563" s="35">
        <v>984</v>
      </c>
      <c r="DU563" s="35" t="s">
        <v>592</v>
      </c>
      <c r="EL563" s="35" t="s">
        <v>595</v>
      </c>
      <c r="EM563" s="35" t="s">
        <v>1153</v>
      </c>
      <c r="EN563" s="35">
        <v>29</v>
      </c>
    </row>
    <row r="564" spans="1:144" s="35" customFormat="1" x14ac:dyDescent="0.25">
      <c r="A564" s="35">
        <v>29</v>
      </c>
      <c r="B564" s="35" t="s">
        <v>1350</v>
      </c>
      <c r="C564" s="35" t="s">
        <v>586</v>
      </c>
      <c r="D564" s="35">
        <v>2009</v>
      </c>
      <c r="E564" s="35">
        <v>2006</v>
      </c>
      <c r="F564" s="35" t="s">
        <v>394</v>
      </c>
      <c r="G564" s="35" t="s">
        <v>587</v>
      </c>
      <c r="H564" s="35">
        <f t="shared" si="184"/>
        <v>43.333333333333336</v>
      </c>
      <c r="I564" s="35">
        <f t="shared" si="185"/>
        <v>-89.716666666666669</v>
      </c>
      <c r="J564" s="35">
        <v>250</v>
      </c>
      <c r="P564" s="54" t="s">
        <v>189</v>
      </c>
      <c r="Q564" s="54"/>
      <c r="R564" s="54"/>
      <c r="S564" s="54" t="s">
        <v>668</v>
      </c>
      <c r="T564" s="35">
        <f t="shared" si="186"/>
        <v>1.417142857142857</v>
      </c>
      <c r="W564" s="35" t="s">
        <v>175</v>
      </c>
      <c r="X564" s="35">
        <f t="shared" si="187"/>
        <v>6.8714285714285719</v>
      </c>
      <c r="AA564" s="35" t="s">
        <v>1693</v>
      </c>
      <c r="AB564" s="35" t="s">
        <v>1505</v>
      </c>
      <c r="AC564" s="35" t="s">
        <v>174</v>
      </c>
      <c r="AD564" s="35" t="s">
        <v>578</v>
      </c>
      <c r="AE564" s="35" t="s">
        <v>578</v>
      </c>
      <c r="AF564" s="35" t="s">
        <v>252</v>
      </c>
      <c r="AJ564" s="35" t="s">
        <v>597</v>
      </c>
      <c r="AK564" s="35" t="s">
        <v>597</v>
      </c>
      <c r="AM564" s="35" t="s">
        <v>591</v>
      </c>
      <c r="AN564" s="35">
        <v>4</v>
      </c>
      <c r="AO564" s="35">
        <v>4</v>
      </c>
      <c r="AP564" s="35" t="s">
        <v>184</v>
      </c>
      <c r="AT564" s="63"/>
      <c r="BB564" s="35">
        <v>1.57</v>
      </c>
      <c r="BC564" s="35">
        <v>1.55</v>
      </c>
      <c r="BE564" s="35">
        <v>2.48</v>
      </c>
      <c r="BF564" s="35">
        <v>2.38</v>
      </c>
      <c r="BG564" s="35" t="s">
        <v>1211</v>
      </c>
      <c r="BK564" s="35">
        <v>13</v>
      </c>
      <c r="BL564" s="35">
        <v>14.8</v>
      </c>
      <c r="BN564" s="35">
        <v>86</v>
      </c>
      <c r="BO564" s="35">
        <v>87</v>
      </c>
      <c r="BQ564" s="35">
        <v>7</v>
      </c>
      <c r="BR564" s="35">
        <v>6.8</v>
      </c>
      <c r="CC564" s="35">
        <v>267</v>
      </c>
      <c r="CD564" s="35">
        <v>249</v>
      </c>
      <c r="CE564" s="35" t="s">
        <v>593</v>
      </c>
      <c r="CI564" s="35">
        <v>1.54</v>
      </c>
      <c r="CJ564" s="35">
        <v>1.56</v>
      </c>
      <c r="CK564" s="35" t="s">
        <v>1154</v>
      </c>
      <c r="DD564" s="35">
        <v>0.23400000000000001</v>
      </c>
      <c r="DE564" s="35">
        <v>0.23</v>
      </c>
      <c r="DP564" s="12"/>
      <c r="DR564" s="15"/>
      <c r="DS564" s="35">
        <v>878</v>
      </c>
      <c r="DT564" s="35">
        <v>949</v>
      </c>
      <c r="DU564" s="35" t="s">
        <v>592</v>
      </c>
      <c r="EL564" s="35" t="s">
        <v>595</v>
      </c>
      <c r="EM564" s="35" t="s">
        <v>1153</v>
      </c>
      <c r="EN564" s="35">
        <v>29</v>
      </c>
    </row>
    <row r="565" spans="1:144" s="35" customFormat="1" x14ac:dyDescent="0.25">
      <c r="A565" s="35">
        <v>29</v>
      </c>
      <c r="B565" s="35" t="s">
        <v>1350</v>
      </c>
      <c r="C565" s="35" t="s">
        <v>586</v>
      </c>
      <c r="D565" s="35">
        <v>2009</v>
      </c>
      <c r="E565" s="35">
        <v>2006</v>
      </c>
      <c r="F565" s="35" t="s">
        <v>394</v>
      </c>
      <c r="G565" s="35" t="s">
        <v>587</v>
      </c>
      <c r="H565" s="35">
        <f t="shared" si="184"/>
        <v>43.333333333333336</v>
      </c>
      <c r="I565" s="35">
        <f t="shared" si="185"/>
        <v>-89.716666666666669</v>
      </c>
      <c r="J565" s="35">
        <v>250</v>
      </c>
      <c r="P565" s="54" t="s">
        <v>189</v>
      </c>
      <c r="Q565" s="54"/>
      <c r="R565" s="54"/>
      <c r="S565" s="54" t="s">
        <v>668</v>
      </c>
      <c r="T565" s="35">
        <f t="shared" si="186"/>
        <v>1.417142857142857</v>
      </c>
      <c r="W565" s="35" t="s">
        <v>175</v>
      </c>
      <c r="X565" s="35">
        <f t="shared" si="187"/>
        <v>6.8714285714285719</v>
      </c>
      <c r="AA565" s="35" t="s">
        <v>1693</v>
      </c>
      <c r="AB565" s="35" t="s">
        <v>1506</v>
      </c>
      <c r="AC565" s="35" t="s">
        <v>174</v>
      </c>
      <c r="AD565" s="35" t="s">
        <v>578</v>
      </c>
      <c r="AE565" s="35" t="s">
        <v>578</v>
      </c>
      <c r="AF565" s="35" t="s">
        <v>252</v>
      </c>
      <c r="AJ565" s="35" t="s">
        <v>597</v>
      </c>
      <c r="AK565" s="35" t="s">
        <v>597</v>
      </c>
      <c r="AM565" s="35" t="s">
        <v>591</v>
      </c>
      <c r="AN565" s="35">
        <v>4</v>
      </c>
      <c r="AO565" s="35">
        <v>4</v>
      </c>
      <c r="AP565" s="35" t="s">
        <v>184</v>
      </c>
      <c r="AT565" s="63"/>
      <c r="BB565" s="35">
        <v>1.57</v>
      </c>
      <c r="BC565" s="35">
        <v>1.51</v>
      </c>
      <c r="BE565" s="35">
        <v>2.48</v>
      </c>
      <c r="BF565" s="35">
        <v>2.38</v>
      </c>
      <c r="BG565" s="35" t="s">
        <v>1211</v>
      </c>
      <c r="BK565" s="35">
        <v>13</v>
      </c>
      <c r="BL565" s="35">
        <v>12.8</v>
      </c>
      <c r="BN565" s="35">
        <v>86</v>
      </c>
      <c r="BO565" s="35">
        <v>92</v>
      </c>
      <c r="BQ565" s="35">
        <v>7</v>
      </c>
      <c r="BR565" s="35">
        <v>7.2</v>
      </c>
      <c r="CC565" s="35">
        <v>267</v>
      </c>
      <c r="CD565" s="35">
        <v>238</v>
      </c>
      <c r="CE565" s="35" t="s">
        <v>593</v>
      </c>
      <c r="CI565" s="35">
        <v>1.54</v>
      </c>
      <c r="CJ565" s="35">
        <v>1.56</v>
      </c>
      <c r="CK565" s="35" t="s">
        <v>1154</v>
      </c>
      <c r="DD565" s="35">
        <v>0.23400000000000001</v>
      </c>
      <c r="DE565" s="35">
        <v>0.23400000000000001</v>
      </c>
      <c r="DP565" s="12"/>
      <c r="DR565" s="15"/>
      <c r="DS565" s="35">
        <v>878</v>
      </c>
      <c r="DT565" s="35">
        <v>922</v>
      </c>
      <c r="DU565" s="35" t="s">
        <v>592</v>
      </c>
      <c r="EL565" s="35" t="s">
        <v>595</v>
      </c>
      <c r="EM565" s="35" t="s">
        <v>1153</v>
      </c>
      <c r="EN565" s="35">
        <v>29</v>
      </c>
    </row>
    <row r="566" spans="1:144" s="38" customFormat="1" x14ac:dyDescent="0.25">
      <c r="A566" s="38">
        <v>30</v>
      </c>
      <c r="B566" s="38" t="s">
        <v>598</v>
      </c>
      <c r="C566" s="38" t="s">
        <v>599</v>
      </c>
      <c r="D566" s="38">
        <v>2002</v>
      </c>
      <c r="E566" s="38">
        <v>1998</v>
      </c>
      <c r="F566" s="38" t="s">
        <v>600</v>
      </c>
      <c r="G566" s="38" t="s">
        <v>601</v>
      </c>
      <c r="H566" s="38">
        <f t="shared" ref="H566:H597" si="192">38+32/60</f>
        <v>38.533333333333331</v>
      </c>
      <c r="I566" s="38">
        <f t="shared" ref="I566:I597" si="193">-121-47/60</f>
        <v>-121.78333333333333</v>
      </c>
      <c r="J566" s="38">
        <v>18.399999999999999</v>
      </c>
      <c r="N566" s="38">
        <v>483</v>
      </c>
      <c r="P566" s="57" t="s">
        <v>187</v>
      </c>
      <c r="Q566" s="57"/>
      <c r="R566" s="57">
        <v>36145</v>
      </c>
      <c r="S566" s="57" t="s">
        <v>672</v>
      </c>
      <c r="U566" s="38">
        <v>36</v>
      </c>
      <c r="V566" s="38">
        <v>46</v>
      </c>
      <c r="W566" s="38" t="s">
        <v>182</v>
      </c>
      <c r="AA566" s="38" t="s">
        <v>1694</v>
      </c>
      <c r="AB566" s="38" t="s">
        <v>1513</v>
      </c>
      <c r="AC566" s="38" t="s">
        <v>1741</v>
      </c>
      <c r="AD566" s="38" t="s">
        <v>602</v>
      </c>
      <c r="AE566" s="38" t="s">
        <v>602</v>
      </c>
      <c r="AF566" s="38" t="s">
        <v>252</v>
      </c>
      <c r="AJ566" s="38" t="s">
        <v>494</v>
      </c>
      <c r="AK566" s="38" t="s">
        <v>603</v>
      </c>
      <c r="AL566" s="38" t="s">
        <v>693</v>
      </c>
      <c r="AM566" s="38" t="s">
        <v>160</v>
      </c>
      <c r="AN566" s="38">
        <v>4</v>
      </c>
      <c r="AO566" s="38">
        <v>4</v>
      </c>
      <c r="AP566" s="38" t="s">
        <v>448</v>
      </c>
      <c r="AT566" s="64"/>
      <c r="CO566" s="38">
        <v>4.8099999999999997E-2</v>
      </c>
      <c r="CP566" s="38">
        <v>9.6299999999999997E-2</v>
      </c>
      <c r="CQ566" s="38" t="s">
        <v>607</v>
      </c>
      <c r="CU566" s="38">
        <f>6.84/38*100</f>
        <v>18</v>
      </c>
      <c r="CV566" s="38">
        <f>1.29/38*100</f>
        <v>3.3947368421052637</v>
      </c>
      <c r="CW566" s="38" t="s">
        <v>606</v>
      </c>
      <c r="DD566" s="38">
        <v>0.21840000000000001</v>
      </c>
      <c r="DE566" s="38">
        <v>0.2094</v>
      </c>
      <c r="DF566" s="38" t="s">
        <v>605</v>
      </c>
      <c r="DP566" s="12"/>
      <c r="DR566" s="15"/>
      <c r="EL566" s="38" t="s">
        <v>946</v>
      </c>
      <c r="EN566" s="38">
        <v>30</v>
      </c>
    </row>
    <row r="567" spans="1:144" s="38" customFormat="1" x14ac:dyDescent="0.25">
      <c r="A567" s="38">
        <v>30</v>
      </c>
      <c r="B567" s="38" t="s">
        <v>598</v>
      </c>
      <c r="C567" s="38" t="s">
        <v>599</v>
      </c>
      <c r="D567" s="38">
        <v>2002</v>
      </c>
      <c r="E567" s="38">
        <v>1998</v>
      </c>
      <c r="F567" s="38" t="s">
        <v>600</v>
      </c>
      <c r="G567" s="38" t="s">
        <v>601</v>
      </c>
      <c r="H567" s="38">
        <f t="shared" si="192"/>
        <v>38.533333333333331</v>
      </c>
      <c r="I567" s="38">
        <f t="shared" si="193"/>
        <v>-121.78333333333333</v>
      </c>
      <c r="J567" s="38">
        <v>18.399999999999999</v>
      </c>
      <c r="N567" s="38">
        <v>483</v>
      </c>
      <c r="P567" s="57" t="s">
        <v>187</v>
      </c>
      <c r="Q567" s="57"/>
      <c r="R567" s="57">
        <v>36145</v>
      </c>
      <c r="S567" s="57" t="s">
        <v>672</v>
      </c>
      <c r="U567" s="38">
        <v>36</v>
      </c>
      <c r="V567" s="38">
        <v>46</v>
      </c>
      <c r="W567" s="38" t="s">
        <v>182</v>
      </c>
      <c r="AA567" s="38" t="s">
        <v>1694</v>
      </c>
      <c r="AB567" s="38" t="s">
        <v>1513</v>
      </c>
      <c r="AC567" s="38" t="s">
        <v>1741</v>
      </c>
      <c r="AD567" s="38" t="s">
        <v>602</v>
      </c>
      <c r="AE567" s="38" t="s">
        <v>602</v>
      </c>
      <c r="AF567" s="38" t="s">
        <v>252</v>
      </c>
      <c r="AJ567" s="38" t="s">
        <v>494</v>
      </c>
      <c r="AK567" s="38" t="s">
        <v>604</v>
      </c>
      <c r="AL567" s="38" t="s">
        <v>693</v>
      </c>
      <c r="AM567" s="38" t="s">
        <v>160</v>
      </c>
      <c r="AN567" s="38">
        <v>4</v>
      </c>
      <c r="AO567" s="38">
        <v>4</v>
      </c>
      <c r="AP567" s="38" t="s">
        <v>448</v>
      </c>
      <c r="AT567" s="64"/>
      <c r="CO567" s="38">
        <v>4.8099999999999997E-2</v>
      </c>
      <c r="CP567" s="38">
        <v>0.1206</v>
      </c>
      <c r="CQ567" s="38" t="s">
        <v>607</v>
      </c>
      <c r="CU567" s="38">
        <f>6.84/38*100</f>
        <v>18</v>
      </c>
      <c r="CV567" s="38">
        <f>3.42/38*100</f>
        <v>9</v>
      </c>
      <c r="CW567" s="38" t="s">
        <v>606</v>
      </c>
      <c r="DD567" s="38">
        <v>0.21840000000000001</v>
      </c>
      <c r="DE567" s="38">
        <v>0.1958</v>
      </c>
      <c r="DF567" s="38" t="s">
        <v>605</v>
      </c>
      <c r="DP567" s="12"/>
      <c r="DR567" s="15"/>
      <c r="EL567" s="38" t="s">
        <v>946</v>
      </c>
      <c r="EN567" s="38">
        <v>30</v>
      </c>
    </row>
    <row r="568" spans="1:144" s="38" customFormat="1" x14ac:dyDescent="0.25">
      <c r="A568" s="38">
        <v>30</v>
      </c>
      <c r="B568" s="38" t="s">
        <v>598</v>
      </c>
      <c r="C568" s="38" t="s">
        <v>599</v>
      </c>
      <c r="D568" s="38">
        <v>2002</v>
      </c>
      <c r="E568" s="38">
        <v>1999</v>
      </c>
      <c r="F568" s="38" t="s">
        <v>600</v>
      </c>
      <c r="G568" s="38" t="s">
        <v>601</v>
      </c>
      <c r="H568" s="38">
        <f t="shared" si="192"/>
        <v>38.533333333333331</v>
      </c>
      <c r="I568" s="38">
        <f t="shared" si="193"/>
        <v>-121.78333333333333</v>
      </c>
      <c r="J568" s="38">
        <v>18.399999999999999</v>
      </c>
      <c r="N568" s="38">
        <v>483</v>
      </c>
      <c r="P568" s="57" t="s">
        <v>188</v>
      </c>
      <c r="Q568" s="57"/>
      <c r="R568" s="57">
        <v>36170</v>
      </c>
      <c r="S568" s="57" t="s">
        <v>672</v>
      </c>
      <c r="U568" s="38">
        <v>36</v>
      </c>
      <c r="V568" s="38">
        <v>46</v>
      </c>
      <c r="W568" s="38" t="s">
        <v>182</v>
      </c>
      <c r="AA568" s="38" t="s">
        <v>1694</v>
      </c>
      <c r="AB568" s="38" t="s">
        <v>1513</v>
      </c>
      <c r="AC568" s="38" t="s">
        <v>1741</v>
      </c>
      <c r="AD568" s="38" t="s">
        <v>602</v>
      </c>
      <c r="AE568" s="38" t="s">
        <v>602</v>
      </c>
      <c r="AF568" s="38" t="s">
        <v>252</v>
      </c>
      <c r="AJ568" s="38" t="s">
        <v>494</v>
      </c>
      <c r="AK568" s="38" t="s">
        <v>603</v>
      </c>
      <c r="AL568" s="38" t="s">
        <v>693</v>
      </c>
      <c r="AM568" s="38" t="s">
        <v>160</v>
      </c>
      <c r="AN568" s="38">
        <v>4</v>
      </c>
      <c r="AO568" s="38">
        <v>4</v>
      </c>
      <c r="AP568" s="38" t="s">
        <v>448</v>
      </c>
      <c r="AT568" s="64"/>
      <c r="CO568" s="38">
        <v>2.4E-2</v>
      </c>
      <c r="CP568" s="38">
        <v>9.6000000000000002E-2</v>
      </c>
      <c r="CQ568" s="38" t="s">
        <v>607</v>
      </c>
      <c r="CU568" s="38">
        <f>5.95/14.2*100</f>
        <v>41.901408450704231</v>
      </c>
      <c r="CV568" s="38">
        <f>0.97/14.2*100</f>
        <v>6.830985915492958</v>
      </c>
      <c r="CW568" s="38" t="s">
        <v>606</v>
      </c>
      <c r="DD568" s="38">
        <v>0.1966</v>
      </c>
      <c r="DE568" s="38">
        <v>0.20660000000000001</v>
      </c>
      <c r="DF568" s="38" t="s">
        <v>605</v>
      </c>
      <c r="DP568" s="12"/>
      <c r="DR568" s="15"/>
      <c r="EL568" s="38" t="s">
        <v>946</v>
      </c>
      <c r="EN568" s="38">
        <v>30</v>
      </c>
    </row>
    <row r="569" spans="1:144" s="38" customFormat="1" x14ac:dyDescent="0.25">
      <c r="A569" s="38">
        <v>30</v>
      </c>
      <c r="B569" s="38" t="s">
        <v>598</v>
      </c>
      <c r="C569" s="38" t="s">
        <v>599</v>
      </c>
      <c r="D569" s="38">
        <v>2002</v>
      </c>
      <c r="E569" s="38">
        <v>1999</v>
      </c>
      <c r="F569" s="38" t="s">
        <v>600</v>
      </c>
      <c r="G569" s="38" t="s">
        <v>601</v>
      </c>
      <c r="H569" s="38">
        <f t="shared" si="192"/>
        <v>38.533333333333331</v>
      </c>
      <c r="I569" s="38">
        <f t="shared" si="193"/>
        <v>-121.78333333333333</v>
      </c>
      <c r="J569" s="38">
        <v>18.399999999999999</v>
      </c>
      <c r="N569" s="38">
        <v>483</v>
      </c>
      <c r="P569" s="57" t="s">
        <v>188</v>
      </c>
      <c r="Q569" s="57"/>
      <c r="R569" s="57">
        <v>36170</v>
      </c>
      <c r="S569" s="57" t="s">
        <v>672</v>
      </c>
      <c r="U569" s="38">
        <v>36</v>
      </c>
      <c r="V569" s="38">
        <v>46</v>
      </c>
      <c r="W569" s="38" t="s">
        <v>182</v>
      </c>
      <c r="AA569" s="38" t="s">
        <v>1694</v>
      </c>
      <c r="AB569" s="38" t="s">
        <v>1513</v>
      </c>
      <c r="AC569" s="38" t="s">
        <v>1741</v>
      </c>
      <c r="AD569" s="38" t="s">
        <v>602</v>
      </c>
      <c r="AE569" s="38" t="s">
        <v>602</v>
      </c>
      <c r="AF569" s="38" t="s">
        <v>252</v>
      </c>
      <c r="AJ569" s="38" t="s">
        <v>494</v>
      </c>
      <c r="AK569" s="38" t="s">
        <v>604</v>
      </c>
      <c r="AL569" s="38" t="s">
        <v>693</v>
      </c>
      <c r="AM569" s="38" t="s">
        <v>160</v>
      </c>
      <c r="AN569" s="38">
        <v>4</v>
      </c>
      <c r="AO569" s="38">
        <v>4</v>
      </c>
      <c r="AP569" s="38" t="s">
        <v>448</v>
      </c>
      <c r="AT569" s="64"/>
      <c r="CO569" s="38">
        <v>2.4E-2</v>
      </c>
      <c r="CP569" s="38">
        <v>9.6000000000000002E-2</v>
      </c>
      <c r="CQ569" s="38" t="s">
        <v>607</v>
      </c>
      <c r="CU569" s="38">
        <f>5.95/14.2*100</f>
        <v>41.901408450704231</v>
      </c>
      <c r="CV569" s="38">
        <f>1.46/14.2*100</f>
        <v>10.28169014084507</v>
      </c>
      <c r="CW569" s="38" t="s">
        <v>606</v>
      </c>
      <c r="DD569" s="38">
        <v>0.1966</v>
      </c>
      <c r="DE569" s="38">
        <v>0.1885</v>
      </c>
      <c r="DF569" s="38" t="s">
        <v>605</v>
      </c>
      <c r="DP569" s="12"/>
      <c r="DR569" s="15"/>
      <c r="EL569" s="38" t="s">
        <v>946</v>
      </c>
      <c r="EN569" s="38">
        <v>30</v>
      </c>
    </row>
    <row r="570" spans="1:144" s="38" customFormat="1" x14ac:dyDescent="0.25">
      <c r="A570" s="38">
        <v>30</v>
      </c>
      <c r="B570" s="38" t="s">
        <v>598</v>
      </c>
      <c r="C570" s="38" t="s">
        <v>599</v>
      </c>
      <c r="D570" s="38">
        <v>2002</v>
      </c>
      <c r="E570" s="38">
        <v>1999</v>
      </c>
      <c r="F570" s="38" t="s">
        <v>600</v>
      </c>
      <c r="G570" s="38" t="s">
        <v>601</v>
      </c>
      <c r="H570" s="38">
        <f t="shared" si="192"/>
        <v>38.533333333333331</v>
      </c>
      <c r="I570" s="38">
        <f t="shared" si="193"/>
        <v>-121.78333333333333</v>
      </c>
      <c r="J570" s="38">
        <v>18.399999999999999</v>
      </c>
      <c r="N570" s="38">
        <v>483</v>
      </c>
      <c r="P570" s="57" t="s">
        <v>188</v>
      </c>
      <c r="Q570" s="57"/>
      <c r="R570" s="57">
        <v>36187</v>
      </c>
      <c r="S570" s="57" t="s">
        <v>672</v>
      </c>
      <c r="U570" s="38">
        <v>36</v>
      </c>
      <c r="V570" s="38">
        <v>46</v>
      </c>
      <c r="W570" s="38" t="s">
        <v>182</v>
      </c>
      <c r="AA570" s="38" t="s">
        <v>1694</v>
      </c>
      <c r="AB570" s="38" t="s">
        <v>1513</v>
      </c>
      <c r="AC570" s="38" t="s">
        <v>1741</v>
      </c>
      <c r="AD570" s="38" t="s">
        <v>602</v>
      </c>
      <c r="AE570" s="38" t="s">
        <v>602</v>
      </c>
      <c r="AF570" s="38" t="s">
        <v>252</v>
      </c>
      <c r="AJ570" s="38" t="s">
        <v>494</v>
      </c>
      <c r="AK570" s="38" t="s">
        <v>603</v>
      </c>
      <c r="AL570" s="38" t="s">
        <v>693</v>
      </c>
      <c r="AM570" s="38" t="s">
        <v>160</v>
      </c>
      <c r="AN570" s="38">
        <v>4</v>
      </c>
      <c r="AO570" s="38">
        <v>4</v>
      </c>
      <c r="AP570" s="38" t="s">
        <v>448</v>
      </c>
      <c r="AT570" s="64"/>
      <c r="CO570" s="38">
        <v>1.24E-2</v>
      </c>
      <c r="CP570" s="38">
        <v>9.6500000000000002E-2</v>
      </c>
      <c r="CQ570" s="38" t="s">
        <v>607</v>
      </c>
      <c r="CU570" s="38">
        <v>0</v>
      </c>
      <c r="CV570" s="38">
        <f>0.16/2.9*100</f>
        <v>5.5172413793103452</v>
      </c>
      <c r="CW570" s="38" t="s">
        <v>606</v>
      </c>
      <c r="DD570" s="38">
        <v>0.22539999999999999</v>
      </c>
      <c r="DE570" s="38">
        <v>0.2137</v>
      </c>
      <c r="DF570" s="38" t="s">
        <v>605</v>
      </c>
      <c r="DP570" s="12"/>
      <c r="DR570" s="15"/>
      <c r="EL570" s="38" t="s">
        <v>946</v>
      </c>
      <c r="EN570" s="38">
        <v>30</v>
      </c>
    </row>
    <row r="571" spans="1:144" s="38" customFormat="1" x14ac:dyDescent="0.25">
      <c r="A571" s="38">
        <v>30</v>
      </c>
      <c r="B571" s="38" t="s">
        <v>598</v>
      </c>
      <c r="C571" s="38" t="s">
        <v>599</v>
      </c>
      <c r="D571" s="38">
        <v>2002</v>
      </c>
      <c r="E571" s="38">
        <v>1999</v>
      </c>
      <c r="F571" s="38" t="s">
        <v>600</v>
      </c>
      <c r="G571" s="38" t="s">
        <v>601</v>
      </c>
      <c r="H571" s="38">
        <f t="shared" si="192"/>
        <v>38.533333333333331</v>
      </c>
      <c r="I571" s="38">
        <f t="shared" si="193"/>
        <v>-121.78333333333333</v>
      </c>
      <c r="J571" s="38">
        <v>18.399999999999999</v>
      </c>
      <c r="N571" s="38">
        <v>483</v>
      </c>
      <c r="P571" s="57" t="s">
        <v>188</v>
      </c>
      <c r="Q571" s="57"/>
      <c r="R571" s="57">
        <v>36187</v>
      </c>
      <c r="S571" s="57" t="s">
        <v>672</v>
      </c>
      <c r="U571" s="38">
        <v>36</v>
      </c>
      <c r="V571" s="38">
        <v>46</v>
      </c>
      <c r="W571" s="38" t="s">
        <v>182</v>
      </c>
      <c r="AA571" s="38" t="s">
        <v>1694</v>
      </c>
      <c r="AB571" s="38" t="s">
        <v>1513</v>
      </c>
      <c r="AC571" s="38" t="s">
        <v>1741</v>
      </c>
      <c r="AD571" s="38" t="s">
        <v>602</v>
      </c>
      <c r="AE571" s="38" t="s">
        <v>602</v>
      </c>
      <c r="AF571" s="38" t="s">
        <v>252</v>
      </c>
      <c r="AJ571" s="38" t="s">
        <v>494</v>
      </c>
      <c r="AK571" s="38" t="s">
        <v>604</v>
      </c>
      <c r="AL571" s="38" t="s">
        <v>693</v>
      </c>
      <c r="AM571" s="38" t="s">
        <v>160</v>
      </c>
      <c r="AN571" s="38">
        <v>4</v>
      </c>
      <c r="AO571" s="38">
        <v>4</v>
      </c>
      <c r="AP571" s="38" t="s">
        <v>448</v>
      </c>
      <c r="AT571" s="64"/>
      <c r="CO571" s="38">
        <v>1.24E-2</v>
      </c>
      <c r="CP571" s="38">
        <v>7.8600000000000003E-2</v>
      </c>
      <c r="CQ571" s="38" t="s">
        <v>607</v>
      </c>
      <c r="CU571" s="38">
        <v>0</v>
      </c>
      <c r="CV571" s="38">
        <f>0.02/2.9*100</f>
        <v>0.68965517241379315</v>
      </c>
      <c r="CW571" s="38" t="s">
        <v>606</v>
      </c>
      <c r="DD571" s="38">
        <v>0.22539999999999999</v>
      </c>
      <c r="DE571" s="38">
        <v>0.19919999999999999</v>
      </c>
      <c r="DF571" s="38" t="s">
        <v>605</v>
      </c>
      <c r="DP571" s="12"/>
      <c r="DR571" s="15"/>
      <c r="EL571" s="38" t="s">
        <v>946</v>
      </c>
      <c r="EN571" s="38">
        <v>30</v>
      </c>
    </row>
    <row r="572" spans="1:144" s="38" customFormat="1" x14ac:dyDescent="0.25">
      <c r="A572" s="38">
        <v>30</v>
      </c>
      <c r="B572" s="38" t="s">
        <v>598</v>
      </c>
      <c r="C572" s="38" t="s">
        <v>599</v>
      </c>
      <c r="D572" s="38">
        <v>2002</v>
      </c>
      <c r="E572" s="38">
        <v>1999</v>
      </c>
      <c r="F572" s="38" t="s">
        <v>600</v>
      </c>
      <c r="G572" s="38" t="s">
        <v>601</v>
      </c>
      <c r="H572" s="38">
        <f t="shared" si="192"/>
        <v>38.533333333333331</v>
      </c>
      <c r="I572" s="38">
        <f t="shared" si="193"/>
        <v>-121.78333333333333</v>
      </c>
      <c r="J572" s="38">
        <v>18.399999999999999</v>
      </c>
      <c r="N572" s="38">
        <v>483</v>
      </c>
      <c r="P572" s="57" t="s">
        <v>188</v>
      </c>
      <c r="Q572" s="57"/>
      <c r="R572" s="57">
        <v>36198</v>
      </c>
      <c r="S572" s="57" t="s">
        <v>672</v>
      </c>
      <c r="U572" s="38">
        <v>36</v>
      </c>
      <c r="V572" s="38">
        <v>46</v>
      </c>
      <c r="W572" s="38" t="s">
        <v>182</v>
      </c>
      <c r="AA572" s="38" t="s">
        <v>1694</v>
      </c>
      <c r="AB572" s="38" t="s">
        <v>1513</v>
      </c>
      <c r="AC572" s="38" t="s">
        <v>1741</v>
      </c>
      <c r="AD572" s="38" t="s">
        <v>602</v>
      </c>
      <c r="AE572" s="38" t="s">
        <v>602</v>
      </c>
      <c r="AF572" s="38" t="s">
        <v>252</v>
      </c>
      <c r="AJ572" s="38" t="s">
        <v>494</v>
      </c>
      <c r="AK572" s="38" t="s">
        <v>603</v>
      </c>
      <c r="AL572" s="38" t="s">
        <v>693</v>
      </c>
      <c r="AM572" s="38" t="s">
        <v>160</v>
      </c>
      <c r="AN572" s="38">
        <v>4</v>
      </c>
      <c r="AO572" s="38">
        <v>4</v>
      </c>
      <c r="AP572" s="38" t="s">
        <v>448</v>
      </c>
      <c r="AT572" s="64"/>
      <c r="CO572" s="38">
        <v>1.2999999999999999E-2</v>
      </c>
      <c r="CP572" s="38">
        <v>6.9000000000000006E-2</v>
      </c>
      <c r="CQ572" s="38" t="s">
        <v>607</v>
      </c>
      <c r="CU572" s="38">
        <f>2.22/17.1*100</f>
        <v>12.982456140350877</v>
      </c>
      <c r="CV572" s="38">
        <f>1.68/17.1*100</f>
        <v>9.8245614035087705</v>
      </c>
      <c r="CW572" s="38" t="s">
        <v>606</v>
      </c>
      <c r="DD572" s="38">
        <v>0.26869999999999999</v>
      </c>
      <c r="DE572" s="38">
        <v>0.28589999999999999</v>
      </c>
      <c r="DF572" s="38" t="s">
        <v>605</v>
      </c>
      <c r="DP572" s="12"/>
      <c r="DR572" s="15"/>
      <c r="EL572" s="38" t="s">
        <v>946</v>
      </c>
      <c r="EN572" s="38">
        <v>30</v>
      </c>
    </row>
    <row r="573" spans="1:144" s="38" customFormat="1" x14ac:dyDescent="0.25">
      <c r="A573" s="38">
        <v>30</v>
      </c>
      <c r="B573" s="38" t="s">
        <v>598</v>
      </c>
      <c r="C573" s="38" t="s">
        <v>599</v>
      </c>
      <c r="D573" s="38">
        <v>2002</v>
      </c>
      <c r="E573" s="38">
        <v>1999</v>
      </c>
      <c r="F573" s="38" t="s">
        <v>600</v>
      </c>
      <c r="G573" s="38" t="s">
        <v>601</v>
      </c>
      <c r="H573" s="38">
        <f t="shared" si="192"/>
        <v>38.533333333333331</v>
      </c>
      <c r="I573" s="38">
        <f t="shared" si="193"/>
        <v>-121.78333333333333</v>
      </c>
      <c r="J573" s="38">
        <v>18.399999999999999</v>
      </c>
      <c r="N573" s="38">
        <v>483</v>
      </c>
      <c r="P573" s="57" t="s">
        <v>188</v>
      </c>
      <c r="Q573" s="57"/>
      <c r="R573" s="57">
        <v>36198</v>
      </c>
      <c r="S573" s="57" t="s">
        <v>672</v>
      </c>
      <c r="U573" s="38">
        <v>36</v>
      </c>
      <c r="V573" s="38">
        <v>46</v>
      </c>
      <c r="W573" s="38" t="s">
        <v>182</v>
      </c>
      <c r="AA573" s="38" t="s">
        <v>1694</v>
      </c>
      <c r="AB573" s="38" t="s">
        <v>1513</v>
      </c>
      <c r="AC573" s="38" t="s">
        <v>1741</v>
      </c>
      <c r="AD573" s="38" t="s">
        <v>602</v>
      </c>
      <c r="AE573" s="38" t="s">
        <v>602</v>
      </c>
      <c r="AF573" s="38" t="s">
        <v>252</v>
      </c>
      <c r="AJ573" s="38" t="s">
        <v>494</v>
      </c>
      <c r="AK573" s="38" t="s">
        <v>604</v>
      </c>
      <c r="AL573" s="38" t="s">
        <v>693</v>
      </c>
      <c r="AM573" s="38" t="s">
        <v>160</v>
      </c>
      <c r="AN573" s="38">
        <v>4</v>
      </c>
      <c r="AO573" s="38">
        <v>4</v>
      </c>
      <c r="AP573" s="38" t="s">
        <v>448</v>
      </c>
      <c r="AT573" s="64"/>
      <c r="CO573" s="38">
        <v>1.2999999999999999E-2</v>
      </c>
      <c r="CP573" s="38">
        <v>7.8E-2</v>
      </c>
      <c r="CQ573" s="38" t="s">
        <v>607</v>
      </c>
      <c r="CU573" s="38">
        <f>2.22/17.1*100</f>
        <v>12.982456140350877</v>
      </c>
      <c r="CV573" s="38">
        <f>1.39/17.1*100</f>
        <v>8.1286549707602322</v>
      </c>
      <c r="CW573" s="38" t="s">
        <v>606</v>
      </c>
      <c r="DD573" s="38">
        <v>0.26869999999999999</v>
      </c>
      <c r="DE573" s="38">
        <v>0.28589999999999999</v>
      </c>
      <c r="DF573" s="38" t="s">
        <v>605</v>
      </c>
      <c r="DP573" s="12"/>
      <c r="DR573" s="15"/>
      <c r="EL573" s="38" t="s">
        <v>946</v>
      </c>
      <c r="EN573" s="38">
        <v>30</v>
      </c>
    </row>
    <row r="574" spans="1:144" s="38" customFormat="1" x14ac:dyDescent="0.25">
      <c r="A574" s="38">
        <v>30</v>
      </c>
      <c r="B574" s="38" t="s">
        <v>598</v>
      </c>
      <c r="C574" s="38" t="s">
        <v>599</v>
      </c>
      <c r="D574" s="38">
        <v>2002</v>
      </c>
      <c r="E574" s="38">
        <v>1999</v>
      </c>
      <c r="F574" s="38" t="s">
        <v>600</v>
      </c>
      <c r="G574" s="38" t="s">
        <v>601</v>
      </c>
      <c r="H574" s="38">
        <f t="shared" si="192"/>
        <v>38.533333333333331</v>
      </c>
      <c r="I574" s="38">
        <f t="shared" si="193"/>
        <v>-121.78333333333333</v>
      </c>
      <c r="J574" s="38">
        <v>18.399999999999999</v>
      </c>
      <c r="N574" s="38">
        <v>483</v>
      </c>
      <c r="P574" s="57" t="s">
        <v>188</v>
      </c>
      <c r="Q574" s="57"/>
      <c r="R574" s="57">
        <v>36232</v>
      </c>
      <c r="S574" s="57" t="s">
        <v>672</v>
      </c>
      <c r="U574" s="38">
        <v>36</v>
      </c>
      <c r="V574" s="38">
        <v>46</v>
      </c>
      <c r="W574" s="38" t="s">
        <v>182</v>
      </c>
      <c r="AA574" s="38" t="s">
        <v>1694</v>
      </c>
      <c r="AB574" s="38" t="s">
        <v>1513</v>
      </c>
      <c r="AC574" s="38" t="s">
        <v>1741</v>
      </c>
      <c r="AD574" s="38" t="s">
        <v>602</v>
      </c>
      <c r="AE574" s="38" t="s">
        <v>602</v>
      </c>
      <c r="AF574" s="38" t="s">
        <v>252</v>
      </c>
      <c r="AJ574" s="38" t="s">
        <v>494</v>
      </c>
      <c r="AK574" s="38" t="s">
        <v>603</v>
      </c>
      <c r="AL574" s="38" t="s">
        <v>693</v>
      </c>
      <c r="AM574" s="38" t="s">
        <v>160</v>
      </c>
      <c r="AN574" s="38">
        <v>4</v>
      </c>
      <c r="AO574" s="38">
        <v>4</v>
      </c>
      <c r="AP574" s="38" t="s">
        <v>448</v>
      </c>
      <c r="AT574" s="64"/>
      <c r="CO574" s="38">
        <v>4.7999999999999996E-3</v>
      </c>
      <c r="CP574" s="38">
        <v>6.9000000000000006E-2</v>
      </c>
      <c r="CQ574" s="38" t="s">
        <v>607</v>
      </c>
      <c r="CU574" s="38">
        <f>3.41/14.3*100</f>
        <v>23.846153846153843</v>
      </c>
      <c r="CV574" s="38">
        <f>0.21/14.3*100</f>
        <v>1.4685314685314685</v>
      </c>
      <c r="CW574" s="38" t="s">
        <v>606</v>
      </c>
      <c r="DD574" s="38">
        <v>0.25319999999999998</v>
      </c>
      <c r="DE574" s="38">
        <v>0.25869999999999999</v>
      </c>
      <c r="DF574" s="38" t="s">
        <v>605</v>
      </c>
      <c r="DP574" s="12"/>
      <c r="DR574" s="15"/>
      <c r="EL574" s="38" t="s">
        <v>946</v>
      </c>
      <c r="EN574" s="38">
        <v>30</v>
      </c>
    </row>
    <row r="575" spans="1:144" s="38" customFormat="1" x14ac:dyDescent="0.25">
      <c r="A575" s="38">
        <v>30</v>
      </c>
      <c r="B575" s="38" t="s">
        <v>598</v>
      </c>
      <c r="C575" s="38" t="s">
        <v>599</v>
      </c>
      <c r="D575" s="38">
        <v>2002</v>
      </c>
      <c r="E575" s="38">
        <v>1999</v>
      </c>
      <c r="F575" s="38" t="s">
        <v>600</v>
      </c>
      <c r="G575" s="38" t="s">
        <v>601</v>
      </c>
      <c r="H575" s="38">
        <f t="shared" si="192"/>
        <v>38.533333333333331</v>
      </c>
      <c r="I575" s="38">
        <f t="shared" si="193"/>
        <v>-121.78333333333333</v>
      </c>
      <c r="J575" s="38">
        <v>18.399999999999999</v>
      </c>
      <c r="N575" s="38">
        <v>483</v>
      </c>
      <c r="P575" s="57" t="s">
        <v>188</v>
      </c>
      <c r="Q575" s="57"/>
      <c r="R575" s="57">
        <v>36232</v>
      </c>
      <c r="S575" s="57" t="s">
        <v>672</v>
      </c>
      <c r="U575" s="38">
        <v>36</v>
      </c>
      <c r="V575" s="38">
        <v>46</v>
      </c>
      <c r="W575" s="38" t="s">
        <v>182</v>
      </c>
      <c r="AA575" s="38" t="s">
        <v>1694</v>
      </c>
      <c r="AB575" s="38" t="s">
        <v>1513</v>
      </c>
      <c r="AC575" s="38" t="s">
        <v>1741</v>
      </c>
      <c r="AD575" s="38" t="s">
        <v>602</v>
      </c>
      <c r="AE575" s="38" t="s">
        <v>602</v>
      </c>
      <c r="AF575" s="38" t="s">
        <v>252</v>
      </c>
      <c r="AJ575" s="38" t="s">
        <v>494</v>
      </c>
      <c r="AK575" s="38" t="s">
        <v>604</v>
      </c>
      <c r="AL575" s="38" t="s">
        <v>693</v>
      </c>
      <c r="AM575" s="38" t="s">
        <v>160</v>
      </c>
      <c r="AN575" s="38">
        <v>4</v>
      </c>
      <c r="AO575" s="38">
        <v>4</v>
      </c>
      <c r="AP575" s="38" t="s">
        <v>448</v>
      </c>
      <c r="AT575" s="64"/>
      <c r="CO575" s="38">
        <v>4.7999999999999996E-3</v>
      </c>
      <c r="CP575" s="38">
        <v>7.8E-2</v>
      </c>
      <c r="CQ575" s="38" t="s">
        <v>607</v>
      </c>
      <c r="CU575" s="38">
        <f>3.41/14.3*100</f>
        <v>23.846153846153843</v>
      </c>
      <c r="CV575" s="38">
        <f>1.01/14.3*100</f>
        <v>7.0629370629370625</v>
      </c>
      <c r="CW575" s="38" t="s">
        <v>606</v>
      </c>
      <c r="DD575" s="38">
        <v>0.25319999999999998</v>
      </c>
      <c r="DE575" s="38">
        <v>0.25869999999999999</v>
      </c>
      <c r="DF575" s="38" t="s">
        <v>605</v>
      </c>
      <c r="DP575" s="12"/>
      <c r="DR575" s="15"/>
      <c r="EL575" s="38" t="s">
        <v>946</v>
      </c>
      <c r="EN575" s="38">
        <v>30</v>
      </c>
    </row>
    <row r="576" spans="1:144" s="38" customFormat="1" x14ac:dyDescent="0.25">
      <c r="A576" s="38">
        <v>30</v>
      </c>
      <c r="B576" s="38" t="s">
        <v>598</v>
      </c>
      <c r="C576" s="38" t="s">
        <v>599</v>
      </c>
      <c r="D576" s="38">
        <v>2002</v>
      </c>
      <c r="E576" s="38">
        <v>1999</v>
      </c>
      <c r="F576" s="38" t="s">
        <v>600</v>
      </c>
      <c r="G576" s="38" t="s">
        <v>601</v>
      </c>
      <c r="H576" s="38">
        <f t="shared" si="192"/>
        <v>38.533333333333331</v>
      </c>
      <c r="I576" s="38">
        <f t="shared" si="193"/>
        <v>-121.78333333333333</v>
      </c>
      <c r="J576" s="38">
        <v>18.399999999999999</v>
      </c>
      <c r="N576" s="38">
        <v>483</v>
      </c>
      <c r="P576" s="57" t="s">
        <v>188</v>
      </c>
      <c r="Q576" s="57"/>
      <c r="R576" s="57">
        <v>36234</v>
      </c>
      <c r="S576" s="57" t="s">
        <v>672</v>
      </c>
      <c r="U576" s="38">
        <v>36</v>
      </c>
      <c r="V576" s="38">
        <v>46</v>
      </c>
      <c r="W576" s="38" t="s">
        <v>182</v>
      </c>
      <c r="AA576" s="38" t="s">
        <v>1694</v>
      </c>
      <c r="AB576" s="38" t="s">
        <v>1513</v>
      </c>
      <c r="AC576" s="38" t="s">
        <v>1741</v>
      </c>
      <c r="AD576" s="38" t="s">
        <v>602</v>
      </c>
      <c r="AE576" s="38" t="s">
        <v>602</v>
      </c>
      <c r="AF576" s="38" t="s">
        <v>252</v>
      </c>
      <c r="AJ576" s="38" t="s">
        <v>494</v>
      </c>
      <c r="AK576" s="38" t="s">
        <v>603</v>
      </c>
      <c r="AL576" s="38" t="s">
        <v>693</v>
      </c>
      <c r="AM576" s="38" t="s">
        <v>160</v>
      </c>
      <c r="AN576" s="38">
        <v>4</v>
      </c>
      <c r="AO576" s="38">
        <v>4</v>
      </c>
      <c r="AP576" s="38" t="s">
        <v>448</v>
      </c>
      <c r="AT576" s="64"/>
      <c r="CO576" s="38">
        <v>3.7000000000000002E-3</v>
      </c>
      <c r="CP576" s="38">
        <v>6.3E-2</v>
      </c>
      <c r="CQ576" s="38" t="s">
        <v>607</v>
      </c>
      <c r="CU576" s="38">
        <v>0</v>
      </c>
      <c r="CV576" s="38">
        <v>0</v>
      </c>
      <c r="CW576" s="38" t="s">
        <v>606</v>
      </c>
      <c r="DD576" s="38">
        <v>0.246</v>
      </c>
      <c r="DE576" s="38">
        <v>0.24779999999999999</v>
      </c>
      <c r="DF576" s="38" t="s">
        <v>605</v>
      </c>
      <c r="DP576" s="12"/>
      <c r="DR576" s="15"/>
      <c r="EL576" s="38" t="s">
        <v>946</v>
      </c>
      <c r="EN576" s="38">
        <v>30</v>
      </c>
    </row>
    <row r="577" spans="1:144" s="38" customFormat="1" x14ac:dyDescent="0.25">
      <c r="A577" s="38">
        <v>30</v>
      </c>
      <c r="B577" s="38" t="s">
        <v>598</v>
      </c>
      <c r="C577" s="38" t="s">
        <v>599</v>
      </c>
      <c r="D577" s="38">
        <v>2002</v>
      </c>
      <c r="E577" s="38">
        <v>1999</v>
      </c>
      <c r="F577" s="38" t="s">
        <v>600</v>
      </c>
      <c r="G577" s="38" t="s">
        <v>601</v>
      </c>
      <c r="H577" s="38">
        <f t="shared" si="192"/>
        <v>38.533333333333331</v>
      </c>
      <c r="I577" s="38">
        <f t="shared" si="193"/>
        <v>-121.78333333333333</v>
      </c>
      <c r="J577" s="38">
        <v>18.399999999999999</v>
      </c>
      <c r="N577" s="38">
        <v>483</v>
      </c>
      <c r="P577" s="57" t="s">
        <v>188</v>
      </c>
      <c r="Q577" s="57"/>
      <c r="R577" s="57">
        <v>36234</v>
      </c>
      <c r="S577" s="57" t="s">
        <v>672</v>
      </c>
      <c r="U577" s="38">
        <v>36</v>
      </c>
      <c r="V577" s="38">
        <v>46</v>
      </c>
      <c r="W577" s="38" t="s">
        <v>182</v>
      </c>
      <c r="AA577" s="38" t="s">
        <v>1694</v>
      </c>
      <c r="AB577" s="38" t="s">
        <v>1513</v>
      </c>
      <c r="AC577" s="38" t="s">
        <v>1741</v>
      </c>
      <c r="AD577" s="38" t="s">
        <v>602</v>
      </c>
      <c r="AE577" s="38" t="s">
        <v>602</v>
      </c>
      <c r="AF577" s="38" t="s">
        <v>252</v>
      </c>
      <c r="AJ577" s="38" t="s">
        <v>494</v>
      </c>
      <c r="AK577" s="38" t="s">
        <v>604</v>
      </c>
      <c r="AL577" s="38" t="s">
        <v>693</v>
      </c>
      <c r="AM577" s="38" t="s">
        <v>160</v>
      </c>
      <c r="AN577" s="38">
        <v>4</v>
      </c>
      <c r="AO577" s="38">
        <v>4</v>
      </c>
      <c r="AP577" s="38" t="s">
        <v>448</v>
      </c>
      <c r="AT577" s="64"/>
      <c r="CO577" s="38">
        <v>3.7000000000000002E-3</v>
      </c>
      <c r="CP577" s="38">
        <v>7.6999999999999999E-2</v>
      </c>
      <c r="CQ577" s="38" t="s">
        <v>607</v>
      </c>
      <c r="CU577" s="38">
        <v>0</v>
      </c>
      <c r="CV577" s="38">
        <v>0</v>
      </c>
      <c r="CW577" s="38" t="s">
        <v>606</v>
      </c>
      <c r="DD577" s="38">
        <v>0.246</v>
      </c>
      <c r="DE577" s="38">
        <v>0.24779999999999999</v>
      </c>
      <c r="DF577" s="38" t="s">
        <v>605</v>
      </c>
      <c r="DP577" s="12"/>
      <c r="DR577" s="15"/>
      <c r="EL577" s="38" t="s">
        <v>946</v>
      </c>
      <c r="EN577" s="38">
        <v>30</v>
      </c>
    </row>
    <row r="578" spans="1:144" s="38" customFormat="1" x14ac:dyDescent="0.25">
      <c r="A578" s="38">
        <v>30</v>
      </c>
      <c r="B578" s="38" t="s">
        <v>598</v>
      </c>
      <c r="C578" s="38" t="s">
        <v>599</v>
      </c>
      <c r="D578" s="38">
        <v>2002</v>
      </c>
      <c r="E578" s="38">
        <v>1999</v>
      </c>
      <c r="F578" s="38" t="s">
        <v>600</v>
      </c>
      <c r="G578" s="38" t="s">
        <v>601</v>
      </c>
      <c r="H578" s="38">
        <f t="shared" si="192"/>
        <v>38.533333333333331</v>
      </c>
      <c r="I578" s="38">
        <f t="shared" si="193"/>
        <v>-121.78333333333333</v>
      </c>
      <c r="J578" s="38">
        <v>18.399999999999999</v>
      </c>
      <c r="N578" s="38">
        <v>483</v>
      </c>
      <c r="P578" s="57" t="s">
        <v>188</v>
      </c>
      <c r="Q578" s="57"/>
      <c r="R578" s="57">
        <v>36514</v>
      </c>
      <c r="S578" s="57" t="s">
        <v>672</v>
      </c>
      <c r="U578" s="38">
        <v>36</v>
      </c>
      <c r="V578" s="38">
        <v>46</v>
      </c>
      <c r="W578" s="38" t="s">
        <v>182</v>
      </c>
      <c r="AA578" s="38" t="s">
        <v>1694</v>
      </c>
      <c r="AB578" s="38" t="s">
        <v>1513</v>
      </c>
      <c r="AC578" s="38" t="s">
        <v>1741</v>
      </c>
      <c r="AD578" s="38" t="s">
        <v>602</v>
      </c>
      <c r="AE578" s="38" t="s">
        <v>602</v>
      </c>
      <c r="AF578" s="38" t="s">
        <v>252</v>
      </c>
      <c r="AJ578" s="38" t="s">
        <v>494</v>
      </c>
      <c r="AK578" s="38" t="s">
        <v>603</v>
      </c>
      <c r="AL578" s="38" t="s">
        <v>693</v>
      </c>
      <c r="AM578" s="38" t="s">
        <v>160</v>
      </c>
      <c r="AN578" s="38">
        <v>4</v>
      </c>
      <c r="AO578" s="38">
        <v>4</v>
      </c>
      <c r="AP578" s="38" t="s">
        <v>448</v>
      </c>
      <c r="AT578" s="64"/>
      <c r="CO578" s="38">
        <v>3.3999999999999998E-3</v>
      </c>
      <c r="CP578" s="38">
        <v>5.5E-2</v>
      </c>
      <c r="CQ578" s="38" t="s">
        <v>607</v>
      </c>
      <c r="CU578" s="38">
        <f>0.32/3*100</f>
        <v>10.666666666666668</v>
      </c>
      <c r="CV578" s="38">
        <f>0.02/3*100</f>
        <v>0.66666666666666674</v>
      </c>
      <c r="CW578" s="38" t="s">
        <v>606</v>
      </c>
      <c r="DD578" s="38">
        <v>0.1182</v>
      </c>
      <c r="DE578" s="38">
        <v>0.12089999999999999</v>
      </c>
      <c r="DF578" s="38" t="s">
        <v>605</v>
      </c>
      <c r="DP578" s="12"/>
      <c r="DR578" s="15"/>
      <c r="EL578" s="38" t="s">
        <v>946</v>
      </c>
      <c r="EN578" s="38">
        <v>30</v>
      </c>
    </row>
    <row r="579" spans="1:144" s="38" customFormat="1" x14ac:dyDescent="0.25">
      <c r="A579" s="38">
        <v>30</v>
      </c>
      <c r="B579" s="38" t="s">
        <v>598</v>
      </c>
      <c r="C579" s="38" t="s">
        <v>599</v>
      </c>
      <c r="D579" s="38">
        <v>2002</v>
      </c>
      <c r="E579" s="38">
        <v>1999</v>
      </c>
      <c r="F579" s="38" t="s">
        <v>600</v>
      </c>
      <c r="G579" s="38" t="s">
        <v>601</v>
      </c>
      <c r="H579" s="38">
        <f t="shared" si="192"/>
        <v>38.533333333333331</v>
      </c>
      <c r="I579" s="38">
        <f t="shared" si="193"/>
        <v>-121.78333333333333</v>
      </c>
      <c r="J579" s="38">
        <v>18.399999999999999</v>
      </c>
      <c r="N579" s="38">
        <v>483</v>
      </c>
      <c r="P579" s="57" t="s">
        <v>188</v>
      </c>
      <c r="Q579" s="57"/>
      <c r="R579" s="57">
        <v>36514</v>
      </c>
      <c r="S579" s="57" t="s">
        <v>672</v>
      </c>
      <c r="U579" s="38">
        <v>36</v>
      </c>
      <c r="V579" s="38">
        <v>46</v>
      </c>
      <c r="W579" s="38" t="s">
        <v>182</v>
      </c>
      <c r="AA579" s="38" t="s">
        <v>1694</v>
      </c>
      <c r="AB579" s="38" t="s">
        <v>1513</v>
      </c>
      <c r="AC579" s="38" t="s">
        <v>1741</v>
      </c>
      <c r="AD579" s="38" t="s">
        <v>602</v>
      </c>
      <c r="AE579" s="38" t="s">
        <v>602</v>
      </c>
      <c r="AF579" s="38" t="s">
        <v>252</v>
      </c>
      <c r="AJ579" s="38" t="s">
        <v>494</v>
      </c>
      <c r="AK579" s="38" t="s">
        <v>604</v>
      </c>
      <c r="AL579" s="38" t="s">
        <v>693</v>
      </c>
      <c r="AM579" s="38" t="s">
        <v>160</v>
      </c>
      <c r="AN579" s="38">
        <v>4</v>
      </c>
      <c r="AO579" s="38">
        <v>4</v>
      </c>
      <c r="AP579" s="38" t="s">
        <v>448</v>
      </c>
      <c r="AT579" s="64"/>
      <c r="CO579" s="38">
        <v>3.3999999999999998E-3</v>
      </c>
      <c r="CP579" s="38">
        <v>6.6000000000000003E-2</v>
      </c>
      <c r="CQ579" s="38" t="s">
        <v>607</v>
      </c>
      <c r="CU579" s="38">
        <f>0.32/3*100</f>
        <v>10.666666666666668</v>
      </c>
      <c r="CV579" s="38">
        <f>0.13/3*100</f>
        <v>4.3333333333333339</v>
      </c>
      <c r="CW579" s="38" t="s">
        <v>606</v>
      </c>
      <c r="DD579" s="38">
        <v>0.1182</v>
      </c>
      <c r="DE579" s="38">
        <v>0.12089999999999999</v>
      </c>
      <c r="DF579" s="38" t="s">
        <v>605</v>
      </c>
      <c r="DP579" s="12"/>
      <c r="DR579" s="15"/>
      <c r="EL579" s="38" t="s">
        <v>946</v>
      </c>
      <c r="EN579" s="38">
        <v>30</v>
      </c>
    </row>
    <row r="580" spans="1:144" s="38" customFormat="1" x14ac:dyDescent="0.25">
      <c r="A580" s="38">
        <v>30</v>
      </c>
      <c r="B580" s="38" t="s">
        <v>598</v>
      </c>
      <c r="C580" s="38" t="s">
        <v>599</v>
      </c>
      <c r="D580" s="38">
        <v>2002</v>
      </c>
      <c r="E580" s="38">
        <v>2000</v>
      </c>
      <c r="F580" s="38" t="s">
        <v>600</v>
      </c>
      <c r="G580" s="38" t="s">
        <v>601</v>
      </c>
      <c r="H580" s="38">
        <f t="shared" si="192"/>
        <v>38.533333333333331</v>
      </c>
      <c r="I580" s="38">
        <f t="shared" si="193"/>
        <v>-121.78333333333333</v>
      </c>
      <c r="J580" s="38">
        <v>18.399999999999999</v>
      </c>
      <c r="N580" s="38">
        <v>483</v>
      </c>
      <c r="P580" s="57" t="s">
        <v>189</v>
      </c>
      <c r="Q580" s="57"/>
      <c r="R580" s="57">
        <v>36535</v>
      </c>
      <c r="S580" s="57" t="s">
        <v>672</v>
      </c>
      <c r="U580" s="38">
        <v>36</v>
      </c>
      <c r="V580" s="38">
        <v>46</v>
      </c>
      <c r="W580" s="38" t="s">
        <v>182</v>
      </c>
      <c r="AA580" s="38" t="s">
        <v>1694</v>
      </c>
      <c r="AB580" s="38" t="s">
        <v>1513</v>
      </c>
      <c r="AC580" s="38" t="s">
        <v>1741</v>
      </c>
      <c r="AD580" s="38" t="s">
        <v>602</v>
      </c>
      <c r="AE580" s="38" t="s">
        <v>602</v>
      </c>
      <c r="AF580" s="38" t="s">
        <v>252</v>
      </c>
      <c r="AJ580" s="38" t="s">
        <v>494</v>
      </c>
      <c r="AK580" s="38" t="s">
        <v>603</v>
      </c>
      <c r="AL580" s="38" t="s">
        <v>693</v>
      </c>
      <c r="AM580" s="38" t="s">
        <v>160</v>
      </c>
      <c r="AN580" s="38">
        <v>4</v>
      </c>
      <c r="AO580" s="38">
        <v>4</v>
      </c>
      <c r="AP580" s="38" t="s">
        <v>448</v>
      </c>
      <c r="AT580" s="64"/>
      <c r="CO580" s="38">
        <v>3.3E-3</v>
      </c>
      <c r="CP580" s="38">
        <v>5.3999999999999999E-2</v>
      </c>
      <c r="CQ580" s="38" t="s">
        <v>607</v>
      </c>
      <c r="CU580" s="38">
        <f>0.15/7.1*100</f>
        <v>2.112676056338028</v>
      </c>
      <c r="CV580" s="38">
        <f>0.18/7.1*100</f>
        <v>2.535211267605634</v>
      </c>
      <c r="CW580" s="38" t="s">
        <v>606</v>
      </c>
      <c r="DD580" s="38">
        <v>0.11169999999999999</v>
      </c>
      <c r="DE580" s="38">
        <v>0.1163</v>
      </c>
      <c r="DF580" s="38" t="s">
        <v>605</v>
      </c>
      <c r="DP580" s="12"/>
      <c r="DR580" s="15"/>
      <c r="EL580" s="38" t="s">
        <v>946</v>
      </c>
      <c r="EN580" s="38">
        <v>30</v>
      </c>
    </row>
    <row r="581" spans="1:144" s="38" customFormat="1" x14ac:dyDescent="0.25">
      <c r="A581" s="38">
        <v>30</v>
      </c>
      <c r="B581" s="38" t="s">
        <v>598</v>
      </c>
      <c r="C581" s="38" t="s">
        <v>599</v>
      </c>
      <c r="D581" s="38">
        <v>2002</v>
      </c>
      <c r="E581" s="38">
        <v>2000</v>
      </c>
      <c r="F581" s="38" t="s">
        <v>600</v>
      </c>
      <c r="G581" s="38" t="s">
        <v>601</v>
      </c>
      <c r="H581" s="38">
        <f t="shared" si="192"/>
        <v>38.533333333333331</v>
      </c>
      <c r="I581" s="38">
        <f t="shared" si="193"/>
        <v>-121.78333333333333</v>
      </c>
      <c r="J581" s="38">
        <v>18.399999999999999</v>
      </c>
      <c r="N581" s="38">
        <v>483</v>
      </c>
      <c r="P581" s="57" t="s">
        <v>189</v>
      </c>
      <c r="Q581" s="57"/>
      <c r="R581" s="57">
        <v>36535</v>
      </c>
      <c r="S581" s="57" t="s">
        <v>672</v>
      </c>
      <c r="U581" s="38">
        <v>36</v>
      </c>
      <c r="V581" s="38">
        <v>46</v>
      </c>
      <c r="W581" s="38" t="s">
        <v>182</v>
      </c>
      <c r="AA581" s="38" t="s">
        <v>1694</v>
      </c>
      <c r="AB581" s="38" t="s">
        <v>1513</v>
      </c>
      <c r="AC581" s="38" t="s">
        <v>1741</v>
      </c>
      <c r="AD581" s="38" t="s">
        <v>602</v>
      </c>
      <c r="AE581" s="38" t="s">
        <v>602</v>
      </c>
      <c r="AF581" s="38" t="s">
        <v>252</v>
      </c>
      <c r="AJ581" s="38" t="s">
        <v>494</v>
      </c>
      <c r="AK581" s="38" t="s">
        <v>604</v>
      </c>
      <c r="AL581" s="38" t="s">
        <v>693</v>
      </c>
      <c r="AM581" s="38" t="s">
        <v>160</v>
      </c>
      <c r="AN581" s="38">
        <v>4</v>
      </c>
      <c r="AO581" s="38">
        <v>4</v>
      </c>
      <c r="AP581" s="38" t="s">
        <v>448</v>
      </c>
      <c r="AT581" s="64"/>
      <c r="CO581" s="38">
        <v>3.3E-3</v>
      </c>
      <c r="CP581" s="38">
        <v>6.6000000000000003E-2</v>
      </c>
      <c r="CQ581" s="38" t="s">
        <v>607</v>
      </c>
      <c r="CU581" s="38">
        <f>0.15/7.1*100</f>
        <v>2.112676056338028</v>
      </c>
      <c r="CV581" s="38">
        <f>0.08/7.1*100</f>
        <v>1.1267605633802817</v>
      </c>
      <c r="CW581" s="38" t="s">
        <v>606</v>
      </c>
      <c r="DD581" s="38">
        <v>0.11169999999999999</v>
      </c>
      <c r="DE581" s="38">
        <v>0.1163</v>
      </c>
      <c r="DF581" s="38" t="s">
        <v>605</v>
      </c>
      <c r="DP581" s="12"/>
      <c r="DR581" s="15"/>
      <c r="EL581" s="38" t="s">
        <v>946</v>
      </c>
      <c r="EN581" s="38">
        <v>30</v>
      </c>
    </row>
    <row r="582" spans="1:144" s="38" customFormat="1" x14ac:dyDescent="0.25">
      <c r="A582" s="38">
        <v>30</v>
      </c>
      <c r="B582" s="38" t="s">
        <v>598</v>
      </c>
      <c r="C582" s="38" t="s">
        <v>599</v>
      </c>
      <c r="D582" s="38">
        <v>2002</v>
      </c>
      <c r="E582" s="38">
        <v>2000</v>
      </c>
      <c r="F582" s="38" t="s">
        <v>600</v>
      </c>
      <c r="G582" s="38" t="s">
        <v>601</v>
      </c>
      <c r="H582" s="38">
        <f t="shared" si="192"/>
        <v>38.533333333333331</v>
      </c>
      <c r="I582" s="38">
        <f t="shared" si="193"/>
        <v>-121.78333333333333</v>
      </c>
      <c r="J582" s="38">
        <v>18.399999999999999</v>
      </c>
      <c r="N582" s="38">
        <v>483</v>
      </c>
      <c r="P582" s="57" t="s">
        <v>189</v>
      </c>
      <c r="Q582" s="57"/>
      <c r="R582" s="57">
        <v>36541</v>
      </c>
      <c r="S582" s="57" t="s">
        <v>672</v>
      </c>
      <c r="U582" s="38">
        <v>36</v>
      </c>
      <c r="V582" s="38">
        <v>46</v>
      </c>
      <c r="W582" s="38" t="s">
        <v>182</v>
      </c>
      <c r="AA582" s="38" t="s">
        <v>1694</v>
      </c>
      <c r="AB582" s="38" t="s">
        <v>1513</v>
      </c>
      <c r="AC582" s="38" t="s">
        <v>1741</v>
      </c>
      <c r="AD582" s="38" t="s">
        <v>602</v>
      </c>
      <c r="AE582" s="38" t="s">
        <v>602</v>
      </c>
      <c r="AF582" s="38" t="s">
        <v>252</v>
      </c>
      <c r="AJ582" s="38" t="s">
        <v>494</v>
      </c>
      <c r="AK582" s="38" t="s">
        <v>603</v>
      </c>
      <c r="AL582" s="38" t="s">
        <v>693</v>
      </c>
      <c r="AM582" s="38" t="s">
        <v>160</v>
      </c>
      <c r="AN582" s="38">
        <v>4</v>
      </c>
      <c r="AO582" s="38">
        <v>4</v>
      </c>
      <c r="AP582" s="38" t="s">
        <v>448</v>
      </c>
      <c r="AT582" s="64"/>
      <c r="CO582" s="38">
        <v>3.0999999999999999E-3</v>
      </c>
      <c r="CP582" s="38">
        <v>5.3999999999999999E-2</v>
      </c>
      <c r="CQ582" s="38" t="s">
        <v>607</v>
      </c>
      <c r="CU582" s="38">
        <f>18.89/101.7*100</f>
        <v>18.574237954768929</v>
      </c>
      <c r="CV582" s="38">
        <f>4.51/101.7*100</f>
        <v>4.4346116027531952</v>
      </c>
      <c r="CW582" s="38" t="s">
        <v>606</v>
      </c>
      <c r="DD582" s="38">
        <v>0.1225</v>
      </c>
      <c r="DE582" s="38">
        <v>0.1225</v>
      </c>
      <c r="DF582" s="38" t="s">
        <v>605</v>
      </c>
      <c r="DP582" s="12"/>
      <c r="DR582" s="15"/>
      <c r="EL582" s="38" t="s">
        <v>946</v>
      </c>
      <c r="EN582" s="38">
        <v>30</v>
      </c>
    </row>
    <row r="583" spans="1:144" s="38" customFormat="1" x14ac:dyDescent="0.25">
      <c r="A583" s="38">
        <v>30</v>
      </c>
      <c r="B583" s="38" t="s">
        <v>598</v>
      </c>
      <c r="C583" s="38" t="s">
        <v>599</v>
      </c>
      <c r="D583" s="38">
        <v>2002</v>
      </c>
      <c r="E583" s="38">
        <v>2000</v>
      </c>
      <c r="F583" s="38" t="s">
        <v>600</v>
      </c>
      <c r="G583" s="38" t="s">
        <v>601</v>
      </c>
      <c r="H583" s="38">
        <f t="shared" si="192"/>
        <v>38.533333333333331</v>
      </c>
      <c r="I583" s="38">
        <f t="shared" si="193"/>
        <v>-121.78333333333333</v>
      </c>
      <c r="J583" s="38">
        <v>18.399999999999999</v>
      </c>
      <c r="N583" s="38">
        <v>483</v>
      </c>
      <c r="P583" s="57" t="s">
        <v>189</v>
      </c>
      <c r="Q583" s="57"/>
      <c r="R583" s="57">
        <v>36541</v>
      </c>
      <c r="S583" s="57" t="s">
        <v>672</v>
      </c>
      <c r="U583" s="38">
        <v>36</v>
      </c>
      <c r="V583" s="38">
        <v>46</v>
      </c>
      <c r="W583" s="38" t="s">
        <v>182</v>
      </c>
      <c r="AA583" s="38" t="s">
        <v>1694</v>
      </c>
      <c r="AB583" s="38" t="s">
        <v>1513</v>
      </c>
      <c r="AC583" s="38" t="s">
        <v>1741</v>
      </c>
      <c r="AD583" s="38" t="s">
        <v>602</v>
      </c>
      <c r="AE583" s="38" t="s">
        <v>602</v>
      </c>
      <c r="AF583" s="38" t="s">
        <v>252</v>
      </c>
      <c r="AJ583" s="38" t="s">
        <v>494</v>
      </c>
      <c r="AK583" s="38" t="s">
        <v>604</v>
      </c>
      <c r="AL583" s="38" t="s">
        <v>693</v>
      </c>
      <c r="AM583" s="38" t="s">
        <v>160</v>
      </c>
      <c r="AN583" s="38">
        <v>4</v>
      </c>
      <c r="AO583" s="38">
        <v>4</v>
      </c>
      <c r="AP583" s="38" t="s">
        <v>448</v>
      </c>
      <c r="AT583" s="64"/>
      <c r="CO583" s="38">
        <v>3.0999999999999999E-3</v>
      </c>
      <c r="CP583" s="38">
        <v>0.06</v>
      </c>
      <c r="CQ583" s="38" t="s">
        <v>607</v>
      </c>
      <c r="CU583" s="38">
        <f>18.89/101.7*100</f>
        <v>18.574237954768929</v>
      </c>
      <c r="CV583" s="38">
        <f>7.51/101.7*100</f>
        <v>7.3844641101278263</v>
      </c>
      <c r="CW583" s="38" t="s">
        <v>606</v>
      </c>
      <c r="DD583" s="38">
        <v>0.1225</v>
      </c>
      <c r="DE583" s="38">
        <v>0.1225</v>
      </c>
      <c r="DF583" s="38" t="s">
        <v>605</v>
      </c>
      <c r="DP583" s="12"/>
      <c r="DR583" s="15"/>
      <c r="EL583" s="38" t="s">
        <v>946</v>
      </c>
      <c r="EN583" s="38">
        <v>30</v>
      </c>
    </row>
    <row r="584" spans="1:144" s="38" customFormat="1" x14ac:dyDescent="0.25">
      <c r="A584" s="38">
        <v>30</v>
      </c>
      <c r="B584" s="38" t="s">
        <v>598</v>
      </c>
      <c r="C584" s="38" t="s">
        <v>599</v>
      </c>
      <c r="D584" s="38">
        <v>2002</v>
      </c>
      <c r="E584" s="38">
        <v>2000</v>
      </c>
      <c r="F584" s="38" t="s">
        <v>600</v>
      </c>
      <c r="G584" s="38" t="s">
        <v>601</v>
      </c>
      <c r="H584" s="38">
        <f t="shared" si="192"/>
        <v>38.533333333333331</v>
      </c>
      <c r="I584" s="38">
        <f t="shared" si="193"/>
        <v>-121.78333333333333</v>
      </c>
      <c r="J584" s="38">
        <v>18.399999999999999</v>
      </c>
      <c r="N584" s="38">
        <v>483</v>
      </c>
      <c r="P584" s="57" t="s">
        <v>189</v>
      </c>
      <c r="Q584" s="57"/>
      <c r="R584" s="57">
        <v>36549</v>
      </c>
      <c r="S584" s="57" t="s">
        <v>672</v>
      </c>
      <c r="U584" s="38">
        <v>36</v>
      </c>
      <c r="V584" s="38">
        <v>46</v>
      </c>
      <c r="W584" s="38" t="s">
        <v>182</v>
      </c>
      <c r="AA584" s="38" t="s">
        <v>1694</v>
      </c>
      <c r="AB584" s="38" t="s">
        <v>1513</v>
      </c>
      <c r="AC584" s="38" t="s">
        <v>1741</v>
      </c>
      <c r="AD584" s="38" t="s">
        <v>602</v>
      </c>
      <c r="AE584" s="38" t="s">
        <v>602</v>
      </c>
      <c r="AF584" s="38" t="s">
        <v>252</v>
      </c>
      <c r="AJ584" s="38" t="s">
        <v>494</v>
      </c>
      <c r="AK584" s="38" t="s">
        <v>603</v>
      </c>
      <c r="AL584" s="38" t="s">
        <v>693</v>
      </c>
      <c r="AM584" s="38" t="s">
        <v>160</v>
      </c>
      <c r="AN584" s="38">
        <v>4</v>
      </c>
      <c r="AO584" s="38">
        <v>4</v>
      </c>
      <c r="AP584" s="38" t="s">
        <v>448</v>
      </c>
      <c r="AT584" s="64"/>
      <c r="CU584" s="38">
        <f>0.29/4.6*100</f>
        <v>6.3043478260869561</v>
      </c>
      <c r="CV584" s="38">
        <f>0.22/4.6*100</f>
        <v>4.7826086956521738</v>
      </c>
      <c r="CW584" s="38" t="s">
        <v>606</v>
      </c>
      <c r="DD584" s="38">
        <v>0.14960000000000001</v>
      </c>
      <c r="DE584" s="38">
        <v>0.1641</v>
      </c>
      <c r="DF584" s="38" t="s">
        <v>605</v>
      </c>
      <c r="DP584" s="12"/>
      <c r="DR584" s="15"/>
      <c r="EL584" s="38" t="s">
        <v>946</v>
      </c>
      <c r="EN584" s="38">
        <v>30</v>
      </c>
    </row>
    <row r="585" spans="1:144" s="38" customFormat="1" x14ac:dyDescent="0.25">
      <c r="A585" s="38">
        <v>30</v>
      </c>
      <c r="B585" s="38" t="s">
        <v>598</v>
      </c>
      <c r="C585" s="38" t="s">
        <v>599</v>
      </c>
      <c r="D585" s="38">
        <v>2002</v>
      </c>
      <c r="E585" s="38">
        <v>2000</v>
      </c>
      <c r="F585" s="38" t="s">
        <v>600</v>
      </c>
      <c r="G585" s="38" t="s">
        <v>601</v>
      </c>
      <c r="H585" s="38">
        <f t="shared" si="192"/>
        <v>38.533333333333331</v>
      </c>
      <c r="I585" s="38">
        <f t="shared" si="193"/>
        <v>-121.78333333333333</v>
      </c>
      <c r="J585" s="38">
        <v>18.399999999999999</v>
      </c>
      <c r="N585" s="38">
        <v>483</v>
      </c>
      <c r="P585" s="57" t="s">
        <v>189</v>
      </c>
      <c r="Q585" s="57"/>
      <c r="R585" s="57">
        <v>36549</v>
      </c>
      <c r="S585" s="57" t="s">
        <v>672</v>
      </c>
      <c r="U585" s="38">
        <v>36</v>
      </c>
      <c r="V585" s="38">
        <v>46</v>
      </c>
      <c r="W585" s="38" t="s">
        <v>182</v>
      </c>
      <c r="AA585" s="38" t="s">
        <v>1694</v>
      </c>
      <c r="AB585" s="38" t="s">
        <v>1513</v>
      </c>
      <c r="AC585" s="38" t="s">
        <v>1741</v>
      </c>
      <c r="AD585" s="38" t="s">
        <v>602</v>
      </c>
      <c r="AE585" s="38" t="s">
        <v>602</v>
      </c>
      <c r="AF585" s="38" t="s">
        <v>252</v>
      </c>
      <c r="AJ585" s="38" t="s">
        <v>494</v>
      </c>
      <c r="AK585" s="38" t="s">
        <v>604</v>
      </c>
      <c r="AL585" s="38" t="s">
        <v>693</v>
      </c>
      <c r="AM585" s="38" t="s">
        <v>160</v>
      </c>
      <c r="AN585" s="38">
        <v>4</v>
      </c>
      <c r="AO585" s="38">
        <v>4</v>
      </c>
      <c r="AP585" s="38" t="s">
        <v>448</v>
      </c>
      <c r="AT585" s="64"/>
      <c r="CU585" s="38">
        <f>0.29/4.6*100</f>
        <v>6.3043478260869561</v>
      </c>
      <c r="CV585" s="38">
        <f>0.23/4.6*100</f>
        <v>5</v>
      </c>
      <c r="CW585" s="38" t="s">
        <v>606</v>
      </c>
      <c r="DD585" s="38">
        <v>0.14960000000000001</v>
      </c>
      <c r="DE585" s="38">
        <v>0.1542</v>
      </c>
      <c r="DF585" s="38" t="s">
        <v>605</v>
      </c>
      <c r="DP585" s="12"/>
      <c r="DR585" s="15"/>
      <c r="EL585" s="38" t="s">
        <v>946</v>
      </c>
      <c r="EN585" s="38">
        <v>30</v>
      </c>
    </row>
    <row r="586" spans="1:144" s="38" customFormat="1" x14ac:dyDescent="0.25">
      <c r="A586" s="38">
        <v>30</v>
      </c>
      <c r="B586" s="38" t="s">
        <v>598</v>
      </c>
      <c r="C586" s="38" t="s">
        <v>599</v>
      </c>
      <c r="D586" s="38">
        <v>2002</v>
      </c>
      <c r="E586" s="38">
        <v>2000</v>
      </c>
      <c r="F586" s="38" t="s">
        <v>600</v>
      </c>
      <c r="G586" s="38" t="s">
        <v>601</v>
      </c>
      <c r="H586" s="38">
        <f t="shared" si="192"/>
        <v>38.533333333333331</v>
      </c>
      <c r="I586" s="38">
        <f t="shared" si="193"/>
        <v>-121.78333333333333</v>
      </c>
      <c r="J586" s="38">
        <v>18.399999999999999</v>
      </c>
      <c r="N586" s="38">
        <v>483</v>
      </c>
      <c r="P586" s="57" t="s">
        <v>189</v>
      </c>
      <c r="Q586" s="57"/>
      <c r="R586" s="57">
        <v>36562</v>
      </c>
      <c r="S586" s="57" t="s">
        <v>672</v>
      </c>
      <c r="U586" s="38">
        <v>36</v>
      </c>
      <c r="V586" s="38">
        <v>46</v>
      </c>
      <c r="W586" s="38" t="s">
        <v>182</v>
      </c>
      <c r="AA586" s="38" t="s">
        <v>1694</v>
      </c>
      <c r="AB586" s="38" t="s">
        <v>1513</v>
      </c>
      <c r="AC586" s="38" t="s">
        <v>1741</v>
      </c>
      <c r="AD586" s="38" t="s">
        <v>602</v>
      </c>
      <c r="AE586" s="38" t="s">
        <v>602</v>
      </c>
      <c r="AF586" s="38" t="s">
        <v>252</v>
      </c>
      <c r="AJ586" s="38" t="s">
        <v>494</v>
      </c>
      <c r="AK586" s="38" t="s">
        <v>603</v>
      </c>
      <c r="AL586" s="38" t="s">
        <v>693</v>
      </c>
      <c r="AM586" s="38" t="s">
        <v>160</v>
      </c>
      <c r="AN586" s="38">
        <v>4</v>
      </c>
      <c r="AO586" s="38">
        <v>4</v>
      </c>
      <c r="AP586" s="38" t="s">
        <v>448</v>
      </c>
      <c r="AT586" s="64"/>
      <c r="CU586" s="38">
        <f>15.83/67.6*100</f>
        <v>23.417159763313609</v>
      </c>
      <c r="CV586" s="38">
        <f>1.64/67.6*100</f>
        <v>2.4260355029585798</v>
      </c>
      <c r="CW586" s="38" t="s">
        <v>606</v>
      </c>
      <c r="DD586" s="38">
        <v>0.25180000000000002</v>
      </c>
      <c r="DE586" s="38">
        <v>0.2671</v>
      </c>
      <c r="DF586" s="38" t="s">
        <v>605</v>
      </c>
      <c r="DP586" s="12"/>
      <c r="DR586" s="15"/>
      <c r="EL586" s="38" t="s">
        <v>946</v>
      </c>
      <c r="EN586" s="38">
        <v>30</v>
      </c>
    </row>
    <row r="587" spans="1:144" s="38" customFormat="1" x14ac:dyDescent="0.25">
      <c r="A587" s="38">
        <v>30</v>
      </c>
      <c r="B587" s="38" t="s">
        <v>598</v>
      </c>
      <c r="C587" s="38" t="s">
        <v>599</v>
      </c>
      <c r="D587" s="38">
        <v>2002</v>
      </c>
      <c r="E587" s="38">
        <v>2000</v>
      </c>
      <c r="F587" s="38" t="s">
        <v>600</v>
      </c>
      <c r="G587" s="38" t="s">
        <v>601</v>
      </c>
      <c r="H587" s="38">
        <f t="shared" si="192"/>
        <v>38.533333333333331</v>
      </c>
      <c r="I587" s="38">
        <f t="shared" si="193"/>
        <v>-121.78333333333333</v>
      </c>
      <c r="J587" s="38">
        <v>18.399999999999999</v>
      </c>
      <c r="N587" s="38">
        <v>483</v>
      </c>
      <c r="P587" s="57" t="s">
        <v>189</v>
      </c>
      <c r="Q587" s="57"/>
      <c r="R587" s="57">
        <v>36562</v>
      </c>
      <c r="S587" s="57" t="s">
        <v>672</v>
      </c>
      <c r="U587" s="38">
        <v>36</v>
      </c>
      <c r="V587" s="38">
        <v>46</v>
      </c>
      <c r="W587" s="38" t="s">
        <v>182</v>
      </c>
      <c r="AA587" s="38" t="s">
        <v>1694</v>
      </c>
      <c r="AB587" s="38" t="s">
        <v>1513</v>
      </c>
      <c r="AC587" s="38" t="s">
        <v>1741</v>
      </c>
      <c r="AD587" s="38" t="s">
        <v>602</v>
      </c>
      <c r="AE587" s="38" t="s">
        <v>602</v>
      </c>
      <c r="AF587" s="38" t="s">
        <v>252</v>
      </c>
      <c r="AJ587" s="38" t="s">
        <v>494</v>
      </c>
      <c r="AK587" s="38" t="s">
        <v>604</v>
      </c>
      <c r="AL587" s="38" t="s">
        <v>693</v>
      </c>
      <c r="AM587" s="38" t="s">
        <v>160</v>
      </c>
      <c r="AN587" s="38">
        <v>4</v>
      </c>
      <c r="AO587" s="38">
        <v>4</v>
      </c>
      <c r="AP587" s="38" t="s">
        <v>448</v>
      </c>
      <c r="AT587" s="64"/>
      <c r="CU587" s="38">
        <f>15.83/67.6*100</f>
        <v>23.417159763313609</v>
      </c>
      <c r="CV587" s="38">
        <f>2.32/67.6*100</f>
        <v>3.4319526627218933</v>
      </c>
      <c r="CW587" s="38" t="s">
        <v>606</v>
      </c>
      <c r="DD587" s="38">
        <v>0.25180000000000002</v>
      </c>
      <c r="DE587" s="38">
        <v>0.2671</v>
      </c>
      <c r="DF587" s="38" t="s">
        <v>605</v>
      </c>
      <c r="DP587" s="12"/>
      <c r="DR587" s="15"/>
      <c r="EL587" s="38" t="s">
        <v>946</v>
      </c>
      <c r="EN587" s="38">
        <v>30</v>
      </c>
    </row>
    <row r="588" spans="1:144" s="38" customFormat="1" x14ac:dyDescent="0.25">
      <c r="A588" s="38">
        <v>30</v>
      </c>
      <c r="B588" s="38" t="s">
        <v>598</v>
      </c>
      <c r="C588" s="38" t="s">
        <v>599</v>
      </c>
      <c r="D588" s="38">
        <v>2002</v>
      </c>
      <c r="E588" s="38">
        <v>2000</v>
      </c>
      <c r="F588" s="38" t="s">
        <v>600</v>
      </c>
      <c r="G588" s="38" t="s">
        <v>601</v>
      </c>
      <c r="H588" s="38">
        <f t="shared" si="192"/>
        <v>38.533333333333331</v>
      </c>
      <c r="I588" s="38">
        <f t="shared" si="193"/>
        <v>-121.78333333333333</v>
      </c>
      <c r="J588" s="38">
        <v>18.399999999999999</v>
      </c>
      <c r="N588" s="38">
        <v>483</v>
      </c>
      <c r="P588" s="57" t="s">
        <v>189</v>
      </c>
      <c r="Q588" s="57"/>
      <c r="R588" s="57">
        <v>36566</v>
      </c>
      <c r="S588" s="57" t="s">
        <v>672</v>
      </c>
      <c r="U588" s="38">
        <v>36</v>
      </c>
      <c r="V588" s="38">
        <v>46</v>
      </c>
      <c r="W588" s="38" t="s">
        <v>182</v>
      </c>
      <c r="AA588" s="38" t="s">
        <v>1694</v>
      </c>
      <c r="AB588" s="38" t="s">
        <v>1513</v>
      </c>
      <c r="AC588" s="38" t="s">
        <v>1741</v>
      </c>
      <c r="AD588" s="38" t="s">
        <v>602</v>
      </c>
      <c r="AE588" s="38" t="s">
        <v>602</v>
      </c>
      <c r="AF588" s="38" t="s">
        <v>252</v>
      </c>
      <c r="AJ588" s="38" t="s">
        <v>494</v>
      </c>
      <c r="AK588" s="38" t="s">
        <v>603</v>
      </c>
      <c r="AL588" s="38" t="s">
        <v>693</v>
      </c>
      <c r="AM588" s="38" t="s">
        <v>160</v>
      </c>
      <c r="AN588" s="38">
        <v>4</v>
      </c>
      <c r="AO588" s="38">
        <v>4</v>
      </c>
      <c r="AP588" s="38" t="s">
        <v>448</v>
      </c>
      <c r="AT588" s="64"/>
      <c r="CU588" s="38">
        <f>6.93/14.3*100</f>
        <v>48.461538461538453</v>
      </c>
      <c r="CV588" s="38">
        <f>0.98/14.3*100</f>
        <v>6.8531468531468516</v>
      </c>
      <c r="CW588" s="38" t="s">
        <v>606</v>
      </c>
      <c r="DD588" s="38">
        <v>0.25900000000000001</v>
      </c>
      <c r="DE588" s="38">
        <v>0.27429999999999999</v>
      </c>
      <c r="DF588" s="38" t="s">
        <v>605</v>
      </c>
      <c r="DP588" s="12"/>
      <c r="DR588" s="15"/>
      <c r="EL588" s="38" t="s">
        <v>946</v>
      </c>
      <c r="EN588" s="38">
        <v>30</v>
      </c>
    </row>
    <row r="589" spans="1:144" s="38" customFormat="1" x14ac:dyDescent="0.25">
      <c r="A589" s="38">
        <v>30</v>
      </c>
      <c r="B589" s="38" t="s">
        <v>598</v>
      </c>
      <c r="C589" s="38" t="s">
        <v>599</v>
      </c>
      <c r="D589" s="38">
        <v>2002</v>
      </c>
      <c r="E589" s="38">
        <v>2000</v>
      </c>
      <c r="F589" s="38" t="s">
        <v>600</v>
      </c>
      <c r="G589" s="38" t="s">
        <v>601</v>
      </c>
      <c r="H589" s="38">
        <f t="shared" si="192"/>
        <v>38.533333333333331</v>
      </c>
      <c r="I589" s="38">
        <f t="shared" si="193"/>
        <v>-121.78333333333333</v>
      </c>
      <c r="J589" s="38">
        <v>18.399999999999999</v>
      </c>
      <c r="N589" s="38">
        <v>483</v>
      </c>
      <c r="P589" s="57" t="s">
        <v>189</v>
      </c>
      <c r="Q589" s="57"/>
      <c r="R589" s="57">
        <v>36566</v>
      </c>
      <c r="S589" s="57" t="s">
        <v>672</v>
      </c>
      <c r="U589" s="38">
        <v>36</v>
      </c>
      <c r="V589" s="38">
        <v>46</v>
      </c>
      <c r="W589" s="38" t="s">
        <v>182</v>
      </c>
      <c r="AA589" s="38" t="s">
        <v>1694</v>
      </c>
      <c r="AB589" s="38" t="s">
        <v>1513</v>
      </c>
      <c r="AC589" s="38" t="s">
        <v>1741</v>
      </c>
      <c r="AD589" s="38" t="s">
        <v>602</v>
      </c>
      <c r="AE589" s="38" t="s">
        <v>602</v>
      </c>
      <c r="AF589" s="38" t="s">
        <v>252</v>
      </c>
      <c r="AJ589" s="38" t="s">
        <v>494</v>
      </c>
      <c r="AK589" s="38" t="s">
        <v>604</v>
      </c>
      <c r="AL589" s="38" t="s">
        <v>693</v>
      </c>
      <c r="AM589" s="38" t="s">
        <v>160</v>
      </c>
      <c r="AN589" s="38">
        <v>4</v>
      </c>
      <c r="AO589" s="38">
        <v>4</v>
      </c>
      <c r="AP589" s="38" t="s">
        <v>448</v>
      </c>
      <c r="AT589" s="64"/>
      <c r="CU589" s="38">
        <f>6.93/14.3*100</f>
        <v>48.461538461538453</v>
      </c>
      <c r="CV589" s="38">
        <f>0.26/14.3*100</f>
        <v>1.8181818181818181</v>
      </c>
      <c r="CW589" s="38" t="s">
        <v>606</v>
      </c>
      <c r="DD589" s="38">
        <v>0.25900000000000001</v>
      </c>
      <c r="DE589" s="38">
        <v>0.2797</v>
      </c>
      <c r="DF589" s="38" t="s">
        <v>605</v>
      </c>
      <c r="DP589" s="12"/>
      <c r="DR589" s="15"/>
      <c r="EL589" s="38" t="s">
        <v>946</v>
      </c>
      <c r="EN589" s="38">
        <v>30</v>
      </c>
    </row>
    <row r="590" spans="1:144" s="38" customFormat="1" x14ac:dyDescent="0.25">
      <c r="A590" s="38">
        <v>30</v>
      </c>
      <c r="B590" s="38" t="s">
        <v>598</v>
      </c>
      <c r="C590" s="38" t="s">
        <v>599</v>
      </c>
      <c r="D590" s="38">
        <v>2002</v>
      </c>
      <c r="E590" s="38">
        <v>2000</v>
      </c>
      <c r="F590" s="38" t="s">
        <v>600</v>
      </c>
      <c r="G590" s="38" t="s">
        <v>601</v>
      </c>
      <c r="H590" s="38">
        <f t="shared" si="192"/>
        <v>38.533333333333331</v>
      </c>
      <c r="I590" s="38">
        <f t="shared" si="193"/>
        <v>-121.78333333333333</v>
      </c>
      <c r="J590" s="38">
        <v>18.399999999999999</v>
      </c>
      <c r="N590" s="38">
        <v>483</v>
      </c>
      <c r="P590" s="57" t="s">
        <v>189</v>
      </c>
      <c r="Q590" s="57"/>
      <c r="R590" s="57">
        <v>36572</v>
      </c>
      <c r="S590" s="57" t="s">
        <v>672</v>
      </c>
      <c r="U590" s="38">
        <v>36</v>
      </c>
      <c r="V590" s="38">
        <v>46</v>
      </c>
      <c r="W590" s="38" t="s">
        <v>182</v>
      </c>
      <c r="AA590" s="38" t="s">
        <v>1694</v>
      </c>
      <c r="AB590" s="38" t="s">
        <v>1513</v>
      </c>
      <c r="AC590" s="38" t="s">
        <v>1741</v>
      </c>
      <c r="AD590" s="38" t="s">
        <v>602</v>
      </c>
      <c r="AE590" s="38" t="s">
        <v>602</v>
      </c>
      <c r="AF590" s="38" t="s">
        <v>252</v>
      </c>
      <c r="AJ590" s="38" t="s">
        <v>494</v>
      </c>
      <c r="AK590" s="38" t="s">
        <v>603</v>
      </c>
      <c r="AL590" s="38" t="s">
        <v>693</v>
      </c>
      <c r="AM590" s="38" t="s">
        <v>160</v>
      </c>
      <c r="AN590" s="38">
        <v>4</v>
      </c>
      <c r="AO590" s="38">
        <v>4</v>
      </c>
      <c r="AP590" s="38" t="s">
        <v>448</v>
      </c>
      <c r="AT590" s="64"/>
      <c r="CU590" s="38">
        <f>1.05/5.9*100</f>
        <v>17.796610169491526</v>
      </c>
      <c r="CV590" s="38">
        <f>0.19/5.9*100</f>
        <v>3.2203389830508473</v>
      </c>
      <c r="CW590" s="38" t="s">
        <v>606</v>
      </c>
      <c r="DD590" s="38">
        <v>0.26429999999999998</v>
      </c>
      <c r="DE590" s="38">
        <v>0.28239999999999998</v>
      </c>
      <c r="DF590" s="38" t="s">
        <v>605</v>
      </c>
      <c r="DP590" s="12"/>
      <c r="DR590" s="15"/>
      <c r="EL590" s="38" t="s">
        <v>946</v>
      </c>
      <c r="EN590" s="38">
        <v>30</v>
      </c>
    </row>
    <row r="591" spans="1:144" s="38" customFormat="1" x14ac:dyDescent="0.25">
      <c r="A591" s="38">
        <v>30</v>
      </c>
      <c r="B591" s="38" t="s">
        <v>598</v>
      </c>
      <c r="C591" s="38" t="s">
        <v>599</v>
      </c>
      <c r="D591" s="38">
        <v>2002</v>
      </c>
      <c r="E591" s="38">
        <v>2000</v>
      </c>
      <c r="F591" s="38" t="s">
        <v>600</v>
      </c>
      <c r="G591" s="38" t="s">
        <v>601</v>
      </c>
      <c r="H591" s="38">
        <f t="shared" si="192"/>
        <v>38.533333333333331</v>
      </c>
      <c r="I591" s="38">
        <f t="shared" si="193"/>
        <v>-121.78333333333333</v>
      </c>
      <c r="J591" s="38">
        <v>18.399999999999999</v>
      </c>
      <c r="N591" s="38">
        <v>483</v>
      </c>
      <c r="P591" s="57" t="s">
        <v>189</v>
      </c>
      <c r="Q591" s="57"/>
      <c r="R591" s="57">
        <v>36572</v>
      </c>
      <c r="S591" s="57" t="s">
        <v>672</v>
      </c>
      <c r="U591" s="38">
        <v>36</v>
      </c>
      <c r="V591" s="38">
        <v>46</v>
      </c>
      <c r="W591" s="38" t="s">
        <v>182</v>
      </c>
      <c r="AA591" s="38" t="s">
        <v>1694</v>
      </c>
      <c r="AB591" s="38" t="s">
        <v>1513</v>
      </c>
      <c r="AC591" s="38" t="s">
        <v>1741</v>
      </c>
      <c r="AD591" s="38" t="s">
        <v>602</v>
      </c>
      <c r="AE591" s="38" t="s">
        <v>602</v>
      </c>
      <c r="AF591" s="38" t="s">
        <v>252</v>
      </c>
      <c r="AJ591" s="38" t="s">
        <v>494</v>
      </c>
      <c r="AK591" s="38" t="s">
        <v>604</v>
      </c>
      <c r="AL591" s="38" t="s">
        <v>693</v>
      </c>
      <c r="AM591" s="38" t="s">
        <v>160</v>
      </c>
      <c r="AN591" s="38">
        <v>4</v>
      </c>
      <c r="AO591" s="38">
        <v>4</v>
      </c>
      <c r="AP591" s="38" t="s">
        <v>448</v>
      </c>
      <c r="AT591" s="64"/>
      <c r="CU591" s="38">
        <f>1.05/5.9*100</f>
        <v>17.796610169491526</v>
      </c>
      <c r="CV591" s="38">
        <f>0.24/5.9*100</f>
        <v>4.0677966101694913</v>
      </c>
      <c r="CW591" s="38" t="s">
        <v>606</v>
      </c>
      <c r="DD591" s="38">
        <v>0.26429999999999998</v>
      </c>
      <c r="DE591" s="38">
        <v>0.2923</v>
      </c>
      <c r="DF591" s="38" t="s">
        <v>605</v>
      </c>
      <c r="DP591" s="12"/>
      <c r="DR591" s="15"/>
      <c r="EL591" s="38" t="s">
        <v>946</v>
      </c>
      <c r="EN591" s="38">
        <v>30</v>
      </c>
    </row>
    <row r="592" spans="1:144" s="38" customFormat="1" x14ac:dyDescent="0.25">
      <c r="A592" s="38">
        <v>30</v>
      </c>
      <c r="B592" s="38" t="s">
        <v>598</v>
      </c>
      <c r="C592" s="38" t="s">
        <v>599</v>
      </c>
      <c r="D592" s="38">
        <v>2002</v>
      </c>
      <c r="E592" s="38">
        <v>2000</v>
      </c>
      <c r="F592" s="38" t="s">
        <v>600</v>
      </c>
      <c r="G592" s="38" t="s">
        <v>601</v>
      </c>
      <c r="H592" s="38">
        <f t="shared" si="192"/>
        <v>38.533333333333331</v>
      </c>
      <c r="I592" s="38">
        <f t="shared" si="193"/>
        <v>-121.78333333333333</v>
      </c>
      <c r="J592" s="38">
        <v>18.399999999999999</v>
      </c>
      <c r="N592" s="38">
        <v>483</v>
      </c>
      <c r="P592" s="57" t="s">
        <v>189</v>
      </c>
      <c r="Q592" s="57"/>
      <c r="R592" s="57">
        <v>36582</v>
      </c>
      <c r="S592" s="57" t="s">
        <v>672</v>
      </c>
      <c r="U592" s="38">
        <v>36</v>
      </c>
      <c r="V592" s="38">
        <v>46</v>
      </c>
      <c r="W592" s="38" t="s">
        <v>182</v>
      </c>
      <c r="AA592" s="38" t="s">
        <v>1694</v>
      </c>
      <c r="AB592" s="38" t="s">
        <v>1513</v>
      </c>
      <c r="AC592" s="38" t="s">
        <v>1741</v>
      </c>
      <c r="AD592" s="38" t="s">
        <v>602</v>
      </c>
      <c r="AE592" s="38" t="s">
        <v>602</v>
      </c>
      <c r="AF592" s="38" t="s">
        <v>252</v>
      </c>
      <c r="AJ592" s="38" t="s">
        <v>494</v>
      </c>
      <c r="AK592" s="38" t="s">
        <v>603</v>
      </c>
      <c r="AL592" s="38" t="s">
        <v>693</v>
      </c>
      <c r="AM592" s="38" t="s">
        <v>160</v>
      </c>
      <c r="AN592" s="38">
        <v>4</v>
      </c>
      <c r="AO592" s="38">
        <v>4</v>
      </c>
      <c r="AP592" s="38" t="s">
        <v>448</v>
      </c>
      <c r="AT592" s="64"/>
      <c r="CU592" s="38">
        <f>0.2/1.5*100</f>
        <v>13.333333333333334</v>
      </c>
      <c r="CV592" s="38">
        <f>0.2/1.5*100</f>
        <v>13.333333333333334</v>
      </c>
      <c r="CW592" s="38" t="s">
        <v>606</v>
      </c>
      <c r="DD592" s="38">
        <v>0.26419999999999999</v>
      </c>
      <c r="DE592" s="38">
        <v>0.28589999999999999</v>
      </c>
      <c r="DF592" s="38" t="s">
        <v>605</v>
      </c>
      <c r="DP592" s="12"/>
      <c r="DR592" s="15"/>
      <c r="EL592" s="38" t="s">
        <v>946</v>
      </c>
      <c r="EN592" s="38">
        <v>30</v>
      </c>
    </row>
    <row r="593" spans="1:144" s="38" customFormat="1" x14ac:dyDescent="0.25">
      <c r="A593" s="38">
        <v>30</v>
      </c>
      <c r="B593" s="38" t="s">
        <v>598</v>
      </c>
      <c r="C593" s="38" t="s">
        <v>599</v>
      </c>
      <c r="D593" s="38">
        <v>2002</v>
      </c>
      <c r="E593" s="38">
        <v>2000</v>
      </c>
      <c r="F593" s="38" t="s">
        <v>600</v>
      </c>
      <c r="G593" s="38" t="s">
        <v>601</v>
      </c>
      <c r="H593" s="38">
        <f t="shared" si="192"/>
        <v>38.533333333333331</v>
      </c>
      <c r="I593" s="38">
        <f t="shared" si="193"/>
        <v>-121.78333333333333</v>
      </c>
      <c r="J593" s="38">
        <v>18.399999999999999</v>
      </c>
      <c r="N593" s="38">
        <v>483</v>
      </c>
      <c r="P593" s="57" t="s">
        <v>189</v>
      </c>
      <c r="Q593" s="57"/>
      <c r="R593" s="57">
        <v>36582</v>
      </c>
      <c r="S593" s="57" t="s">
        <v>672</v>
      </c>
      <c r="U593" s="38">
        <v>36</v>
      </c>
      <c r="V593" s="38">
        <v>46</v>
      </c>
      <c r="W593" s="38" t="s">
        <v>182</v>
      </c>
      <c r="AA593" s="38" t="s">
        <v>1694</v>
      </c>
      <c r="AB593" s="38" t="s">
        <v>1513</v>
      </c>
      <c r="AC593" s="38" t="s">
        <v>1741</v>
      </c>
      <c r="AD593" s="38" t="s">
        <v>602</v>
      </c>
      <c r="AE593" s="38" t="s">
        <v>602</v>
      </c>
      <c r="AF593" s="38" t="s">
        <v>252</v>
      </c>
      <c r="AJ593" s="38" t="s">
        <v>494</v>
      </c>
      <c r="AK593" s="38" t="s">
        <v>604</v>
      </c>
      <c r="AL593" s="38" t="s">
        <v>693</v>
      </c>
      <c r="AM593" s="38" t="s">
        <v>160</v>
      </c>
      <c r="AN593" s="38">
        <v>4</v>
      </c>
      <c r="AO593" s="38">
        <v>4</v>
      </c>
      <c r="AP593" s="38" t="s">
        <v>448</v>
      </c>
      <c r="AT593" s="64"/>
      <c r="CU593" s="38">
        <f>0.2/1.5*100</f>
        <v>13.333333333333334</v>
      </c>
      <c r="CV593" s="38">
        <f>0.1/1.5*100</f>
        <v>6.666666666666667</v>
      </c>
      <c r="CW593" s="38" t="s">
        <v>606</v>
      </c>
      <c r="DD593" s="38">
        <v>0.26419999999999999</v>
      </c>
      <c r="DE593" s="38">
        <v>0.29049999999999998</v>
      </c>
      <c r="DF593" s="38" t="s">
        <v>605</v>
      </c>
      <c r="DP593" s="12"/>
      <c r="DR593" s="15"/>
      <c r="EL593" s="38" t="s">
        <v>946</v>
      </c>
      <c r="EN593" s="38">
        <v>30</v>
      </c>
    </row>
    <row r="594" spans="1:144" s="38" customFormat="1" x14ac:dyDescent="0.25">
      <c r="A594" s="38">
        <v>30</v>
      </c>
      <c r="B594" s="38" t="s">
        <v>598</v>
      </c>
      <c r="C594" s="38" t="s">
        <v>599</v>
      </c>
      <c r="D594" s="38">
        <v>2002</v>
      </c>
      <c r="E594" s="38">
        <v>2000</v>
      </c>
      <c r="F594" s="38" t="s">
        <v>600</v>
      </c>
      <c r="G594" s="38" t="s">
        <v>601</v>
      </c>
      <c r="H594" s="38">
        <f t="shared" si="192"/>
        <v>38.533333333333331</v>
      </c>
      <c r="I594" s="38">
        <f t="shared" si="193"/>
        <v>-121.78333333333333</v>
      </c>
      <c r="J594" s="38">
        <v>18.399999999999999</v>
      </c>
      <c r="N594" s="38">
        <v>483</v>
      </c>
      <c r="P594" s="57" t="s">
        <v>189</v>
      </c>
      <c r="Q594" s="57"/>
      <c r="R594" s="57">
        <v>36587</v>
      </c>
      <c r="S594" s="57" t="s">
        <v>672</v>
      </c>
      <c r="U594" s="38">
        <v>36</v>
      </c>
      <c r="V594" s="38">
        <v>46</v>
      </c>
      <c r="W594" s="38" t="s">
        <v>182</v>
      </c>
      <c r="AA594" s="38" t="s">
        <v>1694</v>
      </c>
      <c r="AB594" s="38" t="s">
        <v>1513</v>
      </c>
      <c r="AC594" s="38" t="s">
        <v>1741</v>
      </c>
      <c r="AD594" s="38" t="s">
        <v>602</v>
      </c>
      <c r="AE594" s="38" t="s">
        <v>602</v>
      </c>
      <c r="AF594" s="38" t="s">
        <v>252</v>
      </c>
      <c r="AJ594" s="38" t="s">
        <v>494</v>
      </c>
      <c r="AK594" s="38" t="s">
        <v>603</v>
      </c>
      <c r="AL594" s="38" t="s">
        <v>693</v>
      </c>
      <c r="AM594" s="38" t="s">
        <v>160</v>
      </c>
      <c r="AN594" s="38">
        <v>4</v>
      </c>
      <c r="AO594" s="38">
        <v>4</v>
      </c>
      <c r="AP594" s="38" t="s">
        <v>448</v>
      </c>
      <c r="AT594" s="64"/>
      <c r="CU594" s="38">
        <f>23.11/40*100</f>
        <v>57.774999999999999</v>
      </c>
      <c r="CV594" s="38">
        <f>1.48/40*100</f>
        <v>3.6999999999999997</v>
      </c>
      <c r="CW594" s="38" t="s">
        <v>606</v>
      </c>
      <c r="DD594" s="38">
        <v>0.26150000000000001</v>
      </c>
      <c r="DE594" s="38">
        <v>0.28589999999999999</v>
      </c>
      <c r="DF594" s="38" t="s">
        <v>605</v>
      </c>
      <c r="DP594" s="12"/>
      <c r="DR594" s="15"/>
      <c r="EL594" s="38" t="s">
        <v>946</v>
      </c>
      <c r="EN594" s="38">
        <v>30</v>
      </c>
    </row>
    <row r="595" spans="1:144" s="38" customFormat="1" x14ac:dyDescent="0.25">
      <c r="A595" s="38">
        <v>30</v>
      </c>
      <c r="B595" s="38" t="s">
        <v>598</v>
      </c>
      <c r="C595" s="38" t="s">
        <v>599</v>
      </c>
      <c r="D595" s="38">
        <v>2002</v>
      </c>
      <c r="E595" s="38">
        <v>2000</v>
      </c>
      <c r="F595" s="38" t="s">
        <v>600</v>
      </c>
      <c r="G595" s="38" t="s">
        <v>601</v>
      </c>
      <c r="H595" s="38">
        <f t="shared" si="192"/>
        <v>38.533333333333331</v>
      </c>
      <c r="I595" s="38">
        <f t="shared" si="193"/>
        <v>-121.78333333333333</v>
      </c>
      <c r="J595" s="38">
        <v>18.399999999999999</v>
      </c>
      <c r="N595" s="38">
        <v>483</v>
      </c>
      <c r="P595" s="57" t="s">
        <v>189</v>
      </c>
      <c r="Q595" s="57"/>
      <c r="R595" s="57">
        <v>36587</v>
      </c>
      <c r="S595" s="57" t="s">
        <v>672</v>
      </c>
      <c r="U595" s="38">
        <v>36</v>
      </c>
      <c r="V595" s="38">
        <v>46</v>
      </c>
      <c r="W595" s="38" t="s">
        <v>182</v>
      </c>
      <c r="AA595" s="38" t="s">
        <v>1694</v>
      </c>
      <c r="AB595" s="38" t="s">
        <v>1513</v>
      </c>
      <c r="AC595" s="38" t="s">
        <v>1741</v>
      </c>
      <c r="AD595" s="38" t="s">
        <v>602</v>
      </c>
      <c r="AE595" s="38" t="s">
        <v>602</v>
      </c>
      <c r="AF595" s="38" t="s">
        <v>252</v>
      </c>
      <c r="AJ595" s="38" t="s">
        <v>494</v>
      </c>
      <c r="AK595" s="38" t="s">
        <v>604</v>
      </c>
      <c r="AL595" s="38" t="s">
        <v>693</v>
      </c>
      <c r="AM595" s="38" t="s">
        <v>160</v>
      </c>
      <c r="AN595" s="38">
        <v>4</v>
      </c>
      <c r="AO595" s="38">
        <v>4</v>
      </c>
      <c r="AP595" s="38" t="s">
        <v>448</v>
      </c>
      <c r="AT595" s="64"/>
      <c r="CU595" s="38">
        <f>23.11/40*100</f>
        <v>57.774999999999999</v>
      </c>
      <c r="CV595" s="38">
        <f>2.56/40*100</f>
        <v>6.4</v>
      </c>
      <c r="CW595" s="38" t="s">
        <v>606</v>
      </c>
      <c r="DD595" s="38">
        <v>0.26150000000000001</v>
      </c>
      <c r="DE595" s="38">
        <v>0.2913</v>
      </c>
      <c r="DF595" s="38" t="s">
        <v>605</v>
      </c>
      <c r="DP595" s="12"/>
      <c r="DR595" s="15"/>
      <c r="EL595" s="38" t="s">
        <v>946</v>
      </c>
      <c r="EN595" s="38">
        <v>30</v>
      </c>
    </row>
    <row r="596" spans="1:144" s="38" customFormat="1" x14ac:dyDescent="0.25">
      <c r="A596" s="38">
        <v>30</v>
      </c>
      <c r="B596" s="38" t="s">
        <v>598</v>
      </c>
      <c r="C596" s="38" t="s">
        <v>599</v>
      </c>
      <c r="D596" s="38">
        <v>2002</v>
      </c>
      <c r="E596" s="38">
        <v>2000</v>
      </c>
      <c r="F596" s="38" t="s">
        <v>600</v>
      </c>
      <c r="G596" s="38" t="s">
        <v>601</v>
      </c>
      <c r="H596" s="38">
        <f t="shared" si="192"/>
        <v>38.533333333333331</v>
      </c>
      <c r="I596" s="38">
        <f t="shared" si="193"/>
        <v>-121.78333333333333</v>
      </c>
      <c r="J596" s="38">
        <v>18.399999999999999</v>
      </c>
      <c r="N596" s="38">
        <v>483</v>
      </c>
      <c r="P596" s="57" t="s">
        <v>189</v>
      </c>
      <c r="Q596" s="57"/>
      <c r="R596" s="57">
        <v>36598</v>
      </c>
      <c r="S596" s="57" t="s">
        <v>672</v>
      </c>
      <c r="U596" s="38">
        <v>36</v>
      </c>
      <c r="V596" s="38">
        <v>46</v>
      </c>
      <c r="W596" s="38" t="s">
        <v>182</v>
      </c>
      <c r="AA596" s="38" t="s">
        <v>1694</v>
      </c>
      <c r="AB596" s="38" t="s">
        <v>1513</v>
      </c>
      <c r="AC596" s="38" t="s">
        <v>1741</v>
      </c>
      <c r="AD596" s="38" t="s">
        <v>602</v>
      </c>
      <c r="AE596" s="38" t="s">
        <v>602</v>
      </c>
      <c r="AF596" s="38" t="s">
        <v>252</v>
      </c>
      <c r="AJ596" s="38" t="s">
        <v>494</v>
      </c>
      <c r="AK596" s="38" t="s">
        <v>603</v>
      </c>
      <c r="AL596" s="38" t="s">
        <v>693</v>
      </c>
      <c r="AM596" s="38" t="s">
        <v>160</v>
      </c>
      <c r="AN596" s="38">
        <v>4</v>
      </c>
      <c r="AO596" s="38">
        <v>4</v>
      </c>
      <c r="AP596" s="38" t="s">
        <v>448</v>
      </c>
      <c r="AT596" s="64"/>
      <c r="CU596" s="38">
        <f>30.62/51.6*100</f>
        <v>59.34108527131783</v>
      </c>
      <c r="CV596" s="38">
        <f>4.93/51.6*100</f>
        <v>9.5542635658914712</v>
      </c>
      <c r="CW596" s="38" t="s">
        <v>606</v>
      </c>
      <c r="DD596" s="38">
        <v>0.24779999999999999</v>
      </c>
      <c r="DE596" s="38">
        <v>0.25690000000000002</v>
      </c>
      <c r="DF596" s="38" t="s">
        <v>605</v>
      </c>
      <c r="DP596" s="12"/>
      <c r="DR596" s="15"/>
      <c r="EL596" s="38" t="s">
        <v>946</v>
      </c>
      <c r="EN596" s="38">
        <v>30</v>
      </c>
    </row>
    <row r="597" spans="1:144" s="38" customFormat="1" x14ac:dyDescent="0.25">
      <c r="A597" s="38">
        <v>30</v>
      </c>
      <c r="B597" s="38" t="s">
        <v>598</v>
      </c>
      <c r="C597" s="38" t="s">
        <v>599</v>
      </c>
      <c r="D597" s="38">
        <v>2002</v>
      </c>
      <c r="E597" s="38">
        <v>2000</v>
      </c>
      <c r="F597" s="38" t="s">
        <v>600</v>
      </c>
      <c r="G597" s="38" t="s">
        <v>601</v>
      </c>
      <c r="H597" s="38">
        <f t="shared" si="192"/>
        <v>38.533333333333331</v>
      </c>
      <c r="I597" s="38">
        <f t="shared" si="193"/>
        <v>-121.78333333333333</v>
      </c>
      <c r="J597" s="38">
        <v>18.399999999999999</v>
      </c>
      <c r="N597" s="38">
        <v>483</v>
      </c>
      <c r="P597" s="57" t="s">
        <v>189</v>
      </c>
      <c r="Q597" s="57"/>
      <c r="R597" s="57">
        <v>36598</v>
      </c>
      <c r="S597" s="57" t="s">
        <v>672</v>
      </c>
      <c r="U597" s="38">
        <v>36</v>
      </c>
      <c r="V597" s="38">
        <v>46</v>
      </c>
      <c r="W597" s="38" t="s">
        <v>182</v>
      </c>
      <c r="AA597" s="38" t="s">
        <v>1694</v>
      </c>
      <c r="AB597" s="38" t="s">
        <v>1513</v>
      </c>
      <c r="AC597" s="38" t="s">
        <v>1741</v>
      </c>
      <c r="AD597" s="38" t="s">
        <v>602</v>
      </c>
      <c r="AE597" s="38" t="s">
        <v>602</v>
      </c>
      <c r="AF597" s="38" t="s">
        <v>252</v>
      </c>
      <c r="AJ597" s="38" t="s">
        <v>494</v>
      </c>
      <c r="AK597" s="38" t="s">
        <v>604</v>
      </c>
      <c r="AL597" s="38" t="s">
        <v>693</v>
      </c>
      <c r="AM597" s="38" t="s">
        <v>160</v>
      </c>
      <c r="AN597" s="38">
        <v>4</v>
      </c>
      <c r="AO597" s="38">
        <v>4</v>
      </c>
      <c r="AP597" s="38" t="s">
        <v>448</v>
      </c>
      <c r="AT597" s="64"/>
      <c r="CU597" s="38">
        <f>30.62/51.6*100</f>
        <v>59.34108527131783</v>
      </c>
      <c r="CV597" s="38">
        <f>6.03/51.6*100</f>
        <v>11.686046511627907</v>
      </c>
      <c r="CW597" s="38" t="s">
        <v>606</v>
      </c>
      <c r="DD597" s="38">
        <v>0.24779999999999999</v>
      </c>
      <c r="DE597" s="38">
        <v>0.2641</v>
      </c>
      <c r="DF597" s="38" t="s">
        <v>605</v>
      </c>
      <c r="DP597" s="12"/>
      <c r="DR597" s="15"/>
      <c r="EL597" s="38" t="s">
        <v>946</v>
      </c>
      <c r="EN597" s="38">
        <v>30</v>
      </c>
    </row>
    <row r="598" spans="1:144" s="23" customFormat="1" x14ac:dyDescent="0.25">
      <c r="A598" s="23">
        <v>30</v>
      </c>
      <c r="B598" s="23" t="s">
        <v>598</v>
      </c>
      <c r="C598" s="23" t="s">
        <v>599</v>
      </c>
      <c r="D598" s="23">
        <v>2002</v>
      </c>
      <c r="E598" s="23">
        <v>1998</v>
      </c>
      <c r="F598" s="23" t="s">
        <v>600</v>
      </c>
      <c r="G598" s="23" t="s">
        <v>601</v>
      </c>
      <c r="H598" s="23">
        <f t="shared" ref="H598:H629" si="194">38+32/60</f>
        <v>38.533333333333331</v>
      </c>
      <c r="I598" s="23">
        <f t="shared" ref="I598:I629" si="195">-121-47/60</f>
        <v>-121.78333333333333</v>
      </c>
      <c r="J598" s="23">
        <v>18.399999999999999</v>
      </c>
      <c r="N598" s="23">
        <v>483</v>
      </c>
      <c r="P598" s="53" t="s">
        <v>187</v>
      </c>
      <c r="Q598" s="53"/>
      <c r="R598" s="53">
        <v>36145</v>
      </c>
      <c r="S598" s="53" t="s">
        <v>673</v>
      </c>
      <c r="U598" s="23">
        <v>36</v>
      </c>
      <c r="V598" s="23">
        <v>46</v>
      </c>
      <c r="W598" s="23" t="s">
        <v>182</v>
      </c>
      <c r="AA598" s="23" t="s">
        <v>1694</v>
      </c>
      <c r="AB598" s="23" t="s">
        <v>1513</v>
      </c>
      <c r="AC598" s="23" t="s">
        <v>1741</v>
      </c>
      <c r="AD598" s="23" t="s">
        <v>602</v>
      </c>
      <c r="AE598" s="23" t="s">
        <v>602</v>
      </c>
      <c r="AF598" s="23" t="s">
        <v>252</v>
      </c>
      <c r="AJ598" s="23" t="s">
        <v>494</v>
      </c>
      <c r="AK598" s="23" t="s">
        <v>603</v>
      </c>
      <c r="AL598" s="23" t="s">
        <v>693</v>
      </c>
      <c r="AM598" s="23" t="s">
        <v>160</v>
      </c>
      <c r="AN598" s="23">
        <v>4</v>
      </c>
      <c r="AO598" s="23">
        <v>4</v>
      </c>
      <c r="AP598" s="23" t="s">
        <v>448</v>
      </c>
      <c r="AT598" s="64"/>
      <c r="CU598" s="23">
        <f>3.18/9.4*100</f>
        <v>33.829787234042556</v>
      </c>
      <c r="CV598" s="23">
        <f>0.69/9.4*100</f>
        <v>7.3404255319148932</v>
      </c>
      <c r="CW598" s="23" t="s">
        <v>606</v>
      </c>
      <c r="DD598" s="23">
        <v>0.11459999999999999</v>
      </c>
      <c r="DE598" s="23">
        <v>0.11269999999999999</v>
      </c>
      <c r="DF598" s="23" t="s">
        <v>605</v>
      </c>
      <c r="DP598" s="12"/>
      <c r="DR598" s="15"/>
      <c r="EL598" s="23" t="s">
        <v>946</v>
      </c>
      <c r="EN598" s="23">
        <v>30</v>
      </c>
    </row>
    <row r="599" spans="1:144" s="23" customFormat="1" x14ac:dyDescent="0.25">
      <c r="A599" s="23">
        <v>30</v>
      </c>
      <c r="B599" s="23" t="s">
        <v>598</v>
      </c>
      <c r="C599" s="23" t="s">
        <v>599</v>
      </c>
      <c r="D599" s="23">
        <v>2002</v>
      </c>
      <c r="E599" s="23">
        <v>1998</v>
      </c>
      <c r="F599" s="23" t="s">
        <v>600</v>
      </c>
      <c r="G599" s="23" t="s">
        <v>601</v>
      </c>
      <c r="H599" s="23">
        <f t="shared" si="194"/>
        <v>38.533333333333331</v>
      </c>
      <c r="I599" s="23">
        <f t="shared" si="195"/>
        <v>-121.78333333333333</v>
      </c>
      <c r="J599" s="23">
        <v>18.399999999999999</v>
      </c>
      <c r="N599" s="23">
        <v>483</v>
      </c>
      <c r="P599" s="53" t="s">
        <v>187</v>
      </c>
      <c r="Q599" s="53"/>
      <c r="R599" s="53">
        <v>36145</v>
      </c>
      <c r="S599" s="53" t="s">
        <v>673</v>
      </c>
      <c r="U599" s="23">
        <v>36</v>
      </c>
      <c r="V599" s="23">
        <v>46</v>
      </c>
      <c r="W599" s="23" t="s">
        <v>182</v>
      </c>
      <c r="AA599" s="23" t="s">
        <v>1694</v>
      </c>
      <c r="AB599" s="23" t="s">
        <v>1513</v>
      </c>
      <c r="AC599" s="23" t="s">
        <v>1741</v>
      </c>
      <c r="AD599" s="23" t="s">
        <v>602</v>
      </c>
      <c r="AE599" s="23" t="s">
        <v>602</v>
      </c>
      <c r="AF599" s="23" t="s">
        <v>252</v>
      </c>
      <c r="AJ599" s="23" t="s">
        <v>494</v>
      </c>
      <c r="AK599" s="23" t="s">
        <v>604</v>
      </c>
      <c r="AL599" s="23" t="s">
        <v>693</v>
      </c>
      <c r="AM599" s="23" t="s">
        <v>160</v>
      </c>
      <c r="AN599" s="23">
        <v>4</v>
      </c>
      <c r="AO599" s="23">
        <v>4</v>
      </c>
      <c r="AP599" s="23" t="s">
        <v>448</v>
      </c>
      <c r="AT599" s="64"/>
      <c r="CU599" s="23">
        <f>3.18/9.4*100</f>
        <v>33.829787234042556</v>
      </c>
      <c r="CV599" s="23">
        <f>0.22/9.4*100</f>
        <v>2.3404255319148937</v>
      </c>
      <c r="CW599" s="23" t="s">
        <v>606</v>
      </c>
      <c r="DD599" s="23">
        <v>0.11459999999999999</v>
      </c>
      <c r="DE599" s="23">
        <v>0.114</v>
      </c>
      <c r="DF599" s="23" t="s">
        <v>605</v>
      </c>
      <c r="DP599" s="12"/>
      <c r="DR599" s="15"/>
      <c r="EL599" s="23" t="s">
        <v>946</v>
      </c>
      <c r="EN599" s="23">
        <v>30</v>
      </c>
    </row>
    <row r="600" spans="1:144" s="23" customFormat="1" x14ac:dyDescent="0.25">
      <c r="A600" s="23">
        <v>30</v>
      </c>
      <c r="B600" s="23" t="s">
        <v>598</v>
      </c>
      <c r="C600" s="23" t="s">
        <v>599</v>
      </c>
      <c r="D600" s="23">
        <v>2002</v>
      </c>
      <c r="E600" s="23">
        <v>1999</v>
      </c>
      <c r="F600" s="23" t="s">
        <v>600</v>
      </c>
      <c r="G600" s="23" t="s">
        <v>601</v>
      </c>
      <c r="H600" s="23">
        <f t="shared" si="194"/>
        <v>38.533333333333331</v>
      </c>
      <c r="I600" s="23">
        <f t="shared" si="195"/>
        <v>-121.78333333333333</v>
      </c>
      <c r="J600" s="23">
        <v>18.399999999999999</v>
      </c>
      <c r="N600" s="23">
        <v>483</v>
      </c>
      <c r="P600" s="53" t="s">
        <v>188</v>
      </c>
      <c r="Q600" s="53"/>
      <c r="R600" s="53">
        <v>36170</v>
      </c>
      <c r="S600" s="53" t="s">
        <v>673</v>
      </c>
      <c r="U600" s="23">
        <v>36</v>
      </c>
      <c r="V600" s="23">
        <v>46</v>
      </c>
      <c r="W600" s="23" t="s">
        <v>182</v>
      </c>
      <c r="AA600" s="23" t="s">
        <v>1694</v>
      </c>
      <c r="AB600" s="23" t="s">
        <v>1513</v>
      </c>
      <c r="AC600" s="23" t="s">
        <v>1741</v>
      </c>
      <c r="AD600" s="23" t="s">
        <v>602</v>
      </c>
      <c r="AE600" s="23" t="s">
        <v>602</v>
      </c>
      <c r="AF600" s="23" t="s">
        <v>252</v>
      </c>
      <c r="AJ600" s="23" t="s">
        <v>494</v>
      </c>
      <c r="AK600" s="23" t="s">
        <v>603</v>
      </c>
      <c r="AL600" s="23" t="s">
        <v>693</v>
      </c>
      <c r="AM600" s="23" t="s">
        <v>160</v>
      </c>
      <c r="AN600" s="23">
        <v>4</v>
      </c>
      <c r="AO600" s="23">
        <v>4</v>
      </c>
      <c r="AP600" s="23" t="s">
        <v>448</v>
      </c>
      <c r="AT600" s="64"/>
      <c r="CU600" s="23">
        <f>0.61/2.1*100</f>
        <v>29.047619047619044</v>
      </c>
      <c r="CV600" s="23">
        <f>0.3/2.1*100</f>
        <v>14.285714285714285</v>
      </c>
      <c r="CW600" s="23" t="s">
        <v>606</v>
      </c>
      <c r="DD600" s="23">
        <v>0.1154</v>
      </c>
      <c r="DE600" s="23">
        <v>0.15540000000000001</v>
      </c>
      <c r="DF600" s="23" t="s">
        <v>605</v>
      </c>
      <c r="DP600" s="12"/>
      <c r="DR600" s="15"/>
      <c r="EL600" s="23" t="s">
        <v>946</v>
      </c>
      <c r="EN600" s="23">
        <v>30</v>
      </c>
    </row>
    <row r="601" spans="1:144" s="23" customFormat="1" x14ac:dyDescent="0.25">
      <c r="A601" s="23">
        <v>30</v>
      </c>
      <c r="B601" s="23" t="s">
        <v>598</v>
      </c>
      <c r="C601" s="23" t="s">
        <v>599</v>
      </c>
      <c r="D601" s="23">
        <v>2002</v>
      </c>
      <c r="E601" s="23">
        <v>1999</v>
      </c>
      <c r="F601" s="23" t="s">
        <v>600</v>
      </c>
      <c r="G601" s="23" t="s">
        <v>601</v>
      </c>
      <c r="H601" s="23">
        <f t="shared" si="194"/>
        <v>38.533333333333331</v>
      </c>
      <c r="I601" s="23">
        <f t="shared" si="195"/>
        <v>-121.78333333333333</v>
      </c>
      <c r="J601" s="23">
        <v>18.399999999999999</v>
      </c>
      <c r="N601" s="23">
        <v>483</v>
      </c>
      <c r="P601" s="53" t="s">
        <v>188</v>
      </c>
      <c r="Q601" s="53"/>
      <c r="R601" s="53">
        <v>36170</v>
      </c>
      <c r="S601" s="53" t="s">
        <v>673</v>
      </c>
      <c r="U601" s="23">
        <v>36</v>
      </c>
      <c r="V601" s="23">
        <v>46</v>
      </c>
      <c r="W601" s="23" t="s">
        <v>182</v>
      </c>
      <c r="AA601" s="23" t="s">
        <v>1694</v>
      </c>
      <c r="AB601" s="23" t="s">
        <v>1513</v>
      </c>
      <c r="AC601" s="23" t="s">
        <v>1741</v>
      </c>
      <c r="AD601" s="23" t="s">
        <v>602</v>
      </c>
      <c r="AE601" s="23" t="s">
        <v>602</v>
      </c>
      <c r="AF601" s="23" t="s">
        <v>252</v>
      </c>
      <c r="AJ601" s="23" t="s">
        <v>494</v>
      </c>
      <c r="AK601" s="23" t="s">
        <v>604</v>
      </c>
      <c r="AL601" s="23" t="s">
        <v>693</v>
      </c>
      <c r="AM601" s="23" t="s">
        <v>160</v>
      </c>
      <c r="AN601" s="23">
        <v>4</v>
      </c>
      <c r="AO601" s="23">
        <v>4</v>
      </c>
      <c r="AP601" s="23" t="s">
        <v>448</v>
      </c>
      <c r="AT601" s="64"/>
      <c r="CU601" s="23">
        <f>0.61/2.1*100</f>
        <v>29.047619047619044</v>
      </c>
      <c r="CV601" s="23">
        <f>0.34/2.1*100</f>
        <v>16.19047619047619</v>
      </c>
      <c r="CW601" s="23" t="s">
        <v>606</v>
      </c>
      <c r="DD601" s="23">
        <v>0.1154</v>
      </c>
      <c r="DE601" s="23">
        <v>0.15540000000000001</v>
      </c>
      <c r="DF601" s="23" t="s">
        <v>605</v>
      </c>
      <c r="DP601" s="12"/>
      <c r="DR601" s="15"/>
      <c r="EL601" s="23" t="s">
        <v>946</v>
      </c>
      <c r="EN601" s="23">
        <v>30</v>
      </c>
    </row>
    <row r="602" spans="1:144" s="23" customFormat="1" x14ac:dyDescent="0.25">
      <c r="A602" s="23">
        <v>30</v>
      </c>
      <c r="B602" s="23" t="s">
        <v>598</v>
      </c>
      <c r="C602" s="23" t="s">
        <v>599</v>
      </c>
      <c r="D602" s="23">
        <v>2002</v>
      </c>
      <c r="E602" s="23">
        <v>1999</v>
      </c>
      <c r="F602" s="23" t="s">
        <v>600</v>
      </c>
      <c r="G602" s="23" t="s">
        <v>601</v>
      </c>
      <c r="H602" s="23">
        <f t="shared" si="194"/>
        <v>38.533333333333331</v>
      </c>
      <c r="I602" s="23">
        <f t="shared" si="195"/>
        <v>-121.78333333333333</v>
      </c>
      <c r="J602" s="23">
        <v>18.399999999999999</v>
      </c>
      <c r="N602" s="23">
        <v>483</v>
      </c>
      <c r="P602" s="53" t="s">
        <v>188</v>
      </c>
      <c r="Q602" s="53"/>
      <c r="R602" s="53">
        <v>36187</v>
      </c>
      <c r="S602" s="53" t="s">
        <v>673</v>
      </c>
      <c r="U602" s="23">
        <v>36</v>
      </c>
      <c r="V602" s="23">
        <v>46</v>
      </c>
      <c r="W602" s="23" t="s">
        <v>182</v>
      </c>
      <c r="AA602" s="23" t="s">
        <v>1694</v>
      </c>
      <c r="AB602" s="23" t="s">
        <v>1513</v>
      </c>
      <c r="AC602" s="23" t="s">
        <v>1741</v>
      </c>
      <c r="AD602" s="23" t="s">
        <v>602</v>
      </c>
      <c r="AE602" s="23" t="s">
        <v>602</v>
      </c>
      <c r="AF602" s="23" t="s">
        <v>252</v>
      </c>
      <c r="AJ602" s="23" t="s">
        <v>494</v>
      </c>
      <c r="AK602" s="23" t="s">
        <v>603</v>
      </c>
      <c r="AL602" s="23" t="s">
        <v>693</v>
      </c>
      <c r="AM602" s="23" t="s">
        <v>160</v>
      </c>
      <c r="AN602" s="23">
        <v>4</v>
      </c>
      <c r="AO602" s="23">
        <v>4</v>
      </c>
      <c r="AP602" s="23" t="s">
        <v>448</v>
      </c>
      <c r="AT602" s="64"/>
      <c r="CU602" s="23">
        <f>10.71/19.8*100</f>
        <v>54.090909090909086</v>
      </c>
      <c r="CV602" s="23">
        <f>3.42/19.8*100</f>
        <v>17.272727272727273</v>
      </c>
      <c r="CW602" s="23" t="s">
        <v>606</v>
      </c>
      <c r="DD602" s="23">
        <v>0.11890000000000001</v>
      </c>
      <c r="DE602" s="23">
        <v>0.1174</v>
      </c>
      <c r="DF602" s="23" t="s">
        <v>605</v>
      </c>
      <c r="DP602" s="12"/>
      <c r="DR602" s="15"/>
      <c r="EL602" s="23" t="s">
        <v>946</v>
      </c>
      <c r="EN602" s="23">
        <v>30</v>
      </c>
    </row>
    <row r="603" spans="1:144" s="23" customFormat="1" x14ac:dyDescent="0.25">
      <c r="A603" s="23">
        <v>30</v>
      </c>
      <c r="B603" s="23" t="s">
        <v>598</v>
      </c>
      <c r="C603" s="23" t="s">
        <v>599</v>
      </c>
      <c r="D603" s="23">
        <v>2002</v>
      </c>
      <c r="E603" s="23">
        <v>1999</v>
      </c>
      <c r="F603" s="23" t="s">
        <v>600</v>
      </c>
      <c r="G603" s="23" t="s">
        <v>601</v>
      </c>
      <c r="H603" s="23">
        <f t="shared" si="194"/>
        <v>38.533333333333331</v>
      </c>
      <c r="I603" s="23">
        <f t="shared" si="195"/>
        <v>-121.78333333333333</v>
      </c>
      <c r="J603" s="23">
        <v>18.399999999999999</v>
      </c>
      <c r="N603" s="23">
        <v>483</v>
      </c>
      <c r="P603" s="53" t="s">
        <v>188</v>
      </c>
      <c r="Q603" s="53"/>
      <c r="R603" s="53">
        <v>36187</v>
      </c>
      <c r="S603" s="53" t="s">
        <v>673</v>
      </c>
      <c r="U603" s="23">
        <v>36</v>
      </c>
      <c r="V603" s="23">
        <v>46</v>
      </c>
      <c r="W603" s="23" t="s">
        <v>182</v>
      </c>
      <c r="AA603" s="23" t="s">
        <v>1694</v>
      </c>
      <c r="AB603" s="23" t="s">
        <v>1513</v>
      </c>
      <c r="AC603" s="23" t="s">
        <v>1741</v>
      </c>
      <c r="AD603" s="23" t="s">
        <v>602</v>
      </c>
      <c r="AE603" s="23" t="s">
        <v>602</v>
      </c>
      <c r="AF603" s="23" t="s">
        <v>252</v>
      </c>
      <c r="AJ603" s="23" t="s">
        <v>494</v>
      </c>
      <c r="AK603" s="23" t="s">
        <v>604</v>
      </c>
      <c r="AL603" s="23" t="s">
        <v>693</v>
      </c>
      <c r="AM603" s="23" t="s">
        <v>160</v>
      </c>
      <c r="AN603" s="23">
        <v>4</v>
      </c>
      <c r="AO603" s="23">
        <v>4</v>
      </c>
      <c r="AP603" s="23" t="s">
        <v>448</v>
      </c>
      <c r="AT603" s="64"/>
      <c r="CU603" s="23">
        <f>10.71/19.8*100</f>
        <v>54.090909090909086</v>
      </c>
      <c r="CV603" s="23">
        <f>2.95/19.8*100</f>
        <v>14.8989898989899</v>
      </c>
      <c r="CW603" s="23" t="s">
        <v>606</v>
      </c>
      <c r="DD603" s="23">
        <v>0.11890000000000001</v>
      </c>
      <c r="DE603" s="23">
        <v>0.1174</v>
      </c>
      <c r="DF603" s="23" t="s">
        <v>605</v>
      </c>
      <c r="DP603" s="12"/>
      <c r="DR603" s="15"/>
      <c r="EL603" s="23" t="s">
        <v>946</v>
      </c>
      <c r="EN603" s="23">
        <v>30</v>
      </c>
    </row>
    <row r="604" spans="1:144" s="23" customFormat="1" x14ac:dyDescent="0.25">
      <c r="A604" s="23">
        <v>30</v>
      </c>
      <c r="B604" s="23" t="s">
        <v>598</v>
      </c>
      <c r="C604" s="23" t="s">
        <v>599</v>
      </c>
      <c r="D604" s="23">
        <v>2002</v>
      </c>
      <c r="E604" s="23">
        <v>1999</v>
      </c>
      <c r="F604" s="23" t="s">
        <v>600</v>
      </c>
      <c r="G604" s="23" t="s">
        <v>601</v>
      </c>
      <c r="H604" s="23">
        <f t="shared" si="194"/>
        <v>38.533333333333331</v>
      </c>
      <c r="I604" s="23">
        <f t="shared" si="195"/>
        <v>-121.78333333333333</v>
      </c>
      <c r="J604" s="23">
        <v>18.399999999999999</v>
      </c>
      <c r="N604" s="23">
        <v>483</v>
      </c>
      <c r="P604" s="53" t="s">
        <v>188</v>
      </c>
      <c r="Q604" s="53"/>
      <c r="R604" s="53">
        <v>36198</v>
      </c>
      <c r="S604" s="53" t="s">
        <v>673</v>
      </c>
      <c r="U604" s="23">
        <v>36</v>
      </c>
      <c r="V604" s="23">
        <v>46</v>
      </c>
      <c r="W604" s="23" t="s">
        <v>182</v>
      </c>
      <c r="AA604" s="23" t="s">
        <v>1694</v>
      </c>
      <c r="AB604" s="23" t="s">
        <v>1513</v>
      </c>
      <c r="AC604" s="23" t="s">
        <v>1741</v>
      </c>
      <c r="AD604" s="23" t="s">
        <v>602</v>
      </c>
      <c r="AE604" s="23" t="s">
        <v>602</v>
      </c>
      <c r="AF604" s="23" t="s">
        <v>252</v>
      </c>
      <c r="AJ604" s="23" t="s">
        <v>494</v>
      </c>
      <c r="AK604" s="23" t="s">
        <v>603</v>
      </c>
      <c r="AL604" s="23" t="s">
        <v>693</v>
      </c>
      <c r="AM604" s="23" t="s">
        <v>160</v>
      </c>
      <c r="AN604" s="23">
        <v>4</v>
      </c>
      <c r="AO604" s="23">
        <v>4</v>
      </c>
      <c r="AP604" s="23" t="s">
        <v>448</v>
      </c>
      <c r="AT604" s="64"/>
      <c r="CU604" s="23">
        <f>8.71/15.5*100</f>
        <v>56.193548387096783</v>
      </c>
      <c r="CV604" s="23">
        <f>0.93/15.5*100</f>
        <v>6.0000000000000009</v>
      </c>
      <c r="CW604" s="23" t="s">
        <v>606</v>
      </c>
      <c r="DD604" s="23">
        <v>0.16980000000000001</v>
      </c>
      <c r="DE604" s="23">
        <v>0.1479</v>
      </c>
      <c r="DF604" s="23" t="s">
        <v>605</v>
      </c>
      <c r="DP604" s="12"/>
      <c r="DR604" s="15"/>
      <c r="EL604" s="23" t="s">
        <v>946</v>
      </c>
      <c r="EN604" s="23">
        <v>30</v>
      </c>
    </row>
    <row r="605" spans="1:144" s="23" customFormat="1" x14ac:dyDescent="0.25">
      <c r="A605" s="23">
        <v>30</v>
      </c>
      <c r="B605" s="23" t="s">
        <v>598</v>
      </c>
      <c r="C605" s="23" t="s">
        <v>599</v>
      </c>
      <c r="D605" s="23">
        <v>2002</v>
      </c>
      <c r="E605" s="23">
        <v>1999</v>
      </c>
      <c r="F605" s="23" t="s">
        <v>600</v>
      </c>
      <c r="G605" s="23" t="s">
        <v>601</v>
      </c>
      <c r="H605" s="23">
        <f t="shared" si="194"/>
        <v>38.533333333333331</v>
      </c>
      <c r="I605" s="23">
        <f t="shared" si="195"/>
        <v>-121.78333333333333</v>
      </c>
      <c r="J605" s="23">
        <v>18.399999999999999</v>
      </c>
      <c r="N605" s="23">
        <v>483</v>
      </c>
      <c r="P605" s="53" t="s">
        <v>188</v>
      </c>
      <c r="Q605" s="53"/>
      <c r="R605" s="53">
        <v>36198</v>
      </c>
      <c r="S605" s="53" t="s">
        <v>673</v>
      </c>
      <c r="U605" s="23">
        <v>36</v>
      </c>
      <c r="V605" s="23">
        <v>46</v>
      </c>
      <c r="W605" s="23" t="s">
        <v>182</v>
      </c>
      <c r="AA605" s="23" t="s">
        <v>1694</v>
      </c>
      <c r="AB605" s="23" t="s">
        <v>1513</v>
      </c>
      <c r="AC605" s="23" t="s">
        <v>1741</v>
      </c>
      <c r="AD605" s="23" t="s">
        <v>602</v>
      </c>
      <c r="AE605" s="23" t="s">
        <v>602</v>
      </c>
      <c r="AF605" s="23" t="s">
        <v>252</v>
      </c>
      <c r="AJ605" s="23" t="s">
        <v>494</v>
      </c>
      <c r="AK605" s="23" t="s">
        <v>604</v>
      </c>
      <c r="AL605" s="23" t="s">
        <v>693</v>
      </c>
      <c r="AM605" s="23" t="s">
        <v>160</v>
      </c>
      <c r="AN605" s="23">
        <v>4</v>
      </c>
      <c r="AO605" s="23">
        <v>4</v>
      </c>
      <c r="AP605" s="23" t="s">
        <v>448</v>
      </c>
      <c r="AT605" s="64"/>
      <c r="CU605" s="23">
        <f>8.71/15.5*100</f>
        <v>56.193548387096783</v>
      </c>
      <c r="CV605" s="23">
        <f>0.67/15.5*100</f>
        <v>4.3225806451612909</v>
      </c>
      <c r="CW605" s="23" t="s">
        <v>606</v>
      </c>
      <c r="DD605" s="23">
        <v>0.16980000000000001</v>
      </c>
      <c r="DE605" s="23">
        <v>0.13600000000000001</v>
      </c>
      <c r="DF605" s="23" t="s">
        <v>605</v>
      </c>
      <c r="DP605" s="12"/>
      <c r="DR605" s="15"/>
      <c r="EL605" s="23" t="s">
        <v>946</v>
      </c>
      <c r="EN605" s="23">
        <v>30</v>
      </c>
    </row>
    <row r="606" spans="1:144" s="23" customFormat="1" x14ac:dyDescent="0.25">
      <c r="A606" s="23">
        <v>30</v>
      </c>
      <c r="B606" s="23" t="s">
        <v>598</v>
      </c>
      <c r="C606" s="23" t="s">
        <v>599</v>
      </c>
      <c r="D606" s="23">
        <v>2002</v>
      </c>
      <c r="E606" s="23">
        <v>1999</v>
      </c>
      <c r="F606" s="23" t="s">
        <v>600</v>
      </c>
      <c r="G606" s="23" t="s">
        <v>601</v>
      </c>
      <c r="H606" s="23">
        <f t="shared" si="194"/>
        <v>38.533333333333331</v>
      </c>
      <c r="I606" s="23">
        <f t="shared" si="195"/>
        <v>-121.78333333333333</v>
      </c>
      <c r="J606" s="23">
        <v>18.399999999999999</v>
      </c>
      <c r="N606" s="23">
        <v>483</v>
      </c>
      <c r="P606" s="53" t="s">
        <v>188</v>
      </c>
      <c r="Q606" s="53"/>
      <c r="R606" s="53">
        <v>36232</v>
      </c>
      <c r="S606" s="53" t="s">
        <v>673</v>
      </c>
      <c r="U606" s="23">
        <v>36</v>
      </c>
      <c r="V606" s="23">
        <v>46</v>
      </c>
      <c r="W606" s="23" t="s">
        <v>182</v>
      </c>
      <c r="AA606" s="23" t="s">
        <v>1694</v>
      </c>
      <c r="AB606" s="23" t="s">
        <v>1513</v>
      </c>
      <c r="AC606" s="23" t="s">
        <v>1741</v>
      </c>
      <c r="AD606" s="23" t="s">
        <v>602</v>
      </c>
      <c r="AE606" s="23" t="s">
        <v>602</v>
      </c>
      <c r="AF606" s="23" t="s">
        <v>252</v>
      </c>
      <c r="AJ606" s="23" t="s">
        <v>494</v>
      </c>
      <c r="AK606" s="23" t="s">
        <v>603</v>
      </c>
      <c r="AL606" s="23" t="s">
        <v>693</v>
      </c>
      <c r="AM606" s="23" t="s">
        <v>160</v>
      </c>
      <c r="AN606" s="23">
        <v>4</v>
      </c>
      <c r="AO606" s="23">
        <v>4</v>
      </c>
      <c r="AP606" s="23" t="s">
        <v>448</v>
      </c>
      <c r="AT606" s="64"/>
      <c r="CU606" s="23">
        <f>101.24/232.3*100</f>
        <v>43.581575548859227</v>
      </c>
      <c r="CV606" s="23">
        <f>14.98/232.3*100</f>
        <v>6.4485578992681871</v>
      </c>
      <c r="CW606" s="23" t="s">
        <v>606</v>
      </c>
      <c r="DD606" s="23">
        <v>0.18060000000000001</v>
      </c>
      <c r="DE606" s="23">
        <v>0.1696</v>
      </c>
      <c r="DF606" s="23" t="s">
        <v>605</v>
      </c>
      <c r="DP606" s="12"/>
      <c r="DR606" s="15"/>
      <c r="EL606" s="23" t="s">
        <v>946</v>
      </c>
      <c r="EN606" s="23">
        <v>30</v>
      </c>
    </row>
    <row r="607" spans="1:144" s="23" customFormat="1" x14ac:dyDescent="0.25">
      <c r="A607" s="23">
        <v>30</v>
      </c>
      <c r="B607" s="23" t="s">
        <v>598</v>
      </c>
      <c r="C607" s="23" t="s">
        <v>599</v>
      </c>
      <c r="D607" s="23">
        <v>2002</v>
      </c>
      <c r="E607" s="23">
        <v>1999</v>
      </c>
      <c r="F607" s="23" t="s">
        <v>600</v>
      </c>
      <c r="G607" s="23" t="s">
        <v>601</v>
      </c>
      <c r="H607" s="23">
        <f t="shared" si="194"/>
        <v>38.533333333333331</v>
      </c>
      <c r="I607" s="23">
        <f t="shared" si="195"/>
        <v>-121.78333333333333</v>
      </c>
      <c r="J607" s="23">
        <v>18.399999999999999</v>
      </c>
      <c r="N607" s="23">
        <v>483</v>
      </c>
      <c r="P607" s="53" t="s">
        <v>188</v>
      </c>
      <c r="Q607" s="53"/>
      <c r="R607" s="53">
        <v>36232</v>
      </c>
      <c r="S607" s="53" t="s">
        <v>673</v>
      </c>
      <c r="U607" s="23">
        <v>36</v>
      </c>
      <c r="V607" s="23">
        <v>46</v>
      </c>
      <c r="W607" s="23" t="s">
        <v>182</v>
      </c>
      <c r="AA607" s="23" t="s">
        <v>1694</v>
      </c>
      <c r="AB607" s="23" t="s">
        <v>1513</v>
      </c>
      <c r="AC607" s="23" t="s">
        <v>1741</v>
      </c>
      <c r="AD607" s="23" t="s">
        <v>602</v>
      </c>
      <c r="AE607" s="23" t="s">
        <v>602</v>
      </c>
      <c r="AF607" s="23" t="s">
        <v>252</v>
      </c>
      <c r="AJ607" s="23" t="s">
        <v>494</v>
      </c>
      <c r="AK607" s="23" t="s">
        <v>604</v>
      </c>
      <c r="AL607" s="23" t="s">
        <v>693</v>
      </c>
      <c r="AM607" s="23" t="s">
        <v>160</v>
      </c>
      <c r="AN607" s="23">
        <v>4</v>
      </c>
      <c r="AO607" s="23">
        <v>4</v>
      </c>
      <c r="AP607" s="23" t="s">
        <v>448</v>
      </c>
      <c r="AT607" s="64"/>
      <c r="CU607" s="23">
        <f>101.24/232.3*100</f>
        <v>43.581575548859227</v>
      </c>
      <c r="CV607" s="23">
        <f>15.92/232.3*100</f>
        <v>6.8532070598364179</v>
      </c>
      <c r="CW607" s="23" t="s">
        <v>606</v>
      </c>
      <c r="DD607" s="23">
        <v>0.18060000000000001</v>
      </c>
      <c r="DE607" s="23">
        <v>0.1696</v>
      </c>
      <c r="DF607" s="23" t="s">
        <v>605</v>
      </c>
      <c r="DP607" s="12"/>
      <c r="DR607" s="15"/>
      <c r="EL607" s="23" t="s">
        <v>946</v>
      </c>
      <c r="EN607" s="23">
        <v>30</v>
      </c>
    </row>
    <row r="608" spans="1:144" s="23" customFormat="1" x14ac:dyDescent="0.25">
      <c r="A608" s="23">
        <v>30</v>
      </c>
      <c r="B608" s="23" t="s">
        <v>598</v>
      </c>
      <c r="C608" s="23" t="s">
        <v>599</v>
      </c>
      <c r="D608" s="23">
        <v>2002</v>
      </c>
      <c r="E608" s="23">
        <v>1999</v>
      </c>
      <c r="F608" s="23" t="s">
        <v>600</v>
      </c>
      <c r="G608" s="23" t="s">
        <v>601</v>
      </c>
      <c r="H608" s="23">
        <f t="shared" si="194"/>
        <v>38.533333333333331</v>
      </c>
      <c r="I608" s="23">
        <f t="shared" si="195"/>
        <v>-121.78333333333333</v>
      </c>
      <c r="J608" s="23">
        <v>18.399999999999999</v>
      </c>
      <c r="N608" s="23">
        <v>483</v>
      </c>
      <c r="P608" s="53" t="s">
        <v>188</v>
      </c>
      <c r="Q608" s="53"/>
      <c r="R608" s="53">
        <v>36234</v>
      </c>
      <c r="S608" s="53" t="s">
        <v>673</v>
      </c>
      <c r="U608" s="23">
        <v>36</v>
      </c>
      <c r="V608" s="23">
        <v>46</v>
      </c>
      <c r="W608" s="23" t="s">
        <v>182</v>
      </c>
      <c r="AA608" s="23" t="s">
        <v>1694</v>
      </c>
      <c r="AB608" s="23" t="s">
        <v>1513</v>
      </c>
      <c r="AC608" s="23" t="s">
        <v>1741</v>
      </c>
      <c r="AD608" s="23" t="s">
        <v>602</v>
      </c>
      <c r="AE608" s="23" t="s">
        <v>602</v>
      </c>
      <c r="AF608" s="23" t="s">
        <v>252</v>
      </c>
      <c r="AJ608" s="23" t="s">
        <v>494</v>
      </c>
      <c r="AK608" s="23" t="s">
        <v>603</v>
      </c>
      <c r="AL608" s="23" t="s">
        <v>693</v>
      </c>
      <c r="AM608" s="23" t="s">
        <v>160</v>
      </c>
      <c r="AN608" s="23">
        <v>4</v>
      </c>
      <c r="AO608" s="23">
        <v>4</v>
      </c>
      <c r="AP608" s="23" t="s">
        <v>448</v>
      </c>
      <c r="AT608" s="64"/>
      <c r="DD608" s="23">
        <v>0.18329999999999999</v>
      </c>
      <c r="DE608" s="23">
        <v>0.16689999999999999</v>
      </c>
      <c r="DF608" s="23" t="s">
        <v>605</v>
      </c>
      <c r="DP608" s="12"/>
      <c r="DR608" s="15"/>
      <c r="EL608" s="23" t="s">
        <v>946</v>
      </c>
      <c r="EN608" s="23">
        <v>30</v>
      </c>
    </row>
    <row r="609" spans="1:144" s="23" customFormat="1" x14ac:dyDescent="0.25">
      <c r="A609" s="23">
        <v>30</v>
      </c>
      <c r="B609" s="23" t="s">
        <v>598</v>
      </c>
      <c r="C609" s="23" t="s">
        <v>599</v>
      </c>
      <c r="D609" s="23">
        <v>2002</v>
      </c>
      <c r="E609" s="23">
        <v>1999</v>
      </c>
      <c r="F609" s="23" t="s">
        <v>600</v>
      </c>
      <c r="G609" s="23" t="s">
        <v>601</v>
      </c>
      <c r="H609" s="23">
        <f t="shared" si="194"/>
        <v>38.533333333333331</v>
      </c>
      <c r="I609" s="23">
        <f t="shared" si="195"/>
        <v>-121.78333333333333</v>
      </c>
      <c r="J609" s="23">
        <v>18.399999999999999</v>
      </c>
      <c r="N609" s="23">
        <v>483</v>
      </c>
      <c r="P609" s="53" t="s">
        <v>188</v>
      </c>
      <c r="Q609" s="53"/>
      <c r="R609" s="53">
        <v>36234</v>
      </c>
      <c r="S609" s="53" t="s">
        <v>673</v>
      </c>
      <c r="U609" s="23">
        <v>36</v>
      </c>
      <c r="V609" s="23">
        <v>46</v>
      </c>
      <c r="W609" s="23" t="s">
        <v>182</v>
      </c>
      <c r="AA609" s="23" t="s">
        <v>1694</v>
      </c>
      <c r="AB609" s="23" t="s">
        <v>1513</v>
      </c>
      <c r="AC609" s="23" t="s">
        <v>1741</v>
      </c>
      <c r="AD609" s="23" t="s">
        <v>602</v>
      </c>
      <c r="AE609" s="23" t="s">
        <v>602</v>
      </c>
      <c r="AF609" s="23" t="s">
        <v>252</v>
      </c>
      <c r="AJ609" s="23" t="s">
        <v>494</v>
      </c>
      <c r="AK609" s="23" t="s">
        <v>604</v>
      </c>
      <c r="AL609" s="23" t="s">
        <v>693</v>
      </c>
      <c r="AM609" s="23" t="s">
        <v>160</v>
      </c>
      <c r="AN609" s="23">
        <v>4</v>
      </c>
      <c r="AO609" s="23">
        <v>4</v>
      </c>
      <c r="AP609" s="23" t="s">
        <v>448</v>
      </c>
      <c r="AT609" s="64"/>
      <c r="DD609" s="23">
        <v>0.18329999999999999</v>
      </c>
      <c r="DE609" s="23">
        <v>0.16689999999999999</v>
      </c>
      <c r="DF609" s="23" t="s">
        <v>605</v>
      </c>
      <c r="DP609" s="12"/>
      <c r="DR609" s="15"/>
      <c r="EL609" s="23" t="s">
        <v>946</v>
      </c>
      <c r="EN609" s="23">
        <v>30</v>
      </c>
    </row>
    <row r="610" spans="1:144" s="23" customFormat="1" x14ac:dyDescent="0.25">
      <c r="A610" s="23">
        <v>30</v>
      </c>
      <c r="B610" s="23" t="s">
        <v>598</v>
      </c>
      <c r="C610" s="23" t="s">
        <v>599</v>
      </c>
      <c r="D610" s="23">
        <v>2002</v>
      </c>
      <c r="E610" s="23">
        <v>1999</v>
      </c>
      <c r="F610" s="23" t="s">
        <v>600</v>
      </c>
      <c r="G610" s="23" t="s">
        <v>601</v>
      </c>
      <c r="H610" s="23">
        <f t="shared" si="194"/>
        <v>38.533333333333331</v>
      </c>
      <c r="I610" s="23">
        <f t="shared" si="195"/>
        <v>-121.78333333333333</v>
      </c>
      <c r="J610" s="23">
        <v>18.399999999999999</v>
      </c>
      <c r="N610" s="23">
        <v>483</v>
      </c>
      <c r="P610" s="53" t="s">
        <v>188</v>
      </c>
      <c r="Q610" s="53"/>
      <c r="R610" s="53">
        <v>36514</v>
      </c>
      <c r="S610" s="53" t="s">
        <v>673</v>
      </c>
      <c r="U610" s="23">
        <v>36</v>
      </c>
      <c r="V610" s="23">
        <v>46</v>
      </c>
      <c r="W610" s="23" t="s">
        <v>182</v>
      </c>
      <c r="AA610" s="23" t="s">
        <v>1694</v>
      </c>
      <c r="AB610" s="23" t="s">
        <v>1513</v>
      </c>
      <c r="AC610" s="23" t="s">
        <v>1741</v>
      </c>
      <c r="AD610" s="23" t="s">
        <v>602</v>
      </c>
      <c r="AE610" s="23" t="s">
        <v>602</v>
      </c>
      <c r="AF610" s="23" t="s">
        <v>252</v>
      </c>
      <c r="AJ610" s="23" t="s">
        <v>494</v>
      </c>
      <c r="AK610" s="23" t="s">
        <v>603</v>
      </c>
      <c r="AL610" s="23" t="s">
        <v>693</v>
      </c>
      <c r="AM610" s="23" t="s">
        <v>160</v>
      </c>
      <c r="AN610" s="23">
        <v>4</v>
      </c>
      <c r="AO610" s="23">
        <v>4</v>
      </c>
      <c r="AP610" s="23" t="s">
        <v>448</v>
      </c>
      <c r="AT610" s="64"/>
      <c r="DD610" s="23">
        <v>0.10920000000000001</v>
      </c>
      <c r="DE610" s="23">
        <v>0.11459999999999999</v>
      </c>
      <c r="DF610" s="23" t="s">
        <v>605</v>
      </c>
      <c r="DP610" s="12"/>
      <c r="DR610" s="15"/>
      <c r="EL610" s="23" t="s">
        <v>946</v>
      </c>
      <c r="EN610" s="23">
        <v>30</v>
      </c>
    </row>
    <row r="611" spans="1:144" s="23" customFormat="1" x14ac:dyDescent="0.25">
      <c r="A611" s="23">
        <v>30</v>
      </c>
      <c r="B611" s="23" t="s">
        <v>598</v>
      </c>
      <c r="C611" s="23" t="s">
        <v>599</v>
      </c>
      <c r="D611" s="23">
        <v>2002</v>
      </c>
      <c r="E611" s="23">
        <v>1999</v>
      </c>
      <c r="F611" s="23" t="s">
        <v>600</v>
      </c>
      <c r="G611" s="23" t="s">
        <v>601</v>
      </c>
      <c r="H611" s="23">
        <f t="shared" si="194"/>
        <v>38.533333333333331</v>
      </c>
      <c r="I611" s="23">
        <f t="shared" si="195"/>
        <v>-121.78333333333333</v>
      </c>
      <c r="J611" s="23">
        <v>18.399999999999999</v>
      </c>
      <c r="N611" s="23">
        <v>483</v>
      </c>
      <c r="P611" s="53" t="s">
        <v>188</v>
      </c>
      <c r="Q611" s="53"/>
      <c r="R611" s="53">
        <v>36514</v>
      </c>
      <c r="S611" s="53" t="s">
        <v>673</v>
      </c>
      <c r="U611" s="23">
        <v>36</v>
      </c>
      <c r="V611" s="23">
        <v>46</v>
      </c>
      <c r="W611" s="23" t="s">
        <v>182</v>
      </c>
      <c r="AA611" s="23" t="s">
        <v>1694</v>
      </c>
      <c r="AB611" s="23" t="s">
        <v>1513</v>
      </c>
      <c r="AC611" s="23" t="s">
        <v>1741</v>
      </c>
      <c r="AD611" s="23" t="s">
        <v>602</v>
      </c>
      <c r="AE611" s="23" t="s">
        <v>602</v>
      </c>
      <c r="AF611" s="23" t="s">
        <v>252</v>
      </c>
      <c r="AJ611" s="23" t="s">
        <v>494</v>
      </c>
      <c r="AK611" s="23" t="s">
        <v>604</v>
      </c>
      <c r="AL611" s="23" t="s">
        <v>693</v>
      </c>
      <c r="AM611" s="23" t="s">
        <v>160</v>
      </c>
      <c r="AN611" s="23">
        <v>4</v>
      </c>
      <c r="AO611" s="23">
        <v>4</v>
      </c>
      <c r="AP611" s="23" t="s">
        <v>448</v>
      </c>
      <c r="AT611" s="64"/>
      <c r="DD611" s="23">
        <v>0.10920000000000001</v>
      </c>
      <c r="DE611" s="23">
        <v>0.1265</v>
      </c>
      <c r="DF611" s="23" t="s">
        <v>605</v>
      </c>
      <c r="DP611" s="12"/>
      <c r="DR611" s="15"/>
      <c r="EL611" s="23" t="s">
        <v>946</v>
      </c>
      <c r="EN611" s="23">
        <v>30</v>
      </c>
    </row>
    <row r="612" spans="1:144" s="23" customFormat="1" x14ac:dyDescent="0.25">
      <c r="A612" s="23">
        <v>30</v>
      </c>
      <c r="B612" s="23" t="s">
        <v>598</v>
      </c>
      <c r="C612" s="23" t="s">
        <v>599</v>
      </c>
      <c r="D612" s="23">
        <v>2002</v>
      </c>
      <c r="E612" s="23">
        <v>2000</v>
      </c>
      <c r="F612" s="23" t="s">
        <v>600</v>
      </c>
      <c r="G612" s="23" t="s">
        <v>601</v>
      </c>
      <c r="H612" s="23">
        <f t="shared" si="194"/>
        <v>38.533333333333331</v>
      </c>
      <c r="I612" s="23">
        <f t="shared" si="195"/>
        <v>-121.78333333333333</v>
      </c>
      <c r="J612" s="23">
        <v>18.399999999999999</v>
      </c>
      <c r="N612" s="23">
        <v>483</v>
      </c>
      <c r="P612" s="53" t="s">
        <v>189</v>
      </c>
      <c r="Q612" s="53"/>
      <c r="R612" s="53">
        <v>36535</v>
      </c>
      <c r="S612" s="53" t="s">
        <v>673</v>
      </c>
      <c r="U612" s="23">
        <v>36</v>
      </c>
      <c r="V612" s="23">
        <v>46</v>
      </c>
      <c r="W612" s="23" t="s">
        <v>182</v>
      </c>
      <c r="AA612" s="23" t="s">
        <v>1694</v>
      </c>
      <c r="AB612" s="23" t="s">
        <v>1513</v>
      </c>
      <c r="AC612" s="23" t="s">
        <v>1741</v>
      </c>
      <c r="AD612" s="23" t="s">
        <v>602</v>
      </c>
      <c r="AE612" s="23" t="s">
        <v>602</v>
      </c>
      <c r="AF612" s="23" t="s">
        <v>252</v>
      </c>
      <c r="AJ612" s="23" t="s">
        <v>494</v>
      </c>
      <c r="AK612" s="23" t="s">
        <v>603</v>
      </c>
      <c r="AL612" s="23" t="s">
        <v>693</v>
      </c>
      <c r="AM612" s="23" t="s">
        <v>160</v>
      </c>
      <c r="AN612" s="23">
        <v>4</v>
      </c>
      <c r="AO612" s="23">
        <v>4</v>
      </c>
      <c r="AP612" s="23" t="s">
        <v>448</v>
      </c>
      <c r="AT612" s="64"/>
      <c r="DD612" s="23">
        <v>0.10630000000000001</v>
      </c>
      <c r="DE612" s="23">
        <v>0.11360000000000001</v>
      </c>
      <c r="DF612" s="23" t="s">
        <v>605</v>
      </c>
      <c r="DP612" s="12"/>
      <c r="DR612" s="15"/>
      <c r="EL612" s="23" t="s">
        <v>946</v>
      </c>
      <c r="EN612" s="23">
        <v>30</v>
      </c>
    </row>
    <row r="613" spans="1:144" s="23" customFormat="1" x14ac:dyDescent="0.25">
      <c r="A613" s="23">
        <v>30</v>
      </c>
      <c r="B613" s="23" t="s">
        <v>598</v>
      </c>
      <c r="C613" s="23" t="s">
        <v>599</v>
      </c>
      <c r="D613" s="23">
        <v>2002</v>
      </c>
      <c r="E613" s="23">
        <v>2000</v>
      </c>
      <c r="F613" s="23" t="s">
        <v>600</v>
      </c>
      <c r="G613" s="23" t="s">
        <v>601</v>
      </c>
      <c r="H613" s="23">
        <f t="shared" si="194"/>
        <v>38.533333333333331</v>
      </c>
      <c r="I613" s="23">
        <f t="shared" si="195"/>
        <v>-121.78333333333333</v>
      </c>
      <c r="J613" s="23">
        <v>18.399999999999999</v>
      </c>
      <c r="N613" s="23">
        <v>483</v>
      </c>
      <c r="P613" s="53" t="s">
        <v>189</v>
      </c>
      <c r="Q613" s="53"/>
      <c r="R613" s="53">
        <v>36535</v>
      </c>
      <c r="S613" s="53" t="s">
        <v>673</v>
      </c>
      <c r="U613" s="23">
        <v>36</v>
      </c>
      <c r="V613" s="23">
        <v>46</v>
      </c>
      <c r="W613" s="23" t="s">
        <v>182</v>
      </c>
      <c r="AA613" s="23" t="s">
        <v>1694</v>
      </c>
      <c r="AB613" s="23" t="s">
        <v>1513</v>
      </c>
      <c r="AC613" s="23" t="s">
        <v>1741</v>
      </c>
      <c r="AD613" s="23" t="s">
        <v>602</v>
      </c>
      <c r="AE613" s="23" t="s">
        <v>602</v>
      </c>
      <c r="AF613" s="23" t="s">
        <v>252</v>
      </c>
      <c r="AJ613" s="23" t="s">
        <v>494</v>
      </c>
      <c r="AK613" s="23" t="s">
        <v>604</v>
      </c>
      <c r="AL613" s="23" t="s">
        <v>693</v>
      </c>
      <c r="AM613" s="23" t="s">
        <v>160</v>
      </c>
      <c r="AN613" s="23">
        <v>4</v>
      </c>
      <c r="AO613" s="23">
        <v>4</v>
      </c>
      <c r="AP613" s="23" t="s">
        <v>448</v>
      </c>
      <c r="AT613" s="64"/>
      <c r="DD613" s="23">
        <v>0.10630000000000001</v>
      </c>
      <c r="DE613" s="23">
        <v>0.1255</v>
      </c>
      <c r="DF613" s="23" t="s">
        <v>605</v>
      </c>
      <c r="DP613" s="12"/>
      <c r="DR613" s="15"/>
      <c r="EL613" s="23" t="s">
        <v>946</v>
      </c>
      <c r="EN613" s="23">
        <v>30</v>
      </c>
    </row>
    <row r="614" spans="1:144" s="23" customFormat="1" x14ac:dyDescent="0.25">
      <c r="A614" s="23">
        <v>30</v>
      </c>
      <c r="B614" s="23" t="s">
        <v>598</v>
      </c>
      <c r="C614" s="23" t="s">
        <v>599</v>
      </c>
      <c r="D614" s="23">
        <v>2002</v>
      </c>
      <c r="E614" s="23">
        <v>2000</v>
      </c>
      <c r="F614" s="23" t="s">
        <v>600</v>
      </c>
      <c r="G614" s="23" t="s">
        <v>601</v>
      </c>
      <c r="H614" s="23">
        <f t="shared" si="194"/>
        <v>38.533333333333331</v>
      </c>
      <c r="I614" s="23">
        <f t="shared" si="195"/>
        <v>-121.78333333333333</v>
      </c>
      <c r="J614" s="23">
        <v>18.399999999999999</v>
      </c>
      <c r="N614" s="23">
        <v>483</v>
      </c>
      <c r="P614" s="53" t="s">
        <v>189</v>
      </c>
      <c r="Q614" s="53"/>
      <c r="R614" s="53">
        <v>36541</v>
      </c>
      <c r="S614" s="53" t="s">
        <v>673</v>
      </c>
      <c r="U614" s="23">
        <v>36</v>
      </c>
      <c r="V614" s="23">
        <v>46</v>
      </c>
      <c r="W614" s="23" t="s">
        <v>182</v>
      </c>
      <c r="AA614" s="23" t="s">
        <v>1694</v>
      </c>
      <c r="AB614" s="23" t="s">
        <v>1513</v>
      </c>
      <c r="AC614" s="23" t="s">
        <v>1741</v>
      </c>
      <c r="AD614" s="23" t="s">
        <v>602</v>
      </c>
      <c r="AE614" s="23" t="s">
        <v>602</v>
      </c>
      <c r="AF614" s="23" t="s">
        <v>252</v>
      </c>
      <c r="AJ614" s="23" t="s">
        <v>494</v>
      </c>
      <c r="AK614" s="23" t="s">
        <v>603</v>
      </c>
      <c r="AL614" s="23" t="s">
        <v>693</v>
      </c>
      <c r="AM614" s="23" t="s">
        <v>160</v>
      </c>
      <c r="AN614" s="23">
        <v>4</v>
      </c>
      <c r="AO614" s="23">
        <v>4</v>
      </c>
      <c r="AP614" s="23" t="s">
        <v>448</v>
      </c>
      <c r="AT614" s="64"/>
      <c r="DD614" s="23">
        <v>0.1072</v>
      </c>
      <c r="DE614" s="23">
        <v>0.11360000000000001</v>
      </c>
      <c r="DF614" s="23" t="s">
        <v>605</v>
      </c>
      <c r="DP614" s="12"/>
      <c r="DR614" s="15"/>
      <c r="EL614" s="23" t="s">
        <v>946</v>
      </c>
      <c r="EN614" s="23">
        <v>30</v>
      </c>
    </row>
    <row r="615" spans="1:144" s="23" customFormat="1" x14ac:dyDescent="0.25">
      <c r="A615" s="23">
        <v>30</v>
      </c>
      <c r="B615" s="23" t="s">
        <v>598</v>
      </c>
      <c r="C615" s="23" t="s">
        <v>599</v>
      </c>
      <c r="D615" s="23">
        <v>2002</v>
      </c>
      <c r="E615" s="23">
        <v>2000</v>
      </c>
      <c r="F615" s="23" t="s">
        <v>600</v>
      </c>
      <c r="G615" s="23" t="s">
        <v>601</v>
      </c>
      <c r="H615" s="23">
        <f t="shared" si="194"/>
        <v>38.533333333333331</v>
      </c>
      <c r="I615" s="23">
        <f t="shared" si="195"/>
        <v>-121.78333333333333</v>
      </c>
      <c r="J615" s="23">
        <v>18.399999999999999</v>
      </c>
      <c r="N615" s="23">
        <v>483</v>
      </c>
      <c r="P615" s="53" t="s">
        <v>189</v>
      </c>
      <c r="Q615" s="53"/>
      <c r="R615" s="53">
        <v>36541</v>
      </c>
      <c r="S615" s="53" t="s">
        <v>673</v>
      </c>
      <c r="U615" s="23">
        <v>36</v>
      </c>
      <c r="V615" s="23">
        <v>46</v>
      </c>
      <c r="W615" s="23" t="s">
        <v>182</v>
      </c>
      <c r="AA615" s="23" t="s">
        <v>1694</v>
      </c>
      <c r="AB615" s="23" t="s">
        <v>1513</v>
      </c>
      <c r="AC615" s="23" t="s">
        <v>1741</v>
      </c>
      <c r="AD615" s="23" t="s">
        <v>602</v>
      </c>
      <c r="AE615" s="23" t="s">
        <v>602</v>
      </c>
      <c r="AF615" s="23" t="s">
        <v>252</v>
      </c>
      <c r="AJ615" s="23" t="s">
        <v>494</v>
      </c>
      <c r="AK615" s="23" t="s">
        <v>604</v>
      </c>
      <c r="AL615" s="23" t="s">
        <v>693</v>
      </c>
      <c r="AM615" s="23" t="s">
        <v>160</v>
      </c>
      <c r="AN615" s="23">
        <v>4</v>
      </c>
      <c r="AO615" s="23">
        <v>4</v>
      </c>
      <c r="AP615" s="23" t="s">
        <v>448</v>
      </c>
      <c r="AT615" s="64"/>
      <c r="DD615" s="23">
        <v>0.1072</v>
      </c>
      <c r="DE615" s="23">
        <v>0.12540000000000001</v>
      </c>
      <c r="DF615" s="23" t="s">
        <v>605</v>
      </c>
      <c r="DP615" s="12"/>
      <c r="DR615" s="15"/>
      <c r="EL615" s="23" t="s">
        <v>946</v>
      </c>
      <c r="EN615" s="23">
        <v>30</v>
      </c>
    </row>
    <row r="616" spans="1:144" s="23" customFormat="1" x14ac:dyDescent="0.25">
      <c r="A616" s="23">
        <v>30</v>
      </c>
      <c r="B616" s="23" t="s">
        <v>598</v>
      </c>
      <c r="C616" s="23" t="s">
        <v>599</v>
      </c>
      <c r="D616" s="23">
        <v>2002</v>
      </c>
      <c r="E616" s="23">
        <v>2000</v>
      </c>
      <c r="F616" s="23" t="s">
        <v>600</v>
      </c>
      <c r="G616" s="23" t="s">
        <v>601</v>
      </c>
      <c r="H616" s="23">
        <f t="shared" si="194"/>
        <v>38.533333333333331</v>
      </c>
      <c r="I616" s="23">
        <f t="shared" si="195"/>
        <v>-121.78333333333333</v>
      </c>
      <c r="J616" s="23">
        <v>18.399999999999999</v>
      </c>
      <c r="N616" s="23">
        <v>483</v>
      </c>
      <c r="P616" s="53" t="s">
        <v>189</v>
      </c>
      <c r="Q616" s="53"/>
      <c r="R616" s="53">
        <v>36549</v>
      </c>
      <c r="S616" s="53" t="s">
        <v>673</v>
      </c>
      <c r="U616" s="23">
        <v>36</v>
      </c>
      <c r="V616" s="23">
        <v>46</v>
      </c>
      <c r="W616" s="23" t="s">
        <v>182</v>
      </c>
      <c r="AA616" s="23" t="s">
        <v>1694</v>
      </c>
      <c r="AB616" s="23" t="s">
        <v>1513</v>
      </c>
      <c r="AC616" s="23" t="s">
        <v>1741</v>
      </c>
      <c r="AD616" s="23" t="s">
        <v>602</v>
      </c>
      <c r="AE616" s="23" t="s">
        <v>602</v>
      </c>
      <c r="AF616" s="23" t="s">
        <v>252</v>
      </c>
      <c r="AJ616" s="23" t="s">
        <v>494</v>
      </c>
      <c r="AK616" s="23" t="s">
        <v>603</v>
      </c>
      <c r="AL616" s="23" t="s">
        <v>693</v>
      </c>
      <c r="AM616" s="23" t="s">
        <v>160</v>
      </c>
      <c r="AN616" s="23">
        <v>4</v>
      </c>
      <c r="AO616" s="23">
        <v>4</v>
      </c>
      <c r="AP616" s="23" t="s">
        <v>448</v>
      </c>
      <c r="AT616" s="64"/>
      <c r="DD616" s="23">
        <v>0.1062</v>
      </c>
      <c r="DE616" s="23">
        <v>0.11360000000000001</v>
      </c>
      <c r="DF616" s="23" t="s">
        <v>605</v>
      </c>
      <c r="DP616" s="12"/>
      <c r="DR616" s="15"/>
      <c r="EL616" s="23" t="s">
        <v>946</v>
      </c>
      <c r="EN616" s="23">
        <v>30</v>
      </c>
    </row>
    <row r="617" spans="1:144" s="23" customFormat="1" x14ac:dyDescent="0.25">
      <c r="A617" s="23">
        <v>30</v>
      </c>
      <c r="B617" s="23" t="s">
        <v>598</v>
      </c>
      <c r="C617" s="23" t="s">
        <v>599</v>
      </c>
      <c r="D617" s="23">
        <v>2002</v>
      </c>
      <c r="E617" s="23">
        <v>2000</v>
      </c>
      <c r="F617" s="23" t="s">
        <v>600</v>
      </c>
      <c r="G617" s="23" t="s">
        <v>601</v>
      </c>
      <c r="H617" s="23">
        <f t="shared" si="194"/>
        <v>38.533333333333331</v>
      </c>
      <c r="I617" s="23">
        <f t="shared" si="195"/>
        <v>-121.78333333333333</v>
      </c>
      <c r="J617" s="23">
        <v>18.399999999999999</v>
      </c>
      <c r="N617" s="23">
        <v>483</v>
      </c>
      <c r="P617" s="53" t="s">
        <v>189</v>
      </c>
      <c r="Q617" s="53"/>
      <c r="R617" s="53">
        <v>36549</v>
      </c>
      <c r="S617" s="53" t="s">
        <v>673</v>
      </c>
      <c r="U617" s="23">
        <v>36</v>
      </c>
      <c r="V617" s="23">
        <v>46</v>
      </c>
      <c r="W617" s="23" t="s">
        <v>182</v>
      </c>
      <c r="AA617" s="23" t="s">
        <v>1694</v>
      </c>
      <c r="AB617" s="23" t="s">
        <v>1513</v>
      </c>
      <c r="AC617" s="23" t="s">
        <v>1741</v>
      </c>
      <c r="AD617" s="23" t="s">
        <v>602</v>
      </c>
      <c r="AE617" s="23" t="s">
        <v>602</v>
      </c>
      <c r="AF617" s="23" t="s">
        <v>252</v>
      </c>
      <c r="AJ617" s="23" t="s">
        <v>494</v>
      </c>
      <c r="AK617" s="23" t="s">
        <v>604</v>
      </c>
      <c r="AL617" s="23" t="s">
        <v>693</v>
      </c>
      <c r="AM617" s="23" t="s">
        <v>160</v>
      </c>
      <c r="AN617" s="23">
        <v>4</v>
      </c>
      <c r="AO617" s="23">
        <v>4</v>
      </c>
      <c r="AP617" s="23" t="s">
        <v>448</v>
      </c>
      <c r="AT617" s="64"/>
      <c r="DD617" s="23">
        <v>0.1062</v>
      </c>
      <c r="DE617" s="23">
        <v>0.12540000000000001</v>
      </c>
      <c r="DF617" s="23" t="s">
        <v>605</v>
      </c>
      <c r="DP617" s="12"/>
      <c r="DR617" s="15"/>
      <c r="EL617" s="23" t="s">
        <v>946</v>
      </c>
      <c r="EN617" s="23">
        <v>30</v>
      </c>
    </row>
    <row r="618" spans="1:144" s="23" customFormat="1" x14ac:dyDescent="0.25">
      <c r="A618" s="23">
        <v>30</v>
      </c>
      <c r="B618" s="23" t="s">
        <v>598</v>
      </c>
      <c r="C618" s="23" t="s">
        <v>599</v>
      </c>
      <c r="D618" s="23">
        <v>2002</v>
      </c>
      <c r="E618" s="23">
        <v>2000</v>
      </c>
      <c r="F618" s="23" t="s">
        <v>600</v>
      </c>
      <c r="G618" s="23" t="s">
        <v>601</v>
      </c>
      <c r="H618" s="23">
        <f t="shared" si="194"/>
        <v>38.533333333333331</v>
      </c>
      <c r="I618" s="23">
        <f t="shared" si="195"/>
        <v>-121.78333333333333</v>
      </c>
      <c r="J618" s="23">
        <v>18.399999999999999</v>
      </c>
      <c r="N618" s="23">
        <v>483</v>
      </c>
      <c r="P618" s="53" t="s">
        <v>189</v>
      </c>
      <c r="Q618" s="53"/>
      <c r="R618" s="53">
        <v>36562</v>
      </c>
      <c r="S618" s="53" t="s">
        <v>673</v>
      </c>
      <c r="U618" s="23">
        <v>36</v>
      </c>
      <c r="V618" s="23">
        <v>46</v>
      </c>
      <c r="W618" s="23" t="s">
        <v>182</v>
      </c>
      <c r="AA618" s="23" t="s">
        <v>1694</v>
      </c>
      <c r="AB618" s="23" t="s">
        <v>1513</v>
      </c>
      <c r="AC618" s="23" t="s">
        <v>1741</v>
      </c>
      <c r="AD618" s="23" t="s">
        <v>602</v>
      </c>
      <c r="AE618" s="23" t="s">
        <v>602</v>
      </c>
      <c r="AF618" s="23" t="s">
        <v>252</v>
      </c>
      <c r="AJ618" s="23" t="s">
        <v>494</v>
      </c>
      <c r="AK618" s="23" t="s">
        <v>603</v>
      </c>
      <c r="AL618" s="23" t="s">
        <v>693</v>
      </c>
      <c r="AM618" s="23" t="s">
        <v>160</v>
      </c>
      <c r="AN618" s="23">
        <v>4</v>
      </c>
      <c r="AO618" s="23">
        <v>4</v>
      </c>
      <c r="AP618" s="23" t="s">
        <v>448</v>
      </c>
      <c r="AT618" s="64"/>
      <c r="DD618" s="23">
        <v>0.13350000000000001</v>
      </c>
      <c r="DE618" s="23">
        <v>0.1472</v>
      </c>
      <c r="DF618" s="23" t="s">
        <v>605</v>
      </c>
      <c r="DP618" s="12"/>
      <c r="DR618" s="15"/>
      <c r="EL618" s="23" t="s">
        <v>946</v>
      </c>
      <c r="EN618" s="23">
        <v>30</v>
      </c>
    </row>
    <row r="619" spans="1:144" s="23" customFormat="1" x14ac:dyDescent="0.25">
      <c r="A619" s="23">
        <v>30</v>
      </c>
      <c r="B619" s="23" t="s">
        <v>598</v>
      </c>
      <c r="C619" s="23" t="s">
        <v>599</v>
      </c>
      <c r="D619" s="23">
        <v>2002</v>
      </c>
      <c r="E619" s="23">
        <v>2000</v>
      </c>
      <c r="F619" s="23" t="s">
        <v>600</v>
      </c>
      <c r="G619" s="23" t="s">
        <v>601</v>
      </c>
      <c r="H619" s="23">
        <f t="shared" si="194"/>
        <v>38.533333333333331</v>
      </c>
      <c r="I619" s="23">
        <f t="shared" si="195"/>
        <v>-121.78333333333333</v>
      </c>
      <c r="J619" s="23">
        <v>18.399999999999999</v>
      </c>
      <c r="N619" s="23">
        <v>483</v>
      </c>
      <c r="P619" s="53" t="s">
        <v>189</v>
      </c>
      <c r="Q619" s="53"/>
      <c r="R619" s="53">
        <v>36562</v>
      </c>
      <c r="S619" s="53" t="s">
        <v>673</v>
      </c>
      <c r="U619" s="23">
        <v>36</v>
      </c>
      <c r="V619" s="23">
        <v>46</v>
      </c>
      <c r="W619" s="23" t="s">
        <v>182</v>
      </c>
      <c r="AA619" s="23" t="s">
        <v>1694</v>
      </c>
      <c r="AB619" s="23" t="s">
        <v>1513</v>
      </c>
      <c r="AC619" s="23" t="s">
        <v>1741</v>
      </c>
      <c r="AD619" s="23" t="s">
        <v>602</v>
      </c>
      <c r="AE619" s="23" t="s">
        <v>602</v>
      </c>
      <c r="AF619" s="23" t="s">
        <v>252</v>
      </c>
      <c r="AJ619" s="23" t="s">
        <v>494</v>
      </c>
      <c r="AK619" s="23" t="s">
        <v>604</v>
      </c>
      <c r="AL619" s="23" t="s">
        <v>693</v>
      </c>
      <c r="AM619" s="23" t="s">
        <v>160</v>
      </c>
      <c r="AN619" s="23">
        <v>4</v>
      </c>
      <c r="AO619" s="23">
        <v>4</v>
      </c>
      <c r="AP619" s="23" t="s">
        <v>448</v>
      </c>
      <c r="AT619" s="64"/>
      <c r="DD619" s="23">
        <v>0.13350000000000001</v>
      </c>
      <c r="DE619" s="23">
        <v>0.1381</v>
      </c>
      <c r="DF619" s="23" t="s">
        <v>605</v>
      </c>
      <c r="DP619" s="12"/>
      <c r="DR619" s="15"/>
      <c r="EL619" s="23" t="s">
        <v>946</v>
      </c>
      <c r="EN619" s="23">
        <v>30</v>
      </c>
    </row>
    <row r="620" spans="1:144" s="23" customFormat="1" x14ac:dyDescent="0.25">
      <c r="A620" s="23">
        <v>30</v>
      </c>
      <c r="B620" s="23" t="s">
        <v>598</v>
      </c>
      <c r="C620" s="23" t="s">
        <v>599</v>
      </c>
      <c r="D620" s="23">
        <v>2002</v>
      </c>
      <c r="E620" s="23">
        <v>2000</v>
      </c>
      <c r="F620" s="23" t="s">
        <v>600</v>
      </c>
      <c r="G620" s="23" t="s">
        <v>601</v>
      </c>
      <c r="H620" s="23">
        <f t="shared" si="194"/>
        <v>38.533333333333331</v>
      </c>
      <c r="I620" s="23">
        <f t="shared" si="195"/>
        <v>-121.78333333333333</v>
      </c>
      <c r="J620" s="23">
        <v>18.399999999999999</v>
      </c>
      <c r="N620" s="23">
        <v>483</v>
      </c>
      <c r="P620" s="53" t="s">
        <v>189</v>
      </c>
      <c r="Q620" s="53"/>
      <c r="R620" s="53">
        <v>36566</v>
      </c>
      <c r="S620" s="53" t="s">
        <v>673</v>
      </c>
      <c r="U620" s="23">
        <v>36</v>
      </c>
      <c r="V620" s="23">
        <v>46</v>
      </c>
      <c r="W620" s="23" t="s">
        <v>182</v>
      </c>
      <c r="AA620" s="23" t="s">
        <v>1694</v>
      </c>
      <c r="AB620" s="23" t="s">
        <v>1513</v>
      </c>
      <c r="AC620" s="23" t="s">
        <v>1741</v>
      </c>
      <c r="AD620" s="23" t="s">
        <v>602</v>
      </c>
      <c r="AE620" s="23" t="s">
        <v>602</v>
      </c>
      <c r="AF620" s="23" t="s">
        <v>252</v>
      </c>
      <c r="AJ620" s="23" t="s">
        <v>494</v>
      </c>
      <c r="AK620" s="23" t="s">
        <v>603</v>
      </c>
      <c r="AL620" s="23" t="s">
        <v>693</v>
      </c>
      <c r="AM620" s="23" t="s">
        <v>160</v>
      </c>
      <c r="AN620" s="23">
        <v>4</v>
      </c>
      <c r="AO620" s="23">
        <v>4</v>
      </c>
      <c r="AP620" s="23" t="s">
        <v>448</v>
      </c>
      <c r="AT620" s="64"/>
      <c r="DD620" s="23">
        <v>0.1517</v>
      </c>
      <c r="DE620" s="23">
        <v>0.18179999999999999</v>
      </c>
      <c r="DF620" s="23" t="s">
        <v>605</v>
      </c>
      <c r="DP620" s="12"/>
      <c r="DR620" s="15"/>
      <c r="EL620" s="23" t="s">
        <v>946</v>
      </c>
      <c r="EN620" s="23">
        <v>30</v>
      </c>
    </row>
    <row r="621" spans="1:144" s="23" customFormat="1" x14ac:dyDescent="0.25">
      <c r="A621" s="23">
        <v>30</v>
      </c>
      <c r="B621" s="23" t="s">
        <v>598</v>
      </c>
      <c r="C621" s="23" t="s">
        <v>599</v>
      </c>
      <c r="D621" s="23">
        <v>2002</v>
      </c>
      <c r="E621" s="23">
        <v>2000</v>
      </c>
      <c r="F621" s="23" t="s">
        <v>600</v>
      </c>
      <c r="G621" s="23" t="s">
        <v>601</v>
      </c>
      <c r="H621" s="23">
        <f t="shared" si="194"/>
        <v>38.533333333333331</v>
      </c>
      <c r="I621" s="23">
        <f t="shared" si="195"/>
        <v>-121.78333333333333</v>
      </c>
      <c r="J621" s="23">
        <v>18.399999999999999</v>
      </c>
      <c r="N621" s="23">
        <v>483</v>
      </c>
      <c r="P621" s="53" t="s">
        <v>189</v>
      </c>
      <c r="Q621" s="53"/>
      <c r="R621" s="53">
        <v>36566</v>
      </c>
      <c r="S621" s="53" t="s">
        <v>673</v>
      </c>
      <c r="U621" s="23">
        <v>36</v>
      </c>
      <c r="V621" s="23">
        <v>46</v>
      </c>
      <c r="W621" s="23" t="s">
        <v>182</v>
      </c>
      <c r="AA621" s="23" t="s">
        <v>1694</v>
      </c>
      <c r="AB621" s="23" t="s">
        <v>1513</v>
      </c>
      <c r="AC621" s="23" t="s">
        <v>1741</v>
      </c>
      <c r="AD621" s="23" t="s">
        <v>602</v>
      </c>
      <c r="AE621" s="23" t="s">
        <v>602</v>
      </c>
      <c r="AF621" s="23" t="s">
        <v>252</v>
      </c>
      <c r="AJ621" s="23" t="s">
        <v>494</v>
      </c>
      <c r="AK621" s="23" t="s">
        <v>604</v>
      </c>
      <c r="AL621" s="23" t="s">
        <v>693</v>
      </c>
      <c r="AM621" s="23" t="s">
        <v>160</v>
      </c>
      <c r="AN621" s="23">
        <v>4</v>
      </c>
      <c r="AO621" s="23">
        <v>4</v>
      </c>
      <c r="AP621" s="23" t="s">
        <v>448</v>
      </c>
      <c r="AT621" s="64"/>
      <c r="DD621" s="23">
        <v>0.1517</v>
      </c>
      <c r="DE621" s="23">
        <v>0.18179999999999999</v>
      </c>
      <c r="DF621" s="23" t="s">
        <v>605</v>
      </c>
      <c r="DP621" s="12"/>
      <c r="DR621" s="15"/>
      <c r="EL621" s="23" t="s">
        <v>946</v>
      </c>
      <c r="EN621" s="23">
        <v>30</v>
      </c>
    </row>
    <row r="622" spans="1:144" s="23" customFormat="1" x14ac:dyDescent="0.25">
      <c r="A622" s="23">
        <v>30</v>
      </c>
      <c r="B622" s="23" t="s">
        <v>598</v>
      </c>
      <c r="C622" s="23" t="s">
        <v>599</v>
      </c>
      <c r="D622" s="23">
        <v>2002</v>
      </c>
      <c r="E622" s="23">
        <v>2000</v>
      </c>
      <c r="F622" s="23" t="s">
        <v>600</v>
      </c>
      <c r="G622" s="23" t="s">
        <v>601</v>
      </c>
      <c r="H622" s="23">
        <f t="shared" si="194"/>
        <v>38.533333333333331</v>
      </c>
      <c r="I622" s="23">
        <f t="shared" si="195"/>
        <v>-121.78333333333333</v>
      </c>
      <c r="J622" s="23">
        <v>18.399999999999999</v>
      </c>
      <c r="N622" s="23">
        <v>483</v>
      </c>
      <c r="P622" s="53" t="s">
        <v>189</v>
      </c>
      <c r="Q622" s="53"/>
      <c r="R622" s="53">
        <v>36572</v>
      </c>
      <c r="S622" s="53" t="s">
        <v>673</v>
      </c>
      <c r="U622" s="23">
        <v>36</v>
      </c>
      <c r="V622" s="23">
        <v>46</v>
      </c>
      <c r="W622" s="23" t="s">
        <v>182</v>
      </c>
      <c r="AA622" s="23" t="s">
        <v>1694</v>
      </c>
      <c r="AB622" s="23" t="s">
        <v>1513</v>
      </c>
      <c r="AC622" s="23" t="s">
        <v>1741</v>
      </c>
      <c r="AD622" s="23" t="s">
        <v>602</v>
      </c>
      <c r="AE622" s="23" t="s">
        <v>602</v>
      </c>
      <c r="AF622" s="23" t="s">
        <v>252</v>
      </c>
      <c r="AJ622" s="23" t="s">
        <v>494</v>
      </c>
      <c r="AK622" s="23" t="s">
        <v>603</v>
      </c>
      <c r="AL622" s="23" t="s">
        <v>693</v>
      </c>
      <c r="AM622" s="23" t="s">
        <v>160</v>
      </c>
      <c r="AN622" s="23">
        <v>4</v>
      </c>
      <c r="AO622" s="23">
        <v>4</v>
      </c>
      <c r="AP622" s="23" t="s">
        <v>448</v>
      </c>
      <c r="AT622" s="64"/>
      <c r="DD622" s="23">
        <v>0.1925</v>
      </c>
      <c r="DE622" s="23">
        <v>0.22900000000000001</v>
      </c>
      <c r="DF622" s="23" t="s">
        <v>605</v>
      </c>
      <c r="DP622" s="12"/>
      <c r="DR622" s="15"/>
      <c r="EL622" s="23" t="s">
        <v>946</v>
      </c>
      <c r="EN622" s="23">
        <v>30</v>
      </c>
    </row>
    <row r="623" spans="1:144" s="23" customFormat="1" x14ac:dyDescent="0.25">
      <c r="A623" s="23">
        <v>30</v>
      </c>
      <c r="B623" s="23" t="s">
        <v>598</v>
      </c>
      <c r="C623" s="23" t="s">
        <v>599</v>
      </c>
      <c r="D623" s="23">
        <v>2002</v>
      </c>
      <c r="E623" s="23">
        <v>2000</v>
      </c>
      <c r="F623" s="23" t="s">
        <v>600</v>
      </c>
      <c r="G623" s="23" t="s">
        <v>601</v>
      </c>
      <c r="H623" s="23">
        <f t="shared" si="194"/>
        <v>38.533333333333331</v>
      </c>
      <c r="I623" s="23">
        <f t="shared" si="195"/>
        <v>-121.78333333333333</v>
      </c>
      <c r="J623" s="23">
        <v>18.399999999999999</v>
      </c>
      <c r="N623" s="23">
        <v>483</v>
      </c>
      <c r="P623" s="53" t="s">
        <v>189</v>
      </c>
      <c r="Q623" s="53"/>
      <c r="R623" s="53">
        <v>36572</v>
      </c>
      <c r="S623" s="53" t="s">
        <v>673</v>
      </c>
      <c r="U623" s="23">
        <v>36</v>
      </c>
      <c r="V623" s="23">
        <v>46</v>
      </c>
      <c r="W623" s="23" t="s">
        <v>182</v>
      </c>
      <c r="AA623" s="23" t="s">
        <v>1694</v>
      </c>
      <c r="AB623" s="23" t="s">
        <v>1513</v>
      </c>
      <c r="AC623" s="23" t="s">
        <v>1741</v>
      </c>
      <c r="AD623" s="23" t="s">
        <v>602</v>
      </c>
      <c r="AE623" s="23" t="s">
        <v>602</v>
      </c>
      <c r="AF623" s="23" t="s">
        <v>252</v>
      </c>
      <c r="AJ623" s="23" t="s">
        <v>494</v>
      </c>
      <c r="AK623" s="23" t="s">
        <v>604</v>
      </c>
      <c r="AL623" s="23" t="s">
        <v>693</v>
      </c>
      <c r="AM623" s="23" t="s">
        <v>160</v>
      </c>
      <c r="AN623" s="23">
        <v>4</v>
      </c>
      <c r="AO623" s="23">
        <v>4</v>
      </c>
      <c r="AP623" s="23" t="s">
        <v>448</v>
      </c>
      <c r="AT623" s="64"/>
      <c r="DD623" s="23">
        <v>0.1925</v>
      </c>
      <c r="DE623" s="23">
        <v>0.24629999999999999</v>
      </c>
      <c r="DF623" s="23" t="s">
        <v>605</v>
      </c>
      <c r="DP623" s="12"/>
      <c r="DR623" s="15"/>
      <c r="EL623" s="23" t="s">
        <v>946</v>
      </c>
      <c r="EN623" s="23">
        <v>30</v>
      </c>
    </row>
    <row r="624" spans="1:144" s="23" customFormat="1" x14ac:dyDescent="0.25">
      <c r="A624" s="23">
        <v>30</v>
      </c>
      <c r="B624" s="23" t="s">
        <v>598</v>
      </c>
      <c r="C624" s="23" t="s">
        <v>599</v>
      </c>
      <c r="D624" s="23">
        <v>2002</v>
      </c>
      <c r="E624" s="23">
        <v>2000</v>
      </c>
      <c r="F624" s="23" t="s">
        <v>600</v>
      </c>
      <c r="G624" s="23" t="s">
        <v>601</v>
      </c>
      <c r="H624" s="23">
        <f t="shared" si="194"/>
        <v>38.533333333333331</v>
      </c>
      <c r="I624" s="23">
        <f t="shared" si="195"/>
        <v>-121.78333333333333</v>
      </c>
      <c r="J624" s="23">
        <v>18.399999999999999</v>
      </c>
      <c r="N624" s="23">
        <v>483</v>
      </c>
      <c r="P624" s="53" t="s">
        <v>189</v>
      </c>
      <c r="Q624" s="53"/>
      <c r="R624" s="53">
        <v>36582</v>
      </c>
      <c r="S624" s="53" t="s">
        <v>673</v>
      </c>
      <c r="U624" s="23">
        <v>36</v>
      </c>
      <c r="V624" s="23">
        <v>46</v>
      </c>
      <c r="W624" s="23" t="s">
        <v>182</v>
      </c>
      <c r="AA624" s="23" t="s">
        <v>1694</v>
      </c>
      <c r="AB624" s="23" t="s">
        <v>1513</v>
      </c>
      <c r="AC624" s="23" t="s">
        <v>1741</v>
      </c>
      <c r="AD624" s="23" t="s">
        <v>602</v>
      </c>
      <c r="AE624" s="23" t="s">
        <v>602</v>
      </c>
      <c r="AF624" s="23" t="s">
        <v>252</v>
      </c>
      <c r="AJ624" s="23" t="s">
        <v>494</v>
      </c>
      <c r="AK624" s="23" t="s">
        <v>603</v>
      </c>
      <c r="AL624" s="23" t="s">
        <v>693</v>
      </c>
      <c r="AM624" s="23" t="s">
        <v>160</v>
      </c>
      <c r="AN624" s="23">
        <v>4</v>
      </c>
      <c r="AO624" s="23">
        <v>4</v>
      </c>
      <c r="AP624" s="23" t="s">
        <v>448</v>
      </c>
      <c r="AT624" s="64"/>
      <c r="DD624" s="23">
        <v>0.19980000000000001</v>
      </c>
      <c r="DE624" s="23">
        <v>0.24540000000000001</v>
      </c>
      <c r="DF624" s="23" t="s">
        <v>605</v>
      </c>
      <c r="DP624" s="12"/>
      <c r="DR624" s="15"/>
      <c r="EL624" s="23" t="s">
        <v>946</v>
      </c>
      <c r="EN624" s="23">
        <v>30</v>
      </c>
    </row>
    <row r="625" spans="1:144" s="23" customFormat="1" x14ac:dyDescent="0.25">
      <c r="A625" s="23">
        <v>30</v>
      </c>
      <c r="B625" s="23" t="s">
        <v>598</v>
      </c>
      <c r="C625" s="23" t="s">
        <v>599</v>
      </c>
      <c r="D625" s="23">
        <v>2002</v>
      </c>
      <c r="E625" s="23">
        <v>2000</v>
      </c>
      <c r="F625" s="23" t="s">
        <v>600</v>
      </c>
      <c r="G625" s="23" t="s">
        <v>601</v>
      </c>
      <c r="H625" s="23">
        <f t="shared" si="194"/>
        <v>38.533333333333331</v>
      </c>
      <c r="I625" s="23">
        <f t="shared" si="195"/>
        <v>-121.78333333333333</v>
      </c>
      <c r="J625" s="23">
        <v>18.399999999999999</v>
      </c>
      <c r="N625" s="23">
        <v>483</v>
      </c>
      <c r="P625" s="53" t="s">
        <v>189</v>
      </c>
      <c r="Q625" s="53"/>
      <c r="R625" s="53">
        <v>36582</v>
      </c>
      <c r="S625" s="53" t="s">
        <v>673</v>
      </c>
      <c r="U625" s="23">
        <v>36</v>
      </c>
      <c r="V625" s="23">
        <v>46</v>
      </c>
      <c r="W625" s="23" t="s">
        <v>182</v>
      </c>
      <c r="AA625" s="23" t="s">
        <v>1694</v>
      </c>
      <c r="AB625" s="23" t="s">
        <v>1513</v>
      </c>
      <c r="AC625" s="23" t="s">
        <v>1741</v>
      </c>
      <c r="AD625" s="23" t="s">
        <v>602</v>
      </c>
      <c r="AE625" s="23" t="s">
        <v>602</v>
      </c>
      <c r="AF625" s="23" t="s">
        <v>252</v>
      </c>
      <c r="AJ625" s="23" t="s">
        <v>494</v>
      </c>
      <c r="AK625" s="23" t="s">
        <v>604</v>
      </c>
      <c r="AL625" s="23" t="s">
        <v>693</v>
      </c>
      <c r="AM625" s="23" t="s">
        <v>160</v>
      </c>
      <c r="AN625" s="23">
        <v>4</v>
      </c>
      <c r="AO625" s="23">
        <v>4</v>
      </c>
      <c r="AP625" s="23" t="s">
        <v>448</v>
      </c>
      <c r="AT625" s="64"/>
      <c r="DD625" s="23">
        <v>0.19980000000000001</v>
      </c>
      <c r="DE625" s="23">
        <v>0.25359999999999999</v>
      </c>
      <c r="DF625" s="23" t="s">
        <v>605</v>
      </c>
      <c r="DP625" s="12"/>
      <c r="DR625" s="15"/>
      <c r="EL625" s="23" t="s">
        <v>946</v>
      </c>
      <c r="EN625" s="23">
        <v>30</v>
      </c>
    </row>
    <row r="626" spans="1:144" s="23" customFormat="1" x14ac:dyDescent="0.25">
      <c r="A626" s="23">
        <v>30</v>
      </c>
      <c r="B626" s="23" t="s">
        <v>598</v>
      </c>
      <c r="C626" s="23" t="s">
        <v>599</v>
      </c>
      <c r="D626" s="23">
        <v>2002</v>
      </c>
      <c r="E626" s="23">
        <v>2000</v>
      </c>
      <c r="F626" s="23" t="s">
        <v>600</v>
      </c>
      <c r="G626" s="23" t="s">
        <v>601</v>
      </c>
      <c r="H626" s="23">
        <f t="shared" si="194"/>
        <v>38.533333333333331</v>
      </c>
      <c r="I626" s="23">
        <f t="shared" si="195"/>
        <v>-121.78333333333333</v>
      </c>
      <c r="J626" s="23">
        <v>18.399999999999999</v>
      </c>
      <c r="N626" s="23">
        <v>483</v>
      </c>
      <c r="P626" s="53" t="s">
        <v>189</v>
      </c>
      <c r="Q626" s="53"/>
      <c r="R626" s="53">
        <v>36587</v>
      </c>
      <c r="S626" s="53" t="s">
        <v>673</v>
      </c>
      <c r="U626" s="23">
        <v>36</v>
      </c>
      <c r="V626" s="23">
        <v>46</v>
      </c>
      <c r="W626" s="23" t="s">
        <v>182</v>
      </c>
      <c r="AA626" s="23" t="s">
        <v>1694</v>
      </c>
      <c r="AB626" s="23" t="s">
        <v>1513</v>
      </c>
      <c r="AC626" s="23" t="s">
        <v>1741</v>
      </c>
      <c r="AD626" s="23" t="s">
        <v>602</v>
      </c>
      <c r="AE626" s="23" t="s">
        <v>602</v>
      </c>
      <c r="AF626" s="23" t="s">
        <v>252</v>
      </c>
      <c r="AJ626" s="23" t="s">
        <v>494</v>
      </c>
      <c r="AK626" s="23" t="s">
        <v>603</v>
      </c>
      <c r="AL626" s="23" t="s">
        <v>693</v>
      </c>
      <c r="AM626" s="23" t="s">
        <v>160</v>
      </c>
      <c r="AN626" s="23">
        <v>4</v>
      </c>
      <c r="AO626" s="23">
        <v>4</v>
      </c>
      <c r="AP626" s="23" t="s">
        <v>448</v>
      </c>
      <c r="AT626" s="64"/>
      <c r="DD626" s="23">
        <v>0.2006</v>
      </c>
      <c r="DE626" s="23">
        <v>0.2389</v>
      </c>
      <c r="DF626" s="23" t="s">
        <v>605</v>
      </c>
      <c r="DP626" s="12"/>
      <c r="DR626" s="15"/>
      <c r="EL626" s="23" t="s">
        <v>946</v>
      </c>
      <c r="EN626" s="23">
        <v>30</v>
      </c>
    </row>
    <row r="627" spans="1:144" s="23" customFormat="1" x14ac:dyDescent="0.25">
      <c r="A627" s="23">
        <v>30</v>
      </c>
      <c r="B627" s="23" t="s">
        <v>598</v>
      </c>
      <c r="C627" s="23" t="s">
        <v>599</v>
      </c>
      <c r="D627" s="23">
        <v>2002</v>
      </c>
      <c r="E627" s="23">
        <v>2000</v>
      </c>
      <c r="F627" s="23" t="s">
        <v>600</v>
      </c>
      <c r="G627" s="23" t="s">
        <v>601</v>
      </c>
      <c r="H627" s="23">
        <f t="shared" si="194"/>
        <v>38.533333333333331</v>
      </c>
      <c r="I627" s="23">
        <f t="shared" si="195"/>
        <v>-121.78333333333333</v>
      </c>
      <c r="J627" s="23">
        <v>18.399999999999999</v>
      </c>
      <c r="N627" s="23">
        <v>483</v>
      </c>
      <c r="P627" s="53" t="s">
        <v>189</v>
      </c>
      <c r="Q627" s="53"/>
      <c r="R627" s="53">
        <v>36587</v>
      </c>
      <c r="S627" s="53" t="s">
        <v>673</v>
      </c>
      <c r="U627" s="23">
        <v>36</v>
      </c>
      <c r="V627" s="23">
        <v>46</v>
      </c>
      <c r="W627" s="23" t="s">
        <v>182</v>
      </c>
      <c r="AA627" s="23" t="s">
        <v>1694</v>
      </c>
      <c r="AB627" s="23" t="s">
        <v>1513</v>
      </c>
      <c r="AC627" s="23" t="s">
        <v>1741</v>
      </c>
      <c r="AD627" s="23" t="s">
        <v>602</v>
      </c>
      <c r="AE627" s="23" t="s">
        <v>602</v>
      </c>
      <c r="AF627" s="23" t="s">
        <v>252</v>
      </c>
      <c r="AJ627" s="23" t="s">
        <v>494</v>
      </c>
      <c r="AK627" s="23" t="s">
        <v>604</v>
      </c>
      <c r="AL627" s="23" t="s">
        <v>693</v>
      </c>
      <c r="AM627" s="23" t="s">
        <v>160</v>
      </c>
      <c r="AN627" s="23">
        <v>4</v>
      </c>
      <c r="AO627" s="23">
        <v>4</v>
      </c>
      <c r="AP627" s="23" t="s">
        <v>448</v>
      </c>
      <c r="AT627" s="64"/>
      <c r="DD627" s="23">
        <v>0.2006</v>
      </c>
      <c r="DE627" s="23">
        <v>0.25169999999999998</v>
      </c>
      <c r="DF627" s="23" t="s">
        <v>605</v>
      </c>
      <c r="DP627" s="12"/>
      <c r="DR627" s="15"/>
      <c r="EL627" s="23" t="s">
        <v>946</v>
      </c>
      <c r="EN627" s="23">
        <v>30</v>
      </c>
    </row>
    <row r="628" spans="1:144" s="23" customFormat="1" x14ac:dyDescent="0.25">
      <c r="A628" s="23">
        <v>30</v>
      </c>
      <c r="B628" s="23" t="s">
        <v>598</v>
      </c>
      <c r="C628" s="23" t="s">
        <v>599</v>
      </c>
      <c r="D628" s="23">
        <v>2002</v>
      </c>
      <c r="E628" s="23">
        <v>2000</v>
      </c>
      <c r="F628" s="23" t="s">
        <v>600</v>
      </c>
      <c r="G628" s="23" t="s">
        <v>601</v>
      </c>
      <c r="H628" s="23">
        <f t="shared" si="194"/>
        <v>38.533333333333331</v>
      </c>
      <c r="I628" s="23">
        <f t="shared" si="195"/>
        <v>-121.78333333333333</v>
      </c>
      <c r="J628" s="23">
        <v>18.399999999999999</v>
      </c>
      <c r="N628" s="23">
        <v>483</v>
      </c>
      <c r="P628" s="53" t="s">
        <v>189</v>
      </c>
      <c r="Q628" s="53"/>
      <c r="R628" s="53">
        <v>36598</v>
      </c>
      <c r="S628" s="53" t="s">
        <v>673</v>
      </c>
      <c r="U628" s="23">
        <v>36</v>
      </c>
      <c r="V628" s="23">
        <v>46</v>
      </c>
      <c r="W628" s="23" t="s">
        <v>182</v>
      </c>
      <c r="AA628" s="23" t="s">
        <v>1694</v>
      </c>
      <c r="AB628" s="23" t="s">
        <v>1513</v>
      </c>
      <c r="AC628" s="23" t="s">
        <v>1741</v>
      </c>
      <c r="AD628" s="23" t="s">
        <v>602</v>
      </c>
      <c r="AE628" s="23" t="s">
        <v>602</v>
      </c>
      <c r="AF628" s="23" t="s">
        <v>252</v>
      </c>
      <c r="AJ628" s="23" t="s">
        <v>494</v>
      </c>
      <c r="AK628" s="23" t="s">
        <v>603</v>
      </c>
      <c r="AL628" s="23" t="s">
        <v>693</v>
      </c>
      <c r="AM628" s="23" t="s">
        <v>160</v>
      </c>
      <c r="AN628" s="23">
        <v>4</v>
      </c>
      <c r="AO628" s="23">
        <v>4</v>
      </c>
      <c r="AP628" s="23" t="s">
        <v>448</v>
      </c>
      <c r="AT628" s="64"/>
      <c r="DD628" s="23">
        <v>0.1988</v>
      </c>
      <c r="DE628" s="23">
        <v>0.2334</v>
      </c>
      <c r="DF628" s="23" t="s">
        <v>605</v>
      </c>
      <c r="DP628" s="12"/>
      <c r="DR628" s="15"/>
      <c r="EL628" s="23" t="s">
        <v>946</v>
      </c>
      <c r="EN628" s="23">
        <v>30</v>
      </c>
    </row>
    <row r="629" spans="1:144" s="23" customFormat="1" x14ac:dyDescent="0.25">
      <c r="A629" s="23">
        <v>30</v>
      </c>
      <c r="B629" s="23" t="s">
        <v>598</v>
      </c>
      <c r="C629" s="23" t="s">
        <v>599</v>
      </c>
      <c r="D629" s="23">
        <v>2002</v>
      </c>
      <c r="E629" s="23">
        <v>2000</v>
      </c>
      <c r="F629" s="23" t="s">
        <v>600</v>
      </c>
      <c r="G629" s="23" t="s">
        <v>601</v>
      </c>
      <c r="H629" s="23">
        <f t="shared" si="194"/>
        <v>38.533333333333331</v>
      </c>
      <c r="I629" s="23">
        <f t="shared" si="195"/>
        <v>-121.78333333333333</v>
      </c>
      <c r="J629" s="23">
        <v>18.399999999999999</v>
      </c>
      <c r="N629" s="23">
        <v>483</v>
      </c>
      <c r="P629" s="53" t="s">
        <v>189</v>
      </c>
      <c r="Q629" s="53"/>
      <c r="R629" s="53">
        <v>36598</v>
      </c>
      <c r="S629" s="53" t="s">
        <v>673</v>
      </c>
      <c r="U629" s="23">
        <v>36</v>
      </c>
      <c r="V629" s="23">
        <v>46</v>
      </c>
      <c r="W629" s="23" t="s">
        <v>182</v>
      </c>
      <c r="AA629" s="23" t="s">
        <v>1694</v>
      </c>
      <c r="AB629" s="23" t="s">
        <v>1513</v>
      </c>
      <c r="AC629" s="23" t="s">
        <v>1741</v>
      </c>
      <c r="AD629" s="23" t="s">
        <v>602</v>
      </c>
      <c r="AE629" s="23" t="s">
        <v>602</v>
      </c>
      <c r="AF629" s="23" t="s">
        <v>252</v>
      </c>
      <c r="AJ629" s="23" t="s">
        <v>494</v>
      </c>
      <c r="AK629" s="23" t="s">
        <v>604</v>
      </c>
      <c r="AL629" s="23" t="s">
        <v>693</v>
      </c>
      <c r="AM629" s="23" t="s">
        <v>160</v>
      </c>
      <c r="AN629" s="23">
        <v>4</v>
      </c>
      <c r="AO629" s="23">
        <v>4</v>
      </c>
      <c r="AP629" s="23" t="s">
        <v>448</v>
      </c>
      <c r="AT629" s="64"/>
      <c r="DD629" s="23">
        <v>0.1988</v>
      </c>
      <c r="DE629" s="23">
        <v>0.24709999999999999</v>
      </c>
      <c r="DF629" s="23" t="s">
        <v>605</v>
      </c>
      <c r="DP629" s="12"/>
      <c r="DR629" s="15"/>
      <c r="EL629" s="23" t="s">
        <v>946</v>
      </c>
      <c r="EN629" s="23">
        <v>30</v>
      </c>
    </row>
    <row r="630" spans="1:144" s="38" customFormat="1" x14ac:dyDescent="0.25">
      <c r="A630" s="38">
        <v>30</v>
      </c>
      <c r="B630" s="38" t="s">
        <v>598</v>
      </c>
      <c r="C630" s="38" t="s">
        <v>599</v>
      </c>
      <c r="D630" s="38">
        <v>2002</v>
      </c>
      <c r="E630" s="38">
        <v>1998</v>
      </c>
      <c r="F630" s="38" t="s">
        <v>600</v>
      </c>
      <c r="G630" s="38" t="s">
        <v>601</v>
      </c>
      <c r="H630" s="38">
        <f t="shared" ref="H630:H661" si="196">38+32/60</f>
        <v>38.533333333333331</v>
      </c>
      <c r="I630" s="38">
        <f t="shared" ref="I630:I661" si="197">-121-47/60</f>
        <v>-121.78333333333333</v>
      </c>
      <c r="J630" s="38">
        <v>18.399999999999999</v>
      </c>
      <c r="N630" s="38">
        <v>483</v>
      </c>
      <c r="P630" s="57" t="s">
        <v>187</v>
      </c>
      <c r="Q630" s="57"/>
      <c r="R630" s="57">
        <v>36145</v>
      </c>
      <c r="S630" s="57" t="s">
        <v>674</v>
      </c>
      <c r="U630" s="38">
        <v>36</v>
      </c>
      <c r="V630" s="38">
        <v>46</v>
      </c>
      <c r="W630" s="38" t="s">
        <v>182</v>
      </c>
      <c r="AA630" s="38" t="s">
        <v>1694</v>
      </c>
      <c r="AB630" s="38" t="s">
        <v>1513</v>
      </c>
      <c r="AC630" s="38" t="s">
        <v>1741</v>
      </c>
      <c r="AD630" s="38" t="s">
        <v>602</v>
      </c>
      <c r="AE630" s="38" t="s">
        <v>602</v>
      </c>
      <c r="AF630" s="38" t="s">
        <v>252</v>
      </c>
      <c r="AJ630" s="38" t="s">
        <v>494</v>
      </c>
      <c r="AK630" s="38" t="s">
        <v>603</v>
      </c>
      <c r="AL630" s="38" t="s">
        <v>693</v>
      </c>
      <c r="AM630" s="38" t="s">
        <v>160</v>
      </c>
      <c r="AN630" s="38">
        <v>4</v>
      </c>
      <c r="AO630" s="38">
        <v>4</v>
      </c>
      <c r="AP630" s="38" t="s">
        <v>448</v>
      </c>
      <c r="AT630" s="64"/>
      <c r="DD630" s="38">
        <v>0.1116</v>
      </c>
      <c r="DE630" s="38">
        <v>0.108</v>
      </c>
      <c r="DF630" s="38" t="s">
        <v>605</v>
      </c>
      <c r="DP630" s="12"/>
      <c r="DR630" s="15"/>
      <c r="EL630" s="38" t="s">
        <v>946</v>
      </c>
      <c r="EN630" s="38">
        <v>30</v>
      </c>
    </row>
    <row r="631" spans="1:144" s="38" customFormat="1" x14ac:dyDescent="0.25">
      <c r="A631" s="38">
        <v>30</v>
      </c>
      <c r="B631" s="38" t="s">
        <v>598</v>
      </c>
      <c r="C631" s="38" t="s">
        <v>599</v>
      </c>
      <c r="D631" s="38">
        <v>2002</v>
      </c>
      <c r="E631" s="38">
        <v>1998</v>
      </c>
      <c r="F631" s="38" t="s">
        <v>600</v>
      </c>
      <c r="G631" s="38" t="s">
        <v>601</v>
      </c>
      <c r="H631" s="38">
        <f t="shared" si="196"/>
        <v>38.533333333333331</v>
      </c>
      <c r="I631" s="38">
        <f t="shared" si="197"/>
        <v>-121.78333333333333</v>
      </c>
      <c r="J631" s="38">
        <v>18.399999999999999</v>
      </c>
      <c r="N631" s="38">
        <v>483</v>
      </c>
      <c r="P631" s="57" t="s">
        <v>187</v>
      </c>
      <c r="Q631" s="57"/>
      <c r="R631" s="57">
        <v>36145</v>
      </c>
      <c r="S631" s="57" t="s">
        <v>674</v>
      </c>
      <c r="U631" s="38">
        <v>36</v>
      </c>
      <c r="V631" s="38">
        <v>46</v>
      </c>
      <c r="W631" s="38" t="s">
        <v>182</v>
      </c>
      <c r="AA631" s="38" t="s">
        <v>1694</v>
      </c>
      <c r="AB631" s="38" t="s">
        <v>1513</v>
      </c>
      <c r="AC631" s="38" t="s">
        <v>1741</v>
      </c>
      <c r="AD631" s="38" t="s">
        <v>602</v>
      </c>
      <c r="AE631" s="38" t="s">
        <v>602</v>
      </c>
      <c r="AF631" s="38" t="s">
        <v>252</v>
      </c>
      <c r="AJ631" s="38" t="s">
        <v>494</v>
      </c>
      <c r="AK631" s="38" t="s">
        <v>604</v>
      </c>
      <c r="AL631" s="38" t="s">
        <v>693</v>
      </c>
      <c r="AM631" s="38" t="s">
        <v>160</v>
      </c>
      <c r="AN631" s="38">
        <v>4</v>
      </c>
      <c r="AO631" s="38">
        <v>4</v>
      </c>
      <c r="AP631" s="38" t="s">
        <v>448</v>
      </c>
      <c r="AT631" s="64"/>
      <c r="DD631" s="38">
        <v>0.1116</v>
      </c>
      <c r="DE631" s="38">
        <v>0.108</v>
      </c>
      <c r="DF631" s="38" t="s">
        <v>605</v>
      </c>
      <c r="DP631" s="12"/>
      <c r="DR631" s="15"/>
      <c r="EL631" s="38" t="s">
        <v>946</v>
      </c>
      <c r="EN631" s="38">
        <v>30</v>
      </c>
    </row>
    <row r="632" spans="1:144" s="38" customFormat="1" x14ac:dyDescent="0.25">
      <c r="A632" s="38">
        <v>30</v>
      </c>
      <c r="B632" s="38" t="s">
        <v>598</v>
      </c>
      <c r="C632" s="38" t="s">
        <v>599</v>
      </c>
      <c r="D632" s="38">
        <v>2002</v>
      </c>
      <c r="E632" s="38">
        <v>1999</v>
      </c>
      <c r="F632" s="38" t="s">
        <v>600</v>
      </c>
      <c r="G632" s="38" t="s">
        <v>601</v>
      </c>
      <c r="H632" s="38">
        <f t="shared" si="196"/>
        <v>38.533333333333331</v>
      </c>
      <c r="I632" s="38">
        <f t="shared" si="197"/>
        <v>-121.78333333333333</v>
      </c>
      <c r="J632" s="38">
        <v>18.399999999999999</v>
      </c>
      <c r="N632" s="38">
        <v>483</v>
      </c>
      <c r="P632" s="57" t="s">
        <v>188</v>
      </c>
      <c r="Q632" s="57"/>
      <c r="R632" s="57">
        <v>36170</v>
      </c>
      <c r="S632" s="57" t="s">
        <v>674</v>
      </c>
      <c r="U632" s="38">
        <v>36</v>
      </c>
      <c r="V632" s="38">
        <v>46</v>
      </c>
      <c r="W632" s="38" t="s">
        <v>182</v>
      </c>
      <c r="AA632" s="38" t="s">
        <v>1694</v>
      </c>
      <c r="AB632" s="38" t="s">
        <v>1513</v>
      </c>
      <c r="AC632" s="38" t="s">
        <v>1741</v>
      </c>
      <c r="AD632" s="38" t="s">
        <v>602</v>
      </c>
      <c r="AE632" s="38" t="s">
        <v>602</v>
      </c>
      <c r="AF632" s="38" t="s">
        <v>252</v>
      </c>
      <c r="AJ632" s="38" t="s">
        <v>494</v>
      </c>
      <c r="AK632" s="38" t="s">
        <v>603</v>
      </c>
      <c r="AL632" s="38" t="s">
        <v>693</v>
      </c>
      <c r="AM632" s="38" t="s">
        <v>160</v>
      </c>
      <c r="AN632" s="38">
        <v>4</v>
      </c>
      <c r="AO632" s="38">
        <v>4</v>
      </c>
      <c r="AP632" s="38" t="s">
        <v>448</v>
      </c>
      <c r="AT632" s="64"/>
      <c r="DD632" s="38">
        <v>0.1089</v>
      </c>
      <c r="DE632" s="38">
        <v>0.1116</v>
      </c>
      <c r="DF632" s="38" t="s">
        <v>605</v>
      </c>
      <c r="DP632" s="12"/>
      <c r="DR632" s="15"/>
      <c r="EL632" s="38" t="s">
        <v>946</v>
      </c>
      <c r="EN632" s="38">
        <v>30</v>
      </c>
    </row>
    <row r="633" spans="1:144" s="38" customFormat="1" x14ac:dyDescent="0.25">
      <c r="A633" s="38">
        <v>30</v>
      </c>
      <c r="B633" s="38" t="s">
        <v>598</v>
      </c>
      <c r="C633" s="38" t="s">
        <v>599</v>
      </c>
      <c r="D633" s="38">
        <v>2002</v>
      </c>
      <c r="E633" s="38">
        <v>1999</v>
      </c>
      <c r="F633" s="38" t="s">
        <v>600</v>
      </c>
      <c r="G633" s="38" t="s">
        <v>601</v>
      </c>
      <c r="H633" s="38">
        <f t="shared" si="196"/>
        <v>38.533333333333331</v>
      </c>
      <c r="I633" s="38">
        <f t="shared" si="197"/>
        <v>-121.78333333333333</v>
      </c>
      <c r="J633" s="38">
        <v>18.399999999999999</v>
      </c>
      <c r="N633" s="38">
        <v>483</v>
      </c>
      <c r="P633" s="57" t="s">
        <v>188</v>
      </c>
      <c r="Q633" s="57"/>
      <c r="R633" s="57">
        <v>36170</v>
      </c>
      <c r="S633" s="57" t="s">
        <v>674</v>
      </c>
      <c r="U633" s="38">
        <v>36</v>
      </c>
      <c r="V633" s="38">
        <v>46</v>
      </c>
      <c r="W633" s="38" t="s">
        <v>182</v>
      </c>
      <c r="AA633" s="38" t="s">
        <v>1694</v>
      </c>
      <c r="AB633" s="38" t="s">
        <v>1513</v>
      </c>
      <c r="AC633" s="38" t="s">
        <v>1741</v>
      </c>
      <c r="AD633" s="38" t="s">
        <v>602</v>
      </c>
      <c r="AE633" s="38" t="s">
        <v>602</v>
      </c>
      <c r="AF633" s="38" t="s">
        <v>252</v>
      </c>
      <c r="AJ633" s="38" t="s">
        <v>494</v>
      </c>
      <c r="AK633" s="38" t="s">
        <v>604</v>
      </c>
      <c r="AL633" s="38" t="s">
        <v>693</v>
      </c>
      <c r="AM633" s="38" t="s">
        <v>160</v>
      </c>
      <c r="AN633" s="38">
        <v>4</v>
      </c>
      <c r="AO633" s="38">
        <v>4</v>
      </c>
      <c r="AP633" s="38" t="s">
        <v>448</v>
      </c>
      <c r="AT633" s="64"/>
      <c r="DD633" s="38">
        <v>0.1089</v>
      </c>
      <c r="DE633" s="38">
        <v>0.10349999999999999</v>
      </c>
      <c r="DF633" s="38" t="s">
        <v>605</v>
      </c>
      <c r="DP633" s="12"/>
      <c r="DR633" s="15"/>
      <c r="EL633" s="38" t="s">
        <v>946</v>
      </c>
      <c r="EN633" s="38">
        <v>30</v>
      </c>
    </row>
    <row r="634" spans="1:144" s="38" customFormat="1" x14ac:dyDescent="0.25">
      <c r="A634" s="38">
        <v>30</v>
      </c>
      <c r="B634" s="38" t="s">
        <v>598</v>
      </c>
      <c r="C634" s="38" t="s">
        <v>599</v>
      </c>
      <c r="D634" s="38">
        <v>2002</v>
      </c>
      <c r="E634" s="38">
        <v>1999</v>
      </c>
      <c r="F634" s="38" t="s">
        <v>600</v>
      </c>
      <c r="G634" s="38" t="s">
        <v>601</v>
      </c>
      <c r="H634" s="38">
        <f t="shared" si="196"/>
        <v>38.533333333333331</v>
      </c>
      <c r="I634" s="38">
        <f t="shared" si="197"/>
        <v>-121.78333333333333</v>
      </c>
      <c r="J634" s="38">
        <v>18.399999999999999</v>
      </c>
      <c r="N634" s="38">
        <v>483</v>
      </c>
      <c r="P634" s="57" t="s">
        <v>188</v>
      </c>
      <c r="Q634" s="57"/>
      <c r="R634" s="57">
        <v>36187</v>
      </c>
      <c r="S634" s="57" t="s">
        <v>674</v>
      </c>
      <c r="U634" s="38">
        <v>36</v>
      </c>
      <c r="V634" s="38">
        <v>46</v>
      </c>
      <c r="W634" s="38" t="s">
        <v>182</v>
      </c>
      <c r="AA634" s="38" t="s">
        <v>1694</v>
      </c>
      <c r="AB634" s="38" t="s">
        <v>1513</v>
      </c>
      <c r="AC634" s="38" t="s">
        <v>1741</v>
      </c>
      <c r="AD634" s="38" t="s">
        <v>602</v>
      </c>
      <c r="AE634" s="38" t="s">
        <v>602</v>
      </c>
      <c r="AF634" s="38" t="s">
        <v>252</v>
      </c>
      <c r="AJ634" s="38" t="s">
        <v>494</v>
      </c>
      <c r="AK634" s="38" t="s">
        <v>603</v>
      </c>
      <c r="AL634" s="38" t="s">
        <v>693</v>
      </c>
      <c r="AM634" s="38" t="s">
        <v>160</v>
      </c>
      <c r="AN634" s="38">
        <v>4</v>
      </c>
      <c r="AO634" s="38">
        <v>4</v>
      </c>
      <c r="AP634" s="38" t="s">
        <v>448</v>
      </c>
      <c r="AT634" s="64"/>
      <c r="DD634" s="38">
        <v>0.11070000000000001</v>
      </c>
      <c r="DE634" s="38">
        <v>0.1133</v>
      </c>
      <c r="DF634" s="38" t="s">
        <v>605</v>
      </c>
      <c r="DP634" s="12"/>
      <c r="DR634" s="15"/>
      <c r="EL634" s="38" t="s">
        <v>946</v>
      </c>
      <c r="EN634" s="38">
        <v>30</v>
      </c>
    </row>
    <row r="635" spans="1:144" s="38" customFormat="1" x14ac:dyDescent="0.25">
      <c r="A635" s="38">
        <v>30</v>
      </c>
      <c r="B635" s="38" t="s">
        <v>598</v>
      </c>
      <c r="C635" s="38" t="s">
        <v>599</v>
      </c>
      <c r="D635" s="38">
        <v>2002</v>
      </c>
      <c r="E635" s="38">
        <v>1999</v>
      </c>
      <c r="F635" s="38" t="s">
        <v>600</v>
      </c>
      <c r="G635" s="38" t="s">
        <v>601</v>
      </c>
      <c r="H635" s="38">
        <f t="shared" si="196"/>
        <v>38.533333333333331</v>
      </c>
      <c r="I635" s="38">
        <f t="shared" si="197"/>
        <v>-121.78333333333333</v>
      </c>
      <c r="J635" s="38">
        <v>18.399999999999999</v>
      </c>
      <c r="N635" s="38">
        <v>483</v>
      </c>
      <c r="P635" s="57" t="s">
        <v>188</v>
      </c>
      <c r="Q635" s="57"/>
      <c r="R635" s="57">
        <v>36187</v>
      </c>
      <c r="S635" s="57" t="s">
        <v>674</v>
      </c>
      <c r="U635" s="38">
        <v>36</v>
      </c>
      <c r="V635" s="38">
        <v>46</v>
      </c>
      <c r="W635" s="38" t="s">
        <v>182</v>
      </c>
      <c r="AA635" s="38" t="s">
        <v>1694</v>
      </c>
      <c r="AB635" s="38" t="s">
        <v>1513</v>
      </c>
      <c r="AC635" s="38" t="s">
        <v>1741</v>
      </c>
      <c r="AD635" s="38" t="s">
        <v>602</v>
      </c>
      <c r="AE635" s="38" t="s">
        <v>602</v>
      </c>
      <c r="AF635" s="38" t="s">
        <v>252</v>
      </c>
      <c r="AJ635" s="38" t="s">
        <v>494</v>
      </c>
      <c r="AK635" s="38" t="s">
        <v>604</v>
      </c>
      <c r="AL635" s="38" t="s">
        <v>693</v>
      </c>
      <c r="AM635" s="38" t="s">
        <v>160</v>
      </c>
      <c r="AN635" s="38">
        <v>4</v>
      </c>
      <c r="AO635" s="38">
        <v>4</v>
      </c>
      <c r="AP635" s="38" t="s">
        <v>448</v>
      </c>
      <c r="AT635" s="64"/>
      <c r="DD635" s="38">
        <v>0.11070000000000001</v>
      </c>
      <c r="DE635" s="38">
        <v>0.1062</v>
      </c>
      <c r="DF635" s="38" t="s">
        <v>605</v>
      </c>
      <c r="DP635" s="12"/>
      <c r="DR635" s="15"/>
      <c r="EL635" s="38" t="s">
        <v>946</v>
      </c>
      <c r="EN635" s="38">
        <v>30</v>
      </c>
    </row>
    <row r="636" spans="1:144" s="38" customFormat="1" x14ac:dyDescent="0.25">
      <c r="A636" s="38">
        <v>30</v>
      </c>
      <c r="B636" s="38" t="s">
        <v>598</v>
      </c>
      <c r="C636" s="38" t="s">
        <v>599</v>
      </c>
      <c r="D636" s="38">
        <v>2002</v>
      </c>
      <c r="E636" s="38">
        <v>1999</v>
      </c>
      <c r="F636" s="38" t="s">
        <v>600</v>
      </c>
      <c r="G636" s="38" t="s">
        <v>601</v>
      </c>
      <c r="H636" s="38">
        <f t="shared" si="196"/>
        <v>38.533333333333331</v>
      </c>
      <c r="I636" s="38">
        <f t="shared" si="197"/>
        <v>-121.78333333333333</v>
      </c>
      <c r="J636" s="38">
        <v>18.399999999999999</v>
      </c>
      <c r="N636" s="38">
        <v>483</v>
      </c>
      <c r="P636" s="57" t="s">
        <v>188</v>
      </c>
      <c r="Q636" s="57"/>
      <c r="R636" s="57">
        <v>36198</v>
      </c>
      <c r="S636" s="57" t="s">
        <v>674</v>
      </c>
      <c r="U636" s="38">
        <v>36</v>
      </c>
      <c r="V636" s="38">
        <v>46</v>
      </c>
      <c r="W636" s="38" t="s">
        <v>182</v>
      </c>
      <c r="AA636" s="38" t="s">
        <v>1694</v>
      </c>
      <c r="AB636" s="38" t="s">
        <v>1513</v>
      </c>
      <c r="AC636" s="38" t="s">
        <v>1741</v>
      </c>
      <c r="AD636" s="38" t="s">
        <v>602</v>
      </c>
      <c r="AE636" s="38" t="s">
        <v>602</v>
      </c>
      <c r="AF636" s="38" t="s">
        <v>252</v>
      </c>
      <c r="AJ636" s="38" t="s">
        <v>494</v>
      </c>
      <c r="AK636" s="38" t="s">
        <v>603</v>
      </c>
      <c r="AL636" s="38" t="s">
        <v>693</v>
      </c>
      <c r="AM636" s="38" t="s">
        <v>160</v>
      </c>
      <c r="AN636" s="38">
        <v>4</v>
      </c>
      <c r="AO636" s="38">
        <v>4</v>
      </c>
      <c r="AP636" s="38" t="s">
        <v>448</v>
      </c>
      <c r="AT636" s="64"/>
      <c r="DD636" s="38">
        <v>0.12939999999999999</v>
      </c>
      <c r="DE636" s="38">
        <v>0.10780000000000001</v>
      </c>
      <c r="DF636" s="38" t="s">
        <v>605</v>
      </c>
      <c r="DP636" s="12"/>
      <c r="DR636" s="15"/>
      <c r="EL636" s="38" t="s">
        <v>946</v>
      </c>
      <c r="EN636" s="38">
        <v>30</v>
      </c>
    </row>
    <row r="637" spans="1:144" s="38" customFormat="1" x14ac:dyDescent="0.25">
      <c r="A637" s="38">
        <v>30</v>
      </c>
      <c r="B637" s="38" t="s">
        <v>598</v>
      </c>
      <c r="C637" s="38" t="s">
        <v>599</v>
      </c>
      <c r="D637" s="38">
        <v>2002</v>
      </c>
      <c r="E637" s="38">
        <v>1999</v>
      </c>
      <c r="F637" s="38" t="s">
        <v>600</v>
      </c>
      <c r="G637" s="38" t="s">
        <v>601</v>
      </c>
      <c r="H637" s="38">
        <f t="shared" si="196"/>
        <v>38.533333333333331</v>
      </c>
      <c r="I637" s="38">
        <f t="shared" si="197"/>
        <v>-121.78333333333333</v>
      </c>
      <c r="J637" s="38">
        <v>18.399999999999999</v>
      </c>
      <c r="N637" s="38">
        <v>483</v>
      </c>
      <c r="P637" s="57" t="s">
        <v>188</v>
      </c>
      <c r="Q637" s="57"/>
      <c r="R637" s="57">
        <v>36198</v>
      </c>
      <c r="S637" s="57" t="s">
        <v>674</v>
      </c>
      <c r="U637" s="38">
        <v>36</v>
      </c>
      <c r="V637" s="38">
        <v>46</v>
      </c>
      <c r="W637" s="38" t="s">
        <v>182</v>
      </c>
      <c r="AA637" s="38" t="s">
        <v>1694</v>
      </c>
      <c r="AB637" s="38" t="s">
        <v>1513</v>
      </c>
      <c r="AC637" s="38" t="s">
        <v>1741</v>
      </c>
      <c r="AD637" s="38" t="s">
        <v>602</v>
      </c>
      <c r="AE637" s="38" t="s">
        <v>602</v>
      </c>
      <c r="AF637" s="38" t="s">
        <v>252</v>
      </c>
      <c r="AJ637" s="38" t="s">
        <v>494</v>
      </c>
      <c r="AK637" s="38" t="s">
        <v>604</v>
      </c>
      <c r="AL637" s="38" t="s">
        <v>693</v>
      </c>
      <c r="AM637" s="38" t="s">
        <v>160</v>
      </c>
      <c r="AN637" s="38">
        <v>4</v>
      </c>
      <c r="AO637" s="38">
        <v>4</v>
      </c>
      <c r="AP637" s="38" t="s">
        <v>448</v>
      </c>
      <c r="AT637" s="64"/>
      <c r="DD637" s="38">
        <v>0.12939999999999999</v>
      </c>
      <c r="DE637" s="38">
        <v>0.10780000000000001</v>
      </c>
      <c r="DF637" s="38" t="s">
        <v>605</v>
      </c>
      <c r="DP637" s="12"/>
      <c r="DR637" s="15"/>
      <c r="EL637" s="38" t="s">
        <v>946</v>
      </c>
      <c r="EN637" s="38">
        <v>30</v>
      </c>
    </row>
    <row r="638" spans="1:144" s="38" customFormat="1" x14ac:dyDescent="0.25">
      <c r="A638" s="38">
        <v>30</v>
      </c>
      <c r="B638" s="38" t="s">
        <v>598</v>
      </c>
      <c r="C638" s="38" t="s">
        <v>599</v>
      </c>
      <c r="D638" s="38">
        <v>2002</v>
      </c>
      <c r="E638" s="38">
        <v>1999</v>
      </c>
      <c r="F638" s="38" t="s">
        <v>600</v>
      </c>
      <c r="G638" s="38" t="s">
        <v>601</v>
      </c>
      <c r="H638" s="38">
        <f t="shared" si="196"/>
        <v>38.533333333333331</v>
      </c>
      <c r="I638" s="38">
        <f t="shared" si="197"/>
        <v>-121.78333333333333</v>
      </c>
      <c r="J638" s="38">
        <v>18.399999999999999</v>
      </c>
      <c r="N638" s="38">
        <v>483</v>
      </c>
      <c r="P638" s="57" t="s">
        <v>188</v>
      </c>
      <c r="Q638" s="57"/>
      <c r="R638" s="57">
        <v>36232</v>
      </c>
      <c r="S638" s="57" t="s">
        <v>674</v>
      </c>
      <c r="U638" s="38">
        <v>36</v>
      </c>
      <c r="V638" s="38">
        <v>46</v>
      </c>
      <c r="W638" s="38" t="s">
        <v>182</v>
      </c>
      <c r="AA638" s="38" t="s">
        <v>1694</v>
      </c>
      <c r="AB638" s="38" t="s">
        <v>1513</v>
      </c>
      <c r="AC638" s="38" t="s">
        <v>1741</v>
      </c>
      <c r="AD638" s="38" t="s">
        <v>602</v>
      </c>
      <c r="AE638" s="38" t="s">
        <v>602</v>
      </c>
      <c r="AF638" s="38" t="s">
        <v>252</v>
      </c>
      <c r="AJ638" s="38" t="s">
        <v>494</v>
      </c>
      <c r="AK638" s="38" t="s">
        <v>603</v>
      </c>
      <c r="AL638" s="38" t="s">
        <v>693</v>
      </c>
      <c r="AM638" s="38" t="s">
        <v>160</v>
      </c>
      <c r="AN638" s="38">
        <v>4</v>
      </c>
      <c r="AO638" s="38">
        <v>4</v>
      </c>
      <c r="AP638" s="38" t="s">
        <v>448</v>
      </c>
      <c r="AT638" s="64"/>
      <c r="DD638" s="38">
        <v>0.1303</v>
      </c>
      <c r="DE638" s="38">
        <v>0.1133</v>
      </c>
      <c r="DF638" s="38" t="s">
        <v>605</v>
      </c>
      <c r="DP638" s="12"/>
      <c r="DR638" s="15"/>
      <c r="EL638" s="38" t="s">
        <v>946</v>
      </c>
      <c r="EN638" s="38">
        <v>30</v>
      </c>
    </row>
    <row r="639" spans="1:144" s="38" customFormat="1" x14ac:dyDescent="0.25">
      <c r="A639" s="38">
        <v>30</v>
      </c>
      <c r="B639" s="38" t="s">
        <v>598</v>
      </c>
      <c r="C639" s="38" t="s">
        <v>599</v>
      </c>
      <c r="D639" s="38">
        <v>2002</v>
      </c>
      <c r="E639" s="38">
        <v>1999</v>
      </c>
      <c r="F639" s="38" t="s">
        <v>600</v>
      </c>
      <c r="G639" s="38" t="s">
        <v>601</v>
      </c>
      <c r="H639" s="38">
        <f t="shared" si="196"/>
        <v>38.533333333333331</v>
      </c>
      <c r="I639" s="38">
        <f t="shared" si="197"/>
        <v>-121.78333333333333</v>
      </c>
      <c r="J639" s="38">
        <v>18.399999999999999</v>
      </c>
      <c r="N639" s="38">
        <v>483</v>
      </c>
      <c r="P639" s="57" t="s">
        <v>188</v>
      </c>
      <c r="Q639" s="57"/>
      <c r="R639" s="57">
        <v>36232</v>
      </c>
      <c r="S639" s="57" t="s">
        <v>674</v>
      </c>
      <c r="U639" s="38">
        <v>36</v>
      </c>
      <c r="V639" s="38">
        <v>46</v>
      </c>
      <c r="W639" s="38" t="s">
        <v>182</v>
      </c>
      <c r="AA639" s="38" t="s">
        <v>1694</v>
      </c>
      <c r="AB639" s="38" t="s">
        <v>1513</v>
      </c>
      <c r="AC639" s="38" t="s">
        <v>1741</v>
      </c>
      <c r="AD639" s="38" t="s">
        <v>602</v>
      </c>
      <c r="AE639" s="38" t="s">
        <v>602</v>
      </c>
      <c r="AF639" s="38" t="s">
        <v>252</v>
      </c>
      <c r="AJ639" s="38" t="s">
        <v>494</v>
      </c>
      <c r="AK639" s="38" t="s">
        <v>604</v>
      </c>
      <c r="AL639" s="38" t="s">
        <v>693</v>
      </c>
      <c r="AM639" s="38" t="s">
        <v>160</v>
      </c>
      <c r="AN639" s="38">
        <v>4</v>
      </c>
      <c r="AO639" s="38">
        <v>4</v>
      </c>
      <c r="AP639" s="38" t="s">
        <v>448</v>
      </c>
      <c r="AT639" s="64"/>
      <c r="DD639" s="38">
        <v>0.1303</v>
      </c>
      <c r="DE639" s="38">
        <v>0.10780000000000001</v>
      </c>
      <c r="DF639" s="38" t="s">
        <v>605</v>
      </c>
      <c r="DP639" s="12"/>
      <c r="DR639" s="15"/>
      <c r="EL639" s="38" t="s">
        <v>946</v>
      </c>
      <c r="EN639" s="38">
        <v>30</v>
      </c>
    </row>
    <row r="640" spans="1:144" s="38" customFormat="1" x14ac:dyDescent="0.25">
      <c r="A640" s="38">
        <v>30</v>
      </c>
      <c r="B640" s="38" t="s">
        <v>598</v>
      </c>
      <c r="C640" s="38" t="s">
        <v>599</v>
      </c>
      <c r="D640" s="38">
        <v>2002</v>
      </c>
      <c r="E640" s="38">
        <v>1999</v>
      </c>
      <c r="F640" s="38" t="s">
        <v>600</v>
      </c>
      <c r="G640" s="38" t="s">
        <v>601</v>
      </c>
      <c r="H640" s="38">
        <f t="shared" si="196"/>
        <v>38.533333333333331</v>
      </c>
      <c r="I640" s="38">
        <f t="shared" si="197"/>
        <v>-121.78333333333333</v>
      </c>
      <c r="J640" s="38">
        <v>18.399999999999999</v>
      </c>
      <c r="N640" s="38">
        <v>483</v>
      </c>
      <c r="P640" s="57" t="s">
        <v>188</v>
      </c>
      <c r="Q640" s="57"/>
      <c r="R640" s="57">
        <v>36234</v>
      </c>
      <c r="S640" s="57" t="s">
        <v>674</v>
      </c>
      <c r="U640" s="38">
        <v>36</v>
      </c>
      <c r="V640" s="38">
        <v>46</v>
      </c>
      <c r="W640" s="38" t="s">
        <v>182</v>
      </c>
      <c r="AA640" s="38" t="s">
        <v>1694</v>
      </c>
      <c r="AB640" s="38" t="s">
        <v>1513</v>
      </c>
      <c r="AC640" s="38" t="s">
        <v>1741</v>
      </c>
      <c r="AD640" s="38" t="s">
        <v>602</v>
      </c>
      <c r="AE640" s="38" t="s">
        <v>602</v>
      </c>
      <c r="AF640" s="38" t="s">
        <v>252</v>
      </c>
      <c r="AJ640" s="38" t="s">
        <v>494</v>
      </c>
      <c r="AK640" s="38" t="s">
        <v>603</v>
      </c>
      <c r="AL640" s="38" t="s">
        <v>693</v>
      </c>
      <c r="AM640" s="38" t="s">
        <v>160</v>
      </c>
      <c r="AN640" s="38">
        <v>4</v>
      </c>
      <c r="AO640" s="38">
        <v>4</v>
      </c>
      <c r="AP640" s="38" t="s">
        <v>448</v>
      </c>
      <c r="AT640" s="64"/>
      <c r="DD640" s="38">
        <v>0.1285</v>
      </c>
      <c r="DE640" s="38">
        <v>0.1124</v>
      </c>
      <c r="DF640" s="38" t="s">
        <v>605</v>
      </c>
      <c r="DP640" s="12"/>
      <c r="DR640" s="15"/>
      <c r="EL640" s="38" t="s">
        <v>946</v>
      </c>
      <c r="EN640" s="38">
        <v>30</v>
      </c>
    </row>
    <row r="641" spans="1:144" s="38" customFormat="1" x14ac:dyDescent="0.25">
      <c r="A641" s="38">
        <v>30</v>
      </c>
      <c r="B641" s="38" t="s">
        <v>598</v>
      </c>
      <c r="C641" s="38" t="s">
        <v>599</v>
      </c>
      <c r="D641" s="38">
        <v>2002</v>
      </c>
      <c r="E641" s="38">
        <v>1999</v>
      </c>
      <c r="F641" s="38" t="s">
        <v>600</v>
      </c>
      <c r="G641" s="38" t="s">
        <v>601</v>
      </c>
      <c r="H641" s="38">
        <f t="shared" si="196"/>
        <v>38.533333333333331</v>
      </c>
      <c r="I641" s="38">
        <f t="shared" si="197"/>
        <v>-121.78333333333333</v>
      </c>
      <c r="J641" s="38">
        <v>18.399999999999999</v>
      </c>
      <c r="N641" s="38">
        <v>483</v>
      </c>
      <c r="P641" s="57" t="s">
        <v>188</v>
      </c>
      <c r="Q641" s="57"/>
      <c r="R641" s="57">
        <v>36234</v>
      </c>
      <c r="S641" s="57" t="s">
        <v>674</v>
      </c>
      <c r="U641" s="38">
        <v>36</v>
      </c>
      <c r="V641" s="38">
        <v>46</v>
      </c>
      <c r="W641" s="38" t="s">
        <v>182</v>
      </c>
      <c r="AA641" s="38" t="s">
        <v>1694</v>
      </c>
      <c r="AB641" s="38" t="s">
        <v>1513</v>
      </c>
      <c r="AC641" s="38" t="s">
        <v>1741</v>
      </c>
      <c r="AD641" s="38" t="s">
        <v>602</v>
      </c>
      <c r="AE641" s="38" t="s">
        <v>602</v>
      </c>
      <c r="AF641" s="38" t="s">
        <v>252</v>
      </c>
      <c r="AJ641" s="38" t="s">
        <v>494</v>
      </c>
      <c r="AK641" s="38" t="s">
        <v>604</v>
      </c>
      <c r="AL641" s="38" t="s">
        <v>693</v>
      </c>
      <c r="AM641" s="38" t="s">
        <v>160</v>
      </c>
      <c r="AN641" s="38">
        <v>4</v>
      </c>
      <c r="AO641" s="38">
        <v>4</v>
      </c>
      <c r="AP641" s="38" t="s">
        <v>448</v>
      </c>
      <c r="AT641" s="64"/>
      <c r="DD641" s="38">
        <v>0.1285</v>
      </c>
      <c r="DE641" s="38">
        <v>0.1061</v>
      </c>
      <c r="DF641" s="38" t="s">
        <v>605</v>
      </c>
      <c r="DP641" s="12"/>
      <c r="DR641" s="15"/>
      <c r="EL641" s="38" t="s">
        <v>946</v>
      </c>
      <c r="EN641" s="38">
        <v>30</v>
      </c>
    </row>
    <row r="642" spans="1:144" s="38" customFormat="1" x14ac:dyDescent="0.25">
      <c r="A642" s="38">
        <v>30</v>
      </c>
      <c r="B642" s="38" t="s">
        <v>598</v>
      </c>
      <c r="C642" s="38" t="s">
        <v>599</v>
      </c>
      <c r="D642" s="38">
        <v>2002</v>
      </c>
      <c r="E642" s="38">
        <v>1999</v>
      </c>
      <c r="F642" s="38" t="s">
        <v>600</v>
      </c>
      <c r="G642" s="38" t="s">
        <v>601</v>
      </c>
      <c r="H642" s="38">
        <f t="shared" si="196"/>
        <v>38.533333333333331</v>
      </c>
      <c r="I642" s="38">
        <f t="shared" si="197"/>
        <v>-121.78333333333333</v>
      </c>
      <c r="J642" s="38">
        <v>18.399999999999999</v>
      </c>
      <c r="N642" s="38">
        <v>483</v>
      </c>
      <c r="P642" s="57" t="s">
        <v>188</v>
      </c>
      <c r="Q642" s="57"/>
      <c r="R642" s="57">
        <v>36514</v>
      </c>
      <c r="S642" s="57" t="s">
        <v>674</v>
      </c>
      <c r="U642" s="38">
        <v>36</v>
      </c>
      <c r="V642" s="38">
        <v>46</v>
      </c>
      <c r="W642" s="38" t="s">
        <v>182</v>
      </c>
      <c r="AA642" s="38" t="s">
        <v>1694</v>
      </c>
      <c r="AB642" s="38" t="s">
        <v>1513</v>
      </c>
      <c r="AC642" s="38" t="s">
        <v>1741</v>
      </c>
      <c r="AD642" s="38" t="s">
        <v>602</v>
      </c>
      <c r="AE642" s="38" t="s">
        <v>602</v>
      </c>
      <c r="AF642" s="38" t="s">
        <v>252</v>
      </c>
      <c r="AJ642" s="38" t="s">
        <v>494</v>
      </c>
      <c r="AK642" s="38" t="s">
        <v>603</v>
      </c>
      <c r="AL642" s="38" t="s">
        <v>693</v>
      </c>
      <c r="AM642" s="38" t="s">
        <v>160</v>
      </c>
      <c r="AN642" s="38">
        <v>4</v>
      </c>
      <c r="AO642" s="38">
        <v>4</v>
      </c>
      <c r="AP642" s="38" t="s">
        <v>448</v>
      </c>
      <c r="AT642" s="64"/>
      <c r="DD642" s="38">
        <v>0.1051</v>
      </c>
      <c r="DE642" s="38">
        <v>0.1069</v>
      </c>
      <c r="DF642" s="38" t="s">
        <v>605</v>
      </c>
      <c r="DP642" s="12"/>
      <c r="DR642" s="15"/>
      <c r="EL642" s="38" t="s">
        <v>946</v>
      </c>
      <c r="EN642" s="38">
        <v>30</v>
      </c>
    </row>
    <row r="643" spans="1:144" s="38" customFormat="1" x14ac:dyDescent="0.25">
      <c r="A643" s="38">
        <v>30</v>
      </c>
      <c r="B643" s="38" t="s">
        <v>598</v>
      </c>
      <c r="C643" s="38" t="s">
        <v>599</v>
      </c>
      <c r="D643" s="38">
        <v>2002</v>
      </c>
      <c r="E643" s="38">
        <v>1999</v>
      </c>
      <c r="F643" s="38" t="s">
        <v>600</v>
      </c>
      <c r="G643" s="38" t="s">
        <v>601</v>
      </c>
      <c r="H643" s="38">
        <f t="shared" si="196"/>
        <v>38.533333333333331</v>
      </c>
      <c r="I643" s="38">
        <f t="shared" si="197"/>
        <v>-121.78333333333333</v>
      </c>
      <c r="J643" s="38">
        <v>18.399999999999999</v>
      </c>
      <c r="N643" s="38">
        <v>483</v>
      </c>
      <c r="P643" s="57" t="s">
        <v>188</v>
      </c>
      <c r="Q643" s="57"/>
      <c r="R643" s="57">
        <v>36514</v>
      </c>
      <c r="S643" s="57" t="s">
        <v>674</v>
      </c>
      <c r="U643" s="38">
        <v>36</v>
      </c>
      <c r="V643" s="38">
        <v>46</v>
      </c>
      <c r="W643" s="38" t="s">
        <v>182</v>
      </c>
      <c r="AA643" s="38" t="s">
        <v>1694</v>
      </c>
      <c r="AB643" s="38" t="s">
        <v>1513</v>
      </c>
      <c r="AC643" s="38" t="s">
        <v>1741</v>
      </c>
      <c r="AD643" s="38" t="s">
        <v>602</v>
      </c>
      <c r="AE643" s="38" t="s">
        <v>602</v>
      </c>
      <c r="AF643" s="38" t="s">
        <v>252</v>
      </c>
      <c r="AJ643" s="38" t="s">
        <v>494</v>
      </c>
      <c r="AK643" s="38" t="s">
        <v>604</v>
      </c>
      <c r="AL643" s="38" t="s">
        <v>693</v>
      </c>
      <c r="AM643" s="38" t="s">
        <v>160</v>
      </c>
      <c r="AN643" s="38">
        <v>4</v>
      </c>
      <c r="AO643" s="38">
        <v>4</v>
      </c>
      <c r="AP643" s="38" t="s">
        <v>448</v>
      </c>
      <c r="AT643" s="64"/>
      <c r="DD643" s="38">
        <v>0.1051</v>
      </c>
      <c r="DE643" s="38">
        <v>0.1114</v>
      </c>
      <c r="DF643" s="38" t="s">
        <v>605</v>
      </c>
      <c r="DP643" s="12"/>
      <c r="DR643" s="15"/>
      <c r="EL643" s="38" t="s">
        <v>946</v>
      </c>
      <c r="EN643" s="38">
        <v>30</v>
      </c>
    </row>
    <row r="644" spans="1:144" s="38" customFormat="1" x14ac:dyDescent="0.25">
      <c r="A644" s="38">
        <v>30</v>
      </c>
      <c r="B644" s="38" t="s">
        <v>598</v>
      </c>
      <c r="C644" s="38" t="s">
        <v>599</v>
      </c>
      <c r="D644" s="38">
        <v>2002</v>
      </c>
      <c r="E644" s="38">
        <v>2000</v>
      </c>
      <c r="F644" s="38" t="s">
        <v>600</v>
      </c>
      <c r="G644" s="38" t="s">
        <v>601</v>
      </c>
      <c r="H644" s="38">
        <f t="shared" si="196"/>
        <v>38.533333333333331</v>
      </c>
      <c r="I644" s="38">
        <f t="shared" si="197"/>
        <v>-121.78333333333333</v>
      </c>
      <c r="J644" s="38">
        <v>18.399999999999999</v>
      </c>
      <c r="N644" s="38">
        <v>483</v>
      </c>
      <c r="P644" s="57" t="s">
        <v>189</v>
      </c>
      <c r="Q644" s="57"/>
      <c r="R644" s="57">
        <v>36535</v>
      </c>
      <c r="S644" s="57" t="s">
        <v>674</v>
      </c>
      <c r="U644" s="38">
        <v>36</v>
      </c>
      <c r="V644" s="38">
        <v>46</v>
      </c>
      <c r="W644" s="38" t="s">
        <v>182</v>
      </c>
      <c r="AA644" s="38" t="s">
        <v>1694</v>
      </c>
      <c r="AB644" s="38" t="s">
        <v>1513</v>
      </c>
      <c r="AC644" s="38" t="s">
        <v>1741</v>
      </c>
      <c r="AD644" s="38" t="s">
        <v>602</v>
      </c>
      <c r="AE644" s="38" t="s">
        <v>602</v>
      </c>
      <c r="AF644" s="38" t="s">
        <v>252</v>
      </c>
      <c r="AJ644" s="38" t="s">
        <v>494</v>
      </c>
      <c r="AK644" s="38" t="s">
        <v>603</v>
      </c>
      <c r="AL644" s="38" t="s">
        <v>693</v>
      </c>
      <c r="AM644" s="38" t="s">
        <v>160</v>
      </c>
      <c r="AN644" s="38">
        <v>4</v>
      </c>
      <c r="AO644" s="38">
        <v>4</v>
      </c>
      <c r="AP644" s="38" t="s">
        <v>448</v>
      </c>
      <c r="AT644" s="64"/>
      <c r="DD644" s="38">
        <v>0.1033</v>
      </c>
      <c r="DE644" s="38">
        <v>0.1086</v>
      </c>
      <c r="DF644" s="38" t="s">
        <v>605</v>
      </c>
      <c r="DP644" s="12"/>
      <c r="DR644" s="15"/>
      <c r="EL644" s="38" t="s">
        <v>946</v>
      </c>
      <c r="EN644" s="38">
        <v>30</v>
      </c>
    </row>
    <row r="645" spans="1:144" s="38" customFormat="1" x14ac:dyDescent="0.25">
      <c r="A645" s="38">
        <v>30</v>
      </c>
      <c r="B645" s="38" t="s">
        <v>598</v>
      </c>
      <c r="C645" s="38" t="s">
        <v>599</v>
      </c>
      <c r="D645" s="38">
        <v>2002</v>
      </c>
      <c r="E645" s="38">
        <v>2000</v>
      </c>
      <c r="F645" s="38" t="s">
        <v>600</v>
      </c>
      <c r="G645" s="38" t="s">
        <v>601</v>
      </c>
      <c r="H645" s="38">
        <f t="shared" si="196"/>
        <v>38.533333333333331</v>
      </c>
      <c r="I645" s="38">
        <f t="shared" si="197"/>
        <v>-121.78333333333333</v>
      </c>
      <c r="J645" s="38">
        <v>18.399999999999999</v>
      </c>
      <c r="N645" s="38">
        <v>483</v>
      </c>
      <c r="P645" s="57" t="s">
        <v>189</v>
      </c>
      <c r="Q645" s="57"/>
      <c r="R645" s="57">
        <v>36535</v>
      </c>
      <c r="S645" s="57" t="s">
        <v>674</v>
      </c>
      <c r="U645" s="38">
        <v>36</v>
      </c>
      <c r="V645" s="38">
        <v>46</v>
      </c>
      <c r="W645" s="38" t="s">
        <v>182</v>
      </c>
      <c r="AA645" s="38" t="s">
        <v>1694</v>
      </c>
      <c r="AB645" s="38" t="s">
        <v>1513</v>
      </c>
      <c r="AC645" s="38" t="s">
        <v>1741</v>
      </c>
      <c r="AD645" s="38" t="s">
        <v>602</v>
      </c>
      <c r="AE645" s="38" t="s">
        <v>602</v>
      </c>
      <c r="AF645" s="38" t="s">
        <v>252</v>
      </c>
      <c r="AJ645" s="38" t="s">
        <v>494</v>
      </c>
      <c r="AK645" s="38" t="s">
        <v>604</v>
      </c>
      <c r="AL645" s="38" t="s">
        <v>693</v>
      </c>
      <c r="AM645" s="38" t="s">
        <v>160</v>
      </c>
      <c r="AN645" s="38">
        <v>4</v>
      </c>
      <c r="AO645" s="38">
        <v>4</v>
      </c>
      <c r="AP645" s="38" t="s">
        <v>448</v>
      </c>
      <c r="AT645" s="64"/>
      <c r="DD645" s="38">
        <v>0.1033</v>
      </c>
      <c r="DE645" s="38">
        <v>0.11219999999999999</v>
      </c>
      <c r="DF645" s="38" t="s">
        <v>605</v>
      </c>
      <c r="DP645" s="12"/>
      <c r="DR645" s="15"/>
      <c r="EL645" s="38" t="s">
        <v>946</v>
      </c>
      <c r="EN645" s="38">
        <v>30</v>
      </c>
    </row>
    <row r="646" spans="1:144" s="38" customFormat="1" x14ac:dyDescent="0.25">
      <c r="A646" s="38">
        <v>30</v>
      </c>
      <c r="B646" s="38" t="s">
        <v>598</v>
      </c>
      <c r="C646" s="38" t="s">
        <v>599</v>
      </c>
      <c r="D646" s="38">
        <v>2002</v>
      </c>
      <c r="E646" s="38">
        <v>2000</v>
      </c>
      <c r="F646" s="38" t="s">
        <v>600</v>
      </c>
      <c r="G646" s="38" t="s">
        <v>601</v>
      </c>
      <c r="H646" s="38">
        <f t="shared" si="196"/>
        <v>38.533333333333331</v>
      </c>
      <c r="I646" s="38">
        <f t="shared" si="197"/>
        <v>-121.78333333333333</v>
      </c>
      <c r="J646" s="38">
        <v>18.399999999999999</v>
      </c>
      <c r="N646" s="38">
        <v>483</v>
      </c>
      <c r="P646" s="57" t="s">
        <v>189</v>
      </c>
      <c r="Q646" s="57"/>
      <c r="R646" s="57">
        <v>36541</v>
      </c>
      <c r="S646" s="57" t="s">
        <v>674</v>
      </c>
      <c r="U646" s="38">
        <v>36</v>
      </c>
      <c r="V646" s="38">
        <v>46</v>
      </c>
      <c r="W646" s="38" t="s">
        <v>182</v>
      </c>
      <c r="AA646" s="38" t="s">
        <v>1694</v>
      </c>
      <c r="AB646" s="38" t="s">
        <v>1513</v>
      </c>
      <c r="AC646" s="38" t="s">
        <v>1741</v>
      </c>
      <c r="AD646" s="38" t="s">
        <v>602</v>
      </c>
      <c r="AE646" s="38" t="s">
        <v>602</v>
      </c>
      <c r="AF646" s="38" t="s">
        <v>252</v>
      </c>
      <c r="AJ646" s="38" t="s">
        <v>494</v>
      </c>
      <c r="AK646" s="38" t="s">
        <v>603</v>
      </c>
      <c r="AL646" s="38" t="s">
        <v>693</v>
      </c>
      <c r="AM646" s="38" t="s">
        <v>160</v>
      </c>
      <c r="AN646" s="38">
        <v>4</v>
      </c>
      <c r="AO646" s="38">
        <v>4</v>
      </c>
      <c r="AP646" s="38" t="s">
        <v>448</v>
      </c>
      <c r="AT646" s="64"/>
      <c r="DD646" s="38">
        <v>0.1024</v>
      </c>
      <c r="DE646" s="38">
        <v>0.1095</v>
      </c>
      <c r="DF646" s="38" t="s">
        <v>605</v>
      </c>
      <c r="DP646" s="12"/>
      <c r="DR646" s="15"/>
      <c r="EL646" s="38" t="s">
        <v>946</v>
      </c>
      <c r="EN646" s="38">
        <v>30</v>
      </c>
    </row>
    <row r="647" spans="1:144" s="38" customFormat="1" x14ac:dyDescent="0.25">
      <c r="A647" s="38">
        <v>30</v>
      </c>
      <c r="B647" s="38" t="s">
        <v>598</v>
      </c>
      <c r="C647" s="38" t="s">
        <v>599</v>
      </c>
      <c r="D647" s="38">
        <v>2002</v>
      </c>
      <c r="E647" s="38">
        <v>2000</v>
      </c>
      <c r="F647" s="38" t="s">
        <v>600</v>
      </c>
      <c r="G647" s="38" t="s">
        <v>601</v>
      </c>
      <c r="H647" s="38">
        <f t="shared" si="196"/>
        <v>38.533333333333331</v>
      </c>
      <c r="I647" s="38">
        <f t="shared" si="197"/>
        <v>-121.78333333333333</v>
      </c>
      <c r="J647" s="38">
        <v>18.399999999999999</v>
      </c>
      <c r="N647" s="38">
        <v>483</v>
      </c>
      <c r="P647" s="57" t="s">
        <v>189</v>
      </c>
      <c r="Q647" s="57"/>
      <c r="R647" s="57">
        <v>36541</v>
      </c>
      <c r="S647" s="57" t="s">
        <v>674</v>
      </c>
      <c r="U647" s="38">
        <v>36</v>
      </c>
      <c r="V647" s="38">
        <v>46</v>
      </c>
      <c r="W647" s="38" t="s">
        <v>182</v>
      </c>
      <c r="AA647" s="38" t="s">
        <v>1694</v>
      </c>
      <c r="AB647" s="38" t="s">
        <v>1513</v>
      </c>
      <c r="AC647" s="38" t="s">
        <v>1741</v>
      </c>
      <c r="AD647" s="38" t="s">
        <v>602</v>
      </c>
      <c r="AE647" s="38" t="s">
        <v>602</v>
      </c>
      <c r="AF647" s="38" t="s">
        <v>252</v>
      </c>
      <c r="AJ647" s="38" t="s">
        <v>494</v>
      </c>
      <c r="AK647" s="38" t="s">
        <v>604</v>
      </c>
      <c r="AL647" s="38" t="s">
        <v>693</v>
      </c>
      <c r="AM647" s="38" t="s">
        <v>160</v>
      </c>
      <c r="AN647" s="38">
        <v>4</v>
      </c>
      <c r="AO647" s="38">
        <v>4</v>
      </c>
      <c r="AP647" s="38" t="s">
        <v>448</v>
      </c>
      <c r="AT647" s="64"/>
      <c r="DD647" s="38">
        <v>0.1024</v>
      </c>
      <c r="DE647" s="38">
        <v>0.1095</v>
      </c>
      <c r="DF647" s="38" t="s">
        <v>605</v>
      </c>
      <c r="DP647" s="12"/>
      <c r="DR647" s="15"/>
      <c r="EL647" s="38" t="s">
        <v>946</v>
      </c>
      <c r="EN647" s="38">
        <v>30</v>
      </c>
    </row>
    <row r="648" spans="1:144" s="38" customFormat="1" x14ac:dyDescent="0.25">
      <c r="A648" s="38">
        <v>30</v>
      </c>
      <c r="B648" s="38" t="s">
        <v>598</v>
      </c>
      <c r="C648" s="38" t="s">
        <v>599</v>
      </c>
      <c r="D648" s="38">
        <v>2002</v>
      </c>
      <c r="E648" s="38">
        <v>2000</v>
      </c>
      <c r="F648" s="38" t="s">
        <v>600</v>
      </c>
      <c r="G648" s="38" t="s">
        <v>601</v>
      </c>
      <c r="H648" s="38">
        <f t="shared" si="196"/>
        <v>38.533333333333331</v>
      </c>
      <c r="I648" s="38">
        <f t="shared" si="197"/>
        <v>-121.78333333333333</v>
      </c>
      <c r="J648" s="38">
        <v>18.399999999999999</v>
      </c>
      <c r="N648" s="38">
        <v>483</v>
      </c>
      <c r="P648" s="57" t="s">
        <v>189</v>
      </c>
      <c r="Q648" s="57"/>
      <c r="R648" s="57">
        <v>36549</v>
      </c>
      <c r="S648" s="57" t="s">
        <v>674</v>
      </c>
      <c r="U648" s="38">
        <v>36</v>
      </c>
      <c r="V648" s="38">
        <v>46</v>
      </c>
      <c r="W648" s="38" t="s">
        <v>182</v>
      </c>
      <c r="AA648" s="38" t="s">
        <v>1694</v>
      </c>
      <c r="AB648" s="38" t="s">
        <v>1513</v>
      </c>
      <c r="AC648" s="38" t="s">
        <v>1741</v>
      </c>
      <c r="AD648" s="38" t="s">
        <v>602</v>
      </c>
      <c r="AE648" s="38" t="s">
        <v>602</v>
      </c>
      <c r="AF648" s="38" t="s">
        <v>252</v>
      </c>
      <c r="AJ648" s="38" t="s">
        <v>494</v>
      </c>
      <c r="AK648" s="38" t="s">
        <v>603</v>
      </c>
      <c r="AL648" s="38" t="s">
        <v>693</v>
      </c>
      <c r="AM648" s="38" t="s">
        <v>160</v>
      </c>
      <c r="AN648" s="38">
        <v>4</v>
      </c>
      <c r="AO648" s="38">
        <v>4</v>
      </c>
      <c r="AP648" s="38" t="s">
        <v>448</v>
      </c>
      <c r="AT648" s="64"/>
      <c r="DD648" s="38">
        <v>0.10589999999999999</v>
      </c>
      <c r="DE648" s="38">
        <v>0.1086</v>
      </c>
      <c r="DF648" s="38" t="s">
        <v>605</v>
      </c>
      <c r="DP648" s="12"/>
      <c r="DR648" s="15"/>
      <c r="EL648" s="38" t="s">
        <v>946</v>
      </c>
      <c r="EN648" s="38">
        <v>30</v>
      </c>
    </row>
    <row r="649" spans="1:144" s="38" customFormat="1" x14ac:dyDescent="0.25">
      <c r="A649" s="38">
        <v>30</v>
      </c>
      <c r="B649" s="38" t="s">
        <v>598</v>
      </c>
      <c r="C649" s="38" t="s">
        <v>599</v>
      </c>
      <c r="D649" s="38">
        <v>2002</v>
      </c>
      <c r="E649" s="38">
        <v>2000</v>
      </c>
      <c r="F649" s="38" t="s">
        <v>600</v>
      </c>
      <c r="G649" s="38" t="s">
        <v>601</v>
      </c>
      <c r="H649" s="38">
        <f t="shared" si="196"/>
        <v>38.533333333333331</v>
      </c>
      <c r="I649" s="38">
        <f t="shared" si="197"/>
        <v>-121.78333333333333</v>
      </c>
      <c r="J649" s="38">
        <v>18.399999999999999</v>
      </c>
      <c r="N649" s="38">
        <v>483</v>
      </c>
      <c r="P649" s="57" t="s">
        <v>189</v>
      </c>
      <c r="Q649" s="57"/>
      <c r="R649" s="57">
        <v>36549</v>
      </c>
      <c r="S649" s="57" t="s">
        <v>674</v>
      </c>
      <c r="U649" s="38">
        <v>36</v>
      </c>
      <c r="V649" s="38">
        <v>46</v>
      </c>
      <c r="W649" s="38" t="s">
        <v>182</v>
      </c>
      <c r="AA649" s="38" t="s">
        <v>1694</v>
      </c>
      <c r="AB649" s="38" t="s">
        <v>1513</v>
      </c>
      <c r="AC649" s="38" t="s">
        <v>1741</v>
      </c>
      <c r="AD649" s="38" t="s">
        <v>602</v>
      </c>
      <c r="AE649" s="38" t="s">
        <v>602</v>
      </c>
      <c r="AF649" s="38" t="s">
        <v>252</v>
      </c>
      <c r="AJ649" s="38" t="s">
        <v>494</v>
      </c>
      <c r="AK649" s="38" t="s">
        <v>604</v>
      </c>
      <c r="AL649" s="38" t="s">
        <v>693</v>
      </c>
      <c r="AM649" s="38" t="s">
        <v>160</v>
      </c>
      <c r="AN649" s="38">
        <v>4</v>
      </c>
      <c r="AO649" s="38">
        <v>4</v>
      </c>
      <c r="AP649" s="38" t="s">
        <v>448</v>
      </c>
      <c r="AT649" s="64"/>
      <c r="DD649" s="38">
        <v>0.10589999999999999</v>
      </c>
      <c r="DE649" s="38">
        <v>0.1086</v>
      </c>
      <c r="DF649" s="38" t="s">
        <v>605</v>
      </c>
      <c r="DP649" s="12"/>
      <c r="DR649" s="15"/>
      <c r="EL649" s="38" t="s">
        <v>946</v>
      </c>
      <c r="EN649" s="38">
        <v>30</v>
      </c>
    </row>
    <row r="650" spans="1:144" s="38" customFormat="1" x14ac:dyDescent="0.25">
      <c r="A650" s="38">
        <v>30</v>
      </c>
      <c r="B650" s="38" t="s">
        <v>598</v>
      </c>
      <c r="C650" s="38" t="s">
        <v>599</v>
      </c>
      <c r="D650" s="38">
        <v>2002</v>
      </c>
      <c r="E650" s="38">
        <v>2000</v>
      </c>
      <c r="F650" s="38" t="s">
        <v>600</v>
      </c>
      <c r="G650" s="38" t="s">
        <v>601</v>
      </c>
      <c r="H650" s="38">
        <f t="shared" si="196"/>
        <v>38.533333333333331</v>
      </c>
      <c r="I650" s="38">
        <f t="shared" si="197"/>
        <v>-121.78333333333333</v>
      </c>
      <c r="J650" s="38">
        <v>18.399999999999999</v>
      </c>
      <c r="N650" s="38">
        <v>483</v>
      </c>
      <c r="P650" s="57" t="s">
        <v>189</v>
      </c>
      <c r="Q650" s="57"/>
      <c r="R650" s="57">
        <v>36562</v>
      </c>
      <c r="S650" s="57" t="s">
        <v>674</v>
      </c>
      <c r="U650" s="38">
        <v>36</v>
      </c>
      <c r="V650" s="38">
        <v>46</v>
      </c>
      <c r="W650" s="38" t="s">
        <v>182</v>
      </c>
      <c r="AA650" s="38" t="s">
        <v>1694</v>
      </c>
      <c r="AB650" s="38" t="s">
        <v>1513</v>
      </c>
      <c r="AC650" s="38" t="s">
        <v>1741</v>
      </c>
      <c r="AD650" s="38" t="s">
        <v>602</v>
      </c>
      <c r="AE650" s="38" t="s">
        <v>602</v>
      </c>
      <c r="AF650" s="38" t="s">
        <v>252</v>
      </c>
      <c r="AJ650" s="38" t="s">
        <v>494</v>
      </c>
      <c r="AK650" s="38" t="s">
        <v>603</v>
      </c>
      <c r="AL650" s="38" t="s">
        <v>693</v>
      </c>
      <c r="AM650" s="38" t="s">
        <v>160</v>
      </c>
      <c r="AN650" s="38">
        <v>4</v>
      </c>
      <c r="AO650" s="38">
        <v>4</v>
      </c>
      <c r="AP650" s="38" t="s">
        <v>448</v>
      </c>
      <c r="AT650" s="64"/>
      <c r="DD650" s="38">
        <v>0.11310000000000001</v>
      </c>
      <c r="DE650" s="38">
        <v>0.11310000000000001</v>
      </c>
      <c r="DF650" s="38" t="s">
        <v>605</v>
      </c>
      <c r="DP650" s="12"/>
      <c r="DR650" s="15"/>
      <c r="EL650" s="38" t="s">
        <v>946</v>
      </c>
      <c r="EN650" s="38">
        <v>30</v>
      </c>
    </row>
    <row r="651" spans="1:144" s="38" customFormat="1" x14ac:dyDescent="0.25">
      <c r="A651" s="38">
        <v>30</v>
      </c>
      <c r="B651" s="38" t="s">
        <v>598</v>
      </c>
      <c r="C651" s="38" t="s">
        <v>599</v>
      </c>
      <c r="D651" s="38">
        <v>2002</v>
      </c>
      <c r="E651" s="38">
        <v>2000</v>
      </c>
      <c r="F651" s="38" t="s">
        <v>600</v>
      </c>
      <c r="G651" s="38" t="s">
        <v>601</v>
      </c>
      <c r="H651" s="38">
        <f t="shared" si="196"/>
        <v>38.533333333333331</v>
      </c>
      <c r="I651" s="38">
        <f t="shared" si="197"/>
        <v>-121.78333333333333</v>
      </c>
      <c r="J651" s="38">
        <v>18.399999999999999</v>
      </c>
      <c r="N651" s="38">
        <v>483</v>
      </c>
      <c r="P651" s="57" t="s">
        <v>189</v>
      </c>
      <c r="Q651" s="57"/>
      <c r="R651" s="57">
        <v>36562</v>
      </c>
      <c r="S651" s="57" t="s">
        <v>674</v>
      </c>
      <c r="U651" s="38">
        <v>36</v>
      </c>
      <c r="V651" s="38">
        <v>46</v>
      </c>
      <c r="W651" s="38" t="s">
        <v>182</v>
      </c>
      <c r="AA651" s="38" t="s">
        <v>1694</v>
      </c>
      <c r="AB651" s="38" t="s">
        <v>1513</v>
      </c>
      <c r="AC651" s="38" t="s">
        <v>1741</v>
      </c>
      <c r="AD651" s="38" t="s">
        <v>602</v>
      </c>
      <c r="AE651" s="38" t="s">
        <v>602</v>
      </c>
      <c r="AF651" s="38" t="s">
        <v>252</v>
      </c>
      <c r="AJ651" s="38" t="s">
        <v>494</v>
      </c>
      <c r="AK651" s="38" t="s">
        <v>604</v>
      </c>
      <c r="AL651" s="38" t="s">
        <v>693</v>
      </c>
      <c r="AM651" s="38" t="s">
        <v>160</v>
      </c>
      <c r="AN651" s="38">
        <v>4</v>
      </c>
      <c r="AO651" s="38">
        <v>4</v>
      </c>
      <c r="AP651" s="38" t="s">
        <v>448</v>
      </c>
      <c r="AT651" s="64"/>
      <c r="DD651" s="38">
        <v>0.11310000000000001</v>
      </c>
      <c r="DE651" s="38">
        <v>0.11310000000000001</v>
      </c>
      <c r="DF651" s="38" t="s">
        <v>605</v>
      </c>
      <c r="DP651" s="12"/>
      <c r="DR651" s="15"/>
      <c r="EL651" s="38" t="s">
        <v>946</v>
      </c>
      <c r="EN651" s="38">
        <v>30</v>
      </c>
    </row>
    <row r="652" spans="1:144" s="38" customFormat="1" x14ac:dyDescent="0.25">
      <c r="A652" s="38">
        <v>30</v>
      </c>
      <c r="B652" s="38" t="s">
        <v>598</v>
      </c>
      <c r="C652" s="38" t="s">
        <v>599</v>
      </c>
      <c r="D652" s="38">
        <v>2002</v>
      </c>
      <c r="E652" s="38">
        <v>2000</v>
      </c>
      <c r="F652" s="38" t="s">
        <v>600</v>
      </c>
      <c r="G652" s="38" t="s">
        <v>601</v>
      </c>
      <c r="H652" s="38">
        <f t="shared" si="196"/>
        <v>38.533333333333331</v>
      </c>
      <c r="I652" s="38">
        <f t="shared" si="197"/>
        <v>-121.78333333333333</v>
      </c>
      <c r="J652" s="38">
        <v>18.399999999999999</v>
      </c>
      <c r="N652" s="38">
        <v>483</v>
      </c>
      <c r="P652" s="57" t="s">
        <v>189</v>
      </c>
      <c r="Q652" s="57"/>
      <c r="R652" s="57">
        <v>36566</v>
      </c>
      <c r="S652" s="57" t="s">
        <v>674</v>
      </c>
      <c r="U652" s="38">
        <v>36</v>
      </c>
      <c r="V652" s="38">
        <v>46</v>
      </c>
      <c r="W652" s="38" t="s">
        <v>182</v>
      </c>
      <c r="AA652" s="38" t="s">
        <v>1694</v>
      </c>
      <c r="AB652" s="38" t="s">
        <v>1513</v>
      </c>
      <c r="AC652" s="38" t="s">
        <v>1741</v>
      </c>
      <c r="AD652" s="38" t="s">
        <v>602</v>
      </c>
      <c r="AE652" s="38" t="s">
        <v>602</v>
      </c>
      <c r="AF652" s="38" t="s">
        <v>252</v>
      </c>
      <c r="AJ652" s="38" t="s">
        <v>494</v>
      </c>
      <c r="AK652" s="38" t="s">
        <v>603</v>
      </c>
      <c r="AL652" s="38" t="s">
        <v>693</v>
      </c>
      <c r="AM652" s="38" t="s">
        <v>160</v>
      </c>
      <c r="AN652" s="38">
        <v>4</v>
      </c>
      <c r="AO652" s="38">
        <v>4</v>
      </c>
      <c r="AP652" s="38" t="s">
        <v>448</v>
      </c>
      <c r="AT652" s="64"/>
      <c r="DD652" s="38">
        <v>0.113</v>
      </c>
      <c r="DE652" s="38">
        <v>0.114</v>
      </c>
      <c r="DF652" s="38" t="s">
        <v>605</v>
      </c>
      <c r="DP652" s="12"/>
      <c r="DR652" s="15"/>
      <c r="EL652" s="38" t="s">
        <v>946</v>
      </c>
      <c r="EN652" s="38">
        <v>30</v>
      </c>
    </row>
    <row r="653" spans="1:144" s="38" customFormat="1" x14ac:dyDescent="0.25">
      <c r="A653" s="38">
        <v>30</v>
      </c>
      <c r="B653" s="38" t="s">
        <v>598</v>
      </c>
      <c r="C653" s="38" t="s">
        <v>599</v>
      </c>
      <c r="D653" s="38">
        <v>2002</v>
      </c>
      <c r="E653" s="38">
        <v>2000</v>
      </c>
      <c r="F653" s="38" t="s">
        <v>600</v>
      </c>
      <c r="G653" s="38" t="s">
        <v>601</v>
      </c>
      <c r="H653" s="38">
        <f t="shared" si="196"/>
        <v>38.533333333333331</v>
      </c>
      <c r="I653" s="38">
        <f t="shared" si="197"/>
        <v>-121.78333333333333</v>
      </c>
      <c r="J653" s="38">
        <v>18.399999999999999</v>
      </c>
      <c r="N653" s="38">
        <v>483</v>
      </c>
      <c r="P653" s="57" t="s">
        <v>189</v>
      </c>
      <c r="Q653" s="57"/>
      <c r="R653" s="57">
        <v>36566</v>
      </c>
      <c r="S653" s="57" t="s">
        <v>674</v>
      </c>
      <c r="U653" s="38">
        <v>36</v>
      </c>
      <c r="V653" s="38">
        <v>46</v>
      </c>
      <c r="W653" s="38" t="s">
        <v>182</v>
      </c>
      <c r="AA653" s="38" t="s">
        <v>1694</v>
      </c>
      <c r="AB653" s="38" t="s">
        <v>1513</v>
      </c>
      <c r="AC653" s="38" t="s">
        <v>1741</v>
      </c>
      <c r="AD653" s="38" t="s">
        <v>602</v>
      </c>
      <c r="AE653" s="38" t="s">
        <v>602</v>
      </c>
      <c r="AF653" s="38" t="s">
        <v>252</v>
      </c>
      <c r="AJ653" s="38" t="s">
        <v>494</v>
      </c>
      <c r="AK653" s="38" t="s">
        <v>604</v>
      </c>
      <c r="AL653" s="38" t="s">
        <v>693</v>
      </c>
      <c r="AM653" s="38" t="s">
        <v>160</v>
      </c>
      <c r="AN653" s="38">
        <v>4</v>
      </c>
      <c r="AO653" s="38">
        <v>4</v>
      </c>
      <c r="AP653" s="38" t="s">
        <v>448</v>
      </c>
      <c r="AT653" s="64"/>
      <c r="DD653" s="38">
        <v>0.113</v>
      </c>
      <c r="DE653" s="38">
        <v>0.112</v>
      </c>
      <c r="DF653" s="38" t="s">
        <v>605</v>
      </c>
      <c r="DP653" s="12"/>
      <c r="DR653" s="15"/>
      <c r="EL653" s="38" t="s">
        <v>946</v>
      </c>
      <c r="EN653" s="38">
        <v>30</v>
      </c>
    </row>
    <row r="654" spans="1:144" s="38" customFormat="1" x14ac:dyDescent="0.25">
      <c r="A654" s="38">
        <v>30</v>
      </c>
      <c r="B654" s="38" t="s">
        <v>598</v>
      </c>
      <c r="C654" s="38" t="s">
        <v>599</v>
      </c>
      <c r="D654" s="38">
        <v>2002</v>
      </c>
      <c r="E654" s="38">
        <v>2000</v>
      </c>
      <c r="F654" s="38" t="s">
        <v>600</v>
      </c>
      <c r="G654" s="38" t="s">
        <v>601</v>
      </c>
      <c r="H654" s="38">
        <f t="shared" si="196"/>
        <v>38.533333333333331</v>
      </c>
      <c r="I654" s="38">
        <f t="shared" si="197"/>
        <v>-121.78333333333333</v>
      </c>
      <c r="J654" s="38">
        <v>18.399999999999999</v>
      </c>
      <c r="N654" s="38">
        <v>483</v>
      </c>
      <c r="P654" s="57" t="s">
        <v>189</v>
      </c>
      <c r="Q654" s="57"/>
      <c r="R654" s="57">
        <v>36572</v>
      </c>
      <c r="S654" s="57" t="s">
        <v>674</v>
      </c>
      <c r="U654" s="38">
        <v>36</v>
      </c>
      <c r="V654" s="38">
        <v>46</v>
      </c>
      <c r="W654" s="38" t="s">
        <v>182</v>
      </c>
      <c r="AA654" s="38" t="s">
        <v>1694</v>
      </c>
      <c r="AB654" s="38" t="s">
        <v>1513</v>
      </c>
      <c r="AC654" s="38" t="s">
        <v>1741</v>
      </c>
      <c r="AD654" s="38" t="s">
        <v>602</v>
      </c>
      <c r="AE654" s="38" t="s">
        <v>602</v>
      </c>
      <c r="AF654" s="38" t="s">
        <v>252</v>
      </c>
      <c r="AJ654" s="38" t="s">
        <v>494</v>
      </c>
      <c r="AK654" s="38" t="s">
        <v>603</v>
      </c>
      <c r="AL654" s="38" t="s">
        <v>693</v>
      </c>
      <c r="AM654" s="38" t="s">
        <v>160</v>
      </c>
      <c r="AN654" s="38">
        <v>4</v>
      </c>
      <c r="AO654" s="38">
        <v>4</v>
      </c>
      <c r="AP654" s="38" t="s">
        <v>448</v>
      </c>
      <c r="AT654" s="64"/>
      <c r="DD654" s="38">
        <v>0.1318</v>
      </c>
      <c r="DE654" s="38">
        <v>0.1318</v>
      </c>
      <c r="DF654" s="38" t="s">
        <v>605</v>
      </c>
      <c r="DP654" s="12"/>
      <c r="DR654" s="15"/>
      <c r="EL654" s="38" t="s">
        <v>946</v>
      </c>
      <c r="EN654" s="38">
        <v>30</v>
      </c>
    </row>
    <row r="655" spans="1:144" s="38" customFormat="1" x14ac:dyDescent="0.25">
      <c r="A655" s="38">
        <v>30</v>
      </c>
      <c r="B655" s="38" t="s">
        <v>598</v>
      </c>
      <c r="C655" s="38" t="s">
        <v>599</v>
      </c>
      <c r="D655" s="38">
        <v>2002</v>
      </c>
      <c r="E655" s="38">
        <v>2000</v>
      </c>
      <c r="F655" s="38" t="s">
        <v>600</v>
      </c>
      <c r="G655" s="38" t="s">
        <v>601</v>
      </c>
      <c r="H655" s="38">
        <f t="shared" si="196"/>
        <v>38.533333333333331</v>
      </c>
      <c r="I655" s="38">
        <f t="shared" si="197"/>
        <v>-121.78333333333333</v>
      </c>
      <c r="J655" s="38">
        <v>18.399999999999999</v>
      </c>
      <c r="N655" s="38">
        <v>483</v>
      </c>
      <c r="P655" s="57" t="s">
        <v>189</v>
      </c>
      <c r="Q655" s="57"/>
      <c r="R655" s="57">
        <v>36572</v>
      </c>
      <c r="S655" s="57" t="s">
        <v>674</v>
      </c>
      <c r="U655" s="38">
        <v>36</v>
      </c>
      <c r="V655" s="38">
        <v>46</v>
      </c>
      <c r="W655" s="38" t="s">
        <v>182</v>
      </c>
      <c r="AA655" s="38" t="s">
        <v>1694</v>
      </c>
      <c r="AB655" s="38" t="s">
        <v>1513</v>
      </c>
      <c r="AC655" s="38" t="s">
        <v>1741</v>
      </c>
      <c r="AD655" s="38" t="s">
        <v>602</v>
      </c>
      <c r="AE655" s="38" t="s">
        <v>602</v>
      </c>
      <c r="AF655" s="38" t="s">
        <v>252</v>
      </c>
      <c r="AJ655" s="38" t="s">
        <v>494</v>
      </c>
      <c r="AK655" s="38" t="s">
        <v>604</v>
      </c>
      <c r="AL655" s="38" t="s">
        <v>693</v>
      </c>
      <c r="AM655" s="38" t="s">
        <v>160</v>
      </c>
      <c r="AN655" s="38">
        <v>4</v>
      </c>
      <c r="AO655" s="38">
        <v>4</v>
      </c>
      <c r="AP655" s="38" t="s">
        <v>448</v>
      </c>
      <c r="AT655" s="64"/>
      <c r="DD655" s="38">
        <v>0.1318</v>
      </c>
      <c r="DE655" s="38">
        <v>0.14699999999999999</v>
      </c>
      <c r="DF655" s="38" t="s">
        <v>605</v>
      </c>
      <c r="DP655" s="12"/>
      <c r="DR655" s="15"/>
      <c r="EL655" s="38" t="s">
        <v>946</v>
      </c>
      <c r="EN655" s="38">
        <v>30</v>
      </c>
    </row>
    <row r="656" spans="1:144" s="38" customFormat="1" x14ac:dyDescent="0.25">
      <c r="A656" s="38">
        <v>30</v>
      </c>
      <c r="B656" s="38" t="s">
        <v>598</v>
      </c>
      <c r="C656" s="38" t="s">
        <v>599</v>
      </c>
      <c r="D656" s="38">
        <v>2002</v>
      </c>
      <c r="E656" s="38">
        <v>2000</v>
      </c>
      <c r="F656" s="38" t="s">
        <v>600</v>
      </c>
      <c r="G656" s="38" t="s">
        <v>601</v>
      </c>
      <c r="H656" s="38">
        <f t="shared" si="196"/>
        <v>38.533333333333331</v>
      </c>
      <c r="I656" s="38">
        <f t="shared" si="197"/>
        <v>-121.78333333333333</v>
      </c>
      <c r="J656" s="38">
        <v>18.399999999999999</v>
      </c>
      <c r="N656" s="38">
        <v>483</v>
      </c>
      <c r="P656" s="57" t="s">
        <v>189</v>
      </c>
      <c r="Q656" s="57"/>
      <c r="R656" s="57">
        <v>36582</v>
      </c>
      <c r="S656" s="57" t="s">
        <v>674</v>
      </c>
      <c r="U656" s="38">
        <v>36</v>
      </c>
      <c r="V656" s="38">
        <v>46</v>
      </c>
      <c r="W656" s="38" t="s">
        <v>182</v>
      </c>
      <c r="AA656" s="38" t="s">
        <v>1694</v>
      </c>
      <c r="AB656" s="38" t="s">
        <v>1513</v>
      </c>
      <c r="AC656" s="38" t="s">
        <v>1741</v>
      </c>
      <c r="AD656" s="38" t="s">
        <v>602</v>
      </c>
      <c r="AE656" s="38" t="s">
        <v>602</v>
      </c>
      <c r="AF656" s="38" t="s">
        <v>252</v>
      </c>
      <c r="AJ656" s="38" t="s">
        <v>494</v>
      </c>
      <c r="AK656" s="38" t="s">
        <v>603</v>
      </c>
      <c r="AL656" s="38" t="s">
        <v>693</v>
      </c>
      <c r="AM656" s="38" t="s">
        <v>160</v>
      </c>
      <c r="AN656" s="38">
        <v>4</v>
      </c>
      <c r="AO656" s="38">
        <v>4</v>
      </c>
      <c r="AP656" s="38" t="s">
        <v>448</v>
      </c>
      <c r="AT656" s="64"/>
      <c r="DD656" s="38">
        <v>0.14610000000000001</v>
      </c>
      <c r="DE656" s="38">
        <v>0.16400000000000001</v>
      </c>
      <c r="DF656" s="38" t="s">
        <v>605</v>
      </c>
      <c r="DP656" s="12"/>
      <c r="DR656" s="15"/>
      <c r="EL656" s="38" t="s">
        <v>946</v>
      </c>
      <c r="EN656" s="38">
        <v>30</v>
      </c>
    </row>
    <row r="657" spans="1:144" s="38" customFormat="1" x14ac:dyDescent="0.25">
      <c r="A657" s="38">
        <v>30</v>
      </c>
      <c r="B657" s="38" t="s">
        <v>598</v>
      </c>
      <c r="C657" s="38" t="s">
        <v>599</v>
      </c>
      <c r="D657" s="38">
        <v>2002</v>
      </c>
      <c r="E657" s="38">
        <v>2000</v>
      </c>
      <c r="F657" s="38" t="s">
        <v>600</v>
      </c>
      <c r="G657" s="38" t="s">
        <v>601</v>
      </c>
      <c r="H657" s="38">
        <f t="shared" si="196"/>
        <v>38.533333333333331</v>
      </c>
      <c r="I657" s="38">
        <f t="shared" si="197"/>
        <v>-121.78333333333333</v>
      </c>
      <c r="J657" s="38">
        <v>18.399999999999999</v>
      </c>
      <c r="N657" s="38">
        <v>483</v>
      </c>
      <c r="P657" s="57" t="s">
        <v>189</v>
      </c>
      <c r="Q657" s="57"/>
      <c r="R657" s="57">
        <v>36582</v>
      </c>
      <c r="S657" s="57" t="s">
        <v>674</v>
      </c>
      <c r="U657" s="38">
        <v>36</v>
      </c>
      <c r="V657" s="38">
        <v>46</v>
      </c>
      <c r="W657" s="38" t="s">
        <v>182</v>
      </c>
      <c r="AA657" s="38" t="s">
        <v>1694</v>
      </c>
      <c r="AB657" s="38" t="s">
        <v>1513</v>
      </c>
      <c r="AC657" s="38" t="s">
        <v>1741</v>
      </c>
      <c r="AD657" s="38" t="s">
        <v>602</v>
      </c>
      <c r="AE657" s="38" t="s">
        <v>602</v>
      </c>
      <c r="AF657" s="38" t="s">
        <v>252</v>
      </c>
      <c r="AJ657" s="38" t="s">
        <v>494</v>
      </c>
      <c r="AK657" s="38" t="s">
        <v>604</v>
      </c>
      <c r="AL657" s="38" t="s">
        <v>693</v>
      </c>
      <c r="AM657" s="38" t="s">
        <v>160</v>
      </c>
      <c r="AN657" s="38">
        <v>4</v>
      </c>
      <c r="AO657" s="38">
        <v>4</v>
      </c>
      <c r="AP657" s="38" t="s">
        <v>448</v>
      </c>
      <c r="AT657" s="64"/>
      <c r="DD657" s="38">
        <v>0.14610000000000001</v>
      </c>
      <c r="DE657" s="38">
        <v>0.1658</v>
      </c>
      <c r="DF657" s="38" t="s">
        <v>605</v>
      </c>
      <c r="DP657" s="12"/>
      <c r="DR657" s="15"/>
      <c r="EL657" s="38" t="s">
        <v>946</v>
      </c>
      <c r="EN657" s="38">
        <v>30</v>
      </c>
    </row>
    <row r="658" spans="1:144" s="38" customFormat="1" x14ac:dyDescent="0.25">
      <c r="A658" s="38">
        <v>30</v>
      </c>
      <c r="B658" s="38" t="s">
        <v>598</v>
      </c>
      <c r="C658" s="38" t="s">
        <v>599</v>
      </c>
      <c r="D658" s="38">
        <v>2002</v>
      </c>
      <c r="E658" s="38">
        <v>2000</v>
      </c>
      <c r="F658" s="38" t="s">
        <v>600</v>
      </c>
      <c r="G658" s="38" t="s">
        <v>601</v>
      </c>
      <c r="H658" s="38">
        <f t="shared" si="196"/>
        <v>38.533333333333331</v>
      </c>
      <c r="I658" s="38">
        <f t="shared" si="197"/>
        <v>-121.78333333333333</v>
      </c>
      <c r="J658" s="38">
        <v>18.399999999999999</v>
      </c>
      <c r="N658" s="38">
        <v>483</v>
      </c>
      <c r="P658" s="57" t="s">
        <v>189</v>
      </c>
      <c r="Q658" s="57"/>
      <c r="R658" s="57">
        <v>36587</v>
      </c>
      <c r="S658" s="57" t="s">
        <v>674</v>
      </c>
      <c r="U658" s="38">
        <v>36</v>
      </c>
      <c r="V658" s="38">
        <v>46</v>
      </c>
      <c r="W658" s="38" t="s">
        <v>182</v>
      </c>
      <c r="AA658" s="38" t="s">
        <v>1694</v>
      </c>
      <c r="AB658" s="38" t="s">
        <v>1513</v>
      </c>
      <c r="AC658" s="38" t="s">
        <v>1741</v>
      </c>
      <c r="AD658" s="38" t="s">
        <v>602</v>
      </c>
      <c r="AE658" s="38" t="s">
        <v>602</v>
      </c>
      <c r="AF658" s="38" t="s">
        <v>252</v>
      </c>
      <c r="AJ658" s="38" t="s">
        <v>494</v>
      </c>
      <c r="AK658" s="38" t="s">
        <v>603</v>
      </c>
      <c r="AL658" s="38" t="s">
        <v>693</v>
      </c>
      <c r="AM658" s="38" t="s">
        <v>160</v>
      </c>
      <c r="AN658" s="38">
        <v>4</v>
      </c>
      <c r="AO658" s="38">
        <v>4</v>
      </c>
      <c r="AP658" s="38" t="s">
        <v>448</v>
      </c>
      <c r="AT658" s="64"/>
      <c r="DD658" s="38">
        <v>0.15140000000000001</v>
      </c>
      <c r="DE658" s="38">
        <v>0.18720000000000001</v>
      </c>
      <c r="DF658" s="38" t="s">
        <v>605</v>
      </c>
      <c r="DP658" s="12"/>
      <c r="DR658" s="15"/>
      <c r="EL658" s="38" t="s">
        <v>946</v>
      </c>
      <c r="EN658" s="38">
        <v>30</v>
      </c>
    </row>
    <row r="659" spans="1:144" s="38" customFormat="1" x14ac:dyDescent="0.25">
      <c r="A659" s="38">
        <v>30</v>
      </c>
      <c r="B659" s="38" t="s">
        <v>598</v>
      </c>
      <c r="C659" s="38" t="s">
        <v>599</v>
      </c>
      <c r="D659" s="38">
        <v>2002</v>
      </c>
      <c r="E659" s="38">
        <v>2000</v>
      </c>
      <c r="F659" s="38" t="s">
        <v>600</v>
      </c>
      <c r="G659" s="38" t="s">
        <v>601</v>
      </c>
      <c r="H659" s="38">
        <f t="shared" si="196"/>
        <v>38.533333333333331</v>
      </c>
      <c r="I659" s="38">
        <f t="shared" si="197"/>
        <v>-121.78333333333333</v>
      </c>
      <c r="J659" s="38">
        <v>18.399999999999999</v>
      </c>
      <c r="N659" s="38">
        <v>483</v>
      </c>
      <c r="P659" s="57" t="s">
        <v>189</v>
      </c>
      <c r="Q659" s="57"/>
      <c r="R659" s="57">
        <v>36587</v>
      </c>
      <c r="S659" s="57" t="s">
        <v>674</v>
      </c>
      <c r="U659" s="38">
        <v>36</v>
      </c>
      <c r="V659" s="38">
        <v>46</v>
      </c>
      <c r="W659" s="38" t="s">
        <v>182</v>
      </c>
      <c r="AA659" s="38" t="s">
        <v>1694</v>
      </c>
      <c r="AB659" s="38" t="s">
        <v>1513</v>
      </c>
      <c r="AC659" s="38" t="s">
        <v>1741</v>
      </c>
      <c r="AD659" s="38" t="s">
        <v>602</v>
      </c>
      <c r="AE659" s="38" t="s">
        <v>602</v>
      </c>
      <c r="AF659" s="38" t="s">
        <v>252</v>
      </c>
      <c r="AJ659" s="38" t="s">
        <v>494</v>
      </c>
      <c r="AK659" s="38" t="s">
        <v>604</v>
      </c>
      <c r="AL659" s="38" t="s">
        <v>693</v>
      </c>
      <c r="AM659" s="38" t="s">
        <v>160</v>
      </c>
      <c r="AN659" s="38">
        <v>4</v>
      </c>
      <c r="AO659" s="38">
        <v>4</v>
      </c>
      <c r="AP659" s="38" t="s">
        <v>448</v>
      </c>
      <c r="AT659" s="64"/>
      <c r="DD659" s="38">
        <v>0.15140000000000001</v>
      </c>
      <c r="DE659" s="38">
        <v>0.1792</v>
      </c>
      <c r="DF659" s="38" t="s">
        <v>605</v>
      </c>
      <c r="DP659" s="12"/>
      <c r="DR659" s="15"/>
      <c r="EL659" s="38" t="s">
        <v>946</v>
      </c>
      <c r="EN659" s="38">
        <v>30</v>
      </c>
    </row>
    <row r="660" spans="1:144" s="38" customFormat="1" x14ac:dyDescent="0.25">
      <c r="A660" s="38">
        <v>30</v>
      </c>
      <c r="B660" s="38" t="s">
        <v>598</v>
      </c>
      <c r="C660" s="38" t="s">
        <v>599</v>
      </c>
      <c r="D660" s="38">
        <v>2002</v>
      </c>
      <c r="E660" s="38">
        <v>2000</v>
      </c>
      <c r="F660" s="38" t="s">
        <v>600</v>
      </c>
      <c r="G660" s="38" t="s">
        <v>601</v>
      </c>
      <c r="H660" s="38">
        <f t="shared" si="196"/>
        <v>38.533333333333331</v>
      </c>
      <c r="I660" s="38">
        <f t="shared" si="197"/>
        <v>-121.78333333333333</v>
      </c>
      <c r="J660" s="38">
        <v>18.399999999999999</v>
      </c>
      <c r="N660" s="38">
        <v>483</v>
      </c>
      <c r="P660" s="57" t="s">
        <v>189</v>
      </c>
      <c r="Q660" s="57"/>
      <c r="R660" s="57">
        <v>36598</v>
      </c>
      <c r="S660" s="57" t="s">
        <v>674</v>
      </c>
      <c r="U660" s="38">
        <v>36</v>
      </c>
      <c r="V660" s="38">
        <v>46</v>
      </c>
      <c r="W660" s="38" t="s">
        <v>182</v>
      </c>
      <c r="AA660" s="38" t="s">
        <v>1694</v>
      </c>
      <c r="AB660" s="38" t="s">
        <v>1513</v>
      </c>
      <c r="AC660" s="38" t="s">
        <v>1741</v>
      </c>
      <c r="AD660" s="38" t="s">
        <v>602</v>
      </c>
      <c r="AE660" s="38" t="s">
        <v>602</v>
      </c>
      <c r="AF660" s="38" t="s">
        <v>252</v>
      </c>
      <c r="AJ660" s="38" t="s">
        <v>494</v>
      </c>
      <c r="AK660" s="38" t="s">
        <v>603</v>
      </c>
      <c r="AL660" s="38" t="s">
        <v>693</v>
      </c>
      <c r="AM660" s="38" t="s">
        <v>160</v>
      </c>
      <c r="AN660" s="38">
        <v>4</v>
      </c>
      <c r="AO660" s="38">
        <v>4</v>
      </c>
      <c r="AP660" s="38" t="s">
        <v>448</v>
      </c>
      <c r="AT660" s="64"/>
      <c r="DD660" s="38">
        <v>0.14960000000000001</v>
      </c>
      <c r="DE660" s="38">
        <v>0.1953</v>
      </c>
      <c r="DF660" s="38" t="s">
        <v>605</v>
      </c>
      <c r="DP660" s="12"/>
      <c r="DR660" s="15"/>
      <c r="EL660" s="38" t="s">
        <v>946</v>
      </c>
      <c r="EN660" s="38">
        <v>30</v>
      </c>
    </row>
    <row r="661" spans="1:144" s="38" customFormat="1" x14ac:dyDescent="0.25">
      <c r="A661" s="38">
        <v>30</v>
      </c>
      <c r="B661" s="38" t="s">
        <v>598</v>
      </c>
      <c r="C661" s="38" t="s">
        <v>599</v>
      </c>
      <c r="D661" s="38">
        <v>2002</v>
      </c>
      <c r="E661" s="38">
        <v>2000</v>
      </c>
      <c r="F661" s="38" t="s">
        <v>600</v>
      </c>
      <c r="G661" s="38" t="s">
        <v>601</v>
      </c>
      <c r="H661" s="38">
        <f t="shared" si="196"/>
        <v>38.533333333333331</v>
      </c>
      <c r="I661" s="38">
        <f t="shared" si="197"/>
        <v>-121.78333333333333</v>
      </c>
      <c r="J661" s="38">
        <v>18.399999999999999</v>
      </c>
      <c r="N661" s="38">
        <v>483</v>
      </c>
      <c r="P661" s="57" t="s">
        <v>189</v>
      </c>
      <c r="Q661" s="57"/>
      <c r="R661" s="57">
        <v>36598</v>
      </c>
      <c r="S661" s="57" t="s">
        <v>674</v>
      </c>
      <c r="U661" s="38">
        <v>36</v>
      </c>
      <c r="V661" s="38">
        <v>46</v>
      </c>
      <c r="W661" s="38" t="s">
        <v>182</v>
      </c>
      <c r="AA661" s="38" t="s">
        <v>1694</v>
      </c>
      <c r="AB661" s="38" t="s">
        <v>1513</v>
      </c>
      <c r="AC661" s="38" t="s">
        <v>1741</v>
      </c>
      <c r="AD661" s="38" t="s">
        <v>602</v>
      </c>
      <c r="AE661" s="38" t="s">
        <v>602</v>
      </c>
      <c r="AF661" s="38" t="s">
        <v>252</v>
      </c>
      <c r="AJ661" s="38" t="s">
        <v>494</v>
      </c>
      <c r="AK661" s="38" t="s">
        <v>604</v>
      </c>
      <c r="AL661" s="38" t="s">
        <v>693</v>
      </c>
      <c r="AM661" s="38" t="s">
        <v>160</v>
      </c>
      <c r="AN661" s="38">
        <v>4</v>
      </c>
      <c r="AO661" s="38">
        <v>4</v>
      </c>
      <c r="AP661" s="38" t="s">
        <v>448</v>
      </c>
      <c r="AT661" s="64"/>
      <c r="DD661" s="38">
        <v>0.14960000000000001</v>
      </c>
      <c r="DE661" s="38">
        <v>0.18540000000000001</v>
      </c>
      <c r="DF661" s="38" t="s">
        <v>605</v>
      </c>
      <c r="DP661" s="12"/>
      <c r="DR661" s="15"/>
      <c r="EL661" s="38" t="s">
        <v>946</v>
      </c>
      <c r="EN661" s="38">
        <v>30</v>
      </c>
    </row>
    <row r="662" spans="1:144" s="23" customFormat="1" x14ac:dyDescent="0.25">
      <c r="A662" s="23">
        <v>30</v>
      </c>
      <c r="B662" s="23" t="s">
        <v>598</v>
      </c>
      <c r="C662" s="23" t="s">
        <v>599</v>
      </c>
      <c r="D662" s="23">
        <v>2002</v>
      </c>
      <c r="E662" s="23">
        <v>1998</v>
      </c>
      <c r="F662" s="23" t="s">
        <v>600</v>
      </c>
      <c r="G662" s="23" t="s">
        <v>601</v>
      </c>
      <c r="H662" s="23">
        <f t="shared" ref="H662:H693" si="198">38+32/60</f>
        <v>38.533333333333331</v>
      </c>
      <c r="I662" s="23">
        <f t="shared" ref="I662:I693" si="199">-121-47/60</f>
        <v>-121.78333333333333</v>
      </c>
      <c r="J662" s="23">
        <v>18.399999999999999</v>
      </c>
      <c r="N662" s="23">
        <v>483</v>
      </c>
      <c r="P662" s="53" t="s">
        <v>187</v>
      </c>
      <c r="Q662" s="53"/>
      <c r="R662" s="53">
        <v>36145</v>
      </c>
      <c r="S662" s="53" t="s">
        <v>675</v>
      </c>
      <c r="U662" s="23">
        <v>36</v>
      </c>
      <c r="V662" s="23">
        <v>46</v>
      </c>
      <c r="W662" s="23" t="s">
        <v>182</v>
      </c>
      <c r="AA662" s="23" t="s">
        <v>1694</v>
      </c>
      <c r="AB662" s="23" t="s">
        <v>1513</v>
      </c>
      <c r="AC662" s="23" t="s">
        <v>1741</v>
      </c>
      <c r="AD662" s="23" t="s">
        <v>602</v>
      </c>
      <c r="AE662" s="23" t="s">
        <v>602</v>
      </c>
      <c r="AF662" s="23" t="s">
        <v>252</v>
      </c>
      <c r="AJ662" s="23" t="s">
        <v>494</v>
      </c>
      <c r="AK662" s="23" t="s">
        <v>603</v>
      </c>
      <c r="AL662" s="23" t="s">
        <v>693</v>
      </c>
      <c r="AM662" s="23" t="s">
        <v>160</v>
      </c>
      <c r="AN662" s="23">
        <v>4</v>
      </c>
      <c r="AO662" s="23">
        <v>4</v>
      </c>
      <c r="AP662" s="23" t="s">
        <v>448</v>
      </c>
      <c r="AT662" s="64"/>
      <c r="DD662" s="23">
        <v>0.14299999999999999</v>
      </c>
      <c r="DE662" s="23">
        <v>0.19539999999999999</v>
      </c>
      <c r="DF662" s="23" t="s">
        <v>605</v>
      </c>
      <c r="DP662" s="12"/>
      <c r="DR662" s="15"/>
      <c r="EL662" s="23" t="s">
        <v>946</v>
      </c>
      <c r="EN662" s="23">
        <v>30</v>
      </c>
    </row>
    <row r="663" spans="1:144" s="23" customFormat="1" x14ac:dyDescent="0.25">
      <c r="A663" s="23">
        <v>30</v>
      </c>
      <c r="B663" s="23" t="s">
        <v>598</v>
      </c>
      <c r="C663" s="23" t="s">
        <v>599</v>
      </c>
      <c r="D663" s="23">
        <v>2002</v>
      </c>
      <c r="E663" s="23">
        <v>1998</v>
      </c>
      <c r="F663" s="23" t="s">
        <v>600</v>
      </c>
      <c r="G663" s="23" t="s">
        <v>601</v>
      </c>
      <c r="H663" s="23">
        <f t="shared" si="198"/>
        <v>38.533333333333331</v>
      </c>
      <c r="I663" s="23">
        <f t="shared" si="199"/>
        <v>-121.78333333333333</v>
      </c>
      <c r="J663" s="23">
        <v>18.399999999999999</v>
      </c>
      <c r="N663" s="23">
        <v>483</v>
      </c>
      <c r="P663" s="53" t="s">
        <v>187</v>
      </c>
      <c r="Q663" s="53"/>
      <c r="R663" s="53">
        <v>36145</v>
      </c>
      <c r="S663" s="53" t="s">
        <v>675</v>
      </c>
      <c r="U663" s="23">
        <v>36</v>
      </c>
      <c r="V663" s="23">
        <v>46</v>
      </c>
      <c r="W663" s="23" t="s">
        <v>182</v>
      </c>
      <c r="AA663" s="23" t="s">
        <v>1694</v>
      </c>
      <c r="AB663" s="23" t="s">
        <v>1513</v>
      </c>
      <c r="AC663" s="23" t="s">
        <v>1741</v>
      </c>
      <c r="AD663" s="23" t="s">
        <v>602</v>
      </c>
      <c r="AE663" s="23" t="s">
        <v>602</v>
      </c>
      <c r="AF663" s="23" t="s">
        <v>252</v>
      </c>
      <c r="AJ663" s="23" t="s">
        <v>494</v>
      </c>
      <c r="AK663" s="23" t="s">
        <v>604</v>
      </c>
      <c r="AL663" s="23" t="s">
        <v>693</v>
      </c>
      <c r="AM663" s="23" t="s">
        <v>160</v>
      </c>
      <c r="AN663" s="23">
        <v>4</v>
      </c>
      <c r="AO663" s="23">
        <v>4</v>
      </c>
      <c r="AP663" s="23" t="s">
        <v>448</v>
      </c>
      <c r="AT663" s="64"/>
      <c r="DD663" s="23">
        <v>0.14299999999999999</v>
      </c>
      <c r="DE663" s="23">
        <v>0.17799999999999999</v>
      </c>
      <c r="DF663" s="23" t="s">
        <v>605</v>
      </c>
      <c r="DP663" s="12"/>
      <c r="DR663" s="15"/>
      <c r="EL663" s="23" t="s">
        <v>946</v>
      </c>
      <c r="EN663" s="23">
        <v>30</v>
      </c>
    </row>
    <row r="664" spans="1:144" s="23" customFormat="1" x14ac:dyDescent="0.25">
      <c r="A664" s="23">
        <v>30</v>
      </c>
      <c r="B664" s="23" t="s">
        <v>598</v>
      </c>
      <c r="C664" s="23" t="s">
        <v>599</v>
      </c>
      <c r="D664" s="23">
        <v>2002</v>
      </c>
      <c r="E664" s="23">
        <v>1999</v>
      </c>
      <c r="F664" s="23" t="s">
        <v>600</v>
      </c>
      <c r="G664" s="23" t="s">
        <v>601</v>
      </c>
      <c r="H664" s="23">
        <f t="shared" si="198"/>
        <v>38.533333333333331</v>
      </c>
      <c r="I664" s="23">
        <f t="shared" si="199"/>
        <v>-121.78333333333333</v>
      </c>
      <c r="J664" s="23">
        <v>18.399999999999999</v>
      </c>
      <c r="N664" s="23">
        <v>483</v>
      </c>
      <c r="P664" s="53" t="s">
        <v>188</v>
      </c>
      <c r="Q664" s="53"/>
      <c r="R664" s="53">
        <v>36170</v>
      </c>
      <c r="S664" s="53" t="s">
        <v>675</v>
      </c>
      <c r="U664" s="23">
        <v>36</v>
      </c>
      <c r="V664" s="23">
        <v>46</v>
      </c>
      <c r="W664" s="23" t="s">
        <v>182</v>
      </c>
      <c r="AA664" s="23" t="s">
        <v>1694</v>
      </c>
      <c r="AB664" s="23" t="s">
        <v>1513</v>
      </c>
      <c r="AC664" s="23" t="s">
        <v>1741</v>
      </c>
      <c r="AD664" s="23" t="s">
        <v>602</v>
      </c>
      <c r="AE664" s="23" t="s">
        <v>602</v>
      </c>
      <c r="AF664" s="23" t="s">
        <v>252</v>
      </c>
      <c r="AJ664" s="23" t="s">
        <v>494</v>
      </c>
      <c r="AK664" s="23" t="s">
        <v>603</v>
      </c>
      <c r="AL664" s="23" t="s">
        <v>693</v>
      </c>
      <c r="AM664" s="23" t="s">
        <v>160</v>
      </c>
      <c r="AN664" s="23">
        <v>4</v>
      </c>
      <c r="AO664" s="23">
        <v>4</v>
      </c>
      <c r="AP664" s="23" t="s">
        <v>448</v>
      </c>
      <c r="AT664" s="64"/>
      <c r="DD664" s="23">
        <v>0.13950000000000001</v>
      </c>
      <c r="DE664" s="23">
        <v>0.1789</v>
      </c>
      <c r="DF664" s="23" t="s">
        <v>605</v>
      </c>
      <c r="DP664" s="12"/>
      <c r="DR664" s="15"/>
      <c r="EL664" s="23" t="s">
        <v>946</v>
      </c>
      <c r="EN664" s="23">
        <v>30</v>
      </c>
    </row>
    <row r="665" spans="1:144" s="23" customFormat="1" x14ac:dyDescent="0.25">
      <c r="A665" s="23">
        <v>30</v>
      </c>
      <c r="B665" s="23" t="s">
        <v>598</v>
      </c>
      <c r="C665" s="23" t="s">
        <v>599</v>
      </c>
      <c r="D665" s="23">
        <v>2002</v>
      </c>
      <c r="E665" s="23">
        <v>1999</v>
      </c>
      <c r="F665" s="23" t="s">
        <v>600</v>
      </c>
      <c r="G665" s="23" t="s">
        <v>601</v>
      </c>
      <c r="H665" s="23">
        <f t="shared" si="198"/>
        <v>38.533333333333331</v>
      </c>
      <c r="I665" s="23">
        <f t="shared" si="199"/>
        <v>-121.78333333333333</v>
      </c>
      <c r="J665" s="23">
        <v>18.399999999999999</v>
      </c>
      <c r="N665" s="23">
        <v>483</v>
      </c>
      <c r="P665" s="53" t="s">
        <v>188</v>
      </c>
      <c r="Q665" s="53"/>
      <c r="R665" s="53">
        <v>36170</v>
      </c>
      <c r="S665" s="53" t="s">
        <v>675</v>
      </c>
      <c r="U665" s="23">
        <v>36</v>
      </c>
      <c r="V665" s="23">
        <v>46</v>
      </c>
      <c r="W665" s="23" t="s">
        <v>182</v>
      </c>
      <c r="AA665" s="23" t="s">
        <v>1694</v>
      </c>
      <c r="AB665" s="23" t="s">
        <v>1513</v>
      </c>
      <c r="AC665" s="23" t="s">
        <v>1741</v>
      </c>
      <c r="AD665" s="23" t="s">
        <v>602</v>
      </c>
      <c r="AE665" s="23" t="s">
        <v>602</v>
      </c>
      <c r="AF665" s="23" t="s">
        <v>252</v>
      </c>
      <c r="AJ665" s="23" t="s">
        <v>494</v>
      </c>
      <c r="AK665" s="23" t="s">
        <v>604</v>
      </c>
      <c r="AL665" s="23" t="s">
        <v>693</v>
      </c>
      <c r="AM665" s="23" t="s">
        <v>160</v>
      </c>
      <c r="AN665" s="23">
        <v>4</v>
      </c>
      <c r="AO665" s="23">
        <v>4</v>
      </c>
      <c r="AP665" s="23" t="s">
        <v>448</v>
      </c>
      <c r="AT665" s="64"/>
      <c r="DD665" s="23">
        <v>0.13950000000000001</v>
      </c>
      <c r="DE665" s="23">
        <v>0.16889999999999999</v>
      </c>
      <c r="DF665" s="23" t="s">
        <v>605</v>
      </c>
      <c r="DP665" s="12"/>
      <c r="DR665" s="15"/>
      <c r="EL665" s="23" t="s">
        <v>946</v>
      </c>
      <c r="EN665" s="23">
        <v>30</v>
      </c>
    </row>
    <row r="666" spans="1:144" s="23" customFormat="1" x14ac:dyDescent="0.25">
      <c r="A666" s="23">
        <v>30</v>
      </c>
      <c r="B666" s="23" t="s">
        <v>598</v>
      </c>
      <c r="C666" s="23" t="s">
        <v>599</v>
      </c>
      <c r="D666" s="23">
        <v>2002</v>
      </c>
      <c r="E666" s="23">
        <v>1999</v>
      </c>
      <c r="F666" s="23" t="s">
        <v>600</v>
      </c>
      <c r="G666" s="23" t="s">
        <v>601</v>
      </c>
      <c r="H666" s="23">
        <f t="shared" si="198"/>
        <v>38.533333333333331</v>
      </c>
      <c r="I666" s="23">
        <f t="shared" si="199"/>
        <v>-121.78333333333333</v>
      </c>
      <c r="J666" s="23">
        <v>18.399999999999999</v>
      </c>
      <c r="N666" s="23">
        <v>483</v>
      </c>
      <c r="P666" s="53" t="s">
        <v>188</v>
      </c>
      <c r="Q666" s="53"/>
      <c r="R666" s="53">
        <v>36187</v>
      </c>
      <c r="S666" s="53" t="s">
        <v>675</v>
      </c>
      <c r="U666" s="23">
        <v>36</v>
      </c>
      <c r="V666" s="23">
        <v>46</v>
      </c>
      <c r="W666" s="23" t="s">
        <v>182</v>
      </c>
      <c r="AA666" s="23" t="s">
        <v>1694</v>
      </c>
      <c r="AB666" s="23" t="s">
        <v>1513</v>
      </c>
      <c r="AC666" s="23" t="s">
        <v>1741</v>
      </c>
      <c r="AD666" s="23" t="s">
        <v>602</v>
      </c>
      <c r="AE666" s="23" t="s">
        <v>602</v>
      </c>
      <c r="AF666" s="23" t="s">
        <v>252</v>
      </c>
      <c r="AJ666" s="23" t="s">
        <v>494</v>
      </c>
      <c r="AK666" s="23" t="s">
        <v>603</v>
      </c>
      <c r="AL666" s="23" t="s">
        <v>693</v>
      </c>
      <c r="AM666" s="23" t="s">
        <v>160</v>
      </c>
      <c r="AN666" s="23">
        <v>4</v>
      </c>
      <c r="AO666" s="23">
        <v>4</v>
      </c>
      <c r="AP666" s="23" t="s">
        <v>448</v>
      </c>
      <c r="AT666" s="64"/>
      <c r="DD666" s="23">
        <v>0.1414</v>
      </c>
      <c r="DE666" s="23">
        <v>0.18820000000000001</v>
      </c>
      <c r="DF666" s="23" t="s">
        <v>605</v>
      </c>
      <c r="DP666" s="12"/>
      <c r="DR666" s="15"/>
      <c r="EL666" s="23" t="s">
        <v>946</v>
      </c>
      <c r="EN666" s="23">
        <v>30</v>
      </c>
    </row>
    <row r="667" spans="1:144" s="23" customFormat="1" x14ac:dyDescent="0.25">
      <c r="A667" s="23">
        <v>30</v>
      </c>
      <c r="B667" s="23" t="s">
        <v>598</v>
      </c>
      <c r="C667" s="23" t="s">
        <v>599</v>
      </c>
      <c r="D667" s="23">
        <v>2002</v>
      </c>
      <c r="E667" s="23">
        <v>1999</v>
      </c>
      <c r="F667" s="23" t="s">
        <v>600</v>
      </c>
      <c r="G667" s="23" t="s">
        <v>601</v>
      </c>
      <c r="H667" s="23">
        <f t="shared" si="198"/>
        <v>38.533333333333331</v>
      </c>
      <c r="I667" s="23">
        <f t="shared" si="199"/>
        <v>-121.78333333333333</v>
      </c>
      <c r="J667" s="23">
        <v>18.399999999999999</v>
      </c>
      <c r="N667" s="23">
        <v>483</v>
      </c>
      <c r="P667" s="53" t="s">
        <v>188</v>
      </c>
      <c r="Q667" s="53"/>
      <c r="R667" s="53">
        <v>36187</v>
      </c>
      <c r="S667" s="53" t="s">
        <v>675</v>
      </c>
      <c r="U667" s="23">
        <v>36</v>
      </c>
      <c r="V667" s="23">
        <v>46</v>
      </c>
      <c r="W667" s="23" t="s">
        <v>182</v>
      </c>
      <c r="AA667" s="23" t="s">
        <v>1694</v>
      </c>
      <c r="AB667" s="23" t="s">
        <v>1513</v>
      </c>
      <c r="AC667" s="23" t="s">
        <v>1741</v>
      </c>
      <c r="AD667" s="23" t="s">
        <v>602</v>
      </c>
      <c r="AE667" s="23" t="s">
        <v>602</v>
      </c>
      <c r="AF667" s="23" t="s">
        <v>252</v>
      </c>
      <c r="AJ667" s="23" t="s">
        <v>494</v>
      </c>
      <c r="AK667" s="23" t="s">
        <v>604</v>
      </c>
      <c r="AL667" s="23" t="s">
        <v>693</v>
      </c>
      <c r="AM667" s="23" t="s">
        <v>160</v>
      </c>
      <c r="AN667" s="23">
        <v>4</v>
      </c>
      <c r="AO667" s="23">
        <v>4</v>
      </c>
      <c r="AP667" s="23" t="s">
        <v>448</v>
      </c>
      <c r="AT667" s="64"/>
      <c r="DD667" s="23">
        <v>0.1414</v>
      </c>
      <c r="DE667" s="23">
        <v>0.17349999999999999</v>
      </c>
      <c r="DF667" s="23" t="s">
        <v>605</v>
      </c>
      <c r="DP667" s="12"/>
      <c r="DR667" s="15"/>
      <c r="EL667" s="23" t="s">
        <v>946</v>
      </c>
      <c r="EN667" s="23">
        <v>30</v>
      </c>
    </row>
    <row r="668" spans="1:144" s="23" customFormat="1" x14ac:dyDescent="0.25">
      <c r="A668" s="23">
        <v>30</v>
      </c>
      <c r="B668" s="23" t="s">
        <v>598</v>
      </c>
      <c r="C668" s="23" t="s">
        <v>599</v>
      </c>
      <c r="D668" s="23">
        <v>2002</v>
      </c>
      <c r="E668" s="23">
        <v>1999</v>
      </c>
      <c r="F668" s="23" t="s">
        <v>600</v>
      </c>
      <c r="G668" s="23" t="s">
        <v>601</v>
      </c>
      <c r="H668" s="23">
        <f t="shared" si="198"/>
        <v>38.533333333333331</v>
      </c>
      <c r="I668" s="23">
        <f t="shared" si="199"/>
        <v>-121.78333333333333</v>
      </c>
      <c r="J668" s="23">
        <v>18.399999999999999</v>
      </c>
      <c r="N668" s="23">
        <v>483</v>
      </c>
      <c r="P668" s="53" t="s">
        <v>188</v>
      </c>
      <c r="Q668" s="53"/>
      <c r="R668" s="53">
        <v>36198</v>
      </c>
      <c r="S668" s="53" t="s">
        <v>675</v>
      </c>
      <c r="U668" s="23">
        <v>36</v>
      </c>
      <c r="V668" s="23">
        <v>46</v>
      </c>
      <c r="W668" s="23" t="s">
        <v>182</v>
      </c>
      <c r="AA668" s="23" t="s">
        <v>1694</v>
      </c>
      <c r="AB668" s="23" t="s">
        <v>1513</v>
      </c>
      <c r="AC668" s="23" t="s">
        <v>1741</v>
      </c>
      <c r="AD668" s="23" t="s">
        <v>602</v>
      </c>
      <c r="AE668" s="23" t="s">
        <v>602</v>
      </c>
      <c r="AF668" s="23" t="s">
        <v>252</v>
      </c>
      <c r="AJ668" s="23" t="s">
        <v>494</v>
      </c>
      <c r="AK668" s="23" t="s">
        <v>603</v>
      </c>
      <c r="AL668" s="23" t="s">
        <v>693</v>
      </c>
      <c r="AM668" s="23" t="s">
        <v>160</v>
      </c>
      <c r="AN668" s="23">
        <v>4</v>
      </c>
      <c r="AO668" s="23">
        <v>4</v>
      </c>
      <c r="AP668" s="23" t="s">
        <v>448</v>
      </c>
      <c r="AT668" s="64"/>
      <c r="DD668" s="23">
        <v>0.17630000000000001</v>
      </c>
      <c r="DE668" s="23">
        <v>0.1983</v>
      </c>
      <c r="DF668" s="23" t="s">
        <v>605</v>
      </c>
      <c r="DP668" s="12"/>
      <c r="DR668" s="15"/>
      <c r="EL668" s="23" t="s">
        <v>946</v>
      </c>
      <c r="EN668" s="23">
        <v>30</v>
      </c>
    </row>
    <row r="669" spans="1:144" s="23" customFormat="1" x14ac:dyDescent="0.25">
      <c r="A669" s="23">
        <v>30</v>
      </c>
      <c r="B669" s="23" t="s">
        <v>598</v>
      </c>
      <c r="C669" s="23" t="s">
        <v>599</v>
      </c>
      <c r="D669" s="23">
        <v>2002</v>
      </c>
      <c r="E669" s="23">
        <v>1999</v>
      </c>
      <c r="F669" s="23" t="s">
        <v>600</v>
      </c>
      <c r="G669" s="23" t="s">
        <v>601</v>
      </c>
      <c r="H669" s="23">
        <f t="shared" si="198"/>
        <v>38.533333333333331</v>
      </c>
      <c r="I669" s="23">
        <f t="shared" si="199"/>
        <v>-121.78333333333333</v>
      </c>
      <c r="J669" s="23">
        <v>18.399999999999999</v>
      </c>
      <c r="N669" s="23">
        <v>483</v>
      </c>
      <c r="P669" s="53" t="s">
        <v>188</v>
      </c>
      <c r="Q669" s="53"/>
      <c r="R669" s="53">
        <v>36198</v>
      </c>
      <c r="S669" s="53" t="s">
        <v>675</v>
      </c>
      <c r="U669" s="23">
        <v>36</v>
      </c>
      <c r="V669" s="23">
        <v>46</v>
      </c>
      <c r="W669" s="23" t="s">
        <v>182</v>
      </c>
      <c r="AA669" s="23" t="s">
        <v>1694</v>
      </c>
      <c r="AB669" s="23" t="s">
        <v>1513</v>
      </c>
      <c r="AC669" s="23" t="s">
        <v>1741</v>
      </c>
      <c r="AD669" s="23" t="s">
        <v>602</v>
      </c>
      <c r="AE669" s="23" t="s">
        <v>602</v>
      </c>
      <c r="AF669" s="23" t="s">
        <v>252</v>
      </c>
      <c r="AJ669" s="23" t="s">
        <v>494</v>
      </c>
      <c r="AK669" s="23" t="s">
        <v>604</v>
      </c>
      <c r="AL669" s="23" t="s">
        <v>693</v>
      </c>
      <c r="AM669" s="23" t="s">
        <v>160</v>
      </c>
      <c r="AN669" s="23">
        <v>4</v>
      </c>
      <c r="AO669" s="23">
        <v>4</v>
      </c>
      <c r="AP669" s="23" t="s">
        <v>448</v>
      </c>
      <c r="AT669" s="64"/>
      <c r="DD669" s="23">
        <v>0.17630000000000001</v>
      </c>
      <c r="DE669" s="23">
        <v>0.14599999999999999</v>
      </c>
      <c r="DF669" s="23" t="s">
        <v>605</v>
      </c>
      <c r="DP669" s="12"/>
      <c r="DR669" s="15"/>
      <c r="EL669" s="23" t="s">
        <v>946</v>
      </c>
      <c r="EN669" s="23">
        <v>30</v>
      </c>
    </row>
    <row r="670" spans="1:144" s="23" customFormat="1" x14ac:dyDescent="0.25">
      <c r="A670" s="23">
        <v>30</v>
      </c>
      <c r="B670" s="23" t="s">
        <v>598</v>
      </c>
      <c r="C670" s="23" t="s">
        <v>599</v>
      </c>
      <c r="D670" s="23">
        <v>2002</v>
      </c>
      <c r="E670" s="23">
        <v>1999</v>
      </c>
      <c r="F670" s="23" t="s">
        <v>600</v>
      </c>
      <c r="G670" s="23" t="s">
        <v>601</v>
      </c>
      <c r="H670" s="23">
        <f t="shared" si="198"/>
        <v>38.533333333333331</v>
      </c>
      <c r="I670" s="23">
        <f t="shared" si="199"/>
        <v>-121.78333333333333</v>
      </c>
      <c r="J670" s="23">
        <v>18.399999999999999</v>
      </c>
      <c r="N670" s="23">
        <v>483</v>
      </c>
      <c r="P670" s="53" t="s">
        <v>188</v>
      </c>
      <c r="Q670" s="53"/>
      <c r="R670" s="53">
        <v>36232</v>
      </c>
      <c r="S670" s="53" t="s">
        <v>675</v>
      </c>
      <c r="U670" s="23">
        <v>36</v>
      </c>
      <c r="V670" s="23">
        <v>46</v>
      </c>
      <c r="W670" s="23" t="s">
        <v>182</v>
      </c>
      <c r="AA670" s="23" t="s">
        <v>1694</v>
      </c>
      <c r="AB670" s="23" t="s">
        <v>1513</v>
      </c>
      <c r="AC670" s="23" t="s">
        <v>1741</v>
      </c>
      <c r="AD670" s="23" t="s">
        <v>602</v>
      </c>
      <c r="AE670" s="23" t="s">
        <v>602</v>
      </c>
      <c r="AF670" s="23" t="s">
        <v>252</v>
      </c>
      <c r="AJ670" s="23" t="s">
        <v>494</v>
      </c>
      <c r="AK670" s="23" t="s">
        <v>603</v>
      </c>
      <c r="AL670" s="23" t="s">
        <v>693</v>
      </c>
      <c r="AM670" s="23" t="s">
        <v>160</v>
      </c>
      <c r="AN670" s="23">
        <v>4</v>
      </c>
      <c r="AO670" s="23">
        <v>4</v>
      </c>
      <c r="AP670" s="23" t="s">
        <v>448</v>
      </c>
      <c r="AT670" s="64"/>
      <c r="DD670" s="23">
        <v>0.1699</v>
      </c>
      <c r="DE670" s="23">
        <v>0.1837</v>
      </c>
      <c r="DF670" s="23" t="s">
        <v>605</v>
      </c>
      <c r="DP670" s="12"/>
      <c r="DR670" s="15"/>
      <c r="EL670" s="23" t="s">
        <v>946</v>
      </c>
      <c r="EN670" s="23">
        <v>30</v>
      </c>
    </row>
    <row r="671" spans="1:144" s="23" customFormat="1" x14ac:dyDescent="0.25">
      <c r="A671" s="23">
        <v>30</v>
      </c>
      <c r="B671" s="23" t="s">
        <v>598</v>
      </c>
      <c r="C671" s="23" t="s">
        <v>599</v>
      </c>
      <c r="D671" s="23">
        <v>2002</v>
      </c>
      <c r="E671" s="23">
        <v>1999</v>
      </c>
      <c r="F671" s="23" t="s">
        <v>600</v>
      </c>
      <c r="G671" s="23" t="s">
        <v>601</v>
      </c>
      <c r="H671" s="23">
        <f t="shared" si="198"/>
        <v>38.533333333333331</v>
      </c>
      <c r="I671" s="23">
        <f t="shared" si="199"/>
        <v>-121.78333333333333</v>
      </c>
      <c r="J671" s="23">
        <v>18.399999999999999</v>
      </c>
      <c r="N671" s="23">
        <v>483</v>
      </c>
      <c r="P671" s="53" t="s">
        <v>188</v>
      </c>
      <c r="Q671" s="53"/>
      <c r="R671" s="53">
        <v>36232</v>
      </c>
      <c r="S671" s="53" t="s">
        <v>675</v>
      </c>
      <c r="U671" s="23">
        <v>36</v>
      </c>
      <c r="V671" s="23">
        <v>46</v>
      </c>
      <c r="W671" s="23" t="s">
        <v>182</v>
      </c>
      <c r="AA671" s="23" t="s">
        <v>1694</v>
      </c>
      <c r="AB671" s="23" t="s">
        <v>1513</v>
      </c>
      <c r="AC671" s="23" t="s">
        <v>1741</v>
      </c>
      <c r="AD671" s="23" t="s">
        <v>602</v>
      </c>
      <c r="AE671" s="23" t="s">
        <v>602</v>
      </c>
      <c r="AF671" s="23" t="s">
        <v>252</v>
      </c>
      <c r="AJ671" s="23" t="s">
        <v>494</v>
      </c>
      <c r="AK671" s="23" t="s">
        <v>604</v>
      </c>
      <c r="AL671" s="23" t="s">
        <v>693</v>
      </c>
      <c r="AM671" s="23" t="s">
        <v>160</v>
      </c>
      <c r="AN671" s="23">
        <v>4</v>
      </c>
      <c r="AO671" s="23">
        <v>4</v>
      </c>
      <c r="AP671" s="23" t="s">
        <v>448</v>
      </c>
      <c r="AT671" s="64"/>
      <c r="DD671" s="23">
        <v>0.1699</v>
      </c>
      <c r="DE671" s="23">
        <v>0.1671</v>
      </c>
      <c r="DF671" s="23" t="s">
        <v>605</v>
      </c>
      <c r="DP671" s="12"/>
      <c r="DR671" s="15"/>
      <c r="EL671" s="23" t="s">
        <v>946</v>
      </c>
      <c r="EN671" s="23">
        <v>30</v>
      </c>
    </row>
    <row r="672" spans="1:144" s="23" customFormat="1" x14ac:dyDescent="0.25">
      <c r="A672" s="23">
        <v>30</v>
      </c>
      <c r="B672" s="23" t="s">
        <v>598</v>
      </c>
      <c r="C672" s="23" t="s">
        <v>599</v>
      </c>
      <c r="D672" s="23">
        <v>2002</v>
      </c>
      <c r="E672" s="23">
        <v>1999</v>
      </c>
      <c r="F672" s="23" t="s">
        <v>600</v>
      </c>
      <c r="G672" s="23" t="s">
        <v>601</v>
      </c>
      <c r="H672" s="23">
        <f t="shared" si="198"/>
        <v>38.533333333333331</v>
      </c>
      <c r="I672" s="23">
        <f t="shared" si="199"/>
        <v>-121.78333333333333</v>
      </c>
      <c r="J672" s="23">
        <v>18.399999999999999</v>
      </c>
      <c r="N672" s="23">
        <v>483</v>
      </c>
      <c r="P672" s="53" t="s">
        <v>188</v>
      </c>
      <c r="Q672" s="53"/>
      <c r="R672" s="53">
        <v>36234</v>
      </c>
      <c r="S672" s="53" t="s">
        <v>675</v>
      </c>
      <c r="U672" s="23">
        <v>36</v>
      </c>
      <c r="V672" s="23">
        <v>46</v>
      </c>
      <c r="W672" s="23" t="s">
        <v>182</v>
      </c>
      <c r="AA672" s="23" t="s">
        <v>1694</v>
      </c>
      <c r="AB672" s="23" t="s">
        <v>1513</v>
      </c>
      <c r="AC672" s="23" t="s">
        <v>1741</v>
      </c>
      <c r="AD672" s="23" t="s">
        <v>602</v>
      </c>
      <c r="AE672" s="23" t="s">
        <v>602</v>
      </c>
      <c r="AF672" s="23" t="s">
        <v>252</v>
      </c>
      <c r="AJ672" s="23" t="s">
        <v>494</v>
      </c>
      <c r="AK672" s="23" t="s">
        <v>603</v>
      </c>
      <c r="AL672" s="23" t="s">
        <v>693</v>
      </c>
      <c r="AM672" s="23" t="s">
        <v>160</v>
      </c>
      <c r="AN672" s="23">
        <v>4</v>
      </c>
      <c r="AO672" s="23">
        <v>4</v>
      </c>
      <c r="AP672" s="23" t="s">
        <v>448</v>
      </c>
      <c r="AT672" s="64"/>
      <c r="DD672" s="23">
        <v>0.16350000000000001</v>
      </c>
      <c r="DE672" s="23">
        <v>0.17910000000000001</v>
      </c>
      <c r="DF672" s="23" t="s">
        <v>605</v>
      </c>
      <c r="DP672" s="12"/>
      <c r="DR672" s="15"/>
      <c r="EL672" s="23" t="s">
        <v>946</v>
      </c>
      <c r="EN672" s="23">
        <v>30</v>
      </c>
    </row>
    <row r="673" spans="1:144" s="23" customFormat="1" x14ac:dyDescent="0.25">
      <c r="A673" s="23">
        <v>30</v>
      </c>
      <c r="B673" s="23" t="s">
        <v>598</v>
      </c>
      <c r="C673" s="23" t="s">
        <v>599</v>
      </c>
      <c r="D673" s="23">
        <v>2002</v>
      </c>
      <c r="E673" s="23">
        <v>1999</v>
      </c>
      <c r="F673" s="23" t="s">
        <v>600</v>
      </c>
      <c r="G673" s="23" t="s">
        <v>601</v>
      </c>
      <c r="H673" s="23">
        <f t="shared" si="198"/>
        <v>38.533333333333331</v>
      </c>
      <c r="I673" s="23">
        <f t="shared" si="199"/>
        <v>-121.78333333333333</v>
      </c>
      <c r="J673" s="23">
        <v>18.399999999999999</v>
      </c>
      <c r="N673" s="23">
        <v>483</v>
      </c>
      <c r="P673" s="53" t="s">
        <v>188</v>
      </c>
      <c r="Q673" s="53"/>
      <c r="R673" s="53">
        <v>36234</v>
      </c>
      <c r="S673" s="53" t="s">
        <v>675</v>
      </c>
      <c r="U673" s="23">
        <v>36</v>
      </c>
      <c r="V673" s="23">
        <v>46</v>
      </c>
      <c r="W673" s="23" t="s">
        <v>182</v>
      </c>
      <c r="AA673" s="23" t="s">
        <v>1694</v>
      </c>
      <c r="AB673" s="23" t="s">
        <v>1513</v>
      </c>
      <c r="AC673" s="23" t="s">
        <v>1741</v>
      </c>
      <c r="AD673" s="23" t="s">
        <v>602</v>
      </c>
      <c r="AE673" s="23" t="s">
        <v>602</v>
      </c>
      <c r="AF673" s="23" t="s">
        <v>252</v>
      </c>
      <c r="AJ673" s="23" t="s">
        <v>494</v>
      </c>
      <c r="AK673" s="23" t="s">
        <v>604</v>
      </c>
      <c r="AL673" s="23" t="s">
        <v>693</v>
      </c>
      <c r="AM673" s="23" t="s">
        <v>160</v>
      </c>
      <c r="AN673" s="23">
        <v>4</v>
      </c>
      <c r="AO673" s="23">
        <v>4</v>
      </c>
      <c r="AP673" s="23" t="s">
        <v>448</v>
      </c>
      <c r="AT673" s="64"/>
      <c r="DD673" s="23">
        <v>0.16350000000000001</v>
      </c>
      <c r="DE673" s="23">
        <v>0.16259999999999999</v>
      </c>
      <c r="DF673" s="23" t="s">
        <v>605</v>
      </c>
      <c r="DP673" s="12"/>
      <c r="DR673" s="15"/>
      <c r="EL673" s="23" t="s">
        <v>946</v>
      </c>
      <c r="EN673" s="23">
        <v>30</v>
      </c>
    </row>
    <row r="674" spans="1:144" s="23" customFormat="1" x14ac:dyDescent="0.25">
      <c r="A674" s="23">
        <v>30</v>
      </c>
      <c r="B674" s="23" t="s">
        <v>598</v>
      </c>
      <c r="C674" s="23" t="s">
        <v>599</v>
      </c>
      <c r="D674" s="23">
        <v>2002</v>
      </c>
      <c r="E674" s="23">
        <v>1999</v>
      </c>
      <c r="F674" s="23" t="s">
        <v>600</v>
      </c>
      <c r="G674" s="23" t="s">
        <v>601</v>
      </c>
      <c r="H674" s="23">
        <f t="shared" si="198"/>
        <v>38.533333333333331</v>
      </c>
      <c r="I674" s="23">
        <f t="shared" si="199"/>
        <v>-121.78333333333333</v>
      </c>
      <c r="J674" s="23">
        <v>18.399999999999999</v>
      </c>
      <c r="N674" s="23">
        <v>483</v>
      </c>
      <c r="P674" s="53" t="s">
        <v>188</v>
      </c>
      <c r="Q674" s="53"/>
      <c r="R674" s="53">
        <v>36514</v>
      </c>
      <c r="S674" s="53" t="s">
        <v>675</v>
      </c>
      <c r="U674" s="23">
        <v>36</v>
      </c>
      <c r="V674" s="23">
        <v>46</v>
      </c>
      <c r="W674" s="23" t="s">
        <v>182</v>
      </c>
      <c r="AA674" s="23" t="s">
        <v>1694</v>
      </c>
      <c r="AB674" s="23" t="s">
        <v>1513</v>
      </c>
      <c r="AC674" s="23" t="s">
        <v>1741</v>
      </c>
      <c r="AD674" s="23" t="s">
        <v>602</v>
      </c>
      <c r="AE674" s="23" t="s">
        <v>602</v>
      </c>
      <c r="AF674" s="23" t="s">
        <v>252</v>
      </c>
      <c r="AJ674" s="23" t="s">
        <v>494</v>
      </c>
      <c r="AK674" s="23" t="s">
        <v>603</v>
      </c>
      <c r="AL674" s="23" t="s">
        <v>693</v>
      </c>
      <c r="AM674" s="23" t="s">
        <v>160</v>
      </c>
      <c r="AN674" s="23">
        <v>4</v>
      </c>
      <c r="AO674" s="23">
        <v>4</v>
      </c>
      <c r="AP674" s="23" t="s">
        <v>448</v>
      </c>
      <c r="AT674" s="64"/>
      <c r="DD674" s="23">
        <v>0.1416</v>
      </c>
      <c r="DE674" s="23">
        <v>0.18099999999999999</v>
      </c>
      <c r="DF674" s="23" t="s">
        <v>605</v>
      </c>
      <c r="DP674" s="12"/>
      <c r="DR674" s="15"/>
      <c r="EL674" s="23" t="s">
        <v>946</v>
      </c>
      <c r="EN674" s="23">
        <v>30</v>
      </c>
    </row>
    <row r="675" spans="1:144" s="23" customFormat="1" x14ac:dyDescent="0.25">
      <c r="A675" s="23">
        <v>30</v>
      </c>
      <c r="B675" s="23" t="s">
        <v>598</v>
      </c>
      <c r="C675" s="23" t="s">
        <v>599</v>
      </c>
      <c r="D675" s="23">
        <v>2002</v>
      </c>
      <c r="E675" s="23">
        <v>1999</v>
      </c>
      <c r="F675" s="23" t="s">
        <v>600</v>
      </c>
      <c r="G675" s="23" t="s">
        <v>601</v>
      </c>
      <c r="H675" s="23">
        <f t="shared" si="198"/>
        <v>38.533333333333331</v>
      </c>
      <c r="I675" s="23">
        <f t="shared" si="199"/>
        <v>-121.78333333333333</v>
      </c>
      <c r="J675" s="23">
        <v>18.399999999999999</v>
      </c>
      <c r="N675" s="23">
        <v>483</v>
      </c>
      <c r="P675" s="53" t="s">
        <v>188</v>
      </c>
      <c r="Q675" s="53"/>
      <c r="R675" s="53">
        <v>36514</v>
      </c>
      <c r="S675" s="53" t="s">
        <v>675</v>
      </c>
      <c r="U675" s="23">
        <v>36</v>
      </c>
      <c r="V675" s="23">
        <v>46</v>
      </c>
      <c r="W675" s="23" t="s">
        <v>182</v>
      </c>
      <c r="AA675" s="23" t="s">
        <v>1694</v>
      </c>
      <c r="AB675" s="23" t="s">
        <v>1513</v>
      </c>
      <c r="AC675" s="23" t="s">
        <v>1741</v>
      </c>
      <c r="AD675" s="23" t="s">
        <v>602</v>
      </c>
      <c r="AE675" s="23" t="s">
        <v>602</v>
      </c>
      <c r="AF675" s="23" t="s">
        <v>252</v>
      </c>
      <c r="AJ675" s="23" t="s">
        <v>494</v>
      </c>
      <c r="AK675" s="23" t="s">
        <v>604</v>
      </c>
      <c r="AL675" s="23" t="s">
        <v>693</v>
      </c>
      <c r="AM675" s="23" t="s">
        <v>160</v>
      </c>
      <c r="AN675" s="23">
        <v>4</v>
      </c>
      <c r="AO675" s="23">
        <v>4</v>
      </c>
      <c r="AP675" s="23" t="s">
        <v>448</v>
      </c>
      <c r="AT675" s="64"/>
      <c r="DD675" s="23">
        <v>0.1416</v>
      </c>
      <c r="DE675" s="23">
        <v>0.17</v>
      </c>
      <c r="DF675" s="23" t="s">
        <v>605</v>
      </c>
      <c r="DP675" s="12"/>
      <c r="DR675" s="15"/>
      <c r="EL675" s="23" t="s">
        <v>946</v>
      </c>
      <c r="EN675" s="23">
        <v>30</v>
      </c>
    </row>
    <row r="676" spans="1:144" s="23" customFormat="1" x14ac:dyDescent="0.25">
      <c r="A676" s="23">
        <v>30</v>
      </c>
      <c r="B676" s="23" t="s">
        <v>598</v>
      </c>
      <c r="C676" s="23" t="s">
        <v>599</v>
      </c>
      <c r="D676" s="23">
        <v>2002</v>
      </c>
      <c r="E676" s="23">
        <v>2000</v>
      </c>
      <c r="F676" s="23" t="s">
        <v>600</v>
      </c>
      <c r="G676" s="23" t="s">
        <v>601</v>
      </c>
      <c r="H676" s="23">
        <f t="shared" si="198"/>
        <v>38.533333333333331</v>
      </c>
      <c r="I676" s="23">
        <f t="shared" si="199"/>
        <v>-121.78333333333333</v>
      </c>
      <c r="J676" s="23">
        <v>18.399999999999999</v>
      </c>
      <c r="N676" s="23">
        <v>483</v>
      </c>
      <c r="P676" s="53" t="s">
        <v>189</v>
      </c>
      <c r="Q676" s="53"/>
      <c r="R676" s="53">
        <v>36535</v>
      </c>
      <c r="S676" s="53" t="s">
        <v>675</v>
      </c>
      <c r="U676" s="23">
        <v>36</v>
      </c>
      <c r="V676" s="23">
        <v>46</v>
      </c>
      <c r="W676" s="23" t="s">
        <v>182</v>
      </c>
      <c r="AA676" s="23" t="s">
        <v>1694</v>
      </c>
      <c r="AB676" s="23" t="s">
        <v>1513</v>
      </c>
      <c r="AC676" s="23" t="s">
        <v>1741</v>
      </c>
      <c r="AD676" s="23" t="s">
        <v>602</v>
      </c>
      <c r="AE676" s="23" t="s">
        <v>602</v>
      </c>
      <c r="AF676" s="23" t="s">
        <v>252</v>
      </c>
      <c r="AJ676" s="23" t="s">
        <v>494</v>
      </c>
      <c r="AK676" s="23" t="s">
        <v>603</v>
      </c>
      <c r="AL676" s="23" t="s">
        <v>693</v>
      </c>
      <c r="AM676" s="23" t="s">
        <v>160</v>
      </c>
      <c r="AN676" s="23">
        <v>4</v>
      </c>
      <c r="AO676" s="23">
        <v>4</v>
      </c>
      <c r="AP676" s="23" t="s">
        <v>448</v>
      </c>
      <c r="AT676" s="64"/>
      <c r="DD676" s="23">
        <v>0.14069999999999999</v>
      </c>
      <c r="DE676" s="23">
        <v>0.1865</v>
      </c>
      <c r="DF676" s="23" t="s">
        <v>605</v>
      </c>
      <c r="DP676" s="12"/>
      <c r="DR676" s="15"/>
      <c r="EL676" s="23" t="s">
        <v>946</v>
      </c>
      <c r="EN676" s="23">
        <v>30</v>
      </c>
    </row>
    <row r="677" spans="1:144" s="23" customFormat="1" x14ac:dyDescent="0.25">
      <c r="A677" s="23">
        <v>30</v>
      </c>
      <c r="B677" s="23" t="s">
        <v>598</v>
      </c>
      <c r="C677" s="23" t="s">
        <v>599</v>
      </c>
      <c r="D677" s="23">
        <v>2002</v>
      </c>
      <c r="E677" s="23">
        <v>2000</v>
      </c>
      <c r="F677" s="23" t="s">
        <v>600</v>
      </c>
      <c r="G677" s="23" t="s">
        <v>601</v>
      </c>
      <c r="H677" s="23">
        <f t="shared" si="198"/>
        <v>38.533333333333331</v>
      </c>
      <c r="I677" s="23">
        <f t="shared" si="199"/>
        <v>-121.78333333333333</v>
      </c>
      <c r="J677" s="23">
        <v>18.399999999999999</v>
      </c>
      <c r="N677" s="23">
        <v>483</v>
      </c>
      <c r="P677" s="53" t="s">
        <v>189</v>
      </c>
      <c r="Q677" s="53"/>
      <c r="R677" s="53">
        <v>36535</v>
      </c>
      <c r="S677" s="53" t="s">
        <v>675</v>
      </c>
      <c r="U677" s="23">
        <v>36</v>
      </c>
      <c r="V677" s="23">
        <v>46</v>
      </c>
      <c r="W677" s="23" t="s">
        <v>182</v>
      </c>
      <c r="AA677" s="23" t="s">
        <v>1694</v>
      </c>
      <c r="AB677" s="23" t="s">
        <v>1513</v>
      </c>
      <c r="AC677" s="23" t="s">
        <v>1741</v>
      </c>
      <c r="AD677" s="23" t="s">
        <v>602</v>
      </c>
      <c r="AE677" s="23" t="s">
        <v>602</v>
      </c>
      <c r="AF677" s="23" t="s">
        <v>252</v>
      </c>
      <c r="AJ677" s="23" t="s">
        <v>494</v>
      </c>
      <c r="AK677" s="23" t="s">
        <v>604</v>
      </c>
      <c r="AL677" s="23" t="s">
        <v>693</v>
      </c>
      <c r="AM677" s="23" t="s">
        <v>160</v>
      </c>
      <c r="AN677" s="23">
        <v>4</v>
      </c>
      <c r="AO677" s="23">
        <v>4</v>
      </c>
      <c r="AP677" s="23" t="s">
        <v>448</v>
      </c>
      <c r="AT677" s="64"/>
      <c r="DD677" s="23">
        <v>0.14069999999999999</v>
      </c>
      <c r="DE677" s="23">
        <v>0.17280000000000001</v>
      </c>
      <c r="DF677" s="23" t="s">
        <v>605</v>
      </c>
      <c r="DP677" s="12"/>
      <c r="DR677" s="15"/>
      <c r="EL677" s="23" t="s">
        <v>946</v>
      </c>
      <c r="EN677" s="23">
        <v>30</v>
      </c>
    </row>
    <row r="678" spans="1:144" s="23" customFormat="1" x14ac:dyDescent="0.25">
      <c r="A678" s="23">
        <v>30</v>
      </c>
      <c r="B678" s="23" t="s">
        <v>598</v>
      </c>
      <c r="C678" s="23" t="s">
        <v>599</v>
      </c>
      <c r="D678" s="23">
        <v>2002</v>
      </c>
      <c r="E678" s="23">
        <v>2000</v>
      </c>
      <c r="F678" s="23" t="s">
        <v>600</v>
      </c>
      <c r="G678" s="23" t="s">
        <v>601</v>
      </c>
      <c r="H678" s="23">
        <f t="shared" si="198"/>
        <v>38.533333333333331</v>
      </c>
      <c r="I678" s="23">
        <f t="shared" si="199"/>
        <v>-121.78333333333333</v>
      </c>
      <c r="J678" s="23">
        <v>18.399999999999999</v>
      </c>
      <c r="N678" s="23">
        <v>483</v>
      </c>
      <c r="P678" s="53" t="s">
        <v>189</v>
      </c>
      <c r="Q678" s="53"/>
      <c r="R678" s="53">
        <v>36541</v>
      </c>
      <c r="S678" s="53" t="s">
        <v>675</v>
      </c>
      <c r="U678" s="23">
        <v>36</v>
      </c>
      <c r="V678" s="23">
        <v>46</v>
      </c>
      <c r="W678" s="23" t="s">
        <v>182</v>
      </c>
      <c r="AA678" s="23" t="s">
        <v>1694</v>
      </c>
      <c r="AB678" s="23" t="s">
        <v>1513</v>
      </c>
      <c r="AC678" s="23" t="s">
        <v>1741</v>
      </c>
      <c r="AD678" s="23" t="s">
        <v>602</v>
      </c>
      <c r="AE678" s="23" t="s">
        <v>602</v>
      </c>
      <c r="AF678" s="23" t="s">
        <v>252</v>
      </c>
      <c r="AJ678" s="23" t="s">
        <v>494</v>
      </c>
      <c r="AK678" s="23" t="s">
        <v>603</v>
      </c>
      <c r="AL678" s="23" t="s">
        <v>693</v>
      </c>
      <c r="AM678" s="23" t="s">
        <v>160</v>
      </c>
      <c r="AN678" s="23">
        <v>4</v>
      </c>
      <c r="AO678" s="23">
        <v>4</v>
      </c>
      <c r="AP678" s="23" t="s">
        <v>448</v>
      </c>
      <c r="AT678" s="64"/>
      <c r="DD678" s="23">
        <v>0.1416</v>
      </c>
      <c r="DE678" s="23">
        <v>0.1875</v>
      </c>
      <c r="DF678" s="23" t="s">
        <v>605</v>
      </c>
      <c r="DP678" s="12"/>
      <c r="DR678" s="15"/>
      <c r="EL678" s="23" t="s">
        <v>946</v>
      </c>
      <c r="EN678" s="23">
        <v>30</v>
      </c>
    </row>
    <row r="679" spans="1:144" s="23" customFormat="1" x14ac:dyDescent="0.25">
      <c r="A679" s="23">
        <v>30</v>
      </c>
      <c r="B679" s="23" t="s">
        <v>598</v>
      </c>
      <c r="C679" s="23" t="s">
        <v>599</v>
      </c>
      <c r="D679" s="23">
        <v>2002</v>
      </c>
      <c r="E679" s="23">
        <v>2000</v>
      </c>
      <c r="F679" s="23" t="s">
        <v>600</v>
      </c>
      <c r="G679" s="23" t="s">
        <v>601</v>
      </c>
      <c r="H679" s="23">
        <f t="shared" si="198"/>
        <v>38.533333333333331</v>
      </c>
      <c r="I679" s="23">
        <f t="shared" si="199"/>
        <v>-121.78333333333333</v>
      </c>
      <c r="J679" s="23">
        <v>18.399999999999999</v>
      </c>
      <c r="N679" s="23">
        <v>483</v>
      </c>
      <c r="P679" s="53" t="s">
        <v>189</v>
      </c>
      <c r="Q679" s="53"/>
      <c r="R679" s="53">
        <v>36541</v>
      </c>
      <c r="S679" s="53" t="s">
        <v>675</v>
      </c>
      <c r="U679" s="23">
        <v>36</v>
      </c>
      <c r="V679" s="23">
        <v>46</v>
      </c>
      <c r="W679" s="23" t="s">
        <v>182</v>
      </c>
      <c r="AA679" s="23" t="s">
        <v>1694</v>
      </c>
      <c r="AB679" s="23" t="s">
        <v>1513</v>
      </c>
      <c r="AC679" s="23" t="s">
        <v>1741</v>
      </c>
      <c r="AD679" s="23" t="s">
        <v>602</v>
      </c>
      <c r="AE679" s="23" t="s">
        <v>602</v>
      </c>
      <c r="AF679" s="23" t="s">
        <v>252</v>
      </c>
      <c r="AJ679" s="23" t="s">
        <v>494</v>
      </c>
      <c r="AK679" s="23" t="s">
        <v>604</v>
      </c>
      <c r="AL679" s="23" t="s">
        <v>693</v>
      </c>
      <c r="AM679" s="23" t="s">
        <v>160</v>
      </c>
      <c r="AN679" s="23">
        <v>4</v>
      </c>
      <c r="AO679" s="23">
        <v>4</v>
      </c>
      <c r="AP679" s="23" t="s">
        <v>448</v>
      </c>
      <c r="AT679" s="64"/>
      <c r="DD679" s="23">
        <v>0.1416</v>
      </c>
      <c r="DE679" s="23">
        <v>0.17280000000000001</v>
      </c>
      <c r="DF679" s="23" t="s">
        <v>605</v>
      </c>
      <c r="DP679" s="12"/>
      <c r="DR679" s="15"/>
      <c r="EL679" s="23" t="s">
        <v>946</v>
      </c>
      <c r="EN679" s="23">
        <v>30</v>
      </c>
    </row>
    <row r="680" spans="1:144" s="23" customFormat="1" x14ac:dyDescent="0.25">
      <c r="A680" s="23">
        <v>30</v>
      </c>
      <c r="B680" s="23" t="s">
        <v>598</v>
      </c>
      <c r="C680" s="23" t="s">
        <v>599</v>
      </c>
      <c r="D680" s="23">
        <v>2002</v>
      </c>
      <c r="E680" s="23">
        <v>2000</v>
      </c>
      <c r="F680" s="23" t="s">
        <v>600</v>
      </c>
      <c r="G680" s="23" t="s">
        <v>601</v>
      </c>
      <c r="H680" s="23">
        <f t="shared" si="198"/>
        <v>38.533333333333331</v>
      </c>
      <c r="I680" s="23">
        <f t="shared" si="199"/>
        <v>-121.78333333333333</v>
      </c>
      <c r="J680" s="23">
        <v>18.399999999999999</v>
      </c>
      <c r="N680" s="23">
        <v>483</v>
      </c>
      <c r="P680" s="53" t="s">
        <v>189</v>
      </c>
      <c r="Q680" s="53"/>
      <c r="R680" s="53">
        <v>36549</v>
      </c>
      <c r="S680" s="53" t="s">
        <v>675</v>
      </c>
      <c r="U680" s="23">
        <v>36</v>
      </c>
      <c r="V680" s="23">
        <v>46</v>
      </c>
      <c r="W680" s="23" t="s">
        <v>182</v>
      </c>
      <c r="AA680" s="23" t="s">
        <v>1694</v>
      </c>
      <c r="AB680" s="23" t="s">
        <v>1513</v>
      </c>
      <c r="AC680" s="23" t="s">
        <v>1741</v>
      </c>
      <c r="AD680" s="23" t="s">
        <v>602</v>
      </c>
      <c r="AE680" s="23" t="s">
        <v>602</v>
      </c>
      <c r="AF680" s="23" t="s">
        <v>252</v>
      </c>
      <c r="AJ680" s="23" t="s">
        <v>494</v>
      </c>
      <c r="AK680" s="23" t="s">
        <v>603</v>
      </c>
      <c r="AL680" s="23" t="s">
        <v>693</v>
      </c>
      <c r="AM680" s="23" t="s">
        <v>160</v>
      </c>
      <c r="AN680" s="23">
        <v>4</v>
      </c>
      <c r="AO680" s="23">
        <v>4</v>
      </c>
      <c r="AP680" s="23" t="s">
        <v>448</v>
      </c>
      <c r="AT680" s="64"/>
      <c r="DD680" s="23">
        <v>0.1389</v>
      </c>
      <c r="DE680" s="23">
        <v>0.1875</v>
      </c>
      <c r="DF680" s="23" t="s">
        <v>605</v>
      </c>
      <c r="DP680" s="12"/>
      <c r="DR680" s="15"/>
      <c r="EL680" s="23" t="s">
        <v>946</v>
      </c>
      <c r="EN680" s="23">
        <v>30</v>
      </c>
    </row>
    <row r="681" spans="1:144" s="23" customFormat="1" x14ac:dyDescent="0.25">
      <c r="A681" s="23">
        <v>30</v>
      </c>
      <c r="B681" s="23" t="s">
        <v>598</v>
      </c>
      <c r="C681" s="23" t="s">
        <v>599</v>
      </c>
      <c r="D681" s="23">
        <v>2002</v>
      </c>
      <c r="E681" s="23">
        <v>2000</v>
      </c>
      <c r="F681" s="23" t="s">
        <v>600</v>
      </c>
      <c r="G681" s="23" t="s">
        <v>601</v>
      </c>
      <c r="H681" s="23">
        <f t="shared" si="198"/>
        <v>38.533333333333331</v>
      </c>
      <c r="I681" s="23">
        <f t="shared" si="199"/>
        <v>-121.78333333333333</v>
      </c>
      <c r="J681" s="23">
        <v>18.399999999999999</v>
      </c>
      <c r="N681" s="23">
        <v>483</v>
      </c>
      <c r="P681" s="53" t="s">
        <v>189</v>
      </c>
      <c r="Q681" s="53"/>
      <c r="R681" s="53">
        <v>36549</v>
      </c>
      <c r="S681" s="53" t="s">
        <v>675</v>
      </c>
      <c r="U681" s="23">
        <v>36</v>
      </c>
      <c r="V681" s="23">
        <v>46</v>
      </c>
      <c r="W681" s="23" t="s">
        <v>182</v>
      </c>
      <c r="AA681" s="23" t="s">
        <v>1694</v>
      </c>
      <c r="AB681" s="23" t="s">
        <v>1513</v>
      </c>
      <c r="AC681" s="23" t="s">
        <v>1741</v>
      </c>
      <c r="AD681" s="23" t="s">
        <v>602</v>
      </c>
      <c r="AE681" s="23" t="s">
        <v>602</v>
      </c>
      <c r="AF681" s="23" t="s">
        <v>252</v>
      </c>
      <c r="AJ681" s="23" t="s">
        <v>494</v>
      </c>
      <c r="AK681" s="23" t="s">
        <v>604</v>
      </c>
      <c r="AL681" s="23" t="s">
        <v>693</v>
      </c>
      <c r="AM681" s="23" t="s">
        <v>160</v>
      </c>
      <c r="AN681" s="23">
        <v>4</v>
      </c>
      <c r="AO681" s="23">
        <v>4</v>
      </c>
      <c r="AP681" s="23" t="s">
        <v>448</v>
      </c>
      <c r="AT681" s="64"/>
      <c r="DD681" s="23">
        <v>0.1389</v>
      </c>
      <c r="DE681" s="23">
        <v>0.17469999999999999</v>
      </c>
      <c r="DF681" s="23" t="s">
        <v>605</v>
      </c>
      <c r="DP681" s="12"/>
      <c r="DR681" s="15"/>
      <c r="EL681" s="23" t="s">
        <v>946</v>
      </c>
      <c r="EN681" s="23">
        <v>30</v>
      </c>
    </row>
    <row r="682" spans="1:144" s="23" customFormat="1" x14ac:dyDescent="0.25">
      <c r="A682" s="23">
        <v>30</v>
      </c>
      <c r="B682" s="23" t="s">
        <v>598</v>
      </c>
      <c r="C682" s="23" t="s">
        <v>599</v>
      </c>
      <c r="D682" s="23">
        <v>2002</v>
      </c>
      <c r="E682" s="23">
        <v>2000</v>
      </c>
      <c r="F682" s="23" t="s">
        <v>600</v>
      </c>
      <c r="G682" s="23" t="s">
        <v>601</v>
      </c>
      <c r="H682" s="23">
        <f t="shared" si="198"/>
        <v>38.533333333333331</v>
      </c>
      <c r="I682" s="23">
        <f t="shared" si="199"/>
        <v>-121.78333333333333</v>
      </c>
      <c r="J682" s="23">
        <v>18.399999999999999</v>
      </c>
      <c r="N682" s="23">
        <v>483</v>
      </c>
      <c r="P682" s="53" t="s">
        <v>189</v>
      </c>
      <c r="Q682" s="53"/>
      <c r="R682" s="53">
        <v>36562</v>
      </c>
      <c r="S682" s="53" t="s">
        <v>675</v>
      </c>
      <c r="U682" s="23">
        <v>36</v>
      </c>
      <c r="V682" s="23">
        <v>46</v>
      </c>
      <c r="W682" s="23" t="s">
        <v>182</v>
      </c>
      <c r="AA682" s="23" t="s">
        <v>1694</v>
      </c>
      <c r="AB682" s="23" t="s">
        <v>1513</v>
      </c>
      <c r="AC682" s="23" t="s">
        <v>1741</v>
      </c>
      <c r="AD682" s="23" t="s">
        <v>602</v>
      </c>
      <c r="AE682" s="23" t="s">
        <v>602</v>
      </c>
      <c r="AF682" s="23" t="s">
        <v>252</v>
      </c>
      <c r="AJ682" s="23" t="s">
        <v>494</v>
      </c>
      <c r="AK682" s="23" t="s">
        <v>603</v>
      </c>
      <c r="AL682" s="23" t="s">
        <v>693</v>
      </c>
      <c r="AM682" s="23" t="s">
        <v>160</v>
      </c>
      <c r="AN682" s="23">
        <v>4</v>
      </c>
      <c r="AO682" s="23">
        <v>4</v>
      </c>
      <c r="AP682" s="23" t="s">
        <v>448</v>
      </c>
      <c r="AT682" s="64"/>
      <c r="DD682" s="23">
        <v>0.14530000000000001</v>
      </c>
      <c r="DE682" s="23">
        <v>0.18940000000000001</v>
      </c>
      <c r="DF682" s="23" t="s">
        <v>605</v>
      </c>
      <c r="DP682" s="12"/>
      <c r="DR682" s="15"/>
      <c r="EL682" s="23" t="s">
        <v>946</v>
      </c>
      <c r="EN682" s="23">
        <v>30</v>
      </c>
    </row>
    <row r="683" spans="1:144" s="23" customFormat="1" x14ac:dyDescent="0.25">
      <c r="A683" s="23">
        <v>30</v>
      </c>
      <c r="B683" s="23" t="s">
        <v>598</v>
      </c>
      <c r="C683" s="23" t="s">
        <v>599</v>
      </c>
      <c r="D683" s="23">
        <v>2002</v>
      </c>
      <c r="E683" s="23">
        <v>2000</v>
      </c>
      <c r="F683" s="23" t="s">
        <v>600</v>
      </c>
      <c r="G683" s="23" t="s">
        <v>601</v>
      </c>
      <c r="H683" s="23">
        <f t="shared" si="198"/>
        <v>38.533333333333331</v>
      </c>
      <c r="I683" s="23">
        <f t="shared" si="199"/>
        <v>-121.78333333333333</v>
      </c>
      <c r="J683" s="23">
        <v>18.399999999999999</v>
      </c>
      <c r="N683" s="23">
        <v>483</v>
      </c>
      <c r="P683" s="53" t="s">
        <v>189</v>
      </c>
      <c r="Q683" s="53"/>
      <c r="R683" s="53">
        <v>36562</v>
      </c>
      <c r="S683" s="53" t="s">
        <v>675</v>
      </c>
      <c r="U683" s="23">
        <v>36</v>
      </c>
      <c r="V683" s="23">
        <v>46</v>
      </c>
      <c r="W683" s="23" t="s">
        <v>182</v>
      </c>
      <c r="AA683" s="23" t="s">
        <v>1694</v>
      </c>
      <c r="AB683" s="23" t="s">
        <v>1513</v>
      </c>
      <c r="AC683" s="23" t="s">
        <v>1741</v>
      </c>
      <c r="AD683" s="23" t="s">
        <v>602</v>
      </c>
      <c r="AE683" s="23" t="s">
        <v>602</v>
      </c>
      <c r="AF683" s="23" t="s">
        <v>252</v>
      </c>
      <c r="AJ683" s="23" t="s">
        <v>494</v>
      </c>
      <c r="AK683" s="23" t="s">
        <v>604</v>
      </c>
      <c r="AL683" s="23" t="s">
        <v>693</v>
      </c>
      <c r="AM683" s="23" t="s">
        <v>160</v>
      </c>
      <c r="AN683" s="23">
        <v>4</v>
      </c>
      <c r="AO683" s="23">
        <v>4</v>
      </c>
      <c r="AP683" s="23" t="s">
        <v>448</v>
      </c>
      <c r="AT683" s="64"/>
      <c r="DD683" s="23">
        <v>0.14530000000000001</v>
      </c>
      <c r="DE683" s="23">
        <v>0.1774</v>
      </c>
      <c r="DF683" s="23" t="s">
        <v>605</v>
      </c>
      <c r="DP683" s="12"/>
      <c r="DR683" s="15"/>
      <c r="EL683" s="23" t="s">
        <v>946</v>
      </c>
      <c r="EN683" s="23">
        <v>30</v>
      </c>
    </row>
    <row r="684" spans="1:144" s="23" customFormat="1" x14ac:dyDescent="0.25">
      <c r="A684" s="23">
        <v>30</v>
      </c>
      <c r="B684" s="23" t="s">
        <v>598</v>
      </c>
      <c r="C684" s="23" t="s">
        <v>599</v>
      </c>
      <c r="D684" s="23">
        <v>2002</v>
      </c>
      <c r="E684" s="23">
        <v>2000</v>
      </c>
      <c r="F684" s="23" t="s">
        <v>600</v>
      </c>
      <c r="G684" s="23" t="s">
        <v>601</v>
      </c>
      <c r="H684" s="23">
        <f t="shared" si="198"/>
        <v>38.533333333333331</v>
      </c>
      <c r="I684" s="23">
        <f t="shared" si="199"/>
        <v>-121.78333333333333</v>
      </c>
      <c r="J684" s="23">
        <v>18.399999999999999</v>
      </c>
      <c r="N684" s="23">
        <v>483</v>
      </c>
      <c r="P684" s="53" t="s">
        <v>189</v>
      </c>
      <c r="Q684" s="53"/>
      <c r="R684" s="53">
        <v>36566</v>
      </c>
      <c r="S684" s="53" t="s">
        <v>675</v>
      </c>
      <c r="U684" s="23">
        <v>36</v>
      </c>
      <c r="V684" s="23">
        <v>46</v>
      </c>
      <c r="W684" s="23" t="s">
        <v>182</v>
      </c>
      <c r="AA684" s="23" t="s">
        <v>1694</v>
      </c>
      <c r="AB684" s="23" t="s">
        <v>1513</v>
      </c>
      <c r="AC684" s="23" t="s">
        <v>1741</v>
      </c>
      <c r="AD684" s="23" t="s">
        <v>602</v>
      </c>
      <c r="AE684" s="23" t="s">
        <v>602</v>
      </c>
      <c r="AF684" s="23" t="s">
        <v>252</v>
      </c>
      <c r="AJ684" s="23" t="s">
        <v>494</v>
      </c>
      <c r="AK684" s="23" t="s">
        <v>603</v>
      </c>
      <c r="AL684" s="23" t="s">
        <v>693</v>
      </c>
      <c r="AM684" s="23" t="s">
        <v>160</v>
      </c>
      <c r="AN684" s="23">
        <v>4</v>
      </c>
      <c r="AO684" s="23">
        <v>4</v>
      </c>
      <c r="AP684" s="23" t="s">
        <v>448</v>
      </c>
      <c r="AT684" s="64"/>
      <c r="DD684" s="23">
        <v>0.14630000000000001</v>
      </c>
      <c r="DE684" s="23">
        <v>0.19489999999999999</v>
      </c>
      <c r="DF684" s="23" t="s">
        <v>605</v>
      </c>
      <c r="DP684" s="12"/>
      <c r="DR684" s="15"/>
      <c r="EL684" s="23" t="s">
        <v>946</v>
      </c>
      <c r="EN684" s="23">
        <v>30</v>
      </c>
    </row>
    <row r="685" spans="1:144" s="23" customFormat="1" x14ac:dyDescent="0.25">
      <c r="A685" s="23">
        <v>30</v>
      </c>
      <c r="B685" s="23" t="s">
        <v>598</v>
      </c>
      <c r="C685" s="23" t="s">
        <v>599</v>
      </c>
      <c r="D685" s="23">
        <v>2002</v>
      </c>
      <c r="E685" s="23">
        <v>2000</v>
      </c>
      <c r="F685" s="23" t="s">
        <v>600</v>
      </c>
      <c r="G685" s="23" t="s">
        <v>601</v>
      </c>
      <c r="H685" s="23">
        <f t="shared" si="198"/>
        <v>38.533333333333331</v>
      </c>
      <c r="I685" s="23">
        <f t="shared" si="199"/>
        <v>-121.78333333333333</v>
      </c>
      <c r="J685" s="23">
        <v>18.399999999999999</v>
      </c>
      <c r="N685" s="23">
        <v>483</v>
      </c>
      <c r="P685" s="53" t="s">
        <v>189</v>
      </c>
      <c r="Q685" s="53"/>
      <c r="R685" s="53">
        <v>36566</v>
      </c>
      <c r="S685" s="53" t="s">
        <v>675</v>
      </c>
      <c r="U685" s="23">
        <v>36</v>
      </c>
      <c r="V685" s="23">
        <v>46</v>
      </c>
      <c r="W685" s="23" t="s">
        <v>182</v>
      </c>
      <c r="AA685" s="23" t="s">
        <v>1694</v>
      </c>
      <c r="AB685" s="23" t="s">
        <v>1513</v>
      </c>
      <c r="AC685" s="23" t="s">
        <v>1741</v>
      </c>
      <c r="AD685" s="23" t="s">
        <v>602</v>
      </c>
      <c r="AE685" s="23" t="s">
        <v>602</v>
      </c>
      <c r="AF685" s="23" t="s">
        <v>252</v>
      </c>
      <c r="AJ685" s="23" t="s">
        <v>494</v>
      </c>
      <c r="AK685" s="23" t="s">
        <v>604</v>
      </c>
      <c r="AL685" s="23" t="s">
        <v>693</v>
      </c>
      <c r="AM685" s="23" t="s">
        <v>160</v>
      </c>
      <c r="AN685" s="23">
        <v>4</v>
      </c>
      <c r="AO685" s="23">
        <v>4</v>
      </c>
      <c r="AP685" s="23" t="s">
        <v>448</v>
      </c>
      <c r="AT685" s="64"/>
      <c r="DD685" s="23">
        <v>0.14630000000000001</v>
      </c>
      <c r="DE685" s="23">
        <v>0.18110000000000001</v>
      </c>
      <c r="DF685" s="23" t="s">
        <v>605</v>
      </c>
      <c r="DP685" s="12"/>
      <c r="DR685" s="15"/>
      <c r="EL685" s="23" t="s">
        <v>946</v>
      </c>
      <c r="EN685" s="23">
        <v>30</v>
      </c>
    </row>
    <row r="686" spans="1:144" s="23" customFormat="1" x14ac:dyDescent="0.25">
      <c r="A686" s="23">
        <v>30</v>
      </c>
      <c r="B686" s="23" t="s">
        <v>598</v>
      </c>
      <c r="C686" s="23" t="s">
        <v>599</v>
      </c>
      <c r="D686" s="23">
        <v>2002</v>
      </c>
      <c r="E686" s="23">
        <v>2000</v>
      </c>
      <c r="F686" s="23" t="s">
        <v>600</v>
      </c>
      <c r="G686" s="23" t="s">
        <v>601</v>
      </c>
      <c r="H686" s="23">
        <f t="shared" si="198"/>
        <v>38.533333333333331</v>
      </c>
      <c r="I686" s="23">
        <f t="shared" si="199"/>
        <v>-121.78333333333333</v>
      </c>
      <c r="J686" s="23">
        <v>18.399999999999999</v>
      </c>
      <c r="N686" s="23">
        <v>483</v>
      </c>
      <c r="P686" s="53" t="s">
        <v>189</v>
      </c>
      <c r="Q686" s="53"/>
      <c r="R686" s="53">
        <v>36572</v>
      </c>
      <c r="S686" s="53" t="s">
        <v>675</v>
      </c>
      <c r="U686" s="23">
        <v>36</v>
      </c>
      <c r="V686" s="23">
        <v>46</v>
      </c>
      <c r="W686" s="23" t="s">
        <v>182</v>
      </c>
      <c r="AA686" s="23" t="s">
        <v>1694</v>
      </c>
      <c r="AB686" s="23" t="s">
        <v>1513</v>
      </c>
      <c r="AC686" s="23" t="s">
        <v>1741</v>
      </c>
      <c r="AD686" s="23" t="s">
        <v>602</v>
      </c>
      <c r="AE686" s="23" t="s">
        <v>602</v>
      </c>
      <c r="AF686" s="23" t="s">
        <v>252</v>
      </c>
      <c r="AJ686" s="23" t="s">
        <v>494</v>
      </c>
      <c r="AK686" s="23" t="s">
        <v>603</v>
      </c>
      <c r="AL686" s="23" t="s">
        <v>693</v>
      </c>
      <c r="AM686" s="23" t="s">
        <v>160</v>
      </c>
      <c r="AN686" s="23">
        <v>4</v>
      </c>
      <c r="AO686" s="23">
        <v>4</v>
      </c>
      <c r="AP686" s="23" t="s">
        <v>448</v>
      </c>
      <c r="AT686" s="64"/>
      <c r="DD686" s="23">
        <v>0.15640000000000001</v>
      </c>
      <c r="DE686" s="23">
        <v>0.1958</v>
      </c>
      <c r="DF686" s="23" t="s">
        <v>605</v>
      </c>
      <c r="DP686" s="12"/>
      <c r="DR686" s="15"/>
      <c r="EL686" s="23" t="s">
        <v>946</v>
      </c>
      <c r="EN686" s="23">
        <v>30</v>
      </c>
    </row>
    <row r="687" spans="1:144" s="23" customFormat="1" x14ac:dyDescent="0.25">
      <c r="A687" s="23">
        <v>30</v>
      </c>
      <c r="B687" s="23" t="s">
        <v>598</v>
      </c>
      <c r="C687" s="23" t="s">
        <v>599</v>
      </c>
      <c r="D687" s="23">
        <v>2002</v>
      </c>
      <c r="E687" s="23">
        <v>2000</v>
      </c>
      <c r="F687" s="23" t="s">
        <v>600</v>
      </c>
      <c r="G687" s="23" t="s">
        <v>601</v>
      </c>
      <c r="H687" s="23">
        <f t="shared" si="198"/>
        <v>38.533333333333331</v>
      </c>
      <c r="I687" s="23">
        <f t="shared" si="199"/>
        <v>-121.78333333333333</v>
      </c>
      <c r="J687" s="23">
        <v>18.399999999999999</v>
      </c>
      <c r="N687" s="23">
        <v>483</v>
      </c>
      <c r="P687" s="53" t="s">
        <v>189</v>
      </c>
      <c r="Q687" s="53"/>
      <c r="R687" s="53">
        <v>36572</v>
      </c>
      <c r="S687" s="53" t="s">
        <v>675</v>
      </c>
      <c r="U687" s="23">
        <v>36</v>
      </c>
      <c r="V687" s="23">
        <v>46</v>
      </c>
      <c r="W687" s="23" t="s">
        <v>182</v>
      </c>
      <c r="AA687" s="23" t="s">
        <v>1694</v>
      </c>
      <c r="AB687" s="23" t="s">
        <v>1513</v>
      </c>
      <c r="AC687" s="23" t="s">
        <v>1741</v>
      </c>
      <c r="AD687" s="23" t="s">
        <v>602</v>
      </c>
      <c r="AE687" s="23" t="s">
        <v>602</v>
      </c>
      <c r="AF687" s="23" t="s">
        <v>252</v>
      </c>
      <c r="AJ687" s="23" t="s">
        <v>494</v>
      </c>
      <c r="AK687" s="23" t="s">
        <v>604</v>
      </c>
      <c r="AL687" s="23" t="s">
        <v>693</v>
      </c>
      <c r="AM687" s="23" t="s">
        <v>160</v>
      </c>
      <c r="AN687" s="23">
        <v>4</v>
      </c>
      <c r="AO687" s="23">
        <v>4</v>
      </c>
      <c r="AP687" s="23" t="s">
        <v>448</v>
      </c>
      <c r="AT687" s="64"/>
      <c r="DD687" s="23">
        <v>0.15640000000000001</v>
      </c>
      <c r="DE687" s="23">
        <v>0.1958</v>
      </c>
      <c r="DF687" s="23" t="s">
        <v>605</v>
      </c>
      <c r="DP687" s="12"/>
      <c r="DR687" s="15"/>
      <c r="EL687" s="23" t="s">
        <v>946</v>
      </c>
      <c r="EN687" s="23">
        <v>30</v>
      </c>
    </row>
    <row r="688" spans="1:144" s="23" customFormat="1" x14ac:dyDescent="0.25">
      <c r="A688" s="23">
        <v>30</v>
      </c>
      <c r="B688" s="23" t="s">
        <v>598</v>
      </c>
      <c r="C688" s="23" t="s">
        <v>599</v>
      </c>
      <c r="D688" s="23">
        <v>2002</v>
      </c>
      <c r="E688" s="23">
        <v>2000</v>
      </c>
      <c r="F688" s="23" t="s">
        <v>600</v>
      </c>
      <c r="G688" s="23" t="s">
        <v>601</v>
      </c>
      <c r="H688" s="23">
        <f t="shared" si="198"/>
        <v>38.533333333333331</v>
      </c>
      <c r="I688" s="23">
        <f t="shared" si="199"/>
        <v>-121.78333333333333</v>
      </c>
      <c r="J688" s="23">
        <v>18.399999999999999</v>
      </c>
      <c r="N688" s="23">
        <v>483</v>
      </c>
      <c r="P688" s="53" t="s">
        <v>189</v>
      </c>
      <c r="Q688" s="53"/>
      <c r="R688" s="53">
        <v>36582</v>
      </c>
      <c r="S688" s="53" t="s">
        <v>675</v>
      </c>
      <c r="U688" s="23">
        <v>36</v>
      </c>
      <c r="V688" s="23">
        <v>46</v>
      </c>
      <c r="W688" s="23" t="s">
        <v>182</v>
      </c>
      <c r="AA688" s="23" t="s">
        <v>1694</v>
      </c>
      <c r="AB688" s="23" t="s">
        <v>1513</v>
      </c>
      <c r="AC688" s="23" t="s">
        <v>1741</v>
      </c>
      <c r="AD688" s="23" t="s">
        <v>602</v>
      </c>
      <c r="AE688" s="23" t="s">
        <v>602</v>
      </c>
      <c r="AF688" s="23" t="s">
        <v>252</v>
      </c>
      <c r="AJ688" s="23" t="s">
        <v>494</v>
      </c>
      <c r="AK688" s="23" t="s">
        <v>603</v>
      </c>
      <c r="AL688" s="23" t="s">
        <v>693</v>
      </c>
      <c r="AM688" s="23" t="s">
        <v>160</v>
      </c>
      <c r="AN688" s="23">
        <v>4</v>
      </c>
      <c r="AO688" s="23">
        <v>4</v>
      </c>
      <c r="AP688" s="23" t="s">
        <v>448</v>
      </c>
      <c r="AT688" s="64"/>
      <c r="DD688" s="23">
        <v>0.17100000000000001</v>
      </c>
      <c r="DE688" s="23">
        <v>0.20399999999999999</v>
      </c>
      <c r="DF688" s="23" t="s">
        <v>605</v>
      </c>
      <c r="DP688" s="12"/>
      <c r="DR688" s="15"/>
      <c r="EL688" s="23" t="s">
        <v>946</v>
      </c>
      <c r="EN688" s="23">
        <v>30</v>
      </c>
    </row>
    <row r="689" spans="1:144" s="23" customFormat="1" x14ac:dyDescent="0.25">
      <c r="A689" s="23">
        <v>30</v>
      </c>
      <c r="B689" s="23" t="s">
        <v>598</v>
      </c>
      <c r="C689" s="23" t="s">
        <v>599</v>
      </c>
      <c r="D689" s="23">
        <v>2002</v>
      </c>
      <c r="E689" s="23">
        <v>2000</v>
      </c>
      <c r="F689" s="23" t="s">
        <v>600</v>
      </c>
      <c r="G689" s="23" t="s">
        <v>601</v>
      </c>
      <c r="H689" s="23">
        <f t="shared" si="198"/>
        <v>38.533333333333331</v>
      </c>
      <c r="I689" s="23">
        <f t="shared" si="199"/>
        <v>-121.78333333333333</v>
      </c>
      <c r="J689" s="23">
        <v>18.399999999999999</v>
      </c>
      <c r="N689" s="23">
        <v>483</v>
      </c>
      <c r="P689" s="53" t="s">
        <v>189</v>
      </c>
      <c r="Q689" s="53"/>
      <c r="R689" s="53">
        <v>36582</v>
      </c>
      <c r="S689" s="53" t="s">
        <v>675</v>
      </c>
      <c r="U689" s="23">
        <v>36</v>
      </c>
      <c r="V689" s="23">
        <v>46</v>
      </c>
      <c r="W689" s="23" t="s">
        <v>182</v>
      </c>
      <c r="AA689" s="23" t="s">
        <v>1694</v>
      </c>
      <c r="AB689" s="23" t="s">
        <v>1513</v>
      </c>
      <c r="AC689" s="23" t="s">
        <v>1741</v>
      </c>
      <c r="AD689" s="23" t="s">
        <v>602</v>
      </c>
      <c r="AE689" s="23" t="s">
        <v>602</v>
      </c>
      <c r="AF689" s="23" t="s">
        <v>252</v>
      </c>
      <c r="AJ689" s="23" t="s">
        <v>494</v>
      </c>
      <c r="AK689" s="23" t="s">
        <v>604</v>
      </c>
      <c r="AL689" s="23" t="s">
        <v>693</v>
      </c>
      <c r="AM689" s="23" t="s">
        <v>160</v>
      </c>
      <c r="AN689" s="23">
        <v>4</v>
      </c>
      <c r="AO689" s="23">
        <v>4</v>
      </c>
      <c r="AP689" s="23" t="s">
        <v>448</v>
      </c>
      <c r="AT689" s="64"/>
      <c r="DD689" s="23">
        <v>0.17100000000000001</v>
      </c>
      <c r="DE689" s="23">
        <v>0.20399999999999999</v>
      </c>
      <c r="DF689" s="23" t="s">
        <v>605</v>
      </c>
      <c r="DP689" s="12"/>
      <c r="DR689" s="15"/>
      <c r="EL689" s="23" t="s">
        <v>946</v>
      </c>
      <c r="EN689" s="23">
        <v>30</v>
      </c>
    </row>
    <row r="690" spans="1:144" s="23" customFormat="1" x14ac:dyDescent="0.25">
      <c r="A690" s="23">
        <v>30</v>
      </c>
      <c r="B690" s="23" t="s">
        <v>598</v>
      </c>
      <c r="C690" s="23" t="s">
        <v>599</v>
      </c>
      <c r="D690" s="23">
        <v>2002</v>
      </c>
      <c r="E690" s="23">
        <v>2000</v>
      </c>
      <c r="F690" s="23" t="s">
        <v>600</v>
      </c>
      <c r="G690" s="23" t="s">
        <v>601</v>
      </c>
      <c r="H690" s="23">
        <f t="shared" si="198"/>
        <v>38.533333333333331</v>
      </c>
      <c r="I690" s="23">
        <f t="shared" si="199"/>
        <v>-121.78333333333333</v>
      </c>
      <c r="J690" s="23">
        <v>18.399999999999999</v>
      </c>
      <c r="N690" s="23">
        <v>483</v>
      </c>
      <c r="P690" s="53" t="s">
        <v>189</v>
      </c>
      <c r="Q690" s="53"/>
      <c r="R690" s="53">
        <v>36587</v>
      </c>
      <c r="S690" s="53" t="s">
        <v>675</v>
      </c>
      <c r="U690" s="23">
        <v>36</v>
      </c>
      <c r="V690" s="23">
        <v>46</v>
      </c>
      <c r="W690" s="23" t="s">
        <v>182</v>
      </c>
      <c r="AA690" s="23" t="s">
        <v>1694</v>
      </c>
      <c r="AB690" s="23" t="s">
        <v>1513</v>
      </c>
      <c r="AC690" s="23" t="s">
        <v>1741</v>
      </c>
      <c r="AD690" s="23" t="s">
        <v>602</v>
      </c>
      <c r="AE690" s="23" t="s">
        <v>602</v>
      </c>
      <c r="AF690" s="23" t="s">
        <v>252</v>
      </c>
      <c r="AJ690" s="23" t="s">
        <v>494</v>
      </c>
      <c r="AK690" s="23" t="s">
        <v>603</v>
      </c>
      <c r="AL690" s="23" t="s">
        <v>693</v>
      </c>
      <c r="AM690" s="23" t="s">
        <v>160</v>
      </c>
      <c r="AN690" s="23">
        <v>4</v>
      </c>
      <c r="AO690" s="23">
        <v>4</v>
      </c>
      <c r="AP690" s="23" t="s">
        <v>448</v>
      </c>
      <c r="AT690" s="64"/>
      <c r="DD690" s="23">
        <v>0.17660000000000001</v>
      </c>
      <c r="DE690" s="23">
        <v>0.20860000000000001</v>
      </c>
      <c r="DF690" s="23" t="s">
        <v>605</v>
      </c>
      <c r="DP690" s="12"/>
      <c r="DR690" s="15"/>
      <c r="EL690" s="23" t="s">
        <v>946</v>
      </c>
      <c r="EN690" s="23">
        <v>30</v>
      </c>
    </row>
    <row r="691" spans="1:144" s="23" customFormat="1" x14ac:dyDescent="0.25">
      <c r="A691" s="23">
        <v>30</v>
      </c>
      <c r="B691" s="23" t="s">
        <v>598</v>
      </c>
      <c r="C691" s="23" t="s">
        <v>599</v>
      </c>
      <c r="D691" s="23">
        <v>2002</v>
      </c>
      <c r="E691" s="23">
        <v>2000</v>
      </c>
      <c r="F691" s="23" t="s">
        <v>600</v>
      </c>
      <c r="G691" s="23" t="s">
        <v>601</v>
      </c>
      <c r="H691" s="23">
        <f t="shared" si="198"/>
        <v>38.533333333333331</v>
      </c>
      <c r="I691" s="23">
        <f t="shared" si="199"/>
        <v>-121.78333333333333</v>
      </c>
      <c r="J691" s="23">
        <v>18.399999999999999</v>
      </c>
      <c r="N691" s="23">
        <v>483</v>
      </c>
      <c r="P691" s="53" t="s">
        <v>189</v>
      </c>
      <c r="Q691" s="53"/>
      <c r="R691" s="53">
        <v>36587</v>
      </c>
      <c r="S691" s="53" t="s">
        <v>675</v>
      </c>
      <c r="U691" s="23">
        <v>36</v>
      </c>
      <c r="V691" s="23">
        <v>46</v>
      </c>
      <c r="W691" s="23" t="s">
        <v>182</v>
      </c>
      <c r="AA691" s="23" t="s">
        <v>1694</v>
      </c>
      <c r="AB691" s="23" t="s">
        <v>1513</v>
      </c>
      <c r="AC691" s="23" t="s">
        <v>1741</v>
      </c>
      <c r="AD691" s="23" t="s">
        <v>602</v>
      </c>
      <c r="AE691" s="23" t="s">
        <v>602</v>
      </c>
      <c r="AF691" s="23" t="s">
        <v>252</v>
      </c>
      <c r="AJ691" s="23" t="s">
        <v>494</v>
      </c>
      <c r="AK691" s="23" t="s">
        <v>604</v>
      </c>
      <c r="AL691" s="23" t="s">
        <v>693</v>
      </c>
      <c r="AM691" s="23" t="s">
        <v>160</v>
      </c>
      <c r="AN691" s="23">
        <v>4</v>
      </c>
      <c r="AO691" s="23">
        <v>4</v>
      </c>
      <c r="AP691" s="23" t="s">
        <v>448</v>
      </c>
      <c r="AT691" s="64"/>
      <c r="DD691" s="23">
        <v>0.17660000000000001</v>
      </c>
      <c r="DE691" s="23">
        <v>0.20860000000000001</v>
      </c>
      <c r="DF691" s="23" t="s">
        <v>605</v>
      </c>
      <c r="DP691" s="12"/>
      <c r="DR691" s="15"/>
      <c r="EL691" s="23" t="s">
        <v>946</v>
      </c>
      <c r="EN691" s="23">
        <v>30</v>
      </c>
    </row>
    <row r="692" spans="1:144" s="23" customFormat="1" x14ac:dyDescent="0.25">
      <c r="A692" s="23">
        <v>30</v>
      </c>
      <c r="B692" s="23" t="s">
        <v>598</v>
      </c>
      <c r="C692" s="23" t="s">
        <v>599</v>
      </c>
      <c r="D692" s="23">
        <v>2002</v>
      </c>
      <c r="E692" s="23">
        <v>2000</v>
      </c>
      <c r="F692" s="23" t="s">
        <v>600</v>
      </c>
      <c r="G692" s="23" t="s">
        <v>601</v>
      </c>
      <c r="H692" s="23">
        <f t="shared" si="198"/>
        <v>38.533333333333331</v>
      </c>
      <c r="I692" s="23">
        <f t="shared" si="199"/>
        <v>-121.78333333333333</v>
      </c>
      <c r="J692" s="23">
        <v>18.399999999999999</v>
      </c>
      <c r="N692" s="23">
        <v>483</v>
      </c>
      <c r="P692" s="53" t="s">
        <v>189</v>
      </c>
      <c r="Q692" s="53"/>
      <c r="R692" s="53">
        <v>36598</v>
      </c>
      <c r="S692" s="53" t="s">
        <v>675</v>
      </c>
      <c r="U692" s="23">
        <v>36</v>
      </c>
      <c r="V692" s="23">
        <v>46</v>
      </c>
      <c r="W692" s="23" t="s">
        <v>182</v>
      </c>
      <c r="AA692" s="23" t="s">
        <v>1694</v>
      </c>
      <c r="AB692" s="23" t="s">
        <v>1513</v>
      </c>
      <c r="AC692" s="23" t="s">
        <v>1741</v>
      </c>
      <c r="AD692" s="23" t="s">
        <v>602</v>
      </c>
      <c r="AE692" s="23" t="s">
        <v>602</v>
      </c>
      <c r="AF692" s="23" t="s">
        <v>252</v>
      </c>
      <c r="AJ692" s="23" t="s">
        <v>494</v>
      </c>
      <c r="AK692" s="23" t="s">
        <v>603</v>
      </c>
      <c r="AL692" s="23" t="s">
        <v>693</v>
      </c>
      <c r="AM692" s="23" t="s">
        <v>160</v>
      </c>
      <c r="AN692" s="23">
        <v>4</v>
      </c>
      <c r="AO692" s="23">
        <v>4</v>
      </c>
      <c r="AP692" s="23" t="s">
        <v>448</v>
      </c>
      <c r="AT692" s="64"/>
      <c r="DD692" s="23">
        <v>0.1757</v>
      </c>
      <c r="DE692" s="23">
        <v>0.21790000000000001</v>
      </c>
      <c r="DF692" s="23" t="s">
        <v>605</v>
      </c>
      <c r="DP692" s="12"/>
      <c r="DR692" s="15"/>
      <c r="EL692" s="23" t="s">
        <v>946</v>
      </c>
      <c r="EN692" s="23">
        <v>30</v>
      </c>
    </row>
    <row r="693" spans="1:144" s="23" customFormat="1" x14ac:dyDescent="0.25">
      <c r="A693" s="23">
        <v>30</v>
      </c>
      <c r="B693" s="23" t="s">
        <v>598</v>
      </c>
      <c r="C693" s="23" t="s">
        <v>599</v>
      </c>
      <c r="D693" s="23">
        <v>2002</v>
      </c>
      <c r="E693" s="23">
        <v>2000</v>
      </c>
      <c r="F693" s="23" t="s">
        <v>600</v>
      </c>
      <c r="G693" s="23" t="s">
        <v>601</v>
      </c>
      <c r="H693" s="23">
        <f t="shared" si="198"/>
        <v>38.533333333333331</v>
      </c>
      <c r="I693" s="23">
        <f t="shared" si="199"/>
        <v>-121.78333333333333</v>
      </c>
      <c r="J693" s="23">
        <v>18.399999999999999</v>
      </c>
      <c r="N693" s="23">
        <v>483</v>
      </c>
      <c r="P693" s="53" t="s">
        <v>189</v>
      </c>
      <c r="Q693" s="53"/>
      <c r="R693" s="53">
        <v>36598</v>
      </c>
      <c r="S693" s="53" t="s">
        <v>675</v>
      </c>
      <c r="U693" s="23">
        <v>36</v>
      </c>
      <c r="V693" s="23">
        <v>46</v>
      </c>
      <c r="W693" s="23" t="s">
        <v>182</v>
      </c>
      <c r="AA693" s="23" t="s">
        <v>1694</v>
      </c>
      <c r="AB693" s="23" t="s">
        <v>1513</v>
      </c>
      <c r="AC693" s="23" t="s">
        <v>1741</v>
      </c>
      <c r="AD693" s="23" t="s">
        <v>602</v>
      </c>
      <c r="AE693" s="23" t="s">
        <v>602</v>
      </c>
      <c r="AF693" s="23" t="s">
        <v>252</v>
      </c>
      <c r="AJ693" s="23" t="s">
        <v>494</v>
      </c>
      <c r="AK693" s="23" t="s">
        <v>604</v>
      </c>
      <c r="AL693" s="23" t="s">
        <v>693</v>
      </c>
      <c r="AM693" s="23" t="s">
        <v>160</v>
      </c>
      <c r="AN693" s="23">
        <v>4</v>
      </c>
      <c r="AO693" s="23">
        <v>4</v>
      </c>
      <c r="AP693" s="23" t="s">
        <v>448</v>
      </c>
      <c r="AT693" s="64"/>
      <c r="DD693" s="23">
        <v>0.1757</v>
      </c>
      <c r="DE693" s="23">
        <v>0.21060000000000001</v>
      </c>
      <c r="DF693" s="23" t="s">
        <v>605</v>
      </c>
      <c r="DP693" s="12"/>
      <c r="DR693" s="15"/>
      <c r="EL693" s="23" t="s">
        <v>946</v>
      </c>
      <c r="EN693" s="23">
        <v>30</v>
      </c>
    </row>
    <row r="694" spans="1:144" s="26" customFormat="1" x14ac:dyDescent="0.25">
      <c r="A694" s="26">
        <v>31</v>
      </c>
      <c r="B694" s="26" t="s">
        <v>608</v>
      </c>
      <c r="C694" s="26" t="s">
        <v>609</v>
      </c>
      <c r="D694" s="26">
        <v>1999</v>
      </c>
      <c r="E694" s="26">
        <v>1997</v>
      </c>
      <c r="F694" s="26" t="s">
        <v>610</v>
      </c>
      <c r="G694" s="26" t="s">
        <v>415</v>
      </c>
      <c r="H694" s="26">
        <v>40.716666666666669</v>
      </c>
      <c r="I694" s="26">
        <v>-77.916666666666671</v>
      </c>
      <c r="J694" s="26">
        <v>350</v>
      </c>
      <c r="N694" s="26">
        <v>975</v>
      </c>
      <c r="P694" s="52" t="s">
        <v>186</v>
      </c>
      <c r="Q694" s="52"/>
      <c r="R694" s="52" t="s">
        <v>615</v>
      </c>
      <c r="S694" s="52"/>
      <c r="W694" s="26" t="s">
        <v>611</v>
      </c>
      <c r="X694" s="26">
        <v>6.38</v>
      </c>
      <c r="AB694" s="26" t="s">
        <v>613</v>
      </c>
      <c r="AC694" s="26" t="s">
        <v>612</v>
      </c>
      <c r="AG694" s="26" t="s">
        <v>388</v>
      </c>
      <c r="AH694" s="26" t="s">
        <v>388</v>
      </c>
      <c r="AI694" s="26" t="s">
        <v>252</v>
      </c>
      <c r="AJ694" s="26" t="s">
        <v>620</v>
      </c>
      <c r="AK694" s="26" t="s">
        <v>620</v>
      </c>
      <c r="AM694" s="26" t="s">
        <v>160</v>
      </c>
      <c r="AN694" s="26">
        <v>5</v>
      </c>
      <c r="AO694" s="26">
        <v>5</v>
      </c>
      <c r="AP694" s="26" t="s">
        <v>184</v>
      </c>
      <c r="AT694" s="63" t="s">
        <v>388</v>
      </c>
      <c r="AU694" s="26" t="s">
        <v>619</v>
      </c>
      <c r="AV694" s="26">
        <v>0.44500000000000001</v>
      </c>
      <c r="AW694" s="26">
        <v>0.36470000000000002</v>
      </c>
      <c r="AX694" s="26" t="s">
        <v>1115</v>
      </c>
      <c r="AY694" s="26">
        <f>(29.13*48545)/1000</f>
        <v>1414.1158499999999</v>
      </c>
      <c r="AZ694" s="26">
        <f>(28.93*31255)/1000</f>
        <v>904.20715000000007</v>
      </c>
      <c r="CC694" s="26">
        <v>131.69999999999999</v>
      </c>
      <c r="CD694" s="26">
        <v>244.89</v>
      </c>
      <c r="DP694" s="26">
        <v>3.54</v>
      </c>
      <c r="DQ694" s="26">
        <v>18.39</v>
      </c>
      <c r="DR694" s="26" t="s">
        <v>618</v>
      </c>
      <c r="EL694" s="26" t="s">
        <v>628</v>
      </c>
      <c r="EM694" s="26" t="s">
        <v>618</v>
      </c>
      <c r="EN694" s="26">
        <v>31</v>
      </c>
    </row>
    <row r="695" spans="1:144" s="26" customFormat="1" x14ac:dyDescent="0.25">
      <c r="A695" s="26">
        <v>31</v>
      </c>
      <c r="B695" s="26" t="s">
        <v>608</v>
      </c>
      <c r="C695" s="26" t="s">
        <v>609</v>
      </c>
      <c r="D695" s="26">
        <v>1999</v>
      </c>
      <c r="E695" s="26">
        <v>1997</v>
      </c>
      <c r="F695" s="26" t="s">
        <v>610</v>
      </c>
      <c r="G695" s="26" t="s">
        <v>415</v>
      </c>
      <c r="H695" s="26">
        <v>40.716666666666669</v>
      </c>
      <c r="I695" s="26">
        <v>-77.916666666666671</v>
      </c>
      <c r="J695" s="26">
        <v>350</v>
      </c>
      <c r="N695" s="26">
        <v>975</v>
      </c>
      <c r="P695" s="52" t="s">
        <v>186</v>
      </c>
      <c r="Q695" s="52"/>
      <c r="R695" s="52" t="s">
        <v>615</v>
      </c>
      <c r="S695" s="52"/>
      <c r="W695" s="26" t="s">
        <v>611</v>
      </c>
      <c r="X695" s="26">
        <v>6.38</v>
      </c>
      <c r="AB695" s="26" t="s">
        <v>614</v>
      </c>
      <c r="AC695" s="26" t="s">
        <v>612</v>
      </c>
      <c r="AG695" s="26" t="s">
        <v>388</v>
      </c>
      <c r="AH695" s="26" t="s">
        <v>388</v>
      </c>
      <c r="AI695" s="26" t="s">
        <v>252</v>
      </c>
      <c r="AJ695" s="26" t="s">
        <v>620</v>
      </c>
      <c r="AK695" s="26" t="s">
        <v>620</v>
      </c>
      <c r="AM695" s="26" t="s">
        <v>160</v>
      </c>
      <c r="AN695" s="26">
        <v>5</v>
      </c>
      <c r="AO695" s="26">
        <v>5</v>
      </c>
      <c r="AP695" s="26" t="s">
        <v>184</v>
      </c>
      <c r="AT695" s="63" t="s">
        <v>388</v>
      </c>
      <c r="AU695" s="26" t="s">
        <v>619</v>
      </c>
      <c r="AV695" s="26">
        <v>0.44500000000000001</v>
      </c>
      <c r="AW695" s="26">
        <v>0.48680000000000001</v>
      </c>
      <c r="AX695" s="26" t="s">
        <v>1115</v>
      </c>
      <c r="AY695" s="26">
        <f>(29.13*48545)/1000</f>
        <v>1414.1158499999999</v>
      </c>
      <c r="AZ695" s="26">
        <f>(35.33*45885)/1000</f>
        <v>1621.1170499999998</v>
      </c>
      <c r="CC695" s="26">
        <v>131.69999999999999</v>
      </c>
      <c r="CD695" s="26">
        <v>271.95999999999998</v>
      </c>
      <c r="DP695" s="26">
        <v>3.54</v>
      </c>
      <c r="DQ695" s="26">
        <v>16.77</v>
      </c>
      <c r="DR695" s="26" t="s">
        <v>618</v>
      </c>
      <c r="EL695" s="26" t="s">
        <v>628</v>
      </c>
      <c r="EM695" s="26" t="s">
        <v>618</v>
      </c>
      <c r="EN695" s="26">
        <v>31</v>
      </c>
    </row>
    <row r="696" spans="1:144" s="26" customFormat="1" x14ac:dyDescent="0.25">
      <c r="A696" s="26">
        <v>31</v>
      </c>
      <c r="B696" s="26" t="s">
        <v>608</v>
      </c>
      <c r="C696" s="26" t="s">
        <v>609</v>
      </c>
      <c r="D696" s="26">
        <v>1999</v>
      </c>
      <c r="E696" s="26">
        <v>1997</v>
      </c>
      <c r="F696" s="26" t="s">
        <v>610</v>
      </c>
      <c r="G696" s="26" t="s">
        <v>415</v>
      </c>
      <c r="H696" s="26">
        <v>40.716666666666669</v>
      </c>
      <c r="I696" s="26">
        <v>-77.916666666666671</v>
      </c>
      <c r="J696" s="26">
        <v>350</v>
      </c>
      <c r="N696" s="26">
        <v>975</v>
      </c>
      <c r="P696" s="52" t="s">
        <v>186</v>
      </c>
      <c r="Q696" s="52"/>
      <c r="R696" s="52" t="s">
        <v>616</v>
      </c>
      <c r="S696" s="52"/>
      <c r="W696" s="26" t="s">
        <v>611</v>
      </c>
      <c r="X696" s="26">
        <v>6.38</v>
      </c>
      <c r="AB696" s="26" t="s">
        <v>613</v>
      </c>
      <c r="AC696" s="26" t="s">
        <v>612</v>
      </c>
      <c r="AG696" s="26" t="s">
        <v>388</v>
      </c>
      <c r="AH696" s="26" t="s">
        <v>388</v>
      </c>
      <c r="AI696" s="26" t="s">
        <v>252</v>
      </c>
      <c r="AJ696" s="26" t="s">
        <v>620</v>
      </c>
      <c r="AK696" s="26" t="s">
        <v>620</v>
      </c>
      <c r="AM696" s="26" t="s">
        <v>160</v>
      </c>
      <c r="AN696" s="26">
        <v>5</v>
      </c>
      <c r="AO696" s="26">
        <v>5</v>
      </c>
      <c r="AP696" s="26" t="s">
        <v>184</v>
      </c>
      <c r="AT696" s="63" t="s">
        <v>388</v>
      </c>
      <c r="AU696" s="26" t="s">
        <v>619</v>
      </c>
      <c r="AV696" s="26">
        <v>2.3849999999999998</v>
      </c>
      <c r="AW696" s="26">
        <v>2.7770000000000001</v>
      </c>
      <c r="AX696" s="26" t="s">
        <v>1115</v>
      </c>
      <c r="DP696" s="26">
        <v>16.531400000000001</v>
      </c>
      <c r="DQ696" s="26">
        <v>26.787500000000001</v>
      </c>
      <c r="DR696" s="26" t="s">
        <v>618</v>
      </c>
      <c r="EL696" s="26" t="s">
        <v>628</v>
      </c>
      <c r="EM696" s="26" t="s">
        <v>618</v>
      </c>
      <c r="EN696" s="26">
        <v>31</v>
      </c>
    </row>
    <row r="697" spans="1:144" s="26" customFormat="1" x14ac:dyDescent="0.25">
      <c r="A697" s="26">
        <v>31</v>
      </c>
      <c r="B697" s="26" t="s">
        <v>608</v>
      </c>
      <c r="C697" s="26" t="s">
        <v>609</v>
      </c>
      <c r="D697" s="26">
        <v>1999</v>
      </c>
      <c r="E697" s="26">
        <v>1997</v>
      </c>
      <c r="F697" s="26" t="s">
        <v>610</v>
      </c>
      <c r="G697" s="26" t="s">
        <v>415</v>
      </c>
      <c r="H697" s="26">
        <v>40.716666666666669</v>
      </c>
      <c r="I697" s="26">
        <v>-77.916666666666671</v>
      </c>
      <c r="J697" s="26">
        <v>350</v>
      </c>
      <c r="N697" s="26">
        <v>975</v>
      </c>
      <c r="P697" s="52" t="s">
        <v>186</v>
      </c>
      <c r="Q697" s="52"/>
      <c r="R697" s="52" t="s">
        <v>616</v>
      </c>
      <c r="S697" s="52"/>
      <c r="W697" s="26" t="s">
        <v>611</v>
      </c>
      <c r="X697" s="26">
        <v>6.38</v>
      </c>
      <c r="AB697" s="26" t="s">
        <v>614</v>
      </c>
      <c r="AC697" s="26" t="s">
        <v>612</v>
      </c>
      <c r="AG697" s="26" t="s">
        <v>388</v>
      </c>
      <c r="AH697" s="26" t="s">
        <v>388</v>
      </c>
      <c r="AI697" s="26" t="s">
        <v>252</v>
      </c>
      <c r="AJ697" s="26" t="s">
        <v>620</v>
      </c>
      <c r="AK697" s="26" t="s">
        <v>620</v>
      </c>
      <c r="AM697" s="26" t="s">
        <v>160</v>
      </c>
      <c r="AN697" s="26">
        <v>5</v>
      </c>
      <c r="AO697" s="26">
        <v>5</v>
      </c>
      <c r="AP697" s="26" t="s">
        <v>184</v>
      </c>
      <c r="AT697" s="63" t="s">
        <v>388</v>
      </c>
      <c r="AU697" s="26" t="s">
        <v>619</v>
      </c>
      <c r="AV697" s="26">
        <v>2.3849999999999998</v>
      </c>
      <c r="AW697" s="26">
        <v>3.3530000000000002</v>
      </c>
      <c r="AX697" s="26" t="s">
        <v>1115</v>
      </c>
      <c r="DP697" s="26">
        <v>16.531400000000001</v>
      </c>
      <c r="DQ697" s="26">
        <v>39.47</v>
      </c>
      <c r="DR697" s="26" t="s">
        <v>618</v>
      </c>
      <c r="EL697" s="26" t="s">
        <v>628</v>
      </c>
      <c r="EM697" s="26" t="s">
        <v>618</v>
      </c>
      <c r="EN697" s="26">
        <v>31</v>
      </c>
    </row>
    <row r="698" spans="1:144" s="26" customFormat="1" x14ac:dyDescent="0.25">
      <c r="A698" s="26">
        <v>31</v>
      </c>
      <c r="B698" s="26" t="s">
        <v>608</v>
      </c>
      <c r="C698" s="26" t="s">
        <v>609</v>
      </c>
      <c r="D698" s="26">
        <v>1999</v>
      </c>
      <c r="E698" s="26">
        <v>1997</v>
      </c>
      <c r="F698" s="26" t="s">
        <v>610</v>
      </c>
      <c r="G698" s="26" t="s">
        <v>415</v>
      </c>
      <c r="H698" s="26">
        <v>40.716666666666669</v>
      </c>
      <c r="I698" s="26">
        <v>-77.916666666666671</v>
      </c>
      <c r="J698" s="26">
        <v>350</v>
      </c>
      <c r="N698" s="26">
        <v>975</v>
      </c>
      <c r="P698" s="52" t="s">
        <v>186</v>
      </c>
      <c r="Q698" s="52"/>
      <c r="R698" s="52" t="s">
        <v>617</v>
      </c>
      <c r="S698" s="52"/>
      <c r="W698" s="26" t="s">
        <v>611</v>
      </c>
      <c r="X698" s="26">
        <v>6.38</v>
      </c>
      <c r="AB698" s="26" t="s">
        <v>613</v>
      </c>
      <c r="AC698" s="26" t="s">
        <v>612</v>
      </c>
      <c r="AG698" s="26" t="s">
        <v>388</v>
      </c>
      <c r="AH698" s="26" t="s">
        <v>388</v>
      </c>
      <c r="AI698" s="26" t="s">
        <v>252</v>
      </c>
      <c r="AJ698" s="26" t="s">
        <v>620</v>
      </c>
      <c r="AK698" s="26" t="s">
        <v>620</v>
      </c>
      <c r="AM698" s="26" t="s">
        <v>160</v>
      </c>
      <c r="AN698" s="26">
        <v>5</v>
      </c>
      <c r="AO698" s="26">
        <v>5</v>
      </c>
      <c r="AP698" s="26" t="s">
        <v>184</v>
      </c>
      <c r="AT698" s="63" t="s">
        <v>388</v>
      </c>
      <c r="DP698" s="26">
        <v>45.444699999999997</v>
      </c>
      <c r="DQ698" s="26">
        <v>61.37</v>
      </c>
      <c r="DR698" s="26" t="s">
        <v>618</v>
      </c>
      <c r="EL698" s="26" t="s">
        <v>628</v>
      </c>
      <c r="EM698" s="26" t="s">
        <v>618</v>
      </c>
      <c r="EN698" s="26">
        <v>31</v>
      </c>
    </row>
    <row r="699" spans="1:144" s="26" customFormat="1" x14ac:dyDescent="0.25">
      <c r="A699" s="26">
        <v>31</v>
      </c>
      <c r="B699" s="26" t="s">
        <v>608</v>
      </c>
      <c r="C699" s="26" t="s">
        <v>609</v>
      </c>
      <c r="D699" s="26">
        <v>1999</v>
      </c>
      <c r="E699" s="26">
        <v>1997</v>
      </c>
      <c r="F699" s="26" t="s">
        <v>610</v>
      </c>
      <c r="G699" s="26" t="s">
        <v>415</v>
      </c>
      <c r="H699" s="26">
        <v>40.716666666666669</v>
      </c>
      <c r="I699" s="26">
        <v>-77.916666666666671</v>
      </c>
      <c r="J699" s="26">
        <v>350</v>
      </c>
      <c r="N699" s="26">
        <v>975</v>
      </c>
      <c r="P699" s="52" t="s">
        <v>186</v>
      </c>
      <c r="Q699" s="52"/>
      <c r="R699" s="52" t="s">
        <v>617</v>
      </c>
      <c r="S699" s="52"/>
      <c r="W699" s="26" t="s">
        <v>611</v>
      </c>
      <c r="X699" s="26">
        <v>6.38</v>
      </c>
      <c r="AB699" s="26" t="s">
        <v>614</v>
      </c>
      <c r="AC699" s="26" t="s">
        <v>612</v>
      </c>
      <c r="AG699" s="26" t="s">
        <v>388</v>
      </c>
      <c r="AH699" s="26" t="s">
        <v>388</v>
      </c>
      <c r="AI699" s="26" t="s">
        <v>252</v>
      </c>
      <c r="AJ699" s="26" t="s">
        <v>620</v>
      </c>
      <c r="AK699" s="26" t="s">
        <v>620</v>
      </c>
      <c r="AM699" s="26" t="s">
        <v>160</v>
      </c>
      <c r="AN699" s="26">
        <v>5</v>
      </c>
      <c r="AO699" s="26">
        <v>5</v>
      </c>
      <c r="AP699" s="26" t="s">
        <v>184</v>
      </c>
      <c r="AT699" s="63" t="s">
        <v>388</v>
      </c>
      <c r="DP699" s="26">
        <v>45.444699999999997</v>
      </c>
      <c r="DQ699" s="26">
        <v>82.69</v>
      </c>
      <c r="DR699" s="26" t="s">
        <v>618</v>
      </c>
      <c r="EL699" s="26" t="s">
        <v>628</v>
      </c>
      <c r="EM699" s="26" t="s">
        <v>618</v>
      </c>
      <c r="EN699" s="26">
        <v>31</v>
      </c>
    </row>
    <row r="700" spans="1:144" s="38" customFormat="1" x14ac:dyDescent="0.25">
      <c r="A700" s="38">
        <v>32</v>
      </c>
      <c r="B700" s="38" t="s">
        <v>621</v>
      </c>
      <c r="C700" s="38" t="s">
        <v>622</v>
      </c>
      <c r="D700" s="38">
        <v>2007</v>
      </c>
      <c r="E700" s="38">
        <v>2001</v>
      </c>
      <c r="F700" s="38" t="s">
        <v>575</v>
      </c>
      <c r="G700" s="38" t="s">
        <v>623</v>
      </c>
      <c r="H700" s="38">
        <f t="shared" ref="H700:H709" si="200">42.05</f>
        <v>42.05</v>
      </c>
      <c r="I700" s="38">
        <f t="shared" ref="I700:I709" si="201">-93.71</f>
        <v>-93.71</v>
      </c>
      <c r="J700" s="38">
        <v>307.8</v>
      </c>
      <c r="K700" s="38">
        <v>10.1</v>
      </c>
      <c r="L700" s="38">
        <v>9.1999999999999993</v>
      </c>
      <c r="M700" s="38">
        <v>807</v>
      </c>
      <c r="N700" s="38">
        <v>837</v>
      </c>
      <c r="P700" s="57" t="s">
        <v>186</v>
      </c>
      <c r="Q700" s="57"/>
      <c r="R700" s="57"/>
      <c r="S700" s="57" t="s">
        <v>676</v>
      </c>
      <c r="T700" s="38">
        <v>1.25</v>
      </c>
      <c r="W700" s="38" t="s">
        <v>624</v>
      </c>
      <c r="AA700" s="38" t="s">
        <v>1695</v>
      </c>
      <c r="AB700" s="38" t="s">
        <v>627</v>
      </c>
      <c r="AC700" s="38" t="s">
        <v>219</v>
      </c>
      <c r="AD700" s="38" t="s">
        <v>625</v>
      </c>
      <c r="AE700" s="38" t="s">
        <v>625</v>
      </c>
      <c r="AF700" s="38" t="s">
        <v>252</v>
      </c>
      <c r="AG700" s="38" t="s">
        <v>626</v>
      </c>
      <c r="AH700" s="38" t="s">
        <v>626</v>
      </c>
      <c r="AI700" s="38" t="s">
        <v>252</v>
      </c>
      <c r="AM700" s="38" t="s">
        <v>160</v>
      </c>
      <c r="AN700" s="38">
        <v>4</v>
      </c>
      <c r="AO700" s="38">
        <v>4</v>
      </c>
      <c r="AP700" s="38" t="s">
        <v>184</v>
      </c>
      <c r="AT700" s="64"/>
      <c r="BH700" s="38">
        <f>27.6*0.067</f>
        <v>1.8492000000000002</v>
      </c>
      <c r="BI700" s="38">
        <f>27.8*0.067</f>
        <v>1.8626000000000003</v>
      </c>
      <c r="BJ700" s="38" t="s">
        <v>629</v>
      </c>
      <c r="DP700" s="12"/>
      <c r="DR700" s="15"/>
      <c r="EN700" s="38">
        <v>32</v>
      </c>
    </row>
    <row r="701" spans="1:144" s="38" customFormat="1" x14ac:dyDescent="0.25">
      <c r="A701" s="38">
        <v>32</v>
      </c>
      <c r="B701" s="38" t="s">
        <v>621</v>
      </c>
      <c r="C701" s="38" t="s">
        <v>622</v>
      </c>
      <c r="D701" s="38">
        <v>2007</v>
      </c>
      <c r="E701" s="38">
        <v>2001</v>
      </c>
      <c r="F701" s="38" t="s">
        <v>575</v>
      </c>
      <c r="G701" s="38" t="s">
        <v>623</v>
      </c>
      <c r="H701" s="38">
        <f t="shared" si="200"/>
        <v>42.05</v>
      </c>
      <c r="I701" s="38">
        <f t="shared" si="201"/>
        <v>-93.71</v>
      </c>
      <c r="J701" s="38">
        <v>307.8</v>
      </c>
      <c r="K701" s="38">
        <v>10.1</v>
      </c>
      <c r="L701" s="38">
        <v>9.1999999999999993</v>
      </c>
      <c r="M701" s="38">
        <v>807</v>
      </c>
      <c r="N701" s="38">
        <v>837</v>
      </c>
      <c r="P701" s="57" t="s">
        <v>186</v>
      </c>
      <c r="Q701" s="57"/>
      <c r="R701" s="57"/>
      <c r="S701" s="57" t="s">
        <v>676</v>
      </c>
      <c r="T701" s="38">
        <v>1.25</v>
      </c>
      <c r="W701" s="38" t="s">
        <v>624</v>
      </c>
      <c r="AA701" s="38" t="s">
        <v>1695</v>
      </c>
      <c r="AB701" s="38" t="s">
        <v>173</v>
      </c>
      <c r="AC701" s="38" t="s">
        <v>174</v>
      </c>
      <c r="AD701" s="38" t="s">
        <v>625</v>
      </c>
      <c r="AE701" s="38" t="s">
        <v>625</v>
      </c>
      <c r="AF701" s="38" t="s">
        <v>252</v>
      </c>
      <c r="AG701" s="38" t="s">
        <v>626</v>
      </c>
      <c r="AH701" s="38" t="s">
        <v>626</v>
      </c>
      <c r="AI701" s="38" t="s">
        <v>252</v>
      </c>
      <c r="AM701" s="38" t="s">
        <v>160</v>
      </c>
      <c r="AN701" s="38">
        <v>4</v>
      </c>
      <c r="AO701" s="38">
        <v>4</v>
      </c>
      <c r="AP701" s="38" t="s">
        <v>184</v>
      </c>
      <c r="AT701" s="64"/>
      <c r="BH701" s="38">
        <f>27.6*0.067</f>
        <v>1.8492000000000002</v>
      </c>
      <c r="BI701" s="38">
        <f>13.7*0.067</f>
        <v>0.91790000000000005</v>
      </c>
      <c r="BJ701" s="38" t="s">
        <v>629</v>
      </c>
      <c r="DP701" s="12"/>
      <c r="DR701" s="15"/>
      <c r="EN701" s="38">
        <v>32</v>
      </c>
    </row>
    <row r="702" spans="1:144" s="38" customFormat="1" x14ac:dyDescent="0.25">
      <c r="A702" s="38">
        <v>32</v>
      </c>
      <c r="B702" s="38" t="s">
        <v>621</v>
      </c>
      <c r="C702" s="38" t="s">
        <v>622</v>
      </c>
      <c r="D702" s="38">
        <v>2007</v>
      </c>
      <c r="E702" s="38">
        <v>2002</v>
      </c>
      <c r="F702" s="38" t="s">
        <v>575</v>
      </c>
      <c r="G702" s="38" t="s">
        <v>623</v>
      </c>
      <c r="H702" s="38">
        <f t="shared" si="200"/>
        <v>42.05</v>
      </c>
      <c r="I702" s="38">
        <f t="shared" si="201"/>
        <v>-93.71</v>
      </c>
      <c r="J702" s="38">
        <v>307.8</v>
      </c>
      <c r="K702" s="38">
        <v>10.199999999999999</v>
      </c>
      <c r="L702" s="38">
        <v>9.1999999999999993</v>
      </c>
      <c r="M702" s="38">
        <v>831</v>
      </c>
      <c r="N702" s="38">
        <v>837</v>
      </c>
      <c r="P702" s="57" t="s">
        <v>187</v>
      </c>
      <c r="Q702" s="57"/>
      <c r="R702" s="57"/>
      <c r="S702" s="57" t="s">
        <v>676</v>
      </c>
      <c r="T702" s="38">
        <v>1.25</v>
      </c>
      <c r="W702" s="38" t="s">
        <v>624</v>
      </c>
      <c r="AA702" s="38" t="s">
        <v>1695</v>
      </c>
      <c r="AB702" s="38" t="s">
        <v>627</v>
      </c>
      <c r="AC702" s="38" t="s">
        <v>219</v>
      </c>
      <c r="AD702" s="38" t="s">
        <v>625</v>
      </c>
      <c r="AE702" s="38" t="s">
        <v>625</v>
      </c>
      <c r="AF702" s="38" t="s">
        <v>252</v>
      </c>
      <c r="AG702" s="38" t="s">
        <v>626</v>
      </c>
      <c r="AH702" s="38" t="s">
        <v>626</v>
      </c>
      <c r="AI702" s="38" t="s">
        <v>252</v>
      </c>
      <c r="AM702" s="38" t="s">
        <v>160</v>
      </c>
      <c r="AN702" s="38">
        <v>4</v>
      </c>
      <c r="AO702" s="38">
        <v>4</v>
      </c>
      <c r="AP702" s="38" t="s">
        <v>184</v>
      </c>
      <c r="AT702" s="64"/>
      <c r="AY702" s="38">
        <f>12.4*1000</f>
        <v>12400</v>
      </c>
      <c r="AZ702" s="38">
        <f>12.1*1000</f>
        <v>12100</v>
      </c>
      <c r="BH702" s="38">
        <f>61.7*0.067</f>
        <v>4.1339000000000006</v>
      </c>
      <c r="BI702" s="38">
        <f>49.3*0.067</f>
        <v>3.3031000000000001</v>
      </c>
      <c r="BJ702" s="38" t="s">
        <v>629</v>
      </c>
      <c r="CU702" s="38">
        <v>19.100000000000001</v>
      </c>
      <c r="CV702" s="38">
        <v>23.4</v>
      </c>
      <c r="CW702" s="38" t="s">
        <v>630</v>
      </c>
      <c r="DP702" s="12"/>
      <c r="DR702" s="15"/>
      <c r="EN702" s="38">
        <v>32</v>
      </c>
    </row>
    <row r="703" spans="1:144" s="38" customFormat="1" x14ac:dyDescent="0.25">
      <c r="A703" s="38">
        <v>32</v>
      </c>
      <c r="B703" s="38" t="s">
        <v>621</v>
      </c>
      <c r="C703" s="38" t="s">
        <v>622</v>
      </c>
      <c r="D703" s="38">
        <v>2007</v>
      </c>
      <c r="E703" s="38">
        <v>2002</v>
      </c>
      <c r="F703" s="38" t="s">
        <v>575</v>
      </c>
      <c r="G703" s="38" t="s">
        <v>623</v>
      </c>
      <c r="H703" s="38">
        <f t="shared" si="200"/>
        <v>42.05</v>
      </c>
      <c r="I703" s="38">
        <f t="shared" si="201"/>
        <v>-93.71</v>
      </c>
      <c r="J703" s="38">
        <v>307.8</v>
      </c>
      <c r="K703" s="38">
        <v>10.199999999999999</v>
      </c>
      <c r="L703" s="38">
        <v>9.1999999999999993</v>
      </c>
      <c r="M703" s="38">
        <v>831</v>
      </c>
      <c r="N703" s="38">
        <v>837</v>
      </c>
      <c r="P703" s="57" t="s">
        <v>187</v>
      </c>
      <c r="Q703" s="57"/>
      <c r="R703" s="57"/>
      <c r="S703" s="57" t="s">
        <v>676</v>
      </c>
      <c r="T703" s="38">
        <v>1.25</v>
      </c>
      <c r="W703" s="38" t="s">
        <v>624</v>
      </c>
      <c r="AA703" s="38" t="s">
        <v>1695</v>
      </c>
      <c r="AB703" s="38" t="s">
        <v>173</v>
      </c>
      <c r="AC703" s="38" t="s">
        <v>174</v>
      </c>
      <c r="AD703" s="38" t="s">
        <v>625</v>
      </c>
      <c r="AE703" s="38" t="s">
        <v>625</v>
      </c>
      <c r="AF703" s="38" t="s">
        <v>252</v>
      </c>
      <c r="AG703" s="38" t="s">
        <v>626</v>
      </c>
      <c r="AH703" s="38" t="s">
        <v>626</v>
      </c>
      <c r="AI703" s="38" t="s">
        <v>252</v>
      </c>
      <c r="AM703" s="38" t="s">
        <v>160</v>
      </c>
      <c r="AN703" s="38">
        <v>4</v>
      </c>
      <c r="AO703" s="38">
        <v>4</v>
      </c>
      <c r="AP703" s="38" t="s">
        <v>184</v>
      </c>
      <c r="AR703" s="38">
        <f>2.43*1000</f>
        <v>2430</v>
      </c>
      <c r="AS703" s="38">
        <f>AR703/55.88</f>
        <v>43.486041517537579</v>
      </c>
      <c r="AT703" s="64"/>
      <c r="AY703" s="38">
        <f>12.4*1000</f>
        <v>12400</v>
      </c>
      <c r="AZ703" s="38">
        <f>11.2*1000</f>
        <v>11200</v>
      </c>
      <c r="BH703" s="38">
        <f>61.7*0.067</f>
        <v>4.1339000000000006</v>
      </c>
      <c r="BI703" s="38">
        <f>26.5*0.067</f>
        <v>1.7755000000000001</v>
      </c>
      <c r="BJ703" s="38" t="s">
        <v>629</v>
      </c>
      <c r="CU703" s="38">
        <v>19.100000000000001</v>
      </c>
      <c r="CV703" s="38">
        <v>5.8</v>
      </c>
      <c r="CW703" s="38" t="s">
        <v>630</v>
      </c>
      <c r="DP703" s="12"/>
      <c r="DR703" s="15"/>
      <c r="EN703" s="38">
        <v>32</v>
      </c>
    </row>
    <row r="704" spans="1:144" s="38" customFormat="1" x14ac:dyDescent="0.25">
      <c r="A704" s="38">
        <v>32</v>
      </c>
      <c r="B704" s="38" t="s">
        <v>621</v>
      </c>
      <c r="C704" s="38" t="s">
        <v>622</v>
      </c>
      <c r="D704" s="38">
        <v>2007</v>
      </c>
      <c r="E704" s="38">
        <v>2003</v>
      </c>
      <c r="F704" s="38" t="s">
        <v>575</v>
      </c>
      <c r="G704" s="38" t="s">
        <v>623</v>
      </c>
      <c r="H704" s="38">
        <f t="shared" si="200"/>
        <v>42.05</v>
      </c>
      <c r="I704" s="38">
        <f t="shared" si="201"/>
        <v>-93.71</v>
      </c>
      <c r="J704" s="38">
        <v>307.8</v>
      </c>
      <c r="K704" s="38">
        <v>9.4</v>
      </c>
      <c r="L704" s="38">
        <v>9.1999999999999993</v>
      </c>
      <c r="M704" s="38">
        <v>891</v>
      </c>
      <c r="N704" s="38">
        <v>837</v>
      </c>
      <c r="P704" s="57" t="s">
        <v>188</v>
      </c>
      <c r="Q704" s="57"/>
      <c r="R704" s="57"/>
      <c r="S704" s="57" t="s">
        <v>676</v>
      </c>
      <c r="T704" s="38">
        <v>1.25</v>
      </c>
      <c r="W704" s="38" t="s">
        <v>624</v>
      </c>
      <c r="AA704" s="38" t="s">
        <v>1695</v>
      </c>
      <c r="AB704" s="38" t="s">
        <v>627</v>
      </c>
      <c r="AC704" s="38" t="s">
        <v>219</v>
      </c>
      <c r="AD704" s="38" t="s">
        <v>625</v>
      </c>
      <c r="AE704" s="38" t="s">
        <v>625</v>
      </c>
      <c r="AF704" s="38" t="s">
        <v>252</v>
      </c>
      <c r="AG704" s="38" t="s">
        <v>626</v>
      </c>
      <c r="AH704" s="38" t="s">
        <v>626</v>
      </c>
      <c r="AI704" s="38" t="s">
        <v>252</v>
      </c>
      <c r="AM704" s="38" t="s">
        <v>160</v>
      </c>
      <c r="AN704" s="38">
        <v>4</v>
      </c>
      <c r="AO704" s="38">
        <v>4</v>
      </c>
      <c r="AP704" s="38" t="s">
        <v>184</v>
      </c>
      <c r="AR704" s="38">
        <f>1.46*1000</f>
        <v>1460</v>
      </c>
      <c r="AS704" s="38">
        <f>AR704/18.8</f>
        <v>77.659574468085097</v>
      </c>
      <c r="AT704" s="64"/>
      <c r="AY704" s="38">
        <f>2.7*1000</f>
        <v>2700</v>
      </c>
      <c r="AZ704" s="38">
        <f>2.4*1000</f>
        <v>2400</v>
      </c>
      <c r="BH704" s="38">
        <f>52.9*0.067</f>
        <v>3.5443000000000002</v>
      </c>
      <c r="BI704" s="38">
        <f>54.6*0.067</f>
        <v>3.6582000000000003</v>
      </c>
      <c r="BJ704" s="38" t="s">
        <v>629</v>
      </c>
      <c r="CU704" s="38">
        <v>24.7</v>
      </c>
      <c r="CV704" s="38">
        <v>24.8</v>
      </c>
      <c r="CW704" s="38" t="s">
        <v>630</v>
      </c>
      <c r="DP704" s="12"/>
      <c r="DR704" s="15"/>
      <c r="EN704" s="38">
        <v>32</v>
      </c>
    </row>
    <row r="705" spans="1:144" s="38" customFormat="1" x14ac:dyDescent="0.25">
      <c r="A705" s="38">
        <v>32</v>
      </c>
      <c r="B705" s="38" t="s">
        <v>621</v>
      </c>
      <c r="C705" s="38" t="s">
        <v>622</v>
      </c>
      <c r="D705" s="38">
        <v>2007</v>
      </c>
      <c r="E705" s="38">
        <v>2003</v>
      </c>
      <c r="F705" s="38" t="s">
        <v>575</v>
      </c>
      <c r="G705" s="38" t="s">
        <v>623</v>
      </c>
      <c r="H705" s="38">
        <f t="shared" si="200"/>
        <v>42.05</v>
      </c>
      <c r="I705" s="38">
        <f t="shared" si="201"/>
        <v>-93.71</v>
      </c>
      <c r="J705" s="38">
        <v>307.8</v>
      </c>
      <c r="K705" s="38">
        <v>9.4</v>
      </c>
      <c r="L705" s="38">
        <v>9.1999999999999993</v>
      </c>
      <c r="M705" s="38">
        <v>891</v>
      </c>
      <c r="N705" s="38">
        <v>837</v>
      </c>
      <c r="P705" s="57" t="s">
        <v>188</v>
      </c>
      <c r="Q705" s="57"/>
      <c r="R705" s="57"/>
      <c r="S705" s="57" t="s">
        <v>676</v>
      </c>
      <c r="T705" s="38">
        <v>1.25</v>
      </c>
      <c r="W705" s="38" t="s">
        <v>624</v>
      </c>
      <c r="AA705" s="38" t="s">
        <v>1695</v>
      </c>
      <c r="AB705" s="38" t="s">
        <v>173</v>
      </c>
      <c r="AC705" s="38" t="s">
        <v>174</v>
      </c>
      <c r="AD705" s="38" t="s">
        <v>625</v>
      </c>
      <c r="AE705" s="38" t="s">
        <v>625</v>
      </c>
      <c r="AF705" s="38" t="s">
        <v>252</v>
      </c>
      <c r="AG705" s="38" t="s">
        <v>626</v>
      </c>
      <c r="AH705" s="38" t="s">
        <v>626</v>
      </c>
      <c r="AI705" s="38" t="s">
        <v>252</v>
      </c>
      <c r="AM705" s="38" t="s">
        <v>160</v>
      </c>
      <c r="AN705" s="38">
        <v>4</v>
      </c>
      <c r="AO705" s="38">
        <v>4</v>
      </c>
      <c r="AP705" s="38" t="s">
        <v>184</v>
      </c>
      <c r="AR705" s="38">
        <f>0.25*1000</f>
        <v>250</v>
      </c>
      <c r="AS705" s="38">
        <f>AR705/9.3</f>
        <v>26.881720430107524</v>
      </c>
      <c r="AT705" s="64"/>
      <c r="AY705" s="38">
        <f>2.7*1000</f>
        <v>2700</v>
      </c>
      <c r="AZ705" s="38">
        <f>2.7*1000</f>
        <v>2700</v>
      </c>
      <c r="BH705" s="38">
        <f>52.9*0.067</f>
        <v>3.5443000000000002</v>
      </c>
      <c r="BI705" s="38">
        <f>44.2*0.067</f>
        <v>2.9614000000000003</v>
      </c>
      <c r="BJ705" s="38" t="s">
        <v>629</v>
      </c>
      <c r="CU705" s="38">
        <v>24.7</v>
      </c>
      <c r="CV705" s="38">
        <v>11.8</v>
      </c>
      <c r="CW705" s="38" t="s">
        <v>630</v>
      </c>
      <c r="DP705" s="12"/>
      <c r="DR705" s="15"/>
      <c r="EN705" s="38">
        <v>32</v>
      </c>
    </row>
    <row r="706" spans="1:144" s="38" customFormat="1" x14ac:dyDescent="0.25">
      <c r="A706" s="38">
        <v>32</v>
      </c>
      <c r="B706" s="38" t="s">
        <v>621</v>
      </c>
      <c r="C706" s="38" t="s">
        <v>622</v>
      </c>
      <c r="D706" s="38">
        <v>2007</v>
      </c>
      <c r="E706" s="38">
        <v>2004</v>
      </c>
      <c r="F706" s="38" t="s">
        <v>575</v>
      </c>
      <c r="G706" s="38" t="s">
        <v>623</v>
      </c>
      <c r="H706" s="38">
        <f t="shared" si="200"/>
        <v>42.05</v>
      </c>
      <c r="I706" s="38">
        <f t="shared" si="201"/>
        <v>-93.71</v>
      </c>
      <c r="J706" s="38">
        <v>307.8</v>
      </c>
      <c r="K706" s="38">
        <v>9.9</v>
      </c>
      <c r="L706" s="38">
        <v>9.1999999999999993</v>
      </c>
      <c r="M706" s="38">
        <v>865</v>
      </c>
      <c r="N706" s="38">
        <v>837</v>
      </c>
      <c r="P706" s="57" t="s">
        <v>189</v>
      </c>
      <c r="Q706" s="57"/>
      <c r="R706" s="57"/>
      <c r="S706" s="57" t="s">
        <v>676</v>
      </c>
      <c r="T706" s="38">
        <v>1.25</v>
      </c>
      <c r="W706" s="38" t="s">
        <v>624</v>
      </c>
      <c r="AA706" s="38" t="s">
        <v>1695</v>
      </c>
      <c r="AB706" s="38" t="s">
        <v>627</v>
      </c>
      <c r="AC706" s="38" t="s">
        <v>219</v>
      </c>
      <c r="AD706" s="38" t="s">
        <v>625</v>
      </c>
      <c r="AE706" s="38" t="s">
        <v>625</v>
      </c>
      <c r="AF706" s="38" t="s">
        <v>252</v>
      </c>
      <c r="AG706" s="38" t="s">
        <v>626</v>
      </c>
      <c r="AH706" s="38" t="s">
        <v>626</v>
      </c>
      <c r="AI706" s="38" t="s">
        <v>252</v>
      </c>
      <c r="AM706" s="38" t="s">
        <v>160</v>
      </c>
      <c r="AN706" s="38">
        <v>4</v>
      </c>
      <c r="AO706" s="38">
        <v>4</v>
      </c>
      <c r="AP706" s="38" t="s">
        <v>184</v>
      </c>
      <c r="AR706" s="38">
        <f>2.02*1000</f>
        <v>2020</v>
      </c>
      <c r="AS706" s="38">
        <f>AR706/25.5</f>
        <v>79.215686274509807</v>
      </c>
      <c r="AT706" s="64"/>
      <c r="AY706" s="38">
        <f>13.3*1000</f>
        <v>13300</v>
      </c>
      <c r="AZ706" s="38">
        <f>13.1*1000</f>
        <v>13100</v>
      </c>
      <c r="BH706" s="38">
        <f>94.6*0.067</f>
        <v>6.3381999999999996</v>
      </c>
      <c r="BI706" s="38">
        <f>59.6*0.067</f>
        <v>3.9932000000000003</v>
      </c>
      <c r="BJ706" s="38" t="s">
        <v>629</v>
      </c>
      <c r="CU706" s="38">
        <v>19.8</v>
      </c>
      <c r="CV706" s="38">
        <v>17.399999999999999</v>
      </c>
      <c r="CW706" s="38" t="s">
        <v>630</v>
      </c>
      <c r="DP706" s="12"/>
      <c r="DR706" s="15"/>
      <c r="EN706" s="38">
        <v>32</v>
      </c>
    </row>
    <row r="707" spans="1:144" s="38" customFormat="1" x14ac:dyDescent="0.25">
      <c r="A707" s="38">
        <v>32</v>
      </c>
      <c r="B707" s="38" t="s">
        <v>621</v>
      </c>
      <c r="C707" s="38" t="s">
        <v>622</v>
      </c>
      <c r="D707" s="38">
        <v>2007</v>
      </c>
      <c r="E707" s="38">
        <v>2004</v>
      </c>
      <c r="F707" s="38" t="s">
        <v>575</v>
      </c>
      <c r="G707" s="38" t="s">
        <v>623</v>
      </c>
      <c r="H707" s="38">
        <f t="shared" si="200"/>
        <v>42.05</v>
      </c>
      <c r="I707" s="38">
        <f t="shared" si="201"/>
        <v>-93.71</v>
      </c>
      <c r="J707" s="38">
        <v>307.8</v>
      </c>
      <c r="K707" s="38">
        <v>9.9</v>
      </c>
      <c r="L707" s="38">
        <v>9.1999999999999993</v>
      </c>
      <c r="M707" s="38">
        <v>865</v>
      </c>
      <c r="N707" s="38">
        <v>837</v>
      </c>
      <c r="P707" s="57" t="s">
        <v>189</v>
      </c>
      <c r="Q707" s="57"/>
      <c r="R707" s="57"/>
      <c r="S707" s="57" t="s">
        <v>676</v>
      </c>
      <c r="T707" s="38">
        <v>1.25</v>
      </c>
      <c r="W707" s="38" t="s">
        <v>624</v>
      </c>
      <c r="AA707" s="38" t="s">
        <v>1695</v>
      </c>
      <c r="AB707" s="38" t="s">
        <v>173</v>
      </c>
      <c r="AC707" s="38" t="s">
        <v>174</v>
      </c>
      <c r="AD707" s="38" t="s">
        <v>625</v>
      </c>
      <c r="AE707" s="38" t="s">
        <v>625</v>
      </c>
      <c r="AF707" s="38" t="s">
        <v>252</v>
      </c>
      <c r="AG707" s="38" t="s">
        <v>626</v>
      </c>
      <c r="AH707" s="38" t="s">
        <v>626</v>
      </c>
      <c r="AI707" s="38" t="s">
        <v>252</v>
      </c>
      <c r="AM707" s="38" t="s">
        <v>160</v>
      </c>
      <c r="AN707" s="38">
        <v>4</v>
      </c>
      <c r="AO707" s="38">
        <v>4</v>
      </c>
      <c r="AP707" s="38" t="s">
        <v>184</v>
      </c>
      <c r="AR707" s="38">
        <f>1.48*1000</f>
        <v>1480</v>
      </c>
      <c r="AS707" s="38">
        <f>AR707/48.5</f>
        <v>30.515463917525775</v>
      </c>
      <c r="AT707" s="64"/>
      <c r="AY707" s="38">
        <f>13.3*1000</f>
        <v>13300</v>
      </c>
      <c r="AZ707" s="38">
        <f>13.3*1000</f>
        <v>13300</v>
      </c>
      <c r="BH707" s="38">
        <f>94.6*0.067</f>
        <v>6.3381999999999996</v>
      </c>
      <c r="BI707" s="38">
        <f>70.4*0.067</f>
        <v>4.716800000000001</v>
      </c>
      <c r="BJ707" s="38" t="s">
        <v>629</v>
      </c>
      <c r="CU707" s="38">
        <v>19.8</v>
      </c>
      <c r="CV707" s="38">
        <v>9.3000000000000007</v>
      </c>
      <c r="CW707" s="38" t="s">
        <v>630</v>
      </c>
      <c r="DP707" s="12"/>
      <c r="DR707" s="15"/>
      <c r="EN707" s="38">
        <v>32</v>
      </c>
    </row>
    <row r="708" spans="1:144" s="38" customFormat="1" x14ac:dyDescent="0.25">
      <c r="A708" s="38">
        <v>32</v>
      </c>
      <c r="B708" s="38" t="s">
        <v>621</v>
      </c>
      <c r="C708" s="38" t="s">
        <v>622</v>
      </c>
      <c r="D708" s="38">
        <v>2007</v>
      </c>
      <c r="E708" s="38">
        <v>2005</v>
      </c>
      <c r="F708" s="38" t="s">
        <v>575</v>
      </c>
      <c r="G708" s="38" t="s">
        <v>623</v>
      </c>
      <c r="H708" s="38">
        <f t="shared" si="200"/>
        <v>42.05</v>
      </c>
      <c r="I708" s="38">
        <f t="shared" si="201"/>
        <v>-93.71</v>
      </c>
      <c r="J708" s="38">
        <v>307.8</v>
      </c>
      <c r="K708" s="38">
        <v>10.6</v>
      </c>
      <c r="L708" s="38">
        <v>9.1999999999999993</v>
      </c>
      <c r="M708" s="38">
        <v>893</v>
      </c>
      <c r="N708" s="38">
        <v>837</v>
      </c>
      <c r="P708" s="57" t="s">
        <v>190</v>
      </c>
      <c r="Q708" s="57"/>
      <c r="R708" s="57"/>
      <c r="S708" s="57" t="s">
        <v>676</v>
      </c>
      <c r="T708" s="38">
        <v>1.25</v>
      </c>
      <c r="W708" s="38" t="s">
        <v>624</v>
      </c>
      <c r="AA708" s="38" t="s">
        <v>1695</v>
      </c>
      <c r="AB708" s="38" t="s">
        <v>627</v>
      </c>
      <c r="AC708" s="38" t="s">
        <v>219</v>
      </c>
      <c r="AD708" s="38" t="s">
        <v>625</v>
      </c>
      <c r="AE708" s="38" t="s">
        <v>625</v>
      </c>
      <c r="AF708" s="38" t="s">
        <v>252</v>
      </c>
      <c r="AG708" s="38" t="s">
        <v>626</v>
      </c>
      <c r="AH708" s="38" t="s">
        <v>626</v>
      </c>
      <c r="AI708" s="38" t="s">
        <v>252</v>
      </c>
      <c r="AM708" s="38" t="s">
        <v>160</v>
      </c>
      <c r="AN708" s="38">
        <v>4</v>
      </c>
      <c r="AO708" s="38">
        <v>4</v>
      </c>
      <c r="AP708" s="38" t="s">
        <v>184</v>
      </c>
      <c r="AR708" s="38">
        <f>1.48*1000</f>
        <v>1480</v>
      </c>
      <c r="AS708" s="38">
        <f>AR708/16</f>
        <v>92.5</v>
      </c>
      <c r="AT708" s="64"/>
      <c r="AY708" s="38">
        <f>4.5*1000</f>
        <v>4500</v>
      </c>
      <c r="AZ708" s="38">
        <f>4.2*1000</f>
        <v>4200</v>
      </c>
      <c r="BH708" s="38">
        <f>65.3*0.067</f>
        <v>4.3750999999999998</v>
      </c>
      <c r="BI708" s="38">
        <f>46.2*0.067</f>
        <v>3.0954000000000006</v>
      </c>
      <c r="BJ708" s="38" t="s">
        <v>629</v>
      </c>
      <c r="CU708" s="38">
        <v>21.6</v>
      </c>
      <c r="CV708" s="38">
        <v>17.7</v>
      </c>
      <c r="CW708" s="38" t="s">
        <v>630</v>
      </c>
      <c r="DP708" s="12"/>
      <c r="DR708" s="15"/>
      <c r="EN708" s="38">
        <v>32</v>
      </c>
    </row>
    <row r="709" spans="1:144" s="38" customFormat="1" x14ac:dyDescent="0.25">
      <c r="A709" s="38">
        <v>32</v>
      </c>
      <c r="B709" s="38" t="s">
        <v>621</v>
      </c>
      <c r="C709" s="38" t="s">
        <v>622</v>
      </c>
      <c r="D709" s="38">
        <v>2007</v>
      </c>
      <c r="E709" s="38">
        <v>2005</v>
      </c>
      <c r="F709" s="38" t="s">
        <v>575</v>
      </c>
      <c r="G709" s="38" t="s">
        <v>623</v>
      </c>
      <c r="H709" s="38">
        <f t="shared" si="200"/>
        <v>42.05</v>
      </c>
      <c r="I709" s="38">
        <f t="shared" si="201"/>
        <v>-93.71</v>
      </c>
      <c r="J709" s="38">
        <v>307.8</v>
      </c>
      <c r="K709" s="38">
        <v>10.6</v>
      </c>
      <c r="L709" s="38">
        <v>9.1999999999999993</v>
      </c>
      <c r="M709" s="38">
        <v>893</v>
      </c>
      <c r="N709" s="38">
        <v>837</v>
      </c>
      <c r="P709" s="57" t="s">
        <v>190</v>
      </c>
      <c r="Q709" s="57"/>
      <c r="R709" s="57"/>
      <c r="S709" s="57" t="s">
        <v>676</v>
      </c>
      <c r="T709" s="38">
        <v>1.25</v>
      </c>
      <c r="W709" s="38" t="s">
        <v>624</v>
      </c>
      <c r="AA709" s="38" t="s">
        <v>1695</v>
      </c>
      <c r="AB709" s="38" t="s">
        <v>173</v>
      </c>
      <c r="AC709" s="38" t="s">
        <v>174</v>
      </c>
      <c r="AD709" s="38" t="s">
        <v>625</v>
      </c>
      <c r="AE709" s="38" t="s">
        <v>625</v>
      </c>
      <c r="AF709" s="38" t="s">
        <v>252</v>
      </c>
      <c r="AG709" s="38" t="s">
        <v>626</v>
      </c>
      <c r="AH709" s="38" t="s">
        <v>626</v>
      </c>
      <c r="AI709" s="38" t="s">
        <v>252</v>
      </c>
      <c r="AM709" s="38" t="s">
        <v>160</v>
      </c>
      <c r="AN709" s="38">
        <v>4</v>
      </c>
      <c r="AO709" s="38">
        <v>4</v>
      </c>
      <c r="AP709" s="38" t="s">
        <v>184</v>
      </c>
      <c r="AR709" s="38">
        <f>2.74*1000</f>
        <v>2740</v>
      </c>
      <c r="AS709" s="38">
        <f>AR709/76.5</f>
        <v>35.816993464052288</v>
      </c>
      <c r="AT709" s="64"/>
      <c r="AY709" s="38">
        <f>4.5*1000</f>
        <v>4500</v>
      </c>
      <c r="AZ709" s="38">
        <f>4.2*1000</f>
        <v>4200</v>
      </c>
      <c r="BH709" s="38">
        <f>65.3*0.067</f>
        <v>4.3750999999999998</v>
      </c>
      <c r="BI709" s="38">
        <f>82.9*0.067</f>
        <v>5.5543000000000005</v>
      </c>
      <c r="BJ709" s="38" t="s">
        <v>629</v>
      </c>
      <c r="CU709" s="38">
        <v>21.6</v>
      </c>
      <c r="CV709" s="38">
        <v>8</v>
      </c>
      <c r="CW709" s="38" t="s">
        <v>630</v>
      </c>
      <c r="DP709" s="12"/>
      <c r="DR709" s="15"/>
      <c r="EN709" s="38">
        <v>32</v>
      </c>
    </row>
    <row r="710" spans="1:144" s="39" customFormat="1" x14ac:dyDescent="0.25">
      <c r="A710" s="39">
        <v>33</v>
      </c>
      <c r="B710" s="39" t="s">
        <v>631</v>
      </c>
      <c r="C710" s="39" t="s">
        <v>632</v>
      </c>
      <c r="D710" s="39">
        <v>2016</v>
      </c>
      <c r="E710" s="39">
        <v>2011</v>
      </c>
      <c r="F710" s="39" t="s">
        <v>633</v>
      </c>
      <c r="G710" s="39" t="s">
        <v>415</v>
      </c>
      <c r="H710" s="39">
        <v>40.72</v>
      </c>
      <c r="I710" s="39">
        <v>-77.92</v>
      </c>
      <c r="J710" s="39">
        <v>350</v>
      </c>
      <c r="P710" s="58" t="s">
        <v>186</v>
      </c>
      <c r="Q710" s="58"/>
      <c r="R710" s="58" t="s">
        <v>635</v>
      </c>
      <c r="S710" s="58"/>
      <c r="W710" s="39" t="s">
        <v>175</v>
      </c>
      <c r="AA710" s="39" t="s">
        <v>1696</v>
      </c>
      <c r="AB710" s="39" t="s">
        <v>173</v>
      </c>
      <c r="AC710" s="39" t="s">
        <v>219</v>
      </c>
      <c r="AG710" s="39" t="s">
        <v>634</v>
      </c>
      <c r="AH710" s="39" t="s">
        <v>634</v>
      </c>
      <c r="AI710" s="39" t="s">
        <v>252</v>
      </c>
      <c r="AM710" s="39" t="s">
        <v>222</v>
      </c>
      <c r="AN710" s="39">
        <v>4</v>
      </c>
      <c r="AO710" s="39">
        <v>4</v>
      </c>
      <c r="AP710" s="39" t="s">
        <v>448</v>
      </c>
      <c r="AT710" s="63"/>
      <c r="AY710" s="39">
        <f>2.4*1000</f>
        <v>2400</v>
      </c>
      <c r="AZ710" s="39">
        <f>2.8*1000</f>
        <v>2800</v>
      </c>
      <c r="DJ710" s="39">
        <v>1800</v>
      </c>
      <c r="DK710" s="39">
        <v>1770</v>
      </c>
      <c r="DP710" s="12"/>
      <c r="DR710" s="15"/>
      <c r="EN710" s="39">
        <v>33</v>
      </c>
    </row>
    <row r="711" spans="1:144" s="39" customFormat="1" x14ac:dyDescent="0.25">
      <c r="A711" s="39">
        <v>33</v>
      </c>
      <c r="B711" s="39" t="s">
        <v>631</v>
      </c>
      <c r="C711" s="39" t="s">
        <v>632</v>
      </c>
      <c r="D711" s="39">
        <v>2016</v>
      </c>
      <c r="E711" s="39">
        <v>2011</v>
      </c>
      <c r="F711" s="39" t="s">
        <v>633</v>
      </c>
      <c r="G711" s="39" t="s">
        <v>415</v>
      </c>
      <c r="H711" s="39">
        <v>40.72</v>
      </c>
      <c r="I711" s="39">
        <v>-77.92</v>
      </c>
      <c r="J711" s="39">
        <v>350</v>
      </c>
      <c r="P711" s="58" t="s">
        <v>186</v>
      </c>
      <c r="Q711" s="58"/>
      <c r="R711" s="58" t="s">
        <v>636</v>
      </c>
      <c r="S711" s="58"/>
      <c r="W711" s="39" t="s">
        <v>175</v>
      </c>
      <c r="AA711" s="39" t="s">
        <v>1696</v>
      </c>
      <c r="AB711" s="39" t="s">
        <v>173</v>
      </c>
      <c r="AC711" s="39" t="s">
        <v>219</v>
      </c>
      <c r="AG711" s="39" t="s">
        <v>634</v>
      </c>
      <c r="AH711" s="39" t="s">
        <v>634</v>
      </c>
      <c r="AI711" s="39" t="s">
        <v>252</v>
      </c>
      <c r="AM711" s="39" t="s">
        <v>222</v>
      </c>
      <c r="AN711" s="39">
        <v>4</v>
      </c>
      <c r="AO711" s="39">
        <v>4</v>
      </c>
      <c r="AP711" s="39" t="s">
        <v>448</v>
      </c>
      <c r="AT711" s="63"/>
      <c r="AY711" s="39">
        <f>2.8*1000</f>
        <v>2800</v>
      </c>
      <c r="AZ711" s="39">
        <f>3.2*1000</f>
        <v>3200</v>
      </c>
      <c r="DJ711" s="39">
        <v>340</v>
      </c>
      <c r="DK711" s="39">
        <v>260</v>
      </c>
      <c r="DP711" s="12"/>
      <c r="DR711" s="15"/>
      <c r="EN711" s="39">
        <v>33</v>
      </c>
    </row>
    <row r="712" spans="1:144" s="39" customFormat="1" x14ac:dyDescent="0.25">
      <c r="A712" s="39">
        <v>33</v>
      </c>
      <c r="B712" s="39" t="s">
        <v>631</v>
      </c>
      <c r="C712" s="39" t="s">
        <v>632</v>
      </c>
      <c r="D712" s="39">
        <v>2016</v>
      </c>
      <c r="E712" s="39">
        <v>2011</v>
      </c>
      <c r="F712" s="39" t="s">
        <v>633</v>
      </c>
      <c r="G712" s="39" t="s">
        <v>415</v>
      </c>
      <c r="H712" s="39">
        <v>40.72</v>
      </c>
      <c r="I712" s="39">
        <v>-77.92</v>
      </c>
      <c r="J712" s="39">
        <v>350</v>
      </c>
      <c r="P712" s="58" t="s">
        <v>186</v>
      </c>
      <c r="Q712" s="58"/>
      <c r="R712" s="58" t="s">
        <v>637</v>
      </c>
      <c r="S712" s="58"/>
      <c r="W712" s="39" t="s">
        <v>175</v>
      </c>
      <c r="AA712" s="39" t="s">
        <v>1696</v>
      </c>
      <c r="AB712" s="39" t="s">
        <v>173</v>
      </c>
      <c r="AC712" s="39" t="s">
        <v>219</v>
      </c>
      <c r="AG712" s="39" t="s">
        <v>634</v>
      </c>
      <c r="AH712" s="39" t="s">
        <v>634</v>
      </c>
      <c r="AI712" s="39" t="s">
        <v>252</v>
      </c>
      <c r="AM712" s="39" t="s">
        <v>222</v>
      </c>
      <c r="AN712" s="39">
        <v>4</v>
      </c>
      <c r="AO712" s="39">
        <v>4</v>
      </c>
      <c r="AP712" s="39" t="s">
        <v>448</v>
      </c>
      <c r="AT712" s="63"/>
      <c r="AY712" s="39">
        <f>2.3*1000</f>
        <v>2300</v>
      </c>
      <c r="AZ712" s="39">
        <f>2.8*1000</f>
        <v>2800</v>
      </c>
      <c r="DJ712" s="39">
        <v>600</v>
      </c>
      <c r="DK712" s="39">
        <v>670</v>
      </c>
      <c r="DP712" s="12"/>
      <c r="DR712" s="15"/>
      <c r="EN712" s="39">
        <v>33</v>
      </c>
    </row>
    <row r="713" spans="1:144" s="39" customFormat="1" x14ac:dyDescent="0.25">
      <c r="A713" s="39">
        <v>33</v>
      </c>
      <c r="B713" s="39" t="s">
        <v>631</v>
      </c>
      <c r="C713" s="39" t="s">
        <v>632</v>
      </c>
      <c r="D713" s="39">
        <v>2016</v>
      </c>
      <c r="E713" s="39">
        <v>2011</v>
      </c>
      <c r="F713" s="39" t="s">
        <v>633</v>
      </c>
      <c r="G713" s="39" t="s">
        <v>415</v>
      </c>
      <c r="H713" s="39">
        <v>40.72</v>
      </c>
      <c r="I713" s="39">
        <v>-77.92</v>
      </c>
      <c r="J713" s="39">
        <v>350</v>
      </c>
      <c r="P713" s="58" t="s">
        <v>186</v>
      </c>
      <c r="Q713" s="58"/>
      <c r="R713" s="58" t="s">
        <v>638</v>
      </c>
      <c r="S713" s="58"/>
      <c r="W713" s="39" t="s">
        <v>175</v>
      </c>
      <c r="AA713" s="39" t="s">
        <v>1696</v>
      </c>
      <c r="AB713" s="39" t="s">
        <v>173</v>
      </c>
      <c r="AC713" s="39" t="s">
        <v>219</v>
      </c>
      <c r="AG713" s="39" t="s">
        <v>634</v>
      </c>
      <c r="AH713" s="39" t="s">
        <v>634</v>
      </c>
      <c r="AI713" s="39" t="s">
        <v>252</v>
      </c>
      <c r="AM713" s="39" t="s">
        <v>222</v>
      </c>
      <c r="AN713" s="39">
        <v>4</v>
      </c>
      <c r="AO713" s="39">
        <v>4</v>
      </c>
      <c r="AP713" s="39" t="s">
        <v>448</v>
      </c>
      <c r="AT713" s="63"/>
      <c r="AY713" s="39">
        <f>3*1000</f>
        <v>3000</v>
      </c>
      <c r="AZ713" s="39">
        <f>3.8*1000</f>
        <v>3800</v>
      </c>
      <c r="DJ713" s="39">
        <v>160</v>
      </c>
      <c r="DK713" s="39">
        <v>110</v>
      </c>
      <c r="DP713" s="12"/>
      <c r="DR713" s="15"/>
      <c r="EN713" s="39">
        <v>33</v>
      </c>
    </row>
    <row r="714" spans="1:144" s="39" customFormat="1" x14ac:dyDescent="0.25">
      <c r="A714" s="39">
        <v>33</v>
      </c>
      <c r="B714" s="39" t="s">
        <v>631</v>
      </c>
      <c r="C714" s="39" t="s">
        <v>632</v>
      </c>
      <c r="D714" s="39">
        <v>2016</v>
      </c>
      <c r="E714" s="39">
        <v>2012</v>
      </c>
      <c r="F714" s="39" t="s">
        <v>633</v>
      </c>
      <c r="G714" s="39" t="s">
        <v>415</v>
      </c>
      <c r="H714" s="39">
        <v>40.72</v>
      </c>
      <c r="I714" s="39">
        <v>-77.92</v>
      </c>
      <c r="J714" s="39">
        <v>350</v>
      </c>
      <c r="P714" s="58" t="s">
        <v>187</v>
      </c>
      <c r="Q714" s="58"/>
      <c r="R714" s="58" t="s">
        <v>635</v>
      </c>
      <c r="S714" s="58"/>
      <c r="W714" s="39" t="s">
        <v>175</v>
      </c>
      <c r="AA714" s="39" t="s">
        <v>1696</v>
      </c>
      <c r="AB714" s="39" t="s">
        <v>173</v>
      </c>
      <c r="AC714" s="39" t="s">
        <v>219</v>
      </c>
      <c r="AG714" s="39" t="s">
        <v>634</v>
      </c>
      <c r="AH714" s="39" t="s">
        <v>634</v>
      </c>
      <c r="AI714" s="39" t="s">
        <v>252</v>
      </c>
      <c r="AM714" s="39" t="s">
        <v>222</v>
      </c>
      <c r="AN714" s="39">
        <v>4</v>
      </c>
      <c r="AO714" s="39">
        <v>4</v>
      </c>
      <c r="AP714" s="39" t="s">
        <v>448</v>
      </c>
      <c r="AT714" s="63"/>
      <c r="AY714" s="39">
        <f>3.6*1000</f>
        <v>3600</v>
      </c>
      <c r="AZ714" s="39">
        <f>3.5*1000</f>
        <v>3500</v>
      </c>
      <c r="DJ714" s="39">
        <v>30</v>
      </c>
      <c r="DK714" s="39">
        <v>910</v>
      </c>
      <c r="DP714" s="12"/>
      <c r="DR714" s="15"/>
      <c r="EN714" s="39">
        <v>33</v>
      </c>
    </row>
    <row r="715" spans="1:144" s="39" customFormat="1" x14ac:dyDescent="0.25">
      <c r="A715" s="39">
        <v>33</v>
      </c>
      <c r="B715" s="39" t="s">
        <v>631</v>
      </c>
      <c r="C715" s="39" t="s">
        <v>632</v>
      </c>
      <c r="D715" s="39">
        <v>2016</v>
      </c>
      <c r="E715" s="39">
        <v>2012</v>
      </c>
      <c r="F715" s="39" t="s">
        <v>633</v>
      </c>
      <c r="G715" s="39" t="s">
        <v>415</v>
      </c>
      <c r="H715" s="39">
        <v>40.72</v>
      </c>
      <c r="I715" s="39">
        <v>-77.92</v>
      </c>
      <c r="J715" s="39">
        <v>350</v>
      </c>
      <c r="P715" s="58" t="s">
        <v>187</v>
      </c>
      <c r="Q715" s="58"/>
      <c r="R715" s="58" t="s">
        <v>636</v>
      </c>
      <c r="S715" s="58"/>
      <c r="W715" s="39" t="s">
        <v>175</v>
      </c>
      <c r="AA715" s="39" t="s">
        <v>1696</v>
      </c>
      <c r="AB715" s="39" t="s">
        <v>173</v>
      </c>
      <c r="AC715" s="39" t="s">
        <v>219</v>
      </c>
      <c r="AG715" s="39" t="s">
        <v>634</v>
      </c>
      <c r="AH715" s="39" t="s">
        <v>634</v>
      </c>
      <c r="AI715" s="39" t="s">
        <v>252</v>
      </c>
      <c r="AM715" s="39" t="s">
        <v>222</v>
      </c>
      <c r="AN715" s="39">
        <v>4</v>
      </c>
      <c r="AO715" s="39">
        <v>4</v>
      </c>
      <c r="AP715" s="39" t="s">
        <v>448</v>
      </c>
      <c r="AT715" s="63"/>
      <c r="AY715" s="39">
        <f>3.5*1000</f>
        <v>3500</v>
      </c>
      <c r="AZ715" s="39">
        <f>3.7*1000</f>
        <v>3700</v>
      </c>
      <c r="DJ715" s="39">
        <v>90</v>
      </c>
      <c r="DK715" s="39">
        <v>510</v>
      </c>
      <c r="DP715" s="12"/>
      <c r="DR715" s="15"/>
      <c r="EN715" s="39">
        <v>33</v>
      </c>
    </row>
    <row r="716" spans="1:144" s="39" customFormat="1" x14ac:dyDescent="0.25">
      <c r="A716" s="39">
        <v>33</v>
      </c>
      <c r="B716" s="39" t="s">
        <v>631</v>
      </c>
      <c r="C716" s="39" t="s">
        <v>632</v>
      </c>
      <c r="D716" s="39">
        <v>2016</v>
      </c>
      <c r="E716" s="39">
        <v>2012</v>
      </c>
      <c r="F716" s="39" t="s">
        <v>633</v>
      </c>
      <c r="G716" s="39" t="s">
        <v>415</v>
      </c>
      <c r="H716" s="39">
        <v>40.72</v>
      </c>
      <c r="I716" s="39">
        <v>-77.92</v>
      </c>
      <c r="J716" s="39">
        <v>350</v>
      </c>
      <c r="P716" s="58" t="s">
        <v>187</v>
      </c>
      <c r="Q716" s="58"/>
      <c r="R716" s="58" t="s">
        <v>637</v>
      </c>
      <c r="S716" s="58"/>
      <c r="W716" s="39" t="s">
        <v>175</v>
      </c>
      <c r="AA716" s="39" t="s">
        <v>1696</v>
      </c>
      <c r="AB716" s="39" t="s">
        <v>173</v>
      </c>
      <c r="AC716" s="39" t="s">
        <v>219</v>
      </c>
      <c r="AG716" s="39" t="s">
        <v>634</v>
      </c>
      <c r="AH716" s="39" t="s">
        <v>634</v>
      </c>
      <c r="AI716" s="39" t="s">
        <v>252</v>
      </c>
      <c r="AM716" s="39" t="s">
        <v>222</v>
      </c>
      <c r="AN716" s="39">
        <v>4</v>
      </c>
      <c r="AO716" s="39">
        <v>4</v>
      </c>
      <c r="AP716" s="39" t="s">
        <v>448</v>
      </c>
      <c r="AT716" s="63"/>
      <c r="AY716" s="39">
        <f>3*1000</f>
        <v>3000</v>
      </c>
      <c r="AZ716" s="39">
        <f>3.5*1000</f>
        <v>3500</v>
      </c>
      <c r="DJ716" s="39">
        <v>490</v>
      </c>
      <c r="DK716" s="39">
        <v>470</v>
      </c>
      <c r="DP716" s="12"/>
      <c r="DR716" s="15"/>
      <c r="EN716" s="39">
        <v>33</v>
      </c>
    </row>
    <row r="717" spans="1:144" s="39" customFormat="1" x14ac:dyDescent="0.25">
      <c r="A717" s="39">
        <v>33</v>
      </c>
      <c r="B717" s="39" t="s">
        <v>631</v>
      </c>
      <c r="C717" s="39" t="s">
        <v>632</v>
      </c>
      <c r="D717" s="39">
        <v>2016</v>
      </c>
      <c r="E717" s="39">
        <v>2012</v>
      </c>
      <c r="F717" s="39" t="s">
        <v>633</v>
      </c>
      <c r="G717" s="39" t="s">
        <v>415</v>
      </c>
      <c r="H717" s="39">
        <v>40.72</v>
      </c>
      <c r="I717" s="39">
        <v>-77.92</v>
      </c>
      <c r="J717" s="39">
        <v>350</v>
      </c>
      <c r="P717" s="58" t="s">
        <v>187</v>
      </c>
      <c r="Q717" s="58"/>
      <c r="R717" s="58" t="s">
        <v>638</v>
      </c>
      <c r="S717" s="58"/>
      <c r="W717" s="39" t="s">
        <v>175</v>
      </c>
      <c r="AA717" s="39" t="s">
        <v>1696</v>
      </c>
      <c r="AB717" s="39" t="s">
        <v>173</v>
      </c>
      <c r="AC717" s="39" t="s">
        <v>219</v>
      </c>
      <c r="AG717" s="39" t="s">
        <v>634</v>
      </c>
      <c r="AH717" s="39" t="s">
        <v>634</v>
      </c>
      <c r="AI717" s="39" t="s">
        <v>252</v>
      </c>
      <c r="AM717" s="39" t="s">
        <v>222</v>
      </c>
      <c r="AN717" s="39">
        <v>4</v>
      </c>
      <c r="AO717" s="39">
        <v>4</v>
      </c>
      <c r="AP717" s="39" t="s">
        <v>448</v>
      </c>
      <c r="AT717" s="63"/>
      <c r="AY717" s="39">
        <f>3.6*1000</f>
        <v>3600</v>
      </c>
      <c r="AZ717" s="39">
        <f>3.8*1000</f>
        <v>3800</v>
      </c>
      <c r="DJ717" s="39">
        <v>80</v>
      </c>
      <c r="DK717" s="39">
        <v>130</v>
      </c>
      <c r="DP717" s="12"/>
      <c r="DR717" s="15"/>
      <c r="EN717" s="39">
        <v>33</v>
      </c>
    </row>
    <row r="718" spans="1:144" s="39" customFormat="1" x14ac:dyDescent="0.25">
      <c r="A718" s="39">
        <v>33</v>
      </c>
      <c r="B718" s="39" t="s">
        <v>631</v>
      </c>
      <c r="C718" s="39" t="s">
        <v>632</v>
      </c>
      <c r="D718" s="39">
        <v>2016</v>
      </c>
      <c r="E718" s="39">
        <v>2013</v>
      </c>
      <c r="F718" s="39" t="s">
        <v>633</v>
      </c>
      <c r="G718" s="39" t="s">
        <v>415</v>
      </c>
      <c r="H718" s="39">
        <v>40.72</v>
      </c>
      <c r="I718" s="39">
        <v>-77.92</v>
      </c>
      <c r="J718" s="39">
        <v>350</v>
      </c>
      <c r="P718" s="58" t="s">
        <v>188</v>
      </c>
      <c r="Q718" s="58"/>
      <c r="R718" s="58" t="s">
        <v>635</v>
      </c>
      <c r="S718" s="58"/>
      <c r="W718" s="39" t="s">
        <v>175</v>
      </c>
      <c r="AA718" s="39" t="s">
        <v>1696</v>
      </c>
      <c r="AB718" s="39" t="s">
        <v>173</v>
      </c>
      <c r="AC718" s="39" t="s">
        <v>219</v>
      </c>
      <c r="AG718" s="39" t="s">
        <v>634</v>
      </c>
      <c r="AH718" s="39" t="s">
        <v>634</v>
      </c>
      <c r="AI718" s="39" t="s">
        <v>252</v>
      </c>
      <c r="AM718" s="39" t="s">
        <v>222</v>
      </c>
      <c r="AN718" s="39">
        <v>4</v>
      </c>
      <c r="AO718" s="39">
        <v>4</v>
      </c>
      <c r="AP718" s="39" t="s">
        <v>448</v>
      </c>
      <c r="AT718" s="63"/>
      <c r="AY718" s="39">
        <f>3.6*1000</f>
        <v>3600</v>
      </c>
      <c r="AZ718" s="39">
        <f>3.7*1000</f>
        <v>3700</v>
      </c>
      <c r="DJ718" s="39">
        <v>1050</v>
      </c>
      <c r="DK718" s="39">
        <v>550</v>
      </c>
      <c r="DP718" s="12"/>
      <c r="DR718" s="15"/>
      <c r="EN718" s="39">
        <v>33</v>
      </c>
    </row>
    <row r="719" spans="1:144" s="39" customFormat="1" x14ac:dyDescent="0.25">
      <c r="A719" s="39">
        <v>33</v>
      </c>
      <c r="B719" s="39" t="s">
        <v>631</v>
      </c>
      <c r="C719" s="39" t="s">
        <v>632</v>
      </c>
      <c r="D719" s="39">
        <v>2016</v>
      </c>
      <c r="E719" s="39">
        <v>2013</v>
      </c>
      <c r="F719" s="39" t="s">
        <v>633</v>
      </c>
      <c r="G719" s="39" t="s">
        <v>415</v>
      </c>
      <c r="H719" s="39">
        <v>40.72</v>
      </c>
      <c r="I719" s="39">
        <v>-77.92</v>
      </c>
      <c r="J719" s="39">
        <v>350</v>
      </c>
      <c r="P719" s="58" t="s">
        <v>188</v>
      </c>
      <c r="Q719" s="58"/>
      <c r="R719" s="58" t="s">
        <v>636</v>
      </c>
      <c r="S719" s="58"/>
      <c r="W719" s="39" t="s">
        <v>175</v>
      </c>
      <c r="AA719" s="39" t="s">
        <v>1696</v>
      </c>
      <c r="AB719" s="39" t="s">
        <v>173</v>
      </c>
      <c r="AC719" s="39" t="s">
        <v>219</v>
      </c>
      <c r="AG719" s="39" t="s">
        <v>634</v>
      </c>
      <c r="AH719" s="39" t="s">
        <v>634</v>
      </c>
      <c r="AI719" s="39" t="s">
        <v>252</v>
      </c>
      <c r="AM719" s="39" t="s">
        <v>222</v>
      </c>
      <c r="AN719" s="39">
        <v>4</v>
      </c>
      <c r="AO719" s="39">
        <v>4</v>
      </c>
      <c r="AP719" s="39" t="s">
        <v>448</v>
      </c>
      <c r="AT719" s="63"/>
      <c r="AY719" s="39">
        <f>3.4*1000</f>
        <v>3400</v>
      </c>
      <c r="AZ719" s="39">
        <f>2.9*1000</f>
        <v>2900</v>
      </c>
      <c r="DJ719" s="39">
        <v>1460</v>
      </c>
      <c r="DK719" s="39">
        <v>660</v>
      </c>
      <c r="DP719" s="12"/>
      <c r="DR719" s="15"/>
      <c r="EN719" s="39">
        <v>33</v>
      </c>
    </row>
    <row r="720" spans="1:144" s="39" customFormat="1" x14ac:dyDescent="0.25">
      <c r="A720" s="39">
        <v>33</v>
      </c>
      <c r="B720" s="39" t="s">
        <v>631</v>
      </c>
      <c r="C720" s="39" t="s">
        <v>632</v>
      </c>
      <c r="D720" s="39">
        <v>2016</v>
      </c>
      <c r="E720" s="39">
        <v>2013</v>
      </c>
      <c r="F720" s="39" t="s">
        <v>633</v>
      </c>
      <c r="G720" s="39" t="s">
        <v>415</v>
      </c>
      <c r="H720" s="39">
        <v>40.72</v>
      </c>
      <c r="I720" s="39">
        <v>-77.92</v>
      </c>
      <c r="J720" s="39">
        <v>350</v>
      </c>
      <c r="P720" s="58" t="s">
        <v>188</v>
      </c>
      <c r="Q720" s="58"/>
      <c r="R720" s="58" t="s">
        <v>637</v>
      </c>
      <c r="S720" s="58"/>
      <c r="W720" s="39" t="s">
        <v>175</v>
      </c>
      <c r="AA720" s="39" t="s">
        <v>1696</v>
      </c>
      <c r="AB720" s="39" t="s">
        <v>173</v>
      </c>
      <c r="AC720" s="39" t="s">
        <v>219</v>
      </c>
      <c r="AG720" s="39" t="s">
        <v>634</v>
      </c>
      <c r="AH720" s="39" t="s">
        <v>634</v>
      </c>
      <c r="AI720" s="39" t="s">
        <v>252</v>
      </c>
      <c r="AM720" s="39" t="s">
        <v>222</v>
      </c>
      <c r="AN720" s="39">
        <v>4</v>
      </c>
      <c r="AO720" s="39">
        <v>4</v>
      </c>
      <c r="AP720" s="39" t="s">
        <v>448</v>
      </c>
      <c r="AT720" s="63"/>
      <c r="AY720" s="39">
        <f>3.4*1000</f>
        <v>3400</v>
      </c>
      <c r="AZ720" s="39">
        <f>2.9*1000</f>
        <v>2900</v>
      </c>
      <c r="DJ720" s="39">
        <v>1130</v>
      </c>
      <c r="DK720" s="39">
        <v>540</v>
      </c>
      <c r="DP720" s="12"/>
      <c r="DR720" s="15"/>
      <c r="EN720" s="39">
        <v>33</v>
      </c>
    </row>
    <row r="721" spans="1:144" s="39" customFormat="1" x14ac:dyDescent="0.25">
      <c r="A721" s="39">
        <v>33</v>
      </c>
      <c r="B721" s="39" t="s">
        <v>631</v>
      </c>
      <c r="C721" s="39" t="s">
        <v>632</v>
      </c>
      <c r="D721" s="39">
        <v>2016</v>
      </c>
      <c r="E721" s="39">
        <v>2013</v>
      </c>
      <c r="F721" s="39" t="s">
        <v>633</v>
      </c>
      <c r="G721" s="39" t="s">
        <v>415</v>
      </c>
      <c r="H721" s="39">
        <v>40.72</v>
      </c>
      <c r="I721" s="39">
        <v>-77.92</v>
      </c>
      <c r="J721" s="39">
        <v>350</v>
      </c>
      <c r="P721" s="58" t="s">
        <v>188</v>
      </c>
      <c r="Q721" s="58"/>
      <c r="R721" s="58" t="s">
        <v>638</v>
      </c>
      <c r="S721" s="58"/>
      <c r="W721" s="39" t="s">
        <v>175</v>
      </c>
      <c r="AA721" s="39" t="s">
        <v>1696</v>
      </c>
      <c r="AB721" s="39" t="s">
        <v>173</v>
      </c>
      <c r="AC721" s="39" t="s">
        <v>219</v>
      </c>
      <c r="AG721" s="39" t="s">
        <v>634</v>
      </c>
      <c r="AH721" s="39" t="s">
        <v>634</v>
      </c>
      <c r="AI721" s="39" t="s">
        <v>252</v>
      </c>
      <c r="AM721" s="39" t="s">
        <v>222</v>
      </c>
      <c r="AN721" s="39">
        <v>4</v>
      </c>
      <c r="AO721" s="39">
        <v>4</v>
      </c>
      <c r="AP721" s="39" t="s">
        <v>448</v>
      </c>
      <c r="AT721" s="63"/>
      <c r="AY721" s="39">
        <f>3.6*1000</f>
        <v>3600</v>
      </c>
      <c r="AZ721" s="39">
        <f>3.7*1000</f>
        <v>3700</v>
      </c>
      <c r="DJ721" s="39">
        <v>510</v>
      </c>
      <c r="DK721" s="39">
        <v>200</v>
      </c>
      <c r="DP721" s="12"/>
      <c r="DR721" s="15"/>
      <c r="EN721" s="39">
        <v>33</v>
      </c>
    </row>
    <row r="722" spans="1:144" s="35" customFormat="1" x14ac:dyDescent="0.25">
      <c r="A722" s="35">
        <v>33</v>
      </c>
      <c r="B722" s="35" t="s">
        <v>631</v>
      </c>
      <c r="C722" s="35" t="s">
        <v>632</v>
      </c>
      <c r="D722" s="35">
        <v>2016</v>
      </c>
      <c r="E722" s="35">
        <v>2012</v>
      </c>
      <c r="F722" s="35" t="s">
        <v>633</v>
      </c>
      <c r="G722" s="35" t="s">
        <v>415</v>
      </c>
      <c r="H722" s="35">
        <v>40.72</v>
      </c>
      <c r="I722" s="35">
        <v>-77.92</v>
      </c>
      <c r="J722" s="35">
        <v>350</v>
      </c>
      <c r="P722" s="54" t="s">
        <v>187</v>
      </c>
      <c r="Q722" s="54"/>
      <c r="R722" s="54" t="s">
        <v>635</v>
      </c>
      <c r="S722" s="54"/>
      <c r="W722" s="35" t="s">
        <v>175</v>
      </c>
      <c r="AA722" s="35" t="s">
        <v>1696</v>
      </c>
      <c r="AB722" s="35" t="s">
        <v>326</v>
      </c>
      <c r="AC722" s="35" t="s">
        <v>174</v>
      </c>
      <c r="AG722" s="35" t="s">
        <v>634</v>
      </c>
      <c r="AH722" s="35" t="s">
        <v>634</v>
      </c>
      <c r="AI722" s="35" t="s">
        <v>252</v>
      </c>
      <c r="AM722" s="35" t="s">
        <v>222</v>
      </c>
      <c r="AN722" s="35">
        <v>4</v>
      </c>
      <c r="AO722" s="35">
        <v>4</v>
      </c>
      <c r="AP722" s="35" t="s">
        <v>448</v>
      </c>
      <c r="AT722" s="63"/>
      <c r="AY722" s="35">
        <f>10.3*1000</f>
        <v>10300</v>
      </c>
      <c r="AZ722" s="35">
        <f>11.9*1000</f>
        <v>11900</v>
      </c>
      <c r="DJ722" s="35">
        <v>700</v>
      </c>
      <c r="DK722" s="35">
        <v>430</v>
      </c>
      <c r="DP722" s="12"/>
      <c r="DR722" s="15"/>
      <c r="EN722" s="35">
        <v>33</v>
      </c>
    </row>
    <row r="723" spans="1:144" s="35" customFormat="1" x14ac:dyDescent="0.25">
      <c r="A723" s="35">
        <v>33</v>
      </c>
      <c r="B723" s="35" t="s">
        <v>631</v>
      </c>
      <c r="C723" s="35" t="s">
        <v>632</v>
      </c>
      <c r="D723" s="35">
        <v>2016</v>
      </c>
      <c r="E723" s="35">
        <v>2012</v>
      </c>
      <c r="F723" s="35" t="s">
        <v>633</v>
      </c>
      <c r="G723" s="35" t="s">
        <v>415</v>
      </c>
      <c r="H723" s="35">
        <v>40.72</v>
      </c>
      <c r="I723" s="35">
        <v>-77.92</v>
      </c>
      <c r="J723" s="35">
        <v>350</v>
      </c>
      <c r="P723" s="54" t="s">
        <v>187</v>
      </c>
      <c r="Q723" s="54"/>
      <c r="R723" s="54" t="s">
        <v>636</v>
      </c>
      <c r="S723" s="54"/>
      <c r="W723" s="35" t="s">
        <v>175</v>
      </c>
      <c r="AA723" s="35" t="s">
        <v>1696</v>
      </c>
      <c r="AB723" s="35" t="s">
        <v>326</v>
      </c>
      <c r="AC723" s="35" t="s">
        <v>174</v>
      </c>
      <c r="AG723" s="35" t="s">
        <v>634</v>
      </c>
      <c r="AH723" s="35" t="s">
        <v>634</v>
      </c>
      <c r="AI723" s="35" t="s">
        <v>252</v>
      </c>
      <c r="AM723" s="35" t="s">
        <v>222</v>
      </c>
      <c r="AN723" s="35">
        <v>4</v>
      </c>
      <c r="AO723" s="35">
        <v>4</v>
      </c>
      <c r="AP723" s="35" t="s">
        <v>448</v>
      </c>
      <c r="AT723" s="63"/>
      <c r="AY723" s="35">
        <f>10.1*1000</f>
        <v>10100</v>
      </c>
      <c r="AZ723" s="35">
        <f>10.9*1000</f>
        <v>10900</v>
      </c>
      <c r="DJ723" s="35">
        <v>150</v>
      </c>
      <c r="DK723" s="35">
        <v>530</v>
      </c>
      <c r="DP723" s="12"/>
      <c r="DR723" s="15"/>
      <c r="EN723" s="35">
        <v>33</v>
      </c>
    </row>
    <row r="724" spans="1:144" s="35" customFormat="1" x14ac:dyDescent="0.25">
      <c r="A724" s="35">
        <v>33</v>
      </c>
      <c r="B724" s="35" t="s">
        <v>631</v>
      </c>
      <c r="C724" s="35" t="s">
        <v>632</v>
      </c>
      <c r="D724" s="35">
        <v>2016</v>
      </c>
      <c r="E724" s="35">
        <v>2012</v>
      </c>
      <c r="F724" s="35" t="s">
        <v>633</v>
      </c>
      <c r="G724" s="35" t="s">
        <v>415</v>
      </c>
      <c r="H724" s="35">
        <v>40.72</v>
      </c>
      <c r="I724" s="35">
        <v>-77.92</v>
      </c>
      <c r="J724" s="35">
        <v>350</v>
      </c>
      <c r="P724" s="54" t="s">
        <v>187</v>
      </c>
      <c r="Q724" s="54"/>
      <c r="R724" s="54" t="s">
        <v>637</v>
      </c>
      <c r="S724" s="54"/>
      <c r="W724" s="35" t="s">
        <v>175</v>
      </c>
      <c r="AA724" s="35" t="s">
        <v>1696</v>
      </c>
      <c r="AB724" s="35" t="s">
        <v>326</v>
      </c>
      <c r="AC724" s="35" t="s">
        <v>174</v>
      </c>
      <c r="AG724" s="35" t="s">
        <v>634</v>
      </c>
      <c r="AH724" s="35" t="s">
        <v>634</v>
      </c>
      <c r="AI724" s="35" t="s">
        <v>252</v>
      </c>
      <c r="AM724" s="35" t="s">
        <v>222</v>
      </c>
      <c r="AN724" s="35">
        <v>4</v>
      </c>
      <c r="AO724" s="35">
        <v>4</v>
      </c>
      <c r="AP724" s="35" t="s">
        <v>448</v>
      </c>
      <c r="AT724" s="63"/>
      <c r="AY724" s="35">
        <f>9.8*1000</f>
        <v>9800</v>
      </c>
      <c r="AZ724" s="35">
        <f>10.1*1000</f>
        <v>10100</v>
      </c>
      <c r="DJ724" s="35">
        <v>120</v>
      </c>
      <c r="DK724" s="35">
        <v>680</v>
      </c>
      <c r="DP724" s="12"/>
      <c r="DR724" s="15"/>
      <c r="EN724" s="35">
        <v>33</v>
      </c>
    </row>
    <row r="725" spans="1:144" s="35" customFormat="1" x14ac:dyDescent="0.25">
      <c r="A725" s="35">
        <v>33</v>
      </c>
      <c r="B725" s="35" t="s">
        <v>631</v>
      </c>
      <c r="C725" s="35" t="s">
        <v>632</v>
      </c>
      <c r="D725" s="35">
        <v>2016</v>
      </c>
      <c r="E725" s="35">
        <v>2012</v>
      </c>
      <c r="F725" s="35" t="s">
        <v>633</v>
      </c>
      <c r="G725" s="35" t="s">
        <v>415</v>
      </c>
      <c r="H725" s="35">
        <v>40.72</v>
      </c>
      <c r="I725" s="35">
        <v>-77.92</v>
      </c>
      <c r="J725" s="35">
        <v>350</v>
      </c>
      <c r="P725" s="54" t="s">
        <v>187</v>
      </c>
      <c r="Q725" s="54"/>
      <c r="R725" s="54" t="s">
        <v>638</v>
      </c>
      <c r="S725" s="54"/>
      <c r="W725" s="35" t="s">
        <v>175</v>
      </c>
      <c r="AA725" s="35" t="s">
        <v>1696</v>
      </c>
      <c r="AB725" s="35" t="s">
        <v>326</v>
      </c>
      <c r="AC725" s="35" t="s">
        <v>174</v>
      </c>
      <c r="AG725" s="35" t="s">
        <v>634</v>
      </c>
      <c r="AH725" s="35" t="s">
        <v>634</v>
      </c>
      <c r="AI725" s="35" t="s">
        <v>252</v>
      </c>
      <c r="AM725" s="35" t="s">
        <v>222</v>
      </c>
      <c r="AN725" s="35">
        <v>4</v>
      </c>
      <c r="AO725" s="35">
        <v>4</v>
      </c>
      <c r="AP725" s="35" t="s">
        <v>448</v>
      </c>
      <c r="AT725" s="63"/>
      <c r="AY725" s="35">
        <f>10.6*1000</f>
        <v>10600</v>
      </c>
      <c r="AZ725" s="35">
        <f>11.7*1000</f>
        <v>11700</v>
      </c>
      <c r="DJ725" s="35">
        <v>50</v>
      </c>
      <c r="DK725" s="35">
        <v>290</v>
      </c>
      <c r="DP725" s="12"/>
      <c r="DR725" s="15"/>
      <c r="EN725" s="35">
        <v>33</v>
      </c>
    </row>
    <row r="726" spans="1:144" s="35" customFormat="1" x14ac:dyDescent="0.25">
      <c r="A726" s="35">
        <v>33</v>
      </c>
      <c r="B726" s="35" t="s">
        <v>631</v>
      </c>
      <c r="C726" s="35" t="s">
        <v>632</v>
      </c>
      <c r="D726" s="35">
        <v>2016</v>
      </c>
      <c r="E726" s="35">
        <v>2013</v>
      </c>
      <c r="F726" s="35" t="s">
        <v>633</v>
      </c>
      <c r="G726" s="35" t="s">
        <v>415</v>
      </c>
      <c r="H726" s="35">
        <v>40.72</v>
      </c>
      <c r="I726" s="35">
        <v>-77.92</v>
      </c>
      <c r="J726" s="35">
        <v>350</v>
      </c>
      <c r="P726" s="54" t="s">
        <v>188</v>
      </c>
      <c r="Q726" s="54"/>
      <c r="R726" s="54" t="s">
        <v>635</v>
      </c>
      <c r="S726" s="54"/>
      <c r="W726" s="35" t="s">
        <v>175</v>
      </c>
      <c r="AA726" s="35" t="s">
        <v>1696</v>
      </c>
      <c r="AB726" s="35" t="s">
        <v>326</v>
      </c>
      <c r="AC726" s="35" t="s">
        <v>174</v>
      </c>
      <c r="AG726" s="35" t="s">
        <v>634</v>
      </c>
      <c r="AH726" s="35" t="s">
        <v>634</v>
      </c>
      <c r="AI726" s="35" t="s">
        <v>252</v>
      </c>
      <c r="AM726" s="35" t="s">
        <v>222</v>
      </c>
      <c r="AN726" s="35">
        <v>4</v>
      </c>
      <c r="AO726" s="35">
        <v>4</v>
      </c>
      <c r="AP726" s="35" t="s">
        <v>448</v>
      </c>
      <c r="AT726" s="63"/>
      <c r="AY726" s="35">
        <f>11.2*1000</f>
        <v>11200</v>
      </c>
      <c r="AZ726" s="35">
        <f>11*1000</f>
        <v>11000</v>
      </c>
      <c r="DJ726" s="35">
        <v>220</v>
      </c>
      <c r="DK726" s="35">
        <v>240</v>
      </c>
      <c r="DP726" s="12"/>
      <c r="DR726" s="15"/>
      <c r="EN726" s="35">
        <v>33</v>
      </c>
    </row>
    <row r="727" spans="1:144" s="35" customFormat="1" x14ac:dyDescent="0.25">
      <c r="A727" s="35">
        <v>33</v>
      </c>
      <c r="B727" s="35" t="s">
        <v>631</v>
      </c>
      <c r="C727" s="35" t="s">
        <v>632</v>
      </c>
      <c r="D727" s="35">
        <v>2016</v>
      </c>
      <c r="E727" s="35">
        <v>2013</v>
      </c>
      <c r="F727" s="35" t="s">
        <v>633</v>
      </c>
      <c r="G727" s="35" t="s">
        <v>415</v>
      </c>
      <c r="H727" s="35">
        <v>40.72</v>
      </c>
      <c r="I727" s="35">
        <v>-77.92</v>
      </c>
      <c r="J727" s="35">
        <v>350</v>
      </c>
      <c r="P727" s="54" t="s">
        <v>188</v>
      </c>
      <c r="Q727" s="54"/>
      <c r="R727" s="54" t="s">
        <v>636</v>
      </c>
      <c r="S727" s="54"/>
      <c r="W727" s="35" t="s">
        <v>175</v>
      </c>
      <c r="AA727" s="35" t="s">
        <v>1696</v>
      </c>
      <c r="AB727" s="35" t="s">
        <v>326</v>
      </c>
      <c r="AC727" s="35" t="s">
        <v>174</v>
      </c>
      <c r="AG727" s="35" t="s">
        <v>634</v>
      </c>
      <c r="AH727" s="35" t="s">
        <v>634</v>
      </c>
      <c r="AI727" s="35" t="s">
        <v>252</v>
      </c>
      <c r="AM727" s="35" t="s">
        <v>222</v>
      </c>
      <c r="AN727" s="35">
        <v>4</v>
      </c>
      <c r="AO727" s="35">
        <v>4</v>
      </c>
      <c r="AP727" s="35" t="s">
        <v>448</v>
      </c>
      <c r="AT727" s="63"/>
      <c r="AY727" s="35">
        <f>11.2*1000</f>
        <v>11200</v>
      </c>
      <c r="AZ727" s="35">
        <f>11.1*1000</f>
        <v>11100</v>
      </c>
      <c r="DJ727" s="35">
        <v>230</v>
      </c>
      <c r="DK727" s="35">
        <v>140</v>
      </c>
      <c r="DP727" s="12"/>
      <c r="DR727" s="15"/>
      <c r="EN727" s="35">
        <v>33</v>
      </c>
    </row>
    <row r="728" spans="1:144" s="35" customFormat="1" x14ac:dyDescent="0.25">
      <c r="A728" s="35">
        <v>33</v>
      </c>
      <c r="B728" s="35" t="s">
        <v>631</v>
      </c>
      <c r="C728" s="35" t="s">
        <v>632</v>
      </c>
      <c r="D728" s="35">
        <v>2016</v>
      </c>
      <c r="E728" s="35">
        <v>2013</v>
      </c>
      <c r="F728" s="35" t="s">
        <v>633</v>
      </c>
      <c r="G728" s="35" t="s">
        <v>415</v>
      </c>
      <c r="H728" s="35">
        <v>40.72</v>
      </c>
      <c r="I728" s="35">
        <v>-77.92</v>
      </c>
      <c r="J728" s="35">
        <v>350</v>
      </c>
      <c r="P728" s="54" t="s">
        <v>188</v>
      </c>
      <c r="Q728" s="54"/>
      <c r="R728" s="54" t="s">
        <v>637</v>
      </c>
      <c r="S728" s="54"/>
      <c r="W728" s="35" t="s">
        <v>175</v>
      </c>
      <c r="AA728" s="35" t="s">
        <v>1696</v>
      </c>
      <c r="AB728" s="35" t="s">
        <v>326</v>
      </c>
      <c r="AC728" s="35" t="s">
        <v>174</v>
      </c>
      <c r="AG728" s="35" t="s">
        <v>634</v>
      </c>
      <c r="AH728" s="35" t="s">
        <v>634</v>
      </c>
      <c r="AI728" s="35" t="s">
        <v>252</v>
      </c>
      <c r="AM728" s="35" t="s">
        <v>222</v>
      </c>
      <c r="AN728" s="35">
        <v>4</v>
      </c>
      <c r="AO728" s="35">
        <v>4</v>
      </c>
      <c r="AP728" s="35" t="s">
        <v>448</v>
      </c>
      <c r="AT728" s="63"/>
      <c r="DJ728" s="35">
        <v>100</v>
      </c>
      <c r="DK728" s="35">
        <v>130</v>
      </c>
      <c r="DP728" s="12"/>
      <c r="DR728" s="15"/>
      <c r="EN728" s="35">
        <v>33</v>
      </c>
    </row>
    <row r="729" spans="1:144" s="35" customFormat="1" x14ac:dyDescent="0.25">
      <c r="A729" s="35">
        <v>33</v>
      </c>
      <c r="B729" s="35" t="s">
        <v>631</v>
      </c>
      <c r="C729" s="35" t="s">
        <v>632</v>
      </c>
      <c r="D729" s="35">
        <v>2016</v>
      </c>
      <c r="E729" s="35">
        <v>2013</v>
      </c>
      <c r="F729" s="35" t="s">
        <v>633</v>
      </c>
      <c r="G729" s="35" t="s">
        <v>415</v>
      </c>
      <c r="H729" s="35">
        <v>40.72</v>
      </c>
      <c r="I729" s="35">
        <v>-77.92</v>
      </c>
      <c r="J729" s="35">
        <v>350</v>
      </c>
      <c r="P729" s="54" t="s">
        <v>188</v>
      </c>
      <c r="Q729" s="54"/>
      <c r="R729" s="54" t="s">
        <v>638</v>
      </c>
      <c r="S729" s="54"/>
      <c r="W729" s="35" t="s">
        <v>175</v>
      </c>
      <c r="AA729" s="35" t="s">
        <v>1696</v>
      </c>
      <c r="AB729" s="35" t="s">
        <v>326</v>
      </c>
      <c r="AC729" s="35" t="s">
        <v>174</v>
      </c>
      <c r="AG729" s="35" t="s">
        <v>634</v>
      </c>
      <c r="AH729" s="35" t="s">
        <v>634</v>
      </c>
      <c r="AI729" s="35" t="s">
        <v>252</v>
      </c>
      <c r="AM729" s="35" t="s">
        <v>222</v>
      </c>
      <c r="AN729" s="35">
        <v>4</v>
      </c>
      <c r="AO729" s="35">
        <v>4</v>
      </c>
      <c r="AP729" s="35" t="s">
        <v>448</v>
      </c>
      <c r="AT729" s="63"/>
      <c r="AY729" s="35">
        <f>12.4*1000</f>
        <v>12400</v>
      </c>
      <c r="AZ729" s="35">
        <f>12.1*1000</f>
        <v>12100</v>
      </c>
      <c r="DP729" s="12"/>
      <c r="DR729" s="15"/>
      <c r="EN729" s="35">
        <v>33</v>
      </c>
    </row>
    <row r="730" spans="1:144" s="35" customFormat="1" x14ac:dyDescent="0.25">
      <c r="A730" s="35">
        <v>33</v>
      </c>
      <c r="B730" s="35" t="s">
        <v>631</v>
      </c>
      <c r="C730" s="35" t="s">
        <v>632</v>
      </c>
      <c r="D730" s="35">
        <v>2016</v>
      </c>
      <c r="E730" s="35">
        <v>2014</v>
      </c>
      <c r="F730" s="35" t="s">
        <v>633</v>
      </c>
      <c r="G730" s="35" t="s">
        <v>415</v>
      </c>
      <c r="H730" s="35">
        <v>40.72</v>
      </c>
      <c r="I730" s="35">
        <v>-77.92</v>
      </c>
      <c r="J730" s="35">
        <v>350</v>
      </c>
      <c r="P730" s="54" t="s">
        <v>189</v>
      </c>
      <c r="Q730" s="54"/>
      <c r="R730" s="54" t="s">
        <v>635</v>
      </c>
      <c r="S730" s="54"/>
      <c r="W730" s="35" t="s">
        <v>175</v>
      </c>
      <c r="AA730" s="35" t="s">
        <v>1696</v>
      </c>
      <c r="AB730" s="35" t="s">
        <v>326</v>
      </c>
      <c r="AC730" s="35" t="s">
        <v>174</v>
      </c>
      <c r="AG730" s="35" t="s">
        <v>634</v>
      </c>
      <c r="AH730" s="35" t="s">
        <v>634</v>
      </c>
      <c r="AI730" s="35" t="s">
        <v>252</v>
      </c>
      <c r="AM730" s="35" t="s">
        <v>222</v>
      </c>
      <c r="AN730" s="35">
        <v>4</v>
      </c>
      <c r="AO730" s="35">
        <v>4</v>
      </c>
      <c r="AP730" s="35" t="s">
        <v>448</v>
      </c>
      <c r="AT730" s="63"/>
      <c r="DJ730" s="35">
        <v>240</v>
      </c>
      <c r="DK730" s="35">
        <v>660</v>
      </c>
      <c r="DP730" s="12"/>
      <c r="DR730" s="15"/>
      <c r="EN730" s="35">
        <v>33</v>
      </c>
    </row>
    <row r="731" spans="1:144" s="35" customFormat="1" x14ac:dyDescent="0.25">
      <c r="A731" s="35">
        <v>33</v>
      </c>
      <c r="B731" s="35" t="s">
        <v>631</v>
      </c>
      <c r="C731" s="35" t="s">
        <v>632</v>
      </c>
      <c r="D731" s="35">
        <v>2016</v>
      </c>
      <c r="E731" s="35">
        <v>2014</v>
      </c>
      <c r="F731" s="35" t="s">
        <v>633</v>
      </c>
      <c r="G731" s="35" t="s">
        <v>415</v>
      </c>
      <c r="H731" s="35">
        <v>40.72</v>
      </c>
      <c r="I731" s="35">
        <v>-77.92</v>
      </c>
      <c r="J731" s="35">
        <v>350</v>
      </c>
      <c r="P731" s="54" t="s">
        <v>189</v>
      </c>
      <c r="Q731" s="54"/>
      <c r="R731" s="54" t="s">
        <v>636</v>
      </c>
      <c r="S731" s="54"/>
      <c r="W731" s="35" t="s">
        <v>175</v>
      </c>
      <c r="AA731" s="35" t="s">
        <v>1696</v>
      </c>
      <c r="AB731" s="35" t="s">
        <v>326</v>
      </c>
      <c r="AC731" s="35" t="s">
        <v>174</v>
      </c>
      <c r="AG731" s="35" t="s">
        <v>634</v>
      </c>
      <c r="AH731" s="35" t="s">
        <v>634</v>
      </c>
      <c r="AI731" s="35" t="s">
        <v>252</v>
      </c>
      <c r="AM731" s="35" t="s">
        <v>222</v>
      </c>
      <c r="AN731" s="35">
        <v>4</v>
      </c>
      <c r="AO731" s="35">
        <v>4</v>
      </c>
      <c r="AP731" s="35" t="s">
        <v>448</v>
      </c>
      <c r="AT731" s="63"/>
      <c r="DJ731" s="35">
        <v>30</v>
      </c>
      <c r="DK731" s="35">
        <v>250</v>
      </c>
      <c r="DP731" s="12"/>
      <c r="DR731" s="15"/>
      <c r="EN731" s="35">
        <v>33</v>
      </c>
    </row>
    <row r="732" spans="1:144" s="35" customFormat="1" x14ac:dyDescent="0.25">
      <c r="A732" s="35">
        <v>33</v>
      </c>
      <c r="B732" s="35" t="s">
        <v>631</v>
      </c>
      <c r="C732" s="35" t="s">
        <v>632</v>
      </c>
      <c r="D732" s="35">
        <v>2016</v>
      </c>
      <c r="E732" s="35">
        <v>2014</v>
      </c>
      <c r="F732" s="35" t="s">
        <v>633</v>
      </c>
      <c r="G732" s="35" t="s">
        <v>415</v>
      </c>
      <c r="H732" s="35">
        <v>40.72</v>
      </c>
      <c r="I732" s="35">
        <v>-77.92</v>
      </c>
      <c r="J732" s="35">
        <v>350</v>
      </c>
      <c r="P732" s="54" t="s">
        <v>189</v>
      </c>
      <c r="Q732" s="54"/>
      <c r="R732" s="54" t="s">
        <v>637</v>
      </c>
      <c r="S732" s="54"/>
      <c r="W732" s="35" t="s">
        <v>175</v>
      </c>
      <c r="AA732" s="35" t="s">
        <v>1696</v>
      </c>
      <c r="AB732" s="35" t="s">
        <v>326</v>
      </c>
      <c r="AC732" s="35" t="s">
        <v>174</v>
      </c>
      <c r="AG732" s="35" t="s">
        <v>634</v>
      </c>
      <c r="AH732" s="35" t="s">
        <v>634</v>
      </c>
      <c r="AI732" s="35" t="s">
        <v>252</v>
      </c>
      <c r="AM732" s="35" t="s">
        <v>222</v>
      </c>
      <c r="AN732" s="35">
        <v>4</v>
      </c>
      <c r="AO732" s="35">
        <v>4</v>
      </c>
      <c r="AP732" s="35" t="s">
        <v>448</v>
      </c>
      <c r="AT732" s="63"/>
      <c r="DJ732" s="35">
        <v>10</v>
      </c>
      <c r="DK732" s="35">
        <v>170</v>
      </c>
      <c r="DP732" s="12"/>
      <c r="DR732" s="15"/>
      <c r="EN732" s="35">
        <v>33</v>
      </c>
    </row>
    <row r="733" spans="1:144" s="35" customFormat="1" x14ac:dyDescent="0.25">
      <c r="A733" s="35">
        <v>33</v>
      </c>
      <c r="B733" s="35" t="s">
        <v>631</v>
      </c>
      <c r="C733" s="35" t="s">
        <v>632</v>
      </c>
      <c r="D733" s="35">
        <v>2016</v>
      </c>
      <c r="E733" s="35">
        <v>2014</v>
      </c>
      <c r="F733" s="35" t="s">
        <v>633</v>
      </c>
      <c r="G733" s="35" t="s">
        <v>415</v>
      </c>
      <c r="H733" s="35">
        <v>40.72</v>
      </c>
      <c r="I733" s="35">
        <v>-77.92</v>
      </c>
      <c r="J733" s="35">
        <v>350</v>
      </c>
      <c r="P733" s="54" t="s">
        <v>189</v>
      </c>
      <c r="Q733" s="54"/>
      <c r="R733" s="54" t="s">
        <v>638</v>
      </c>
      <c r="S733" s="54"/>
      <c r="W733" s="35" t="s">
        <v>175</v>
      </c>
      <c r="AA733" s="35" t="s">
        <v>1696</v>
      </c>
      <c r="AB733" s="35" t="s">
        <v>326</v>
      </c>
      <c r="AC733" s="35" t="s">
        <v>174</v>
      </c>
      <c r="AG733" s="35" t="s">
        <v>634</v>
      </c>
      <c r="AH733" s="35" t="s">
        <v>634</v>
      </c>
      <c r="AI733" s="35" t="s">
        <v>252</v>
      </c>
      <c r="AM733" s="35" t="s">
        <v>222</v>
      </c>
      <c r="AN733" s="35">
        <v>4</v>
      </c>
      <c r="AO733" s="35">
        <v>4</v>
      </c>
      <c r="AP733" s="35" t="s">
        <v>448</v>
      </c>
      <c r="AT733" s="63"/>
      <c r="DJ733" s="35">
        <v>10</v>
      </c>
      <c r="DK733" s="35">
        <v>70</v>
      </c>
      <c r="DP733" s="12"/>
      <c r="DR733" s="15"/>
      <c r="EN733" s="35">
        <v>33</v>
      </c>
    </row>
    <row r="734" spans="1:144" s="38" customFormat="1" x14ac:dyDescent="0.25">
      <c r="A734" s="38">
        <v>34</v>
      </c>
      <c r="B734" s="38" t="s">
        <v>639</v>
      </c>
      <c r="C734" s="38" t="s">
        <v>640</v>
      </c>
      <c r="D734" s="38">
        <v>2004</v>
      </c>
      <c r="E734" s="38">
        <v>1989</v>
      </c>
      <c r="F734" s="38" t="s">
        <v>641</v>
      </c>
      <c r="G734" s="38" t="s">
        <v>642</v>
      </c>
      <c r="H734" s="38">
        <f>30+1/60</f>
        <v>30.016666666666666</v>
      </c>
      <c r="I734" s="38">
        <f>-85-32/60</f>
        <v>-85.533333333333331</v>
      </c>
      <c r="J734" s="38">
        <v>4.8</v>
      </c>
      <c r="P734" s="57" t="s">
        <v>189</v>
      </c>
      <c r="Q734" s="57"/>
      <c r="R734" s="57"/>
      <c r="S734" s="57"/>
      <c r="U734" s="38">
        <v>66</v>
      </c>
      <c r="V734" s="38">
        <v>22</v>
      </c>
      <c r="W734" s="38" t="s">
        <v>175</v>
      </c>
      <c r="AA734" s="38" t="s">
        <v>1699</v>
      </c>
      <c r="AB734" s="38" t="s">
        <v>613</v>
      </c>
      <c r="AC734" s="38" t="s">
        <v>174</v>
      </c>
      <c r="AD734" s="38" t="s">
        <v>578</v>
      </c>
      <c r="AE734" s="38" t="s">
        <v>578</v>
      </c>
      <c r="AF734" s="38" t="s">
        <v>252</v>
      </c>
      <c r="AG734" s="38" t="s">
        <v>645</v>
      </c>
      <c r="AH734" s="38" t="s">
        <v>217</v>
      </c>
      <c r="AI734" s="38" t="s">
        <v>693</v>
      </c>
      <c r="AJ734" s="38" t="s">
        <v>643</v>
      </c>
      <c r="AK734" s="38" t="s">
        <v>644</v>
      </c>
      <c r="AL734" s="38" t="s">
        <v>693</v>
      </c>
      <c r="AM734" s="38" t="s">
        <v>222</v>
      </c>
      <c r="AT734" s="64"/>
      <c r="AU734" s="38" t="s">
        <v>646</v>
      </c>
      <c r="AY734" s="38">
        <f>(11.1+8.1+11.6+8+9.9+8.3+7.3+10.7+10.2)/9*1000</f>
        <v>9466.6666666666661</v>
      </c>
      <c r="AZ734" s="38">
        <f>(8.6+8.9+9.9)/3*1000</f>
        <v>9133.3333333333321</v>
      </c>
      <c r="CU734" s="38">
        <f>(17.8+9.6+6.6)/3</f>
        <v>11.333333333333334</v>
      </c>
      <c r="CV734" s="38">
        <f>(19.9+22.4+31.6+26.8+32.6+24.1+13.3+27.6+16.9)/9</f>
        <v>23.911111111111111</v>
      </c>
      <c r="CW734" s="38" t="s">
        <v>630</v>
      </c>
      <c r="DP734" s="12"/>
      <c r="DR734" s="15"/>
      <c r="EL734" s="38" t="s">
        <v>630</v>
      </c>
      <c r="EN734" s="38">
        <v>34</v>
      </c>
    </row>
    <row r="735" spans="1:144" s="38" customFormat="1" x14ac:dyDescent="0.25">
      <c r="A735" s="38">
        <v>34</v>
      </c>
      <c r="B735" s="38" t="s">
        <v>639</v>
      </c>
      <c r="C735" s="38" t="s">
        <v>640</v>
      </c>
      <c r="D735" s="38">
        <v>2004</v>
      </c>
      <c r="E735" s="38">
        <v>1989</v>
      </c>
      <c r="F735" s="38" t="s">
        <v>641</v>
      </c>
      <c r="G735" s="38" t="s">
        <v>642</v>
      </c>
      <c r="H735" s="38">
        <f>30+1/60</f>
        <v>30.016666666666666</v>
      </c>
      <c r="I735" s="38">
        <f>-85-32/60</f>
        <v>-85.533333333333331</v>
      </c>
      <c r="J735" s="38">
        <v>4.8</v>
      </c>
      <c r="P735" s="57" t="s">
        <v>189</v>
      </c>
      <c r="Q735" s="57"/>
      <c r="R735" s="57"/>
      <c r="S735" s="57"/>
      <c r="U735" s="38">
        <v>66</v>
      </c>
      <c r="V735" s="38">
        <v>22</v>
      </c>
      <c r="W735" s="38" t="s">
        <v>175</v>
      </c>
      <c r="AA735" s="38" t="s">
        <v>1699</v>
      </c>
      <c r="AB735" s="38" t="s">
        <v>613</v>
      </c>
      <c r="AC735" s="38" t="s">
        <v>174</v>
      </c>
      <c r="AD735" s="38" t="s">
        <v>578</v>
      </c>
      <c r="AE735" s="38" t="s">
        <v>578</v>
      </c>
      <c r="AF735" s="38" t="s">
        <v>252</v>
      </c>
      <c r="AG735" s="38" t="s">
        <v>645</v>
      </c>
      <c r="AH735" s="38" t="s">
        <v>217</v>
      </c>
      <c r="AI735" s="38" t="s">
        <v>693</v>
      </c>
      <c r="AJ735" s="38" t="s">
        <v>643</v>
      </c>
      <c r="AK735" s="38" t="s">
        <v>644</v>
      </c>
      <c r="AL735" s="38" t="s">
        <v>693</v>
      </c>
      <c r="AM735" s="38" t="s">
        <v>222</v>
      </c>
      <c r="AT735" s="64"/>
      <c r="AU735" s="38" t="s">
        <v>647</v>
      </c>
      <c r="AY735" s="38">
        <f>(11.5+8.3+12.1+8.4+9.6+7.6+7.1+10.6+9.9)/9*1000</f>
        <v>9455.5555555555566</v>
      </c>
      <c r="AZ735" s="38">
        <f>(8.5+8.6+10.1)/3*1000</f>
        <v>9066.6666666666679</v>
      </c>
      <c r="CU735" s="38">
        <f>(15.1+10.7+6.4)/3</f>
        <v>10.733333333333333</v>
      </c>
      <c r="CV735" s="38">
        <f>(20+25+33.5+29+34.5+22.5+15.6+30.1+17.1)/9</f>
        <v>25.255555555555553</v>
      </c>
      <c r="CW735" s="38" t="s">
        <v>630</v>
      </c>
      <c r="DP735" s="12"/>
      <c r="DR735" s="15"/>
      <c r="EL735" s="38" t="s">
        <v>630</v>
      </c>
      <c r="EN735" s="38">
        <v>34</v>
      </c>
    </row>
    <row r="736" spans="1:144" s="38" customFormat="1" x14ac:dyDescent="0.25">
      <c r="A736" s="38">
        <v>34</v>
      </c>
      <c r="B736" s="38" t="s">
        <v>639</v>
      </c>
      <c r="C736" s="38" t="s">
        <v>640</v>
      </c>
      <c r="D736" s="38">
        <v>2004</v>
      </c>
      <c r="E736" s="38">
        <v>1989</v>
      </c>
      <c r="F736" s="38" t="s">
        <v>641</v>
      </c>
      <c r="G736" s="38" t="s">
        <v>642</v>
      </c>
      <c r="H736" s="38">
        <f>30+1/60</f>
        <v>30.016666666666666</v>
      </c>
      <c r="I736" s="38">
        <f>-85-32/60</f>
        <v>-85.533333333333331</v>
      </c>
      <c r="J736" s="38">
        <v>4.8</v>
      </c>
      <c r="P736" s="57" t="s">
        <v>189</v>
      </c>
      <c r="Q736" s="57"/>
      <c r="R736" s="57"/>
      <c r="S736" s="57"/>
      <c r="U736" s="38">
        <v>66</v>
      </c>
      <c r="V736" s="38">
        <v>22</v>
      </c>
      <c r="W736" s="38" t="s">
        <v>175</v>
      </c>
      <c r="AA736" s="38" t="s">
        <v>1699</v>
      </c>
      <c r="AB736" s="38" t="s">
        <v>613</v>
      </c>
      <c r="AC736" s="38" t="s">
        <v>174</v>
      </c>
      <c r="AD736" s="38" t="s">
        <v>578</v>
      </c>
      <c r="AE736" s="38" t="s">
        <v>578</v>
      </c>
      <c r="AF736" s="38" t="s">
        <v>252</v>
      </c>
      <c r="AG736" s="38" t="s">
        <v>645</v>
      </c>
      <c r="AH736" s="38" t="s">
        <v>217</v>
      </c>
      <c r="AI736" s="38" t="s">
        <v>693</v>
      </c>
      <c r="AJ736" s="38" t="s">
        <v>643</v>
      </c>
      <c r="AK736" s="38" t="s">
        <v>644</v>
      </c>
      <c r="AL736" s="38" t="s">
        <v>693</v>
      </c>
      <c r="AM736" s="38" t="s">
        <v>222</v>
      </c>
      <c r="AT736" s="64"/>
      <c r="AU736" s="38" t="s">
        <v>648</v>
      </c>
      <c r="AY736" s="38">
        <f>(11.3+8.5+12.1+7.7+8.8+7.7+7.9+10.1+10)/9*1000</f>
        <v>9344.4444444444453</v>
      </c>
      <c r="AZ736" s="38">
        <f>(9.2+8.8+10.1)/3*1000</f>
        <v>9366.6666666666679</v>
      </c>
      <c r="CU736" s="38">
        <f>(15.9+10.3+6.9)/3</f>
        <v>11.033333333333333</v>
      </c>
      <c r="CV736" s="38">
        <f>(20.3+23.4+30.5+27.4+30.1+20.7+15.7+28+15.3)/9</f>
        <v>23.488888888888887</v>
      </c>
      <c r="CW736" s="38" t="s">
        <v>630</v>
      </c>
      <c r="DP736" s="12"/>
      <c r="DR736" s="15"/>
      <c r="EL736" s="38" t="s">
        <v>630</v>
      </c>
      <c r="EN736" s="38">
        <v>34</v>
      </c>
    </row>
    <row r="737" spans="1:144" s="26" customFormat="1" x14ac:dyDescent="0.25">
      <c r="A737" s="26">
        <v>35</v>
      </c>
      <c r="B737" s="26" t="s">
        <v>649</v>
      </c>
      <c r="C737" s="26" t="s">
        <v>650</v>
      </c>
      <c r="D737" s="26">
        <v>2011</v>
      </c>
      <c r="E737" s="26">
        <v>2006</v>
      </c>
      <c r="F737" s="26" t="s">
        <v>168</v>
      </c>
      <c r="G737" s="26" t="s">
        <v>651</v>
      </c>
      <c r="H737" s="26">
        <f t="shared" ref="H737:H744" si="202">38+32/60</f>
        <v>38.533333333333331</v>
      </c>
      <c r="I737" s="26">
        <f t="shared" ref="I737:I744" si="203">-121-52/60</f>
        <v>-121.86666666666666</v>
      </c>
      <c r="J737" s="26">
        <v>27.1</v>
      </c>
      <c r="O737" s="26" t="s">
        <v>652</v>
      </c>
      <c r="P737" s="52" t="s">
        <v>186</v>
      </c>
      <c r="Q737" s="52"/>
      <c r="R737" s="52" t="s">
        <v>518</v>
      </c>
      <c r="S737" s="52" t="s">
        <v>657</v>
      </c>
      <c r="W737" s="26" t="s">
        <v>653</v>
      </c>
      <c r="AA737" s="26" t="s">
        <v>1697</v>
      </c>
      <c r="AB737" s="26" t="s">
        <v>326</v>
      </c>
      <c r="AC737" s="26" t="s">
        <v>323</v>
      </c>
      <c r="AD737" s="26" t="s">
        <v>1519</v>
      </c>
      <c r="AE737" s="26" t="s">
        <v>1519</v>
      </c>
      <c r="AF737" s="26" t="s">
        <v>252</v>
      </c>
      <c r="AG737" s="26" t="s">
        <v>656</v>
      </c>
      <c r="AH737" s="26" t="s">
        <v>603</v>
      </c>
      <c r="AI737" s="26" t="s">
        <v>693</v>
      </c>
      <c r="AJ737" s="26" t="s">
        <v>655</v>
      </c>
      <c r="AK737" s="26" t="s">
        <v>655</v>
      </c>
      <c r="AL737" s="26" t="s">
        <v>693</v>
      </c>
      <c r="AM737" s="26" t="s">
        <v>222</v>
      </c>
      <c r="AN737" s="26">
        <v>3</v>
      </c>
      <c r="AO737" s="26">
        <v>3</v>
      </c>
      <c r="AP737" s="26" t="s">
        <v>654</v>
      </c>
      <c r="AT737" s="63"/>
      <c r="DP737" s="26">
        <f>(5.99+29+17.85+7)/4</f>
        <v>14.96</v>
      </c>
      <c r="DQ737" s="26">
        <f>(5.5+25.83+16.22+9.47)/4</f>
        <v>14.254999999999999</v>
      </c>
      <c r="DR737" s="26" t="s">
        <v>682</v>
      </c>
      <c r="EB737" s="26">
        <f>326*0.61/29</f>
        <v>6.8572413793103442</v>
      </c>
      <c r="EC737" s="26">
        <f>178*0.61/29</f>
        <v>3.7441379310344827</v>
      </c>
      <c r="ED737" s="26" t="s">
        <v>677</v>
      </c>
      <c r="EL737" s="26" t="s">
        <v>958</v>
      </c>
      <c r="EN737" s="26">
        <v>35</v>
      </c>
    </row>
    <row r="738" spans="1:144" s="26" customFormat="1" x14ac:dyDescent="0.25">
      <c r="A738" s="26">
        <v>35</v>
      </c>
      <c r="B738" s="26" t="s">
        <v>649</v>
      </c>
      <c r="C738" s="26" t="s">
        <v>650</v>
      </c>
      <c r="D738" s="26">
        <v>2011</v>
      </c>
      <c r="E738" s="26">
        <v>2006</v>
      </c>
      <c r="F738" s="26" t="s">
        <v>168</v>
      </c>
      <c r="G738" s="26" t="s">
        <v>651</v>
      </c>
      <c r="H738" s="26">
        <f t="shared" si="202"/>
        <v>38.533333333333331</v>
      </c>
      <c r="I738" s="26">
        <f t="shared" si="203"/>
        <v>-121.86666666666666</v>
      </c>
      <c r="J738" s="26">
        <v>27.1</v>
      </c>
      <c r="O738" s="26" t="s">
        <v>652</v>
      </c>
      <c r="P738" s="52" t="s">
        <v>186</v>
      </c>
      <c r="Q738" s="52"/>
      <c r="R738" s="52" t="s">
        <v>679</v>
      </c>
      <c r="S738" s="52" t="s">
        <v>657</v>
      </c>
      <c r="W738" s="26" t="s">
        <v>653</v>
      </c>
      <c r="AA738" s="26" t="s">
        <v>1697</v>
      </c>
      <c r="AB738" s="26" t="s">
        <v>326</v>
      </c>
      <c r="AC738" s="26" t="s">
        <v>323</v>
      </c>
      <c r="AD738" s="26" t="s">
        <v>1519</v>
      </c>
      <c r="AE738" s="26" t="s">
        <v>1519</v>
      </c>
      <c r="AF738" s="26" t="s">
        <v>252</v>
      </c>
      <c r="AG738" s="26" t="s">
        <v>656</v>
      </c>
      <c r="AH738" s="26" t="s">
        <v>603</v>
      </c>
      <c r="AI738" s="26" t="s">
        <v>693</v>
      </c>
      <c r="AJ738" s="26" t="s">
        <v>655</v>
      </c>
      <c r="AK738" s="26" t="s">
        <v>655</v>
      </c>
      <c r="AL738" s="26" t="s">
        <v>693</v>
      </c>
      <c r="AM738" s="26" t="s">
        <v>222</v>
      </c>
      <c r="AN738" s="26">
        <v>3</v>
      </c>
      <c r="AO738" s="26">
        <v>3</v>
      </c>
      <c r="AP738" s="26" t="s">
        <v>654</v>
      </c>
      <c r="AT738" s="63"/>
      <c r="DP738" s="26">
        <f>(5.99+29+17.85+7)/4</f>
        <v>14.96</v>
      </c>
      <c r="DQ738" s="26">
        <f>(6.07+26.97+16.55+9.63)/4</f>
        <v>14.805000000000001</v>
      </c>
      <c r="DR738" s="26" t="s">
        <v>682</v>
      </c>
      <c r="EB738" s="26">
        <f>237*0.61/69</f>
        <v>2.0952173913043479</v>
      </c>
      <c r="EC738" s="26">
        <f>328*0.61/69</f>
        <v>2.899710144927536</v>
      </c>
      <c r="ED738" s="26" t="s">
        <v>677</v>
      </c>
      <c r="EL738" s="26" t="s">
        <v>958</v>
      </c>
      <c r="EN738" s="26">
        <v>35</v>
      </c>
    </row>
    <row r="739" spans="1:144" s="26" customFormat="1" x14ac:dyDescent="0.25">
      <c r="A739" s="26">
        <v>35</v>
      </c>
      <c r="B739" s="26" t="s">
        <v>649</v>
      </c>
      <c r="C739" s="26" t="s">
        <v>650</v>
      </c>
      <c r="D739" s="26">
        <v>2011</v>
      </c>
      <c r="E739" s="26">
        <v>2006</v>
      </c>
      <c r="F739" s="26" t="s">
        <v>168</v>
      </c>
      <c r="G739" s="26" t="s">
        <v>651</v>
      </c>
      <c r="H739" s="26">
        <f t="shared" si="202"/>
        <v>38.533333333333331</v>
      </c>
      <c r="I739" s="26">
        <f t="shared" si="203"/>
        <v>-121.86666666666666</v>
      </c>
      <c r="J739" s="26">
        <v>27.1</v>
      </c>
      <c r="O739" s="26" t="s">
        <v>652</v>
      </c>
      <c r="P739" s="52" t="s">
        <v>186</v>
      </c>
      <c r="Q739" s="52"/>
      <c r="R739" s="52" t="s">
        <v>680</v>
      </c>
      <c r="S739" s="52" t="s">
        <v>657</v>
      </c>
      <c r="W739" s="26" t="s">
        <v>653</v>
      </c>
      <c r="AA739" s="26" t="s">
        <v>1697</v>
      </c>
      <c r="AB739" s="26" t="s">
        <v>326</v>
      </c>
      <c r="AC739" s="26" t="s">
        <v>323</v>
      </c>
      <c r="AD739" s="26" t="s">
        <v>1519</v>
      </c>
      <c r="AE739" s="26" t="s">
        <v>1519</v>
      </c>
      <c r="AF739" s="26" t="s">
        <v>252</v>
      </c>
      <c r="AG739" s="26" t="s">
        <v>656</v>
      </c>
      <c r="AH739" s="26" t="s">
        <v>603</v>
      </c>
      <c r="AI739" s="26" t="s">
        <v>693</v>
      </c>
      <c r="AJ739" s="26" t="s">
        <v>655</v>
      </c>
      <c r="AK739" s="26" t="s">
        <v>655</v>
      </c>
      <c r="AL739" s="26" t="s">
        <v>693</v>
      </c>
      <c r="AM739" s="26" t="s">
        <v>222</v>
      </c>
      <c r="AN739" s="26">
        <v>3</v>
      </c>
      <c r="AO739" s="26">
        <v>3</v>
      </c>
      <c r="AP739" s="26" t="s">
        <v>654</v>
      </c>
      <c r="AT739" s="63"/>
      <c r="DP739" s="26">
        <f>(6.64+26.81+18.02+6.37)/4</f>
        <v>14.459999999999999</v>
      </c>
      <c r="DQ739" s="26">
        <f>(6.64+25.18+17.86+6.13)/4</f>
        <v>13.952500000000001</v>
      </c>
      <c r="DR739" s="26" t="s">
        <v>683</v>
      </c>
      <c r="EB739" s="26">
        <f>278*0.61/100</f>
        <v>1.6957999999999998</v>
      </c>
      <c r="EC739" s="26">
        <f>354*0.61/100</f>
        <v>2.1593999999999998</v>
      </c>
      <c r="ED739" s="26" t="s">
        <v>677</v>
      </c>
      <c r="EL739" s="26" t="s">
        <v>958</v>
      </c>
      <c r="EN739" s="26">
        <v>35</v>
      </c>
    </row>
    <row r="740" spans="1:144" s="26" customFormat="1" x14ac:dyDescent="0.25">
      <c r="A740" s="26">
        <v>35</v>
      </c>
      <c r="B740" s="26" t="s">
        <v>649</v>
      </c>
      <c r="C740" s="26" t="s">
        <v>650</v>
      </c>
      <c r="D740" s="26">
        <v>2011</v>
      </c>
      <c r="E740" s="26">
        <v>2006</v>
      </c>
      <c r="F740" s="26" t="s">
        <v>168</v>
      </c>
      <c r="G740" s="26" t="s">
        <v>651</v>
      </c>
      <c r="H740" s="26">
        <f t="shared" si="202"/>
        <v>38.533333333333331</v>
      </c>
      <c r="I740" s="26">
        <f t="shared" si="203"/>
        <v>-121.86666666666666</v>
      </c>
      <c r="J740" s="26">
        <v>27.1</v>
      </c>
      <c r="O740" s="26" t="s">
        <v>652</v>
      </c>
      <c r="P740" s="52" t="s">
        <v>186</v>
      </c>
      <c r="Q740" s="52"/>
      <c r="R740" s="52" t="s">
        <v>681</v>
      </c>
      <c r="S740" s="52" t="s">
        <v>657</v>
      </c>
      <c r="W740" s="26" t="s">
        <v>653</v>
      </c>
      <c r="AA740" s="26" t="s">
        <v>1697</v>
      </c>
      <c r="AB740" s="26" t="s">
        <v>326</v>
      </c>
      <c r="AC740" s="26" t="s">
        <v>323</v>
      </c>
      <c r="AD740" s="26" t="s">
        <v>1519</v>
      </c>
      <c r="AE740" s="26" t="s">
        <v>1519</v>
      </c>
      <c r="AF740" s="26" t="s">
        <v>252</v>
      </c>
      <c r="AG740" s="26" t="s">
        <v>656</v>
      </c>
      <c r="AH740" s="26" t="s">
        <v>603</v>
      </c>
      <c r="AI740" s="26" t="s">
        <v>693</v>
      </c>
      <c r="AJ740" s="26" t="s">
        <v>655</v>
      </c>
      <c r="AK740" s="26" t="s">
        <v>655</v>
      </c>
      <c r="AL740" s="26" t="s">
        <v>693</v>
      </c>
      <c r="AM740" s="26" t="s">
        <v>222</v>
      </c>
      <c r="AN740" s="26">
        <v>3</v>
      </c>
      <c r="AO740" s="26">
        <v>3</v>
      </c>
      <c r="AP740" s="26" t="s">
        <v>654</v>
      </c>
      <c r="AT740" s="63"/>
      <c r="DP740" s="26">
        <f>(6.64+26.81+18.02+6.37)/4</f>
        <v>14.459999999999999</v>
      </c>
      <c r="DQ740" s="26">
        <f>(6.4+25.51+18.91+6.94)/4</f>
        <v>14.440000000000001</v>
      </c>
      <c r="DR740" s="26" t="s">
        <v>683</v>
      </c>
      <c r="EB740" s="26">
        <f>154*0.61/134</f>
        <v>0.70104477611940297</v>
      </c>
      <c r="EC740" s="26">
        <f>238*0.61/134</f>
        <v>1.0834328358208956</v>
      </c>
      <c r="ED740" s="26" t="s">
        <v>677</v>
      </c>
      <c r="EL740" s="26" t="s">
        <v>958</v>
      </c>
      <c r="EN740" s="26">
        <v>35</v>
      </c>
    </row>
    <row r="741" spans="1:144" s="35" customFormat="1" x14ac:dyDescent="0.25">
      <c r="A741" s="35">
        <v>35</v>
      </c>
      <c r="B741" s="35" t="s">
        <v>649</v>
      </c>
      <c r="C741" s="35" t="s">
        <v>650</v>
      </c>
      <c r="D741" s="35">
        <v>2011</v>
      </c>
      <c r="E741" s="35">
        <v>2006</v>
      </c>
      <c r="F741" s="35" t="s">
        <v>168</v>
      </c>
      <c r="G741" s="35" t="s">
        <v>651</v>
      </c>
      <c r="H741" s="35">
        <f t="shared" si="202"/>
        <v>38.533333333333331</v>
      </c>
      <c r="I741" s="35">
        <f t="shared" si="203"/>
        <v>-121.86666666666666</v>
      </c>
      <c r="J741" s="35">
        <v>27.1</v>
      </c>
      <c r="O741" s="35" t="s">
        <v>652</v>
      </c>
      <c r="P741" s="54" t="s">
        <v>186</v>
      </c>
      <c r="Q741" s="54"/>
      <c r="R741" s="54" t="s">
        <v>518</v>
      </c>
      <c r="S741" s="54" t="s">
        <v>657</v>
      </c>
      <c r="W741" s="35" t="s">
        <v>653</v>
      </c>
      <c r="AA741" s="35" t="s">
        <v>1697</v>
      </c>
      <c r="AB741" s="35" t="s">
        <v>326</v>
      </c>
      <c r="AC741" s="35" t="s">
        <v>323</v>
      </c>
      <c r="AD741" s="35" t="s">
        <v>1519</v>
      </c>
      <c r="AE741" s="35" t="s">
        <v>1519</v>
      </c>
      <c r="AF741" s="35" t="s">
        <v>252</v>
      </c>
      <c r="AG741" s="35" t="s">
        <v>656</v>
      </c>
      <c r="AH741" s="35" t="s">
        <v>603</v>
      </c>
      <c r="AI741" s="35" t="s">
        <v>693</v>
      </c>
      <c r="AJ741" s="35" t="s">
        <v>655</v>
      </c>
      <c r="AK741" s="35" t="s">
        <v>678</v>
      </c>
      <c r="AL741" s="35" t="s">
        <v>693</v>
      </c>
      <c r="AM741" s="35" t="s">
        <v>222</v>
      </c>
      <c r="AN741" s="35">
        <v>3</v>
      </c>
      <c r="AO741" s="35">
        <v>3</v>
      </c>
      <c r="AP741" s="35" t="s">
        <v>654</v>
      </c>
      <c r="AT741" s="63"/>
      <c r="DP741" s="12"/>
      <c r="DR741" s="15"/>
      <c r="EB741" s="35">
        <f>326*0.61/29</f>
        <v>6.8572413793103442</v>
      </c>
      <c r="EC741" s="35">
        <f>194*0.61/29</f>
        <v>4.0806896551724137</v>
      </c>
      <c r="ED741" s="35" t="s">
        <v>677</v>
      </c>
      <c r="EL741" s="35" t="s">
        <v>958</v>
      </c>
      <c r="EN741" s="35">
        <v>35</v>
      </c>
    </row>
    <row r="742" spans="1:144" s="35" customFormat="1" x14ac:dyDescent="0.25">
      <c r="A742" s="35">
        <v>35</v>
      </c>
      <c r="B742" s="35" t="s">
        <v>649</v>
      </c>
      <c r="C742" s="35" t="s">
        <v>650</v>
      </c>
      <c r="D742" s="35">
        <v>2011</v>
      </c>
      <c r="E742" s="35">
        <v>2006</v>
      </c>
      <c r="F742" s="35" t="s">
        <v>168</v>
      </c>
      <c r="G742" s="35" t="s">
        <v>651</v>
      </c>
      <c r="H742" s="35">
        <f t="shared" si="202"/>
        <v>38.533333333333331</v>
      </c>
      <c r="I742" s="35">
        <f t="shared" si="203"/>
        <v>-121.86666666666666</v>
      </c>
      <c r="J742" s="35">
        <v>27.1</v>
      </c>
      <c r="O742" s="35" t="s">
        <v>652</v>
      </c>
      <c r="P742" s="54" t="s">
        <v>186</v>
      </c>
      <c r="Q742" s="54"/>
      <c r="R742" s="54" t="s">
        <v>679</v>
      </c>
      <c r="S742" s="54" t="s">
        <v>657</v>
      </c>
      <c r="W742" s="35" t="s">
        <v>653</v>
      </c>
      <c r="AA742" s="35" t="s">
        <v>1697</v>
      </c>
      <c r="AB742" s="35" t="s">
        <v>326</v>
      </c>
      <c r="AC742" s="35" t="s">
        <v>323</v>
      </c>
      <c r="AD742" s="35" t="s">
        <v>1519</v>
      </c>
      <c r="AE742" s="35" t="s">
        <v>1519</v>
      </c>
      <c r="AF742" s="35" t="s">
        <v>252</v>
      </c>
      <c r="AG742" s="35" t="s">
        <v>656</v>
      </c>
      <c r="AH742" s="35" t="s">
        <v>603</v>
      </c>
      <c r="AI742" s="35" t="s">
        <v>693</v>
      </c>
      <c r="AJ742" s="35" t="s">
        <v>655</v>
      </c>
      <c r="AK742" s="35" t="s">
        <v>678</v>
      </c>
      <c r="AL742" s="35" t="s">
        <v>693</v>
      </c>
      <c r="AM742" s="35" t="s">
        <v>222</v>
      </c>
      <c r="AN742" s="35">
        <v>3</v>
      </c>
      <c r="AO742" s="35">
        <v>3</v>
      </c>
      <c r="AP742" s="35" t="s">
        <v>654</v>
      </c>
      <c r="AT742" s="63"/>
      <c r="DP742" s="12"/>
      <c r="DR742" s="15"/>
      <c r="EB742" s="35">
        <f>237*0.61/69</f>
        <v>2.0952173913043479</v>
      </c>
      <c r="EC742" s="35">
        <f>163*0.61/69</f>
        <v>1.441014492753623</v>
      </c>
      <c r="ED742" s="35" t="s">
        <v>677</v>
      </c>
      <c r="EL742" s="35" t="s">
        <v>958</v>
      </c>
      <c r="EN742" s="35">
        <v>35</v>
      </c>
    </row>
    <row r="743" spans="1:144" s="35" customFormat="1" x14ac:dyDescent="0.25">
      <c r="A743" s="35">
        <v>35</v>
      </c>
      <c r="B743" s="35" t="s">
        <v>649</v>
      </c>
      <c r="C743" s="35" t="s">
        <v>650</v>
      </c>
      <c r="D743" s="35">
        <v>2011</v>
      </c>
      <c r="E743" s="35">
        <v>2006</v>
      </c>
      <c r="F743" s="35" t="s">
        <v>168</v>
      </c>
      <c r="G743" s="35" t="s">
        <v>651</v>
      </c>
      <c r="H743" s="35">
        <f t="shared" si="202"/>
        <v>38.533333333333331</v>
      </c>
      <c r="I743" s="35">
        <f t="shared" si="203"/>
        <v>-121.86666666666666</v>
      </c>
      <c r="J743" s="35">
        <v>27.1</v>
      </c>
      <c r="O743" s="35" t="s">
        <v>652</v>
      </c>
      <c r="P743" s="54" t="s">
        <v>186</v>
      </c>
      <c r="Q743" s="54"/>
      <c r="R743" s="54" t="s">
        <v>680</v>
      </c>
      <c r="S743" s="54" t="s">
        <v>657</v>
      </c>
      <c r="W743" s="35" t="s">
        <v>653</v>
      </c>
      <c r="AA743" s="35" t="s">
        <v>1697</v>
      </c>
      <c r="AB743" s="35" t="s">
        <v>326</v>
      </c>
      <c r="AC743" s="35" t="s">
        <v>323</v>
      </c>
      <c r="AD743" s="35" t="s">
        <v>1519</v>
      </c>
      <c r="AE743" s="35" t="s">
        <v>1519</v>
      </c>
      <c r="AF743" s="35" t="s">
        <v>252</v>
      </c>
      <c r="AG743" s="35" t="s">
        <v>656</v>
      </c>
      <c r="AH743" s="35" t="s">
        <v>603</v>
      </c>
      <c r="AI743" s="35" t="s">
        <v>693</v>
      </c>
      <c r="AJ743" s="35" t="s">
        <v>655</v>
      </c>
      <c r="AK743" s="35" t="s">
        <v>678</v>
      </c>
      <c r="AL743" s="35" t="s">
        <v>693</v>
      </c>
      <c r="AM743" s="35" t="s">
        <v>222</v>
      </c>
      <c r="AN743" s="35">
        <v>3</v>
      </c>
      <c r="AO743" s="35">
        <v>3</v>
      </c>
      <c r="AP743" s="35" t="s">
        <v>654</v>
      </c>
      <c r="AT743" s="63"/>
      <c r="DP743" s="12"/>
      <c r="DR743" s="15"/>
      <c r="EL743" s="35" t="s">
        <v>958</v>
      </c>
      <c r="EN743" s="35">
        <v>35</v>
      </c>
    </row>
    <row r="744" spans="1:144" s="35" customFormat="1" x14ac:dyDescent="0.25">
      <c r="A744" s="35">
        <v>35</v>
      </c>
      <c r="B744" s="35" t="s">
        <v>649</v>
      </c>
      <c r="C744" s="35" t="s">
        <v>650</v>
      </c>
      <c r="D744" s="35">
        <v>2011</v>
      </c>
      <c r="E744" s="35">
        <v>2006</v>
      </c>
      <c r="F744" s="35" t="s">
        <v>168</v>
      </c>
      <c r="G744" s="35" t="s">
        <v>651</v>
      </c>
      <c r="H744" s="35">
        <f t="shared" si="202"/>
        <v>38.533333333333331</v>
      </c>
      <c r="I744" s="35">
        <f t="shared" si="203"/>
        <v>-121.86666666666666</v>
      </c>
      <c r="J744" s="35">
        <v>27.1</v>
      </c>
      <c r="O744" s="35" t="s">
        <v>652</v>
      </c>
      <c r="P744" s="54" t="s">
        <v>186</v>
      </c>
      <c r="Q744" s="54"/>
      <c r="R744" s="54" t="s">
        <v>681</v>
      </c>
      <c r="S744" s="54" t="s">
        <v>657</v>
      </c>
      <c r="W744" s="35" t="s">
        <v>653</v>
      </c>
      <c r="AA744" s="35" t="s">
        <v>1697</v>
      </c>
      <c r="AB744" s="35" t="s">
        <v>326</v>
      </c>
      <c r="AC744" s="35" t="s">
        <v>323</v>
      </c>
      <c r="AD744" s="35" t="s">
        <v>1519</v>
      </c>
      <c r="AE744" s="35" t="s">
        <v>1519</v>
      </c>
      <c r="AF744" s="35" t="s">
        <v>252</v>
      </c>
      <c r="AG744" s="35" t="s">
        <v>656</v>
      </c>
      <c r="AH744" s="35" t="s">
        <v>603</v>
      </c>
      <c r="AI744" s="35" t="s">
        <v>693</v>
      </c>
      <c r="AJ744" s="35" t="s">
        <v>655</v>
      </c>
      <c r="AK744" s="35" t="s">
        <v>678</v>
      </c>
      <c r="AL744" s="35" t="s">
        <v>693</v>
      </c>
      <c r="AM744" s="35" t="s">
        <v>222</v>
      </c>
      <c r="AN744" s="35">
        <v>3</v>
      </c>
      <c r="AO744" s="35">
        <v>3</v>
      </c>
      <c r="AP744" s="35" t="s">
        <v>654</v>
      </c>
      <c r="AT744" s="63"/>
      <c r="DP744" s="12"/>
      <c r="DR744" s="15"/>
      <c r="EB744" s="35">
        <f>154*0.61/134</f>
        <v>0.70104477611940297</v>
      </c>
      <c r="EC744" s="35">
        <f>401*0.61/134</f>
        <v>1.8254477611940298</v>
      </c>
      <c r="ED744" s="35" t="s">
        <v>677</v>
      </c>
      <c r="EL744" s="35" t="s">
        <v>958</v>
      </c>
      <c r="EN744" s="35">
        <v>35</v>
      </c>
    </row>
    <row r="745" spans="1:144" s="5" customFormat="1" x14ac:dyDescent="0.25">
      <c r="A745" s="5">
        <v>36</v>
      </c>
      <c r="B745" s="5" t="s">
        <v>684</v>
      </c>
      <c r="C745" s="5" t="s">
        <v>685</v>
      </c>
      <c r="D745" s="5">
        <v>1992</v>
      </c>
      <c r="E745" s="5">
        <v>1982</v>
      </c>
      <c r="F745" s="5" t="s">
        <v>686</v>
      </c>
      <c r="G745" s="5" t="s">
        <v>687</v>
      </c>
      <c r="H745" s="5">
        <f t="shared" ref="H745:H750" si="204">33+54/60</f>
        <v>33.9</v>
      </c>
      <c r="I745" s="5">
        <f t="shared" ref="I745:I750" si="205">-83-24/60</f>
        <v>-83.4</v>
      </c>
      <c r="J745" s="5">
        <v>185.5</v>
      </c>
      <c r="P745" s="62" t="s">
        <v>188</v>
      </c>
      <c r="Q745" s="62"/>
      <c r="R745" s="62"/>
      <c r="S745" s="62" t="s">
        <v>666</v>
      </c>
      <c r="W745" s="5" t="s">
        <v>290</v>
      </c>
      <c r="AA745" s="5" t="s">
        <v>1698</v>
      </c>
      <c r="AB745" s="5" t="s">
        <v>250</v>
      </c>
      <c r="AC745" s="5" t="s">
        <v>299</v>
      </c>
      <c r="AG745" s="5" t="s">
        <v>656</v>
      </c>
      <c r="AH745" s="5" t="s">
        <v>688</v>
      </c>
      <c r="AI745" s="5" t="s">
        <v>693</v>
      </c>
      <c r="AJ745" s="5" t="s">
        <v>689</v>
      </c>
      <c r="AK745" s="5" t="s">
        <v>452</v>
      </c>
      <c r="AL745" s="5" t="s">
        <v>693</v>
      </c>
      <c r="AM745" s="5" t="s">
        <v>160</v>
      </c>
      <c r="AN745" s="5">
        <v>3</v>
      </c>
      <c r="AO745" s="5">
        <v>3</v>
      </c>
      <c r="AP745" s="5" t="s">
        <v>448</v>
      </c>
      <c r="AT745" s="64"/>
      <c r="AU745" s="5" t="s">
        <v>695</v>
      </c>
      <c r="AY745" s="5">
        <f>13.1*1000/5</f>
        <v>2620</v>
      </c>
      <c r="AZ745" s="5">
        <f>15.3*1000/5</f>
        <v>3060</v>
      </c>
      <c r="BA745" s="5" t="s">
        <v>701</v>
      </c>
      <c r="BE745" s="5">
        <v>0.64</v>
      </c>
      <c r="BF745" s="5">
        <v>1.81</v>
      </c>
      <c r="BH745" s="5">
        <f>0.05*10000</f>
        <v>500</v>
      </c>
      <c r="BI745" s="5">
        <v>1500</v>
      </c>
      <c r="BJ745" s="5" t="s">
        <v>704</v>
      </c>
      <c r="CC745" s="5">
        <f>0.41*1000</f>
        <v>410</v>
      </c>
      <c r="CD745" s="5">
        <f>0.86*1000</f>
        <v>860</v>
      </c>
      <c r="CE745" s="5" t="s">
        <v>705</v>
      </c>
      <c r="CU745" s="5">
        <v>37</v>
      </c>
      <c r="CV745" s="5">
        <v>6</v>
      </c>
      <c r="CW745" s="5" t="s">
        <v>706</v>
      </c>
      <c r="DP745" s="12"/>
      <c r="DR745" s="15"/>
      <c r="EL745" s="5" t="s">
        <v>959</v>
      </c>
      <c r="EN745" s="5">
        <v>36</v>
      </c>
    </row>
    <row r="746" spans="1:144" s="38" customFormat="1" x14ac:dyDescent="0.25">
      <c r="A746" s="38">
        <v>36</v>
      </c>
      <c r="B746" s="38" t="s">
        <v>684</v>
      </c>
      <c r="C746" s="38" t="s">
        <v>685</v>
      </c>
      <c r="D746" s="38">
        <v>1992</v>
      </c>
      <c r="E746" s="38">
        <v>1982</v>
      </c>
      <c r="F746" s="38" t="s">
        <v>686</v>
      </c>
      <c r="G746" s="38" t="s">
        <v>687</v>
      </c>
      <c r="H746" s="38">
        <f t="shared" si="204"/>
        <v>33.9</v>
      </c>
      <c r="I746" s="38">
        <f t="shared" si="205"/>
        <v>-83.4</v>
      </c>
      <c r="J746" s="38">
        <v>185.5</v>
      </c>
      <c r="P746" s="57" t="s">
        <v>188</v>
      </c>
      <c r="Q746" s="57"/>
      <c r="R746" s="57"/>
      <c r="S746" s="57" t="s">
        <v>666</v>
      </c>
      <c r="W746" s="38" t="s">
        <v>290</v>
      </c>
      <c r="AA746" s="38" t="s">
        <v>1698</v>
      </c>
      <c r="AB746" s="38" t="s">
        <v>250</v>
      </c>
      <c r="AC746" s="38" t="s">
        <v>299</v>
      </c>
      <c r="AG746" s="38" t="s">
        <v>656</v>
      </c>
      <c r="AH746" s="38" t="s">
        <v>688</v>
      </c>
      <c r="AI746" s="38" t="s">
        <v>693</v>
      </c>
      <c r="AJ746" s="38" t="s">
        <v>689</v>
      </c>
      <c r="AK746" s="38" t="s">
        <v>452</v>
      </c>
      <c r="AL746" s="38" t="s">
        <v>693</v>
      </c>
      <c r="AM746" s="38" t="s">
        <v>160</v>
      </c>
      <c r="AN746" s="38">
        <v>3</v>
      </c>
      <c r="AO746" s="38">
        <v>3</v>
      </c>
      <c r="AP746" s="38" t="s">
        <v>448</v>
      </c>
      <c r="AT746" s="64"/>
      <c r="AU746" s="38" t="s">
        <v>696</v>
      </c>
      <c r="AY746" s="38">
        <f>18.4*1000/5</f>
        <v>3680</v>
      </c>
      <c r="AZ746" s="38">
        <f>24.7*1000/5</f>
        <v>4940</v>
      </c>
      <c r="BA746" s="38" t="s">
        <v>702</v>
      </c>
      <c r="BE746" s="38">
        <v>1.3</v>
      </c>
      <c r="BF746" s="38">
        <v>2.25</v>
      </c>
      <c r="BH746" s="38">
        <v>900</v>
      </c>
      <c r="BI746" s="38">
        <v>1700</v>
      </c>
      <c r="BJ746" s="38" t="s">
        <v>704</v>
      </c>
      <c r="CC746" s="38">
        <f>0.5*1000</f>
        <v>500</v>
      </c>
      <c r="CD746" s="38">
        <f>0.86*1000</f>
        <v>860</v>
      </c>
      <c r="CE746" s="38" t="s">
        <v>705</v>
      </c>
      <c r="CU746" s="38">
        <v>35</v>
      </c>
      <c r="CV746" s="38">
        <v>6</v>
      </c>
      <c r="CW746" s="38" t="s">
        <v>706</v>
      </c>
      <c r="DP746" s="12"/>
      <c r="DR746" s="15"/>
      <c r="EL746" s="5" t="s">
        <v>959</v>
      </c>
      <c r="EN746" s="38">
        <v>36</v>
      </c>
    </row>
    <row r="747" spans="1:144" s="31" customFormat="1" x14ac:dyDescent="0.25">
      <c r="A747" s="31">
        <v>36</v>
      </c>
      <c r="B747" s="31" t="s">
        <v>684</v>
      </c>
      <c r="C747" s="31" t="s">
        <v>685</v>
      </c>
      <c r="D747" s="31">
        <v>1992</v>
      </c>
      <c r="E747" s="31">
        <v>1982</v>
      </c>
      <c r="F747" s="31" t="s">
        <v>686</v>
      </c>
      <c r="G747" s="31" t="s">
        <v>687</v>
      </c>
      <c r="H747" s="31">
        <f t="shared" si="204"/>
        <v>33.9</v>
      </c>
      <c r="I747" s="31">
        <f t="shared" si="205"/>
        <v>-83.4</v>
      </c>
      <c r="J747" s="31">
        <v>185.5</v>
      </c>
      <c r="P747" s="56" t="s">
        <v>188</v>
      </c>
      <c r="Q747" s="56"/>
      <c r="R747" s="56"/>
      <c r="S747" s="56" t="s">
        <v>666</v>
      </c>
      <c r="W747" s="31" t="s">
        <v>290</v>
      </c>
      <c r="AA747" s="31" t="s">
        <v>1698</v>
      </c>
      <c r="AB747" s="31" t="s">
        <v>250</v>
      </c>
      <c r="AC747" s="31" t="s">
        <v>299</v>
      </c>
      <c r="AG747" s="31" t="s">
        <v>656</v>
      </c>
      <c r="AH747" s="31" t="s">
        <v>688</v>
      </c>
      <c r="AI747" s="31" t="s">
        <v>693</v>
      </c>
      <c r="AJ747" s="31" t="s">
        <v>689</v>
      </c>
      <c r="AK747" s="31" t="s">
        <v>452</v>
      </c>
      <c r="AL747" s="31" t="s">
        <v>693</v>
      </c>
      <c r="AM747" s="31" t="s">
        <v>160</v>
      </c>
      <c r="AN747" s="31">
        <v>3</v>
      </c>
      <c r="AO747" s="31">
        <v>3</v>
      </c>
      <c r="AP747" s="31" t="s">
        <v>448</v>
      </c>
      <c r="AU747" s="31" t="s">
        <v>697</v>
      </c>
      <c r="AY747" s="31">
        <f>16.1*1000/5</f>
        <v>3220.0000000000005</v>
      </c>
      <c r="AZ747" s="31">
        <f>15.4*1000/5</f>
        <v>3080</v>
      </c>
      <c r="BA747" s="31" t="s">
        <v>703</v>
      </c>
      <c r="BE747" s="31">
        <v>1.17</v>
      </c>
      <c r="BF747" s="31">
        <v>2.86</v>
      </c>
      <c r="BH747" s="31">
        <v>900</v>
      </c>
      <c r="BI747" s="31">
        <v>2200</v>
      </c>
      <c r="BJ747" s="31" t="s">
        <v>704</v>
      </c>
      <c r="CC747" s="31">
        <f>0.59*1000</f>
        <v>590</v>
      </c>
      <c r="CD747" s="31">
        <f>0.88*1000</f>
        <v>880</v>
      </c>
      <c r="CE747" s="31" t="s">
        <v>705</v>
      </c>
      <c r="DP747" s="119"/>
      <c r="DR747" s="120"/>
      <c r="EL747" s="31" t="s">
        <v>959</v>
      </c>
      <c r="EN747" s="31">
        <v>36</v>
      </c>
    </row>
    <row r="748" spans="1:144" s="5" customFormat="1" x14ac:dyDescent="0.25">
      <c r="A748" s="5">
        <v>36</v>
      </c>
      <c r="B748" s="5" t="s">
        <v>684</v>
      </c>
      <c r="C748" s="5" t="s">
        <v>685</v>
      </c>
      <c r="D748" s="5">
        <v>1992</v>
      </c>
      <c r="E748" s="5">
        <v>1982</v>
      </c>
      <c r="F748" s="5" t="s">
        <v>686</v>
      </c>
      <c r="G748" s="5" t="s">
        <v>687</v>
      </c>
      <c r="H748" s="5">
        <f t="shared" si="204"/>
        <v>33.9</v>
      </c>
      <c r="I748" s="5">
        <f t="shared" si="205"/>
        <v>-83.4</v>
      </c>
      <c r="J748" s="5">
        <v>185.5</v>
      </c>
      <c r="P748" s="62" t="s">
        <v>188</v>
      </c>
      <c r="Q748" s="62"/>
      <c r="R748" s="62"/>
      <c r="S748" s="62" t="s">
        <v>666</v>
      </c>
      <c r="W748" s="5" t="s">
        <v>290</v>
      </c>
      <c r="AA748" s="5" t="s">
        <v>1698</v>
      </c>
      <c r="AB748" s="5" t="s">
        <v>250</v>
      </c>
      <c r="AC748" s="5" t="s">
        <v>299</v>
      </c>
      <c r="AG748" s="5" t="s">
        <v>656</v>
      </c>
      <c r="AH748" s="5" t="s">
        <v>688</v>
      </c>
      <c r="AI748" s="5" t="s">
        <v>693</v>
      </c>
      <c r="AJ748" s="5" t="s">
        <v>690</v>
      </c>
      <c r="AK748" s="5" t="s">
        <v>691</v>
      </c>
      <c r="AL748" s="5" t="s">
        <v>693</v>
      </c>
      <c r="AM748" s="5" t="s">
        <v>160</v>
      </c>
      <c r="AN748" s="5">
        <v>3</v>
      </c>
      <c r="AO748" s="5">
        <v>3</v>
      </c>
      <c r="AP748" s="5" t="s">
        <v>448</v>
      </c>
      <c r="AT748" s="64"/>
      <c r="AU748" s="5" t="s">
        <v>698</v>
      </c>
      <c r="AY748" s="5">
        <f>31.1*1000/5</f>
        <v>6220</v>
      </c>
      <c r="AZ748" s="5">
        <f>29.9*1000/5</f>
        <v>5980</v>
      </c>
      <c r="BA748" s="5" t="s">
        <v>701</v>
      </c>
      <c r="BE748" s="5">
        <v>0.71</v>
      </c>
      <c r="BF748" s="5">
        <v>1.81</v>
      </c>
      <c r="BH748" s="5">
        <f>0.06*10000</f>
        <v>600</v>
      </c>
      <c r="BI748" s="5">
        <v>1400</v>
      </c>
      <c r="BJ748" s="5" t="s">
        <v>704</v>
      </c>
      <c r="CC748" s="5">
        <f>0.59*1000</f>
        <v>590</v>
      </c>
      <c r="CD748" s="5">
        <f>0.88*1000</f>
        <v>880</v>
      </c>
      <c r="CE748" s="5" t="s">
        <v>705</v>
      </c>
      <c r="DP748" s="12"/>
      <c r="DR748" s="15"/>
      <c r="EL748" s="5" t="s">
        <v>959</v>
      </c>
      <c r="EN748" s="5">
        <v>36</v>
      </c>
    </row>
    <row r="749" spans="1:144" s="38" customFormat="1" x14ac:dyDescent="0.25">
      <c r="A749" s="38">
        <v>36</v>
      </c>
      <c r="B749" s="38" t="s">
        <v>684</v>
      </c>
      <c r="C749" s="38" t="s">
        <v>685</v>
      </c>
      <c r="D749" s="38">
        <v>1992</v>
      </c>
      <c r="E749" s="38">
        <v>1982</v>
      </c>
      <c r="F749" s="38" t="s">
        <v>686</v>
      </c>
      <c r="G749" s="38" t="s">
        <v>687</v>
      </c>
      <c r="H749" s="38">
        <f t="shared" si="204"/>
        <v>33.9</v>
      </c>
      <c r="I749" s="38">
        <f t="shared" si="205"/>
        <v>-83.4</v>
      </c>
      <c r="J749" s="38">
        <v>185.5</v>
      </c>
      <c r="P749" s="57" t="s">
        <v>188</v>
      </c>
      <c r="Q749" s="57"/>
      <c r="R749" s="57"/>
      <c r="S749" s="57" t="s">
        <v>666</v>
      </c>
      <c r="W749" s="38" t="s">
        <v>290</v>
      </c>
      <c r="AA749" s="38" t="s">
        <v>1698</v>
      </c>
      <c r="AB749" s="38" t="s">
        <v>250</v>
      </c>
      <c r="AC749" s="38" t="s">
        <v>299</v>
      </c>
      <c r="AG749" s="38" t="s">
        <v>656</v>
      </c>
      <c r="AH749" s="38" t="s">
        <v>688</v>
      </c>
      <c r="AI749" s="38" t="s">
        <v>693</v>
      </c>
      <c r="AJ749" s="38" t="s">
        <v>690</v>
      </c>
      <c r="AK749" s="38" t="s">
        <v>691</v>
      </c>
      <c r="AL749" s="38" t="s">
        <v>693</v>
      </c>
      <c r="AM749" s="38" t="s">
        <v>160</v>
      </c>
      <c r="AN749" s="38">
        <v>3</v>
      </c>
      <c r="AO749" s="38">
        <v>3</v>
      </c>
      <c r="AP749" s="38" t="s">
        <v>448</v>
      </c>
      <c r="AT749" s="64"/>
      <c r="AU749" s="38" t="s">
        <v>699</v>
      </c>
      <c r="AY749" s="38">
        <f>32.1*1000/5</f>
        <v>6420</v>
      </c>
      <c r="AZ749" s="38">
        <f>32.8*1000/5</f>
        <v>6560</v>
      </c>
      <c r="BA749" s="38" t="s">
        <v>702</v>
      </c>
      <c r="BE749" s="38">
        <v>1.38</v>
      </c>
      <c r="BF749" s="38">
        <v>2.38</v>
      </c>
      <c r="BH749" s="38">
        <v>1100</v>
      </c>
      <c r="BI749" s="38">
        <v>1900</v>
      </c>
      <c r="BJ749" s="38" t="s">
        <v>704</v>
      </c>
      <c r="CC749" s="38">
        <f>0.69*1000</f>
        <v>690</v>
      </c>
      <c r="CD749" s="38">
        <v>900</v>
      </c>
      <c r="CE749" s="38" t="s">
        <v>705</v>
      </c>
      <c r="DP749" s="12"/>
      <c r="DR749" s="15"/>
      <c r="EL749" s="5" t="s">
        <v>959</v>
      </c>
      <c r="EN749" s="38">
        <v>36</v>
      </c>
    </row>
    <row r="750" spans="1:144" s="31" customFormat="1" x14ac:dyDescent="0.25">
      <c r="A750" s="31">
        <v>36</v>
      </c>
      <c r="B750" s="31" t="s">
        <v>684</v>
      </c>
      <c r="C750" s="31" t="s">
        <v>685</v>
      </c>
      <c r="D750" s="31">
        <v>1992</v>
      </c>
      <c r="E750" s="31">
        <v>1982</v>
      </c>
      <c r="F750" s="31" t="s">
        <v>686</v>
      </c>
      <c r="G750" s="31" t="s">
        <v>687</v>
      </c>
      <c r="H750" s="31">
        <f t="shared" si="204"/>
        <v>33.9</v>
      </c>
      <c r="I750" s="31">
        <f t="shared" si="205"/>
        <v>-83.4</v>
      </c>
      <c r="J750" s="31">
        <v>185.5</v>
      </c>
      <c r="P750" s="56" t="s">
        <v>188</v>
      </c>
      <c r="Q750" s="56"/>
      <c r="R750" s="56"/>
      <c r="S750" s="56" t="s">
        <v>666</v>
      </c>
      <c r="W750" s="31" t="s">
        <v>290</v>
      </c>
      <c r="AA750" s="31" t="s">
        <v>1698</v>
      </c>
      <c r="AB750" s="31" t="s">
        <v>250</v>
      </c>
      <c r="AC750" s="31" t="s">
        <v>299</v>
      </c>
      <c r="AG750" s="31" t="s">
        <v>656</v>
      </c>
      <c r="AH750" s="31" t="s">
        <v>688</v>
      </c>
      <c r="AI750" s="31" t="s">
        <v>693</v>
      </c>
      <c r="AJ750" s="31" t="s">
        <v>690</v>
      </c>
      <c r="AK750" s="31" t="s">
        <v>691</v>
      </c>
      <c r="AL750" s="31" t="s">
        <v>693</v>
      </c>
      <c r="AM750" s="31" t="s">
        <v>160</v>
      </c>
      <c r="AN750" s="31">
        <v>3</v>
      </c>
      <c r="AO750" s="31">
        <v>3</v>
      </c>
      <c r="AP750" s="31" t="s">
        <v>448</v>
      </c>
      <c r="AU750" s="31" t="s">
        <v>700</v>
      </c>
      <c r="AY750" s="31">
        <f>35.7*1000/5</f>
        <v>7140</v>
      </c>
      <c r="AZ750" s="31">
        <f>30.3*1000/5</f>
        <v>6060</v>
      </c>
      <c r="BA750" s="31" t="s">
        <v>703</v>
      </c>
      <c r="BE750" s="31">
        <v>1.44</v>
      </c>
      <c r="BF750" s="31">
        <v>3.07</v>
      </c>
      <c r="BH750" s="31">
        <v>1100</v>
      </c>
      <c r="BI750" s="31">
        <v>2300</v>
      </c>
      <c r="BJ750" s="31" t="s">
        <v>704</v>
      </c>
      <c r="CC750" s="31">
        <f>0.7*1000</f>
        <v>700</v>
      </c>
      <c r="CD750" s="31">
        <v>930</v>
      </c>
      <c r="CE750" s="31" t="s">
        <v>705</v>
      </c>
      <c r="DP750" s="119"/>
      <c r="DR750" s="120"/>
      <c r="EL750" s="31" t="s">
        <v>959</v>
      </c>
      <c r="EN750" s="31">
        <v>36</v>
      </c>
    </row>
    <row r="751" spans="1:144" s="35" customFormat="1" x14ac:dyDescent="0.25">
      <c r="A751" s="35">
        <v>37</v>
      </c>
      <c r="B751" s="35" t="s">
        <v>707</v>
      </c>
      <c r="C751" s="35" t="s">
        <v>708</v>
      </c>
      <c r="D751" s="35">
        <v>2012</v>
      </c>
      <c r="E751" s="35">
        <v>2009</v>
      </c>
      <c r="F751" s="35" t="s">
        <v>148</v>
      </c>
      <c r="G751" s="35" t="s">
        <v>709</v>
      </c>
      <c r="H751" s="35">
        <f t="shared" ref="H751:H764" si="206">44+19/60</f>
        <v>44.31666666666667</v>
      </c>
      <c r="I751" s="35">
        <f t="shared" ref="I751:I764" si="207">-96-46/60</f>
        <v>-96.766666666666666</v>
      </c>
      <c r="J751" s="35">
        <v>504.6</v>
      </c>
      <c r="L751" s="35">
        <v>8</v>
      </c>
      <c r="M751" s="35">
        <v>580</v>
      </c>
      <c r="P751" s="54" t="s">
        <v>186</v>
      </c>
      <c r="Q751" s="54"/>
      <c r="R751" s="54" t="s">
        <v>712</v>
      </c>
      <c r="S751" s="54" t="s">
        <v>657</v>
      </c>
      <c r="U751" s="35">
        <v>60</v>
      </c>
      <c r="V751" s="35">
        <f t="shared" ref="V751:V764" si="208">100-60-28</f>
        <v>12</v>
      </c>
      <c r="W751" s="35" t="s">
        <v>710</v>
      </c>
      <c r="X751" s="35">
        <v>7.4</v>
      </c>
      <c r="Y751" s="35">
        <v>2.9</v>
      </c>
      <c r="Z751" s="35">
        <v>0.31</v>
      </c>
      <c r="AA751" s="35" t="s">
        <v>1700</v>
      </c>
      <c r="AB751" s="35" t="s">
        <v>716</v>
      </c>
      <c r="AC751" s="35" t="s">
        <v>713</v>
      </c>
      <c r="AG751" s="35" t="s">
        <v>714</v>
      </c>
      <c r="AH751" s="35" t="s">
        <v>217</v>
      </c>
      <c r="AI751" s="35" t="s">
        <v>693</v>
      </c>
      <c r="AM751" s="35" t="s">
        <v>222</v>
      </c>
      <c r="AN751" s="35">
        <v>4</v>
      </c>
      <c r="AO751" s="35">
        <v>4</v>
      </c>
      <c r="AP751" s="35" t="s">
        <v>184</v>
      </c>
      <c r="AT751" s="63"/>
      <c r="DP751" s="35">
        <v>58.12</v>
      </c>
      <c r="DQ751" s="35">
        <v>82.59</v>
      </c>
      <c r="DR751" s="35" t="s">
        <v>715</v>
      </c>
      <c r="EL751" s="35" t="s">
        <v>960</v>
      </c>
      <c r="EN751" s="35">
        <v>37</v>
      </c>
    </row>
    <row r="752" spans="1:144" s="35" customFormat="1" x14ac:dyDescent="0.25">
      <c r="A752" s="35">
        <v>37</v>
      </c>
      <c r="B752" s="35" t="s">
        <v>707</v>
      </c>
      <c r="C752" s="35" t="s">
        <v>708</v>
      </c>
      <c r="D752" s="35">
        <v>2012</v>
      </c>
      <c r="E752" s="35">
        <v>2009</v>
      </c>
      <c r="F752" s="35" t="s">
        <v>148</v>
      </c>
      <c r="G752" s="35" t="s">
        <v>709</v>
      </c>
      <c r="H752" s="35">
        <f t="shared" si="206"/>
        <v>44.31666666666667</v>
      </c>
      <c r="I752" s="35">
        <f t="shared" si="207"/>
        <v>-96.766666666666666</v>
      </c>
      <c r="J752" s="35">
        <v>504.6</v>
      </c>
      <c r="L752" s="35">
        <v>8</v>
      </c>
      <c r="M752" s="35">
        <v>580</v>
      </c>
      <c r="P752" s="54" t="s">
        <v>186</v>
      </c>
      <c r="Q752" s="54"/>
      <c r="R752" s="54" t="s">
        <v>712</v>
      </c>
      <c r="S752" s="54" t="s">
        <v>657</v>
      </c>
      <c r="U752" s="35">
        <v>60</v>
      </c>
      <c r="V752" s="35">
        <f t="shared" si="208"/>
        <v>12</v>
      </c>
      <c r="W752" s="35" t="s">
        <v>710</v>
      </c>
      <c r="X752" s="35">
        <v>7.4</v>
      </c>
      <c r="Y752" s="35">
        <v>2.9</v>
      </c>
      <c r="Z752" s="35">
        <v>0.31</v>
      </c>
      <c r="AA752" s="35" t="s">
        <v>1700</v>
      </c>
      <c r="AB752" s="35" t="s">
        <v>713</v>
      </c>
      <c r="AC752" s="35" t="s">
        <v>713</v>
      </c>
      <c r="AG752" s="35" t="s">
        <v>714</v>
      </c>
      <c r="AH752" s="35" t="s">
        <v>217</v>
      </c>
      <c r="AI752" s="35" t="s">
        <v>693</v>
      </c>
      <c r="AM752" s="35" t="s">
        <v>222</v>
      </c>
      <c r="AN752" s="35">
        <v>4</v>
      </c>
      <c r="AO752" s="35">
        <v>4</v>
      </c>
      <c r="AP752" s="35" t="s">
        <v>184</v>
      </c>
      <c r="AT752" s="63"/>
      <c r="DP752" s="35">
        <v>58.12</v>
      </c>
      <c r="DQ752" s="35">
        <v>146.5</v>
      </c>
      <c r="DR752" s="35" t="s">
        <v>715</v>
      </c>
      <c r="EL752" s="35" t="s">
        <v>960</v>
      </c>
      <c r="EN752" s="35">
        <v>37</v>
      </c>
    </row>
    <row r="753" spans="1:144" s="35" customFormat="1" x14ac:dyDescent="0.25">
      <c r="A753" s="35">
        <v>37</v>
      </c>
      <c r="B753" s="35" t="s">
        <v>707</v>
      </c>
      <c r="C753" s="35" t="s">
        <v>708</v>
      </c>
      <c r="D753" s="35">
        <v>2012</v>
      </c>
      <c r="E753" s="35">
        <v>2009</v>
      </c>
      <c r="F753" s="35" t="s">
        <v>148</v>
      </c>
      <c r="G753" s="35" t="s">
        <v>709</v>
      </c>
      <c r="H753" s="35">
        <f t="shared" si="206"/>
        <v>44.31666666666667</v>
      </c>
      <c r="I753" s="35">
        <f t="shared" si="207"/>
        <v>-96.766666666666666</v>
      </c>
      <c r="J753" s="35">
        <v>504.6</v>
      </c>
      <c r="L753" s="35">
        <v>8</v>
      </c>
      <c r="M753" s="35">
        <v>580</v>
      </c>
      <c r="P753" s="54" t="s">
        <v>186</v>
      </c>
      <c r="Q753" s="54"/>
      <c r="R753" s="54" t="s">
        <v>712</v>
      </c>
      <c r="S753" s="54" t="s">
        <v>657</v>
      </c>
      <c r="U753" s="35">
        <v>60</v>
      </c>
      <c r="V753" s="35">
        <f t="shared" si="208"/>
        <v>12</v>
      </c>
      <c r="W753" s="35" t="s">
        <v>710</v>
      </c>
      <c r="X753" s="35">
        <v>7.4</v>
      </c>
      <c r="Y753" s="35">
        <v>2.9</v>
      </c>
      <c r="Z753" s="35">
        <v>0.31</v>
      </c>
      <c r="AA753" s="35" t="s">
        <v>1700</v>
      </c>
      <c r="AB753" s="35" t="s">
        <v>326</v>
      </c>
      <c r="AC753" s="35" t="s">
        <v>713</v>
      </c>
      <c r="AG753" s="35" t="s">
        <v>714</v>
      </c>
      <c r="AH753" s="35" t="s">
        <v>217</v>
      </c>
      <c r="AI753" s="35" t="s">
        <v>693</v>
      </c>
      <c r="AM753" s="35" t="s">
        <v>222</v>
      </c>
      <c r="AN753" s="35">
        <v>4</v>
      </c>
      <c r="AO753" s="35">
        <v>4</v>
      </c>
      <c r="AP753" s="35" t="s">
        <v>184</v>
      </c>
      <c r="AT753" s="63"/>
      <c r="DP753" s="35">
        <v>58.12</v>
      </c>
      <c r="DQ753" s="35">
        <v>111.06</v>
      </c>
      <c r="DR753" s="35" t="s">
        <v>715</v>
      </c>
      <c r="EL753" s="35" t="s">
        <v>960</v>
      </c>
      <c r="EN753" s="35">
        <v>37</v>
      </c>
    </row>
    <row r="754" spans="1:144" s="35" customFormat="1" x14ac:dyDescent="0.25">
      <c r="A754" s="35">
        <v>37</v>
      </c>
      <c r="B754" s="35" t="s">
        <v>707</v>
      </c>
      <c r="C754" s="35" t="s">
        <v>708</v>
      </c>
      <c r="D754" s="35">
        <v>2012</v>
      </c>
      <c r="E754" s="35">
        <v>2009</v>
      </c>
      <c r="F754" s="35" t="s">
        <v>148</v>
      </c>
      <c r="G754" s="35" t="s">
        <v>709</v>
      </c>
      <c r="H754" s="35">
        <f t="shared" si="206"/>
        <v>44.31666666666667</v>
      </c>
      <c r="I754" s="35">
        <f t="shared" si="207"/>
        <v>-96.766666666666666</v>
      </c>
      <c r="J754" s="35">
        <v>504.6</v>
      </c>
      <c r="L754" s="35">
        <v>8</v>
      </c>
      <c r="M754" s="35">
        <v>580</v>
      </c>
      <c r="P754" s="54" t="s">
        <v>186</v>
      </c>
      <c r="Q754" s="54"/>
      <c r="R754" s="54" t="s">
        <v>712</v>
      </c>
      <c r="S754" s="54" t="s">
        <v>657</v>
      </c>
      <c r="U754" s="35">
        <v>60</v>
      </c>
      <c r="V754" s="35">
        <f t="shared" si="208"/>
        <v>12</v>
      </c>
      <c r="W754" s="35" t="s">
        <v>710</v>
      </c>
      <c r="X754" s="35">
        <v>7.4</v>
      </c>
      <c r="Y754" s="35">
        <v>2.9</v>
      </c>
      <c r="Z754" s="35">
        <v>0.31</v>
      </c>
      <c r="AA754" s="35" t="s">
        <v>1700</v>
      </c>
      <c r="AB754" s="35" t="s">
        <v>717</v>
      </c>
      <c r="AC754" s="35" t="s">
        <v>713</v>
      </c>
      <c r="AG754" s="35" t="s">
        <v>714</v>
      </c>
      <c r="AH754" s="35" t="s">
        <v>217</v>
      </c>
      <c r="AI754" s="35" t="s">
        <v>693</v>
      </c>
      <c r="AM754" s="35" t="s">
        <v>222</v>
      </c>
      <c r="AN754" s="35">
        <v>4</v>
      </c>
      <c r="AO754" s="35">
        <v>4</v>
      </c>
      <c r="AP754" s="35" t="s">
        <v>184</v>
      </c>
      <c r="AT754" s="63"/>
      <c r="DP754" s="35">
        <v>58.12</v>
      </c>
      <c r="DQ754" s="35">
        <v>213.15</v>
      </c>
      <c r="DR754" s="35" t="s">
        <v>715</v>
      </c>
      <c r="EL754" s="35" t="s">
        <v>960</v>
      </c>
      <c r="EN754" s="35">
        <v>37</v>
      </c>
    </row>
    <row r="755" spans="1:144" s="35" customFormat="1" x14ac:dyDescent="0.25">
      <c r="A755" s="35">
        <v>37</v>
      </c>
      <c r="B755" s="35" t="s">
        <v>707</v>
      </c>
      <c r="C755" s="35" t="s">
        <v>708</v>
      </c>
      <c r="D755" s="35">
        <v>2012</v>
      </c>
      <c r="E755" s="35">
        <v>2009</v>
      </c>
      <c r="F755" s="35" t="s">
        <v>148</v>
      </c>
      <c r="G755" s="35" t="s">
        <v>709</v>
      </c>
      <c r="H755" s="35">
        <f t="shared" si="206"/>
        <v>44.31666666666667</v>
      </c>
      <c r="I755" s="35">
        <f t="shared" si="207"/>
        <v>-96.766666666666666</v>
      </c>
      <c r="J755" s="35">
        <v>504.6</v>
      </c>
      <c r="L755" s="35">
        <v>8</v>
      </c>
      <c r="M755" s="35">
        <v>580</v>
      </c>
      <c r="P755" s="54" t="s">
        <v>186</v>
      </c>
      <c r="Q755" s="54"/>
      <c r="R755" s="54" t="s">
        <v>712</v>
      </c>
      <c r="S755" s="54" t="s">
        <v>657</v>
      </c>
      <c r="U755" s="35">
        <v>60</v>
      </c>
      <c r="V755" s="35">
        <f t="shared" si="208"/>
        <v>12</v>
      </c>
      <c r="W755" s="35" t="s">
        <v>710</v>
      </c>
      <c r="X755" s="35">
        <v>7.4</v>
      </c>
      <c r="Y755" s="35">
        <v>2.9</v>
      </c>
      <c r="Z755" s="35">
        <v>0.31</v>
      </c>
      <c r="AA755" s="35" t="s">
        <v>1700</v>
      </c>
      <c r="AB755" s="35" t="s">
        <v>1514</v>
      </c>
      <c r="AC755" s="35" t="s">
        <v>713</v>
      </c>
      <c r="AG755" s="35" t="s">
        <v>714</v>
      </c>
      <c r="AH755" s="35" t="s">
        <v>217</v>
      </c>
      <c r="AI755" s="35" t="s">
        <v>693</v>
      </c>
      <c r="AM755" s="35" t="s">
        <v>222</v>
      </c>
      <c r="AN755" s="35">
        <v>4</v>
      </c>
      <c r="AO755" s="35">
        <v>4</v>
      </c>
      <c r="AP755" s="35" t="s">
        <v>184</v>
      </c>
      <c r="AT755" s="63"/>
      <c r="DP755" s="35">
        <v>58.12</v>
      </c>
      <c r="DQ755" s="35">
        <v>176.05</v>
      </c>
      <c r="DR755" s="35" t="s">
        <v>715</v>
      </c>
      <c r="EL755" s="35" t="s">
        <v>960</v>
      </c>
      <c r="EN755" s="35">
        <v>37</v>
      </c>
    </row>
    <row r="756" spans="1:144" s="35" customFormat="1" x14ac:dyDescent="0.25">
      <c r="A756" s="35">
        <v>37</v>
      </c>
      <c r="B756" s="35" t="s">
        <v>707</v>
      </c>
      <c r="C756" s="35" t="s">
        <v>708</v>
      </c>
      <c r="D756" s="35">
        <v>2012</v>
      </c>
      <c r="E756" s="35">
        <v>2009</v>
      </c>
      <c r="F756" s="35" t="s">
        <v>148</v>
      </c>
      <c r="G756" s="35" t="s">
        <v>709</v>
      </c>
      <c r="H756" s="35">
        <f t="shared" si="206"/>
        <v>44.31666666666667</v>
      </c>
      <c r="I756" s="35">
        <f t="shared" si="207"/>
        <v>-96.766666666666666</v>
      </c>
      <c r="J756" s="35">
        <v>504.6</v>
      </c>
      <c r="L756" s="35">
        <v>8</v>
      </c>
      <c r="M756" s="35">
        <v>580</v>
      </c>
      <c r="P756" s="54" t="s">
        <v>186</v>
      </c>
      <c r="Q756" s="54"/>
      <c r="R756" s="54" t="s">
        <v>712</v>
      </c>
      <c r="S756" s="54" t="s">
        <v>657</v>
      </c>
      <c r="U756" s="35">
        <v>60</v>
      </c>
      <c r="V756" s="35">
        <f t="shared" si="208"/>
        <v>12</v>
      </c>
      <c r="W756" s="35" t="s">
        <v>710</v>
      </c>
      <c r="X756" s="35">
        <v>7.4</v>
      </c>
      <c r="Y756" s="35">
        <v>2.9</v>
      </c>
      <c r="Z756" s="35">
        <v>0.31</v>
      </c>
      <c r="AA756" s="35" t="s">
        <v>1700</v>
      </c>
      <c r="AB756" s="35" t="s">
        <v>1515</v>
      </c>
      <c r="AC756" s="35" t="s">
        <v>713</v>
      </c>
      <c r="AG756" s="35" t="s">
        <v>714</v>
      </c>
      <c r="AH756" s="35" t="s">
        <v>217</v>
      </c>
      <c r="AI756" s="35" t="s">
        <v>693</v>
      </c>
      <c r="AM756" s="35" t="s">
        <v>222</v>
      </c>
      <c r="AN756" s="35">
        <v>4</v>
      </c>
      <c r="AO756" s="35">
        <v>4</v>
      </c>
      <c r="AP756" s="35" t="s">
        <v>184</v>
      </c>
      <c r="AT756" s="63"/>
      <c r="DP756" s="35">
        <v>58.12</v>
      </c>
      <c r="DQ756" s="35">
        <v>83.92</v>
      </c>
      <c r="DR756" s="35" t="s">
        <v>715</v>
      </c>
      <c r="EL756" s="35" t="s">
        <v>960</v>
      </c>
      <c r="EN756" s="35">
        <v>37</v>
      </c>
    </row>
    <row r="757" spans="1:144" s="35" customFormat="1" x14ac:dyDescent="0.25">
      <c r="A757" s="35">
        <v>37</v>
      </c>
      <c r="B757" s="35" t="s">
        <v>707</v>
      </c>
      <c r="C757" s="35" t="s">
        <v>708</v>
      </c>
      <c r="D757" s="35">
        <v>2012</v>
      </c>
      <c r="E757" s="35">
        <v>2009</v>
      </c>
      <c r="F757" s="35" t="s">
        <v>148</v>
      </c>
      <c r="G757" s="35" t="s">
        <v>709</v>
      </c>
      <c r="H757" s="35">
        <f t="shared" si="206"/>
        <v>44.31666666666667</v>
      </c>
      <c r="I757" s="35">
        <f t="shared" si="207"/>
        <v>-96.766666666666666</v>
      </c>
      <c r="J757" s="35">
        <v>504.6</v>
      </c>
      <c r="L757" s="35">
        <v>8</v>
      </c>
      <c r="M757" s="35">
        <v>580</v>
      </c>
      <c r="P757" s="54" t="s">
        <v>186</v>
      </c>
      <c r="Q757" s="54"/>
      <c r="R757" s="54" t="s">
        <v>712</v>
      </c>
      <c r="S757" s="54" t="s">
        <v>657</v>
      </c>
      <c r="U757" s="35">
        <v>60</v>
      </c>
      <c r="V757" s="35">
        <f t="shared" si="208"/>
        <v>12</v>
      </c>
      <c r="W757" s="35" t="s">
        <v>710</v>
      </c>
      <c r="X757" s="35">
        <v>7.4</v>
      </c>
      <c r="Y757" s="35">
        <v>2.9</v>
      </c>
      <c r="Z757" s="35">
        <v>0.31</v>
      </c>
      <c r="AA757" s="35" t="s">
        <v>1700</v>
      </c>
      <c r="AB757" s="35" t="s">
        <v>1516</v>
      </c>
      <c r="AC757" s="35" t="s">
        <v>713</v>
      </c>
      <c r="AG757" s="35" t="s">
        <v>714</v>
      </c>
      <c r="AH757" s="35" t="s">
        <v>217</v>
      </c>
      <c r="AI757" s="35" t="s">
        <v>693</v>
      </c>
      <c r="AM757" s="35" t="s">
        <v>222</v>
      </c>
      <c r="AN757" s="35">
        <v>4</v>
      </c>
      <c r="AO757" s="35">
        <v>4</v>
      </c>
      <c r="AP757" s="35" t="s">
        <v>184</v>
      </c>
      <c r="AT757" s="63"/>
      <c r="DP757" s="35">
        <v>58.12</v>
      </c>
      <c r="DQ757" s="35">
        <v>179.97</v>
      </c>
      <c r="DR757" s="35" t="s">
        <v>715</v>
      </c>
      <c r="EL757" s="35" t="s">
        <v>960</v>
      </c>
      <c r="EN757" s="35">
        <v>37</v>
      </c>
    </row>
    <row r="758" spans="1:144" s="26" customFormat="1" x14ac:dyDescent="0.25">
      <c r="A758" s="26">
        <v>37</v>
      </c>
      <c r="B758" s="26" t="s">
        <v>707</v>
      </c>
      <c r="C758" s="26" t="s">
        <v>708</v>
      </c>
      <c r="D758" s="26">
        <v>2012</v>
      </c>
      <c r="E758" s="26">
        <v>2010</v>
      </c>
      <c r="F758" s="26" t="s">
        <v>148</v>
      </c>
      <c r="G758" s="26" t="s">
        <v>709</v>
      </c>
      <c r="H758" s="26">
        <f t="shared" si="206"/>
        <v>44.31666666666667</v>
      </c>
      <c r="I758" s="26">
        <f t="shared" si="207"/>
        <v>-96.766666666666666</v>
      </c>
      <c r="J758" s="26">
        <v>504.6</v>
      </c>
      <c r="L758" s="26">
        <v>8</v>
      </c>
      <c r="M758" s="26">
        <v>580</v>
      </c>
      <c r="P758" s="52" t="s">
        <v>187</v>
      </c>
      <c r="Q758" s="52"/>
      <c r="R758" s="52" t="s">
        <v>712</v>
      </c>
      <c r="S758" s="52" t="s">
        <v>657</v>
      </c>
      <c r="U758" s="26">
        <v>60</v>
      </c>
      <c r="V758" s="26">
        <f t="shared" si="208"/>
        <v>12</v>
      </c>
      <c r="W758" s="26" t="s">
        <v>710</v>
      </c>
      <c r="X758" s="26">
        <v>7.4</v>
      </c>
      <c r="Y758" s="26">
        <v>2.9</v>
      </c>
      <c r="Z758" s="26">
        <v>0.31</v>
      </c>
      <c r="AA758" s="26" t="s">
        <v>1700</v>
      </c>
      <c r="AB758" s="26" t="s">
        <v>716</v>
      </c>
      <c r="AC758" s="26" t="s">
        <v>713</v>
      </c>
      <c r="AG758" s="26" t="s">
        <v>714</v>
      </c>
      <c r="AH758" s="26" t="s">
        <v>217</v>
      </c>
      <c r="AI758" s="26" t="s">
        <v>693</v>
      </c>
      <c r="AM758" s="26" t="s">
        <v>222</v>
      </c>
      <c r="AN758" s="26">
        <v>4</v>
      </c>
      <c r="AO758" s="26">
        <v>4</v>
      </c>
      <c r="AP758" s="26" t="s">
        <v>184</v>
      </c>
      <c r="AT758" s="63"/>
      <c r="DP758" s="26">
        <v>27.44</v>
      </c>
      <c r="DQ758" s="26">
        <v>40.340000000000003</v>
      </c>
      <c r="DR758" s="26" t="s">
        <v>715</v>
      </c>
      <c r="EL758" s="26" t="s">
        <v>960</v>
      </c>
      <c r="EN758" s="26">
        <v>37</v>
      </c>
    </row>
    <row r="759" spans="1:144" s="26" customFormat="1" x14ac:dyDescent="0.25">
      <c r="A759" s="26">
        <v>37</v>
      </c>
      <c r="B759" s="26" t="s">
        <v>707</v>
      </c>
      <c r="C759" s="26" t="s">
        <v>708</v>
      </c>
      <c r="D759" s="26">
        <v>2012</v>
      </c>
      <c r="E759" s="26">
        <v>2010</v>
      </c>
      <c r="F759" s="26" t="s">
        <v>148</v>
      </c>
      <c r="G759" s="26" t="s">
        <v>709</v>
      </c>
      <c r="H759" s="26">
        <f t="shared" si="206"/>
        <v>44.31666666666667</v>
      </c>
      <c r="I759" s="26">
        <f t="shared" si="207"/>
        <v>-96.766666666666666</v>
      </c>
      <c r="J759" s="26">
        <v>504.6</v>
      </c>
      <c r="L759" s="26">
        <v>8</v>
      </c>
      <c r="M759" s="26">
        <v>580</v>
      </c>
      <c r="P759" s="52" t="s">
        <v>187</v>
      </c>
      <c r="Q759" s="52"/>
      <c r="R759" s="52" t="s">
        <v>712</v>
      </c>
      <c r="S759" s="52" t="s">
        <v>657</v>
      </c>
      <c r="U759" s="26">
        <v>60</v>
      </c>
      <c r="V759" s="26">
        <f t="shared" si="208"/>
        <v>12</v>
      </c>
      <c r="W759" s="26" t="s">
        <v>710</v>
      </c>
      <c r="X759" s="26">
        <v>7.4</v>
      </c>
      <c r="Y759" s="26">
        <v>2.9</v>
      </c>
      <c r="Z759" s="26">
        <v>0.31</v>
      </c>
      <c r="AA759" s="26" t="s">
        <v>1700</v>
      </c>
      <c r="AB759" s="26" t="s">
        <v>713</v>
      </c>
      <c r="AC759" s="26" t="s">
        <v>713</v>
      </c>
      <c r="AG759" s="26" t="s">
        <v>714</v>
      </c>
      <c r="AH759" s="26" t="s">
        <v>217</v>
      </c>
      <c r="AI759" s="26" t="s">
        <v>693</v>
      </c>
      <c r="AM759" s="26" t="s">
        <v>222</v>
      </c>
      <c r="AN759" s="26">
        <v>4</v>
      </c>
      <c r="AO759" s="26">
        <v>4</v>
      </c>
      <c r="AP759" s="26" t="s">
        <v>184</v>
      </c>
      <c r="AT759" s="63"/>
      <c r="DP759" s="26">
        <v>27.44</v>
      </c>
      <c r="DQ759" s="26">
        <v>83.55</v>
      </c>
      <c r="DR759" s="26" t="s">
        <v>715</v>
      </c>
      <c r="EL759" s="26" t="s">
        <v>960</v>
      </c>
      <c r="EN759" s="26">
        <v>37</v>
      </c>
    </row>
    <row r="760" spans="1:144" s="26" customFormat="1" x14ac:dyDescent="0.25">
      <c r="A760" s="26">
        <v>37</v>
      </c>
      <c r="B760" s="26" t="s">
        <v>707</v>
      </c>
      <c r="C760" s="26" t="s">
        <v>708</v>
      </c>
      <c r="D760" s="26">
        <v>2012</v>
      </c>
      <c r="E760" s="26">
        <v>2010</v>
      </c>
      <c r="F760" s="26" t="s">
        <v>148</v>
      </c>
      <c r="G760" s="26" t="s">
        <v>709</v>
      </c>
      <c r="H760" s="26">
        <f t="shared" si="206"/>
        <v>44.31666666666667</v>
      </c>
      <c r="I760" s="26">
        <f t="shared" si="207"/>
        <v>-96.766666666666666</v>
      </c>
      <c r="J760" s="26">
        <v>504.6</v>
      </c>
      <c r="L760" s="26">
        <v>8</v>
      </c>
      <c r="M760" s="26">
        <v>580</v>
      </c>
      <c r="P760" s="52" t="s">
        <v>187</v>
      </c>
      <c r="Q760" s="52"/>
      <c r="R760" s="52" t="s">
        <v>712</v>
      </c>
      <c r="S760" s="52" t="s">
        <v>657</v>
      </c>
      <c r="U760" s="26">
        <v>60</v>
      </c>
      <c r="V760" s="26">
        <f t="shared" si="208"/>
        <v>12</v>
      </c>
      <c r="W760" s="26" t="s">
        <v>710</v>
      </c>
      <c r="X760" s="26">
        <v>7.4</v>
      </c>
      <c r="Y760" s="26">
        <v>2.9</v>
      </c>
      <c r="Z760" s="26">
        <v>0.31</v>
      </c>
      <c r="AA760" s="26" t="s">
        <v>1700</v>
      </c>
      <c r="AB760" s="26" t="s">
        <v>326</v>
      </c>
      <c r="AC760" s="26" t="s">
        <v>713</v>
      </c>
      <c r="AG760" s="26" t="s">
        <v>714</v>
      </c>
      <c r="AH760" s="26" t="s">
        <v>217</v>
      </c>
      <c r="AI760" s="26" t="s">
        <v>693</v>
      </c>
      <c r="AM760" s="26" t="s">
        <v>222</v>
      </c>
      <c r="AN760" s="26">
        <v>4</v>
      </c>
      <c r="AO760" s="26">
        <v>4</v>
      </c>
      <c r="AP760" s="26" t="s">
        <v>184</v>
      </c>
      <c r="AT760" s="63"/>
      <c r="DP760" s="26">
        <v>27.44</v>
      </c>
      <c r="DQ760" s="26">
        <v>41.73</v>
      </c>
      <c r="DR760" s="26" t="s">
        <v>715</v>
      </c>
      <c r="EL760" s="26" t="s">
        <v>960</v>
      </c>
      <c r="EN760" s="26">
        <v>37</v>
      </c>
    </row>
    <row r="761" spans="1:144" s="26" customFormat="1" x14ac:dyDescent="0.25">
      <c r="A761" s="26">
        <v>37</v>
      </c>
      <c r="B761" s="26" t="s">
        <v>707</v>
      </c>
      <c r="C761" s="26" t="s">
        <v>708</v>
      </c>
      <c r="D761" s="26">
        <v>2012</v>
      </c>
      <c r="E761" s="26">
        <v>2010</v>
      </c>
      <c r="F761" s="26" t="s">
        <v>148</v>
      </c>
      <c r="G761" s="26" t="s">
        <v>709</v>
      </c>
      <c r="H761" s="26">
        <f t="shared" si="206"/>
        <v>44.31666666666667</v>
      </c>
      <c r="I761" s="26">
        <f t="shared" si="207"/>
        <v>-96.766666666666666</v>
      </c>
      <c r="J761" s="26">
        <v>504.6</v>
      </c>
      <c r="L761" s="26">
        <v>8</v>
      </c>
      <c r="M761" s="26">
        <v>580</v>
      </c>
      <c r="P761" s="52" t="s">
        <v>187</v>
      </c>
      <c r="Q761" s="52"/>
      <c r="R761" s="52" t="s">
        <v>712</v>
      </c>
      <c r="S761" s="52" t="s">
        <v>657</v>
      </c>
      <c r="U761" s="26">
        <v>60</v>
      </c>
      <c r="V761" s="26">
        <f t="shared" si="208"/>
        <v>12</v>
      </c>
      <c r="W761" s="26" t="s">
        <v>710</v>
      </c>
      <c r="X761" s="26">
        <v>7.4</v>
      </c>
      <c r="Y761" s="26">
        <v>2.9</v>
      </c>
      <c r="Z761" s="26">
        <v>0.31</v>
      </c>
      <c r="AA761" s="26" t="s">
        <v>1700</v>
      </c>
      <c r="AB761" s="26" t="s">
        <v>717</v>
      </c>
      <c r="AC761" s="26" t="s">
        <v>713</v>
      </c>
      <c r="AG761" s="26" t="s">
        <v>714</v>
      </c>
      <c r="AH761" s="26" t="s">
        <v>217</v>
      </c>
      <c r="AI761" s="26" t="s">
        <v>693</v>
      </c>
      <c r="AM761" s="26" t="s">
        <v>222</v>
      </c>
      <c r="AN761" s="26">
        <v>4</v>
      </c>
      <c r="AO761" s="26">
        <v>4</v>
      </c>
      <c r="AP761" s="26" t="s">
        <v>184</v>
      </c>
      <c r="AT761" s="63"/>
      <c r="DP761" s="26">
        <v>27.44</v>
      </c>
      <c r="DQ761" s="26">
        <v>76.89</v>
      </c>
      <c r="DR761" s="26" t="s">
        <v>715</v>
      </c>
      <c r="EL761" s="26" t="s">
        <v>960</v>
      </c>
      <c r="EN761" s="26">
        <v>37</v>
      </c>
    </row>
    <row r="762" spans="1:144" s="26" customFormat="1" x14ac:dyDescent="0.25">
      <c r="A762" s="26">
        <v>37</v>
      </c>
      <c r="B762" s="26" t="s">
        <v>707</v>
      </c>
      <c r="C762" s="26" t="s">
        <v>708</v>
      </c>
      <c r="D762" s="26">
        <v>2012</v>
      </c>
      <c r="E762" s="26">
        <v>2010</v>
      </c>
      <c r="F762" s="26" t="s">
        <v>148</v>
      </c>
      <c r="G762" s="26" t="s">
        <v>709</v>
      </c>
      <c r="H762" s="26">
        <f t="shared" si="206"/>
        <v>44.31666666666667</v>
      </c>
      <c r="I762" s="26">
        <f t="shared" si="207"/>
        <v>-96.766666666666666</v>
      </c>
      <c r="J762" s="26">
        <v>504.6</v>
      </c>
      <c r="L762" s="26">
        <v>8</v>
      </c>
      <c r="M762" s="26">
        <v>580</v>
      </c>
      <c r="P762" s="52" t="s">
        <v>187</v>
      </c>
      <c r="Q762" s="52"/>
      <c r="R762" s="52" t="s">
        <v>712</v>
      </c>
      <c r="S762" s="52" t="s">
        <v>657</v>
      </c>
      <c r="U762" s="26">
        <v>60</v>
      </c>
      <c r="V762" s="26">
        <f t="shared" si="208"/>
        <v>12</v>
      </c>
      <c r="W762" s="26" t="s">
        <v>710</v>
      </c>
      <c r="X762" s="26">
        <v>7.4</v>
      </c>
      <c r="Y762" s="26">
        <v>2.9</v>
      </c>
      <c r="Z762" s="26">
        <v>0.31</v>
      </c>
      <c r="AA762" s="26" t="s">
        <v>1700</v>
      </c>
      <c r="AB762" s="26" t="s">
        <v>1514</v>
      </c>
      <c r="AC762" s="26" t="s">
        <v>713</v>
      </c>
      <c r="AG762" s="26" t="s">
        <v>714</v>
      </c>
      <c r="AH762" s="26" t="s">
        <v>217</v>
      </c>
      <c r="AI762" s="26" t="s">
        <v>693</v>
      </c>
      <c r="AM762" s="26" t="s">
        <v>222</v>
      </c>
      <c r="AN762" s="26">
        <v>4</v>
      </c>
      <c r="AO762" s="26">
        <v>4</v>
      </c>
      <c r="AP762" s="26" t="s">
        <v>184</v>
      </c>
      <c r="AT762" s="63"/>
      <c r="DP762" s="26">
        <v>27.44</v>
      </c>
      <c r="DQ762" s="26">
        <v>103.25</v>
      </c>
      <c r="DR762" s="26" t="s">
        <v>715</v>
      </c>
      <c r="EL762" s="26" t="s">
        <v>960</v>
      </c>
      <c r="EN762" s="26">
        <v>37</v>
      </c>
    </row>
    <row r="763" spans="1:144" s="26" customFormat="1" x14ac:dyDescent="0.25">
      <c r="A763" s="26">
        <v>37</v>
      </c>
      <c r="B763" s="26" t="s">
        <v>707</v>
      </c>
      <c r="C763" s="26" t="s">
        <v>708</v>
      </c>
      <c r="D763" s="26">
        <v>2012</v>
      </c>
      <c r="E763" s="26">
        <v>2010</v>
      </c>
      <c r="F763" s="26" t="s">
        <v>148</v>
      </c>
      <c r="G763" s="26" t="s">
        <v>709</v>
      </c>
      <c r="H763" s="26">
        <f t="shared" si="206"/>
        <v>44.31666666666667</v>
      </c>
      <c r="I763" s="26">
        <f t="shared" si="207"/>
        <v>-96.766666666666666</v>
      </c>
      <c r="J763" s="26">
        <v>504.6</v>
      </c>
      <c r="L763" s="26">
        <v>8</v>
      </c>
      <c r="M763" s="26">
        <v>580</v>
      </c>
      <c r="P763" s="52" t="s">
        <v>187</v>
      </c>
      <c r="Q763" s="52"/>
      <c r="R763" s="52" t="s">
        <v>712</v>
      </c>
      <c r="S763" s="52" t="s">
        <v>657</v>
      </c>
      <c r="U763" s="26">
        <v>60</v>
      </c>
      <c r="V763" s="26">
        <f t="shared" si="208"/>
        <v>12</v>
      </c>
      <c r="W763" s="26" t="s">
        <v>710</v>
      </c>
      <c r="X763" s="26">
        <v>7.4</v>
      </c>
      <c r="Y763" s="26">
        <v>2.9</v>
      </c>
      <c r="Z763" s="26">
        <v>0.31</v>
      </c>
      <c r="AA763" s="26" t="s">
        <v>1700</v>
      </c>
      <c r="AB763" s="26" t="s">
        <v>1515</v>
      </c>
      <c r="AC763" s="26" t="s">
        <v>713</v>
      </c>
      <c r="AG763" s="26" t="s">
        <v>714</v>
      </c>
      <c r="AH763" s="26" t="s">
        <v>217</v>
      </c>
      <c r="AI763" s="26" t="s">
        <v>693</v>
      </c>
      <c r="AM763" s="26" t="s">
        <v>222</v>
      </c>
      <c r="AN763" s="26">
        <v>4</v>
      </c>
      <c r="AO763" s="26">
        <v>4</v>
      </c>
      <c r="AP763" s="26" t="s">
        <v>184</v>
      </c>
      <c r="AT763" s="63"/>
      <c r="DP763" s="26">
        <v>27.44</v>
      </c>
      <c r="DQ763" s="26">
        <v>42.8</v>
      </c>
      <c r="DR763" s="26" t="s">
        <v>715</v>
      </c>
      <c r="EL763" s="26" t="s">
        <v>960</v>
      </c>
      <c r="EN763" s="26">
        <v>37</v>
      </c>
    </row>
    <row r="764" spans="1:144" s="26" customFormat="1" x14ac:dyDescent="0.25">
      <c r="A764" s="26">
        <v>37</v>
      </c>
      <c r="B764" s="26" t="s">
        <v>707</v>
      </c>
      <c r="C764" s="26" t="s">
        <v>708</v>
      </c>
      <c r="D764" s="26">
        <v>2012</v>
      </c>
      <c r="E764" s="26">
        <v>2010</v>
      </c>
      <c r="F764" s="26" t="s">
        <v>148</v>
      </c>
      <c r="G764" s="26" t="s">
        <v>709</v>
      </c>
      <c r="H764" s="26">
        <f t="shared" si="206"/>
        <v>44.31666666666667</v>
      </c>
      <c r="I764" s="26">
        <f t="shared" si="207"/>
        <v>-96.766666666666666</v>
      </c>
      <c r="J764" s="26">
        <v>504.6</v>
      </c>
      <c r="L764" s="26">
        <v>8</v>
      </c>
      <c r="M764" s="26">
        <v>580</v>
      </c>
      <c r="P764" s="52" t="s">
        <v>187</v>
      </c>
      <c r="Q764" s="52"/>
      <c r="R764" s="52" t="s">
        <v>712</v>
      </c>
      <c r="S764" s="52" t="s">
        <v>657</v>
      </c>
      <c r="U764" s="26">
        <v>60</v>
      </c>
      <c r="V764" s="26">
        <f t="shared" si="208"/>
        <v>12</v>
      </c>
      <c r="W764" s="26" t="s">
        <v>710</v>
      </c>
      <c r="X764" s="26">
        <v>7.4</v>
      </c>
      <c r="Y764" s="26">
        <v>2.9</v>
      </c>
      <c r="Z764" s="26">
        <v>0.31</v>
      </c>
      <c r="AA764" s="26" t="s">
        <v>1700</v>
      </c>
      <c r="AB764" s="26" t="s">
        <v>1516</v>
      </c>
      <c r="AC764" s="26" t="s">
        <v>713</v>
      </c>
      <c r="AG764" s="26" t="s">
        <v>714</v>
      </c>
      <c r="AH764" s="26" t="s">
        <v>217</v>
      </c>
      <c r="AI764" s="26" t="s">
        <v>693</v>
      </c>
      <c r="AM764" s="26" t="s">
        <v>222</v>
      </c>
      <c r="AN764" s="26">
        <v>4</v>
      </c>
      <c r="AO764" s="26">
        <v>4</v>
      </c>
      <c r="AP764" s="26" t="s">
        <v>184</v>
      </c>
      <c r="AT764" s="63"/>
      <c r="DP764" s="26">
        <v>27.44</v>
      </c>
      <c r="DQ764" s="26">
        <v>111.51</v>
      </c>
      <c r="DR764" s="26" t="s">
        <v>715</v>
      </c>
      <c r="EL764" s="26" t="s">
        <v>960</v>
      </c>
      <c r="EN764" s="26">
        <v>37</v>
      </c>
    </row>
    <row r="765" spans="1:144" s="38" customFormat="1" x14ac:dyDescent="0.25">
      <c r="A765" s="38">
        <v>38</v>
      </c>
      <c r="B765" s="38" t="s">
        <v>718</v>
      </c>
      <c r="C765" s="38" t="s">
        <v>719</v>
      </c>
      <c r="D765" s="38">
        <v>2005</v>
      </c>
      <c r="E765" s="38">
        <v>1999</v>
      </c>
      <c r="F765" s="38" t="s">
        <v>387</v>
      </c>
      <c r="G765" s="38" t="s">
        <v>720</v>
      </c>
      <c r="H765" s="38">
        <v>40.19</v>
      </c>
      <c r="I765" s="38">
        <v>-103.17</v>
      </c>
      <c r="J765" s="38">
        <v>1401.6</v>
      </c>
      <c r="P765" s="57" t="s">
        <v>186</v>
      </c>
      <c r="Q765" s="57"/>
      <c r="R765" s="57"/>
      <c r="S765" s="57" t="s">
        <v>659</v>
      </c>
      <c r="W765" s="38" t="s">
        <v>175</v>
      </c>
      <c r="AB765" s="38" t="s">
        <v>721</v>
      </c>
      <c r="AC765" s="38" t="s">
        <v>1728</v>
      </c>
      <c r="AD765" s="38" t="s">
        <v>766</v>
      </c>
      <c r="AE765" s="38" t="s">
        <v>736</v>
      </c>
      <c r="AF765" s="38" t="s">
        <v>693</v>
      </c>
      <c r="AG765" s="38" t="s">
        <v>389</v>
      </c>
      <c r="AH765" s="38" t="s">
        <v>217</v>
      </c>
      <c r="AI765" s="38" t="s">
        <v>693</v>
      </c>
      <c r="AJ765" s="38" t="s">
        <v>722</v>
      </c>
      <c r="AK765" s="38" t="s">
        <v>722</v>
      </c>
      <c r="AM765" s="38" t="s">
        <v>160</v>
      </c>
      <c r="AT765" s="64"/>
      <c r="CC765" s="38">
        <v>110</v>
      </c>
      <c r="CD765" s="38">
        <v>124</v>
      </c>
      <c r="DP765" s="12"/>
      <c r="DR765" s="15"/>
      <c r="DV765" s="38">
        <v>25.1</v>
      </c>
      <c r="DW765" s="38">
        <v>24.9</v>
      </c>
      <c r="DX765" s="38" t="s">
        <v>768</v>
      </c>
      <c r="EB765" s="38">
        <f>0.077</f>
        <v>7.6999999999999999E-2</v>
      </c>
      <c r="EC765" s="38">
        <v>0.16200000000000001</v>
      </c>
      <c r="ED765" s="38" t="s">
        <v>767</v>
      </c>
      <c r="EE765" s="38">
        <f>(114+203)/2*0.614</f>
        <v>97.319000000000003</v>
      </c>
      <c r="EF765" s="38">
        <f>177*0.614</f>
        <v>108.678</v>
      </c>
      <c r="EH765" s="38">
        <f>29.7*0.614</f>
        <v>18.235799999999998</v>
      </c>
      <c r="EI765" s="38">
        <f>31.8*0.614</f>
        <v>19.525200000000002</v>
      </c>
      <c r="EL765" s="38" t="s">
        <v>961</v>
      </c>
      <c r="EN765" s="38">
        <v>38</v>
      </c>
    </row>
    <row r="766" spans="1:144" s="38" customFormat="1" x14ac:dyDescent="0.25">
      <c r="A766" s="38">
        <v>38</v>
      </c>
      <c r="B766" s="38" t="s">
        <v>718</v>
      </c>
      <c r="C766" s="38" t="s">
        <v>719</v>
      </c>
      <c r="D766" s="38">
        <v>2005</v>
      </c>
      <c r="E766" s="38">
        <v>1999</v>
      </c>
      <c r="F766" s="38" t="s">
        <v>387</v>
      </c>
      <c r="G766" s="38" t="s">
        <v>720</v>
      </c>
      <c r="H766" s="38">
        <v>40.19</v>
      </c>
      <c r="I766" s="38">
        <v>-103.17</v>
      </c>
      <c r="J766" s="38">
        <v>1401.6</v>
      </c>
      <c r="P766" s="57" t="s">
        <v>186</v>
      </c>
      <c r="Q766" s="57"/>
      <c r="R766" s="57"/>
      <c r="S766" s="57" t="s">
        <v>660</v>
      </c>
      <c r="W766" s="38" t="s">
        <v>175</v>
      </c>
      <c r="AB766" s="38" t="s">
        <v>721</v>
      </c>
      <c r="AC766" s="38" t="s">
        <v>1728</v>
      </c>
      <c r="AD766" s="38" t="s">
        <v>766</v>
      </c>
      <c r="AE766" s="38" t="s">
        <v>736</v>
      </c>
      <c r="AF766" s="38" t="s">
        <v>693</v>
      </c>
      <c r="AG766" s="38" t="s">
        <v>389</v>
      </c>
      <c r="AH766" s="38" t="s">
        <v>217</v>
      </c>
      <c r="AI766" s="38" t="s">
        <v>693</v>
      </c>
      <c r="AJ766" s="38" t="s">
        <v>722</v>
      </c>
      <c r="AK766" s="38" t="s">
        <v>722</v>
      </c>
      <c r="AM766" s="38" t="s">
        <v>160</v>
      </c>
      <c r="AT766" s="64"/>
      <c r="DP766" s="12"/>
      <c r="DR766" s="15"/>
      <c r="DV766" s="38">
        <v>9.1</v>
      </c>
      <c r="DW766" s="38">
        <v>10</v>
      </c>
      <c r="DX766" s="38" t="s">
        <v>768</v>
      </c>
      <c r="EB766" s="38">
        <f>0.057</f>
        <v>5.7000000000000002E-2</v>
      </c>
      <c r="EC766" s="38">
        <v>5.2999999999999999E-2</v>
      </c>
      <c r="ED766" s="38" t="s">
        <v>767</v>
      </c>
      <c r="EE766" s="38">
        <f>114*0.614</f>
        <v>69.995999999999995</v>
      </c>
      <c r="EF766" s="38">
        <f>134*0.614</f>
        <v>82.275999999999996</v>
      </c>
      <c r="EH766" s="38">
        <f>15.8*0.614</f>
        <v>9.7012</v>
      </c>
      <c r="EI766" s="38">
        <f>15.8*0.614</f>
        <v>9.7012</v>
      </c>
      <c r="EL766" s="38" t="s">
        <v>961</v>
      </c>
      <c r="EN766" s="38">
        <v>38</v>
      </c>
    </row>
    <row r="767" spans="1:144" s="38" customFormat="1" x14ac:dyDescent="0.25">
      <c r="A767" s="38">
        <v>38</v>
      </c>
      <c r="B767" s="38" t="s">
        <v>718</v>
      </c>
      <c r="C767" s="38" t="s">
        <v>719</v>
      </c>
      <c r="D767" s="38">
        <v>2005</v>
      </c>
      <c r="E767" s="38">
        <v>1999</v>
      </c>
      <c r="F767" s="38" t="s">
        <v>387</v>
      </c>
      <c r="G767" s="38" t="s">
        <v>720</v>
      </c>
      <c r="H767" s="38">
        <v>40.19</v>
      </c>
      <c r="I767" s="38">
        <v>-103.17</v>
      </c>
      <c r="J767" s="38">
        <v>1401.6</v>
      </c>
      <c r="P767" s="57" t="s">
        <v>186</v>
      </c>
      <c r="Q767" s="57"/>
      <c r="R767" s="57"/>
      <c r="S767" s="57" t="s">
        <v>669</v>
      </c>
      <c r="W767" s="38" t="s">
        <v>175</v>
      </c>
      <c r="AB767" s="38" t="s">
        <v>721</v>
      </c>
      <c r="AC767" s="38" t="s">
        <v>1728</v>
      </c>
      <c r="AD767" s="38" t="s">
        <v>766</v>
      </c>
      <c r="AE767" s="38" t="s">
        <v>736</v>
      </c>
      <c r="AF767" s="38" t="s">
        <v>693</v>
      </c>
      <c r="AG767" s="38" t="s">
        <v>389</v>
      </c>
      <c r="AH767" s="38" t="s">
        <v>217</v>
      </c>
      <c r="AI767" s="38" t="s">
        <v>693</v>
      </c>
      <c r="AJ767" s="38" t="s">
        <v>722</v>
      </c>
      <c r="AK767" s="38" t="s">
        <v>722</v>
      </c>
      <c r="AM767" s="38" t="s">
        <v>160</v>
      </c>
      <c r="AT767" s="64"/>
      <c r="DP767" s="46"/>
      <c r="DR767" s="46"/>
      <c r="DV767" s="38">
        <v>23</v>
      </c>
      <c r="DW767" s="38">
        <v>14.6</v>
      </c>
      <c r="DX767" s="38" t="s">
        <v>768</v>
      </c>
      <c r="EB767" s="38">
        <f>0.124</f>
        <v>0.124</v>
      </c>
      <c r="EC767" s="38">
        <v>0.05</v>
      </c>
      <c r="ED767" s="38" t="s">
        <v>767</v>
      </c>
      <c r="EE767" s="38">
        <f>203*0.614</f>
        <v>124.642</v>
      </c>
      <c r="EF767" s="38">
        <f>254*0.614</f>
        <v>155.95599999999999</v>
      </c>
      <c r="EH767" s="38">
        <f>28.1*0.614</f>
        <v>17.253399999999999</v>
      </c>
      <c r="EI767" s="38">
        <f>29.7*0.614</f>
        <v>18.235799999999998</v>
      </c>
      <c r="EL767" s="38" t="s">
        <v>961</v>
      </c>
      <c r="EN767" s="38">
        <v>38</v>
      </c>
    </row>
    <row r="768" spans="1:144" s="31" customFormat="1" x14ac:dyDescent="0.25">
      <c r="A768" s="31">
        <v>38</v>
      </c>
      <c r="B768" s="31" t="s">
        <v>718</v>
      </c>
      <c r="C768" s="31" t="s">
        <v>719</v>
      </c>
      <c r="D768" s="31">
        <v>2005</v>
      </c>
      <c r="E768" s="31">
        <v>1999</v>
      </c>
      <c r="F768" s="31" t="s">
        <v>387</v>
      </c>
      <c r="G768" s="31" t="s">
        <v>723</v>
      </c>
      <c r="H768" s="31">
        <v>44.34</v>
      </c>
      <c r="I768" s="31">
        <v>-96.82</v>
      </c>
      <c r="J768" s="31">
        <v>501</v>
      </c>
      <c r="P768" s="56" t="s">
        <v>186</v>
      </c>
      <c r="Q768" s="56"/>
      <c r="R768" s="56"/>
      <c r="S768" s="56" t="s">
        <v>659</v>
      </c>
      <c r="W768" s="31" t="s">
        <v>710</v>
      </c>
      <c r="AB768" s="31" t="s">
        <v>152</v>
      </c>
      <c r="AC768" s="31" t="s">
        <v>174</v>
      </c>
      <c r="AD768" s="31" t="s">
        <v>738</v>
      </c>
      <c r="AE768" s="31" t="s">
        <v>737</v>
      </c>
      <c r="AF768" s="31" t="s">
        <v>693</v>
      </c>
      <c r="AG768" s="31" t="s">
        <v>724</v>
      </c>
      <c r="AH768" s="31" t="s">
        <v>724</v>
      </c>
      <c r="AI768" s="31" t="s">
        <v>252</v>
      </c>
      <c r="AJ768" s="31" t="s">
        <v>734</v>
      </c>
      <c r="AK768" s="31">
        <v>0</v>
      </c>
      <c r="AL768" s="31" t="s">
        <v>693</v>
      </c>
      <c r="AM768" s="31" t="s">
        <v>160</v>
      </c>
      <c r="AT768" s="64"/>
      <c r="CC768" s="31">
        <v>491</v>
      </c>
      <c r="CD768" s="31">
        <v>495</v>
      </c>
      <c r="DP768" s="46"/>
      <c r="DR768" s="46"/>
      <c r="DV768" s="31">
        <v>26.3</v>
      </c>
      <c r="DW768" s="31">
        <v>34.299999999999997</v>
      </c>
      <c r="DX768" s="31" t="s">
        <v>768</v>
      </c>
      <c r="EB768" s="31">
        <f>0.061</f>
        <v>6.0999999999999999E-2</v>
      </c>
      <c r="EC768" s="31">
        <v>4.8000000000000001E-2</v>
      </c>
      <c r="ED768" s="31" t="s">
        <v>767</v>
      </c>
      <c r="EE768" s="31">
        <f>331*0.614</f>
        <v>203.23400000000001</v>
      </c>
      <c r="EF768" s="31">
        <f>375*0.614</f>
        <v>230.25</v>
      </c>
      <c r="EH768" s="31">
        <f>34.6*0.614</f>
        <v>21.244399999999999</v>
      </c>
      <c r="EI768" s="31">
        <f>40.4*0.614</f>
        <v>24.805599999999998</v>
      </c>
      <c r="EL768" s="31" t="s">
        <v>961</v>
      </c>
      <c r="EN768" s="31">
        <v>38</v>
      </c>
    </row>
    <row r="769" spans="1:144" s="31" customFormat="1" x14ac:dyDescent="0.25">
      <c r="A769" s="31">
        <v>38</v>
      </c>
      <c r="B769" s="31" t="s">
        <v>718</v>
      </c>
      <c r="C769" s="31" t="s">
        <v>719</v>
      </c>
      <c r="D769" s="31">
        <v>2005</v>
      </c>
      <c r="E769" s="31">
        <v>1999</v>
      </c>
      <c r="F769" s="31" t="s">
        <v>387</v>
      </c>
      <c r="G769" s="31" t="s">
        <v>723</v>
      </c>
      <c r="H769" s="31">
        <v>44.34</v>
      </c>
      <c r="I769" s="31">
        <v>-96.82</v>
      </c>
      <c r="J769" s="31">
        <v>501</v>
      </c>
      <c r="P769" s="56" t="s">
        <v>186</v>
      </c>
      <c r="Q769" s="56"/>
      <c r="R769" s="56"/>
      <c r="S769" s="56" t="s">
        <v>660</v>
      </c>
      <c r="W769" s="31" t="s">
        <v>710</v>
      </c>
      <c r="AB769" s="31" t="s">
        <v>152</v>
      </c>
      <c r="AC769" s="31" t="s">
        <v>174</v>
      </c>
      <c r="AD769" s="31" t="s">
        <v>738</v>
      </c>
      <c r="AE769" s="31" t="s">
        <v>737</v>
      </c>
      <c r="AF769" s="31" t="s">
        <v>693</v>
      </c>
      <c r="AG769" s="31" t="s">
        <v>724</v>
      </c>
      <c r="AH769" s="31" t="s">
        <v>724</v>
      </c>
      <c r="AI769" s="31" t="s">
        <v>252</v>
      </c>
      <c r="AJ769" s="31" t="s">
        <v>734</v>
      </c>
      <c r="AK769" s="31">
        <v>0</v>
      </c>
      <c r="AL769" s="31" t="s">
        <v>693</v>
      </c>
      <c r="AM769" s="31" t="s">
        <v>160</v>
      </c>
      <c r="AT769" s="64"/>
      <c r="DP769" s="46"/>
      <c r="DR769" s="46"/>
      <c r="DV769" s="31">
        <v>17.8</v>
      </c>
      <c r="DW769" s="31">
        <v>17.399999999999999</v>
      </c>
      <c r="DX769" s="31" t="s">
        <v>768</v>
      </c>
      <c r="EB769" s="31">
        <f>0.026</f>
        <v>2.5999999999999999E-2</v>
      </c>
      <c r="EC769" s="31">
        <v>2.7E-2</v>
      </c>
      <c r="ED769" s="31" t="s">
        <v>767</v>
      </c>
      <c r="EE769" s="31">
        <f>366*0.614</f>
        <v>224.72399999999999</v>
      </c>
      <c r="EF769" s="31">
        <f>380*0.614</f>
        <v>233.32</v>
      </c>
      <c r="EH769" s="31">
        <f>32.3*0.614</f>
        <v>19.832199999999997</v>
      </c>
      <c r="EI769" s="31">
        <f>31*0.614</f>
        <v>19.033999999999999</v>
      </c>
      <c r="EL769" s="31" t="s">
        <v>961</v>
      </c>
      <c r="EN769" s="31">
        <v>38</v>
      </c>
    </row>
    <row r="770" spans="1:144" s="31" customFormat="1" x14ac:dyDescent="0.25">
      <c r="A770" s="31">
        <v>38</v>
      </c>
      <c r="B770" s="31" t="s">
        <v>718</v>
      </c>
      <c r="C770" s="31" t="s">
        <v>719</v>
      </c>
      <c r="D770" s="31">
        <v>2005</v>
      </c>
      <c r="E770" s="31">
        <v>1999</v>
      </c>
      <c r="F770" s="31" t="s">
        <v>387</v>
      </c>
      <c r="G770" s="31" t="s">
        <v>723</v>
      </c>
      <c r="H770" s="31">
        <v>44.34</v>
      </c>
      <c r="I770" s="31">
        <v>-96.82</v>
      </c>
      <c r="J770" s="31">
        <v>501</v>
      </c>
      <c r="P770" s="56" t="s">
        <v>186</v>
      </c>
      <c r="Q770" s="56"/>
      <c r="R770" s="56"/>
      <c r="S770" s="56" t="s">
        <v>669</v>
      </c>
      <c r="W770" s="31" t="s">
        <v>710</v>
      </c>
      <c r="AB770" s="31" t="s">
        <v>152</v>
      </c>
      <c r="AC770" s="31" t="s">
        <v>174</v>
      </c>
      <c r="AD770" s="31" t="s">
        <v>738</v>
      </c>
      <c r="AE770" s="31" t="s">
        <v>737</v>
      </c>
      <c r="AF770" s="31" t="s">
        <v>693</v>
      </c>
      <c r="AG770" s="31" t="s">
        <v>724</v>
      </c>
      <c r="AH770" s="31" t="s">
        <v>724</v>
      </c>
      <c r="AI770" s="31" t="s">
        <v>252</v>
      </c>
      <c r="AJ770" s="31" t="s">
        <v>734</v>
      </c>
      <c r="AK770" s="31">
        <v>0</v>
      </c>
      <c r="AL770" s="31" t="s">
        <v>693</v>
      </c>
      <c r="AM770" s="31" t="s">
        <v>160</v>
      </c>
      <c r="AT770" s="64"/>
      <c r="DP770" s="46"/>
      <c r="DR770" s="46"/>
      <c r="DV770" s="31">
        <v>21.5</v>
      </c>
      <c r="DW770" s="31">
        <v>21.5</v>
      </c>
      <c r="DX770" s="31" t="s">
        <v>768</v>
      </c>
      <c r="EB770" s="31">
        <v>0.02</v>
      </c>
      <c r="EC770" s="31">
        <v>2.1000000000000001E-2</v>
      </c>
      <c r="ED770" s="31" t="s">
        <v>767</v>
      </c>
      <c r="EE770" s="31">
        <f>548*0.614</f>
        <v>336.47199999999998</v>
      </c>
      <c r="EF770" s="31">
        <f>544*0.614</f>
        <v>334.01600000000002</v>
      </c>
      <c r="EH770" s="31">
        <f>57.8*0.614</f>
        <v>35.489199999999997</v>
      </c>
      <c r="EI770" s="31">
        <f>51.4*0.614</f>
        <v>31.5596</v>
      </c>
      <c r="EL770" s="31" t="s">
        <v>961</v>
      </c>
      <c r="EN770" s="31">
        <v>38</v>
      </c>
    </row>
    <row r="771" spans="1:144" s="38" customFormat="1" x14ac:dyDescent="0.25">
      <c r="A771" s="38">
        <v>38</v>
      </c>
      <c r="B771" s="38" t="s">
        <v>718</v>
      </c>
      <c r="C771" s="38" t="s">
        <v>719</v>
      </c>
      <c r="D771" s="38">
        <v>2005</v>
      </c>
      <c r="E771" s="38">
        <v>1999</v>
      </c>
      <c r="F771" s="38" t="s">
        <v>387</v>
      </c>
      <c r="G771" s="38" t="s">
        <v>735</v>
      </c>
      <c r="H771" s="38">
        <v>35.18</v>
      </c>
      <c r="I771" s="38">
        <v>-102.08</v>
      </c>
      <c r="J771" s="38">
        <v>1154</v>
      </c>
      <c r="P771" s="57" t="s">
        <v>186</v>
      </c>
      <c r="Q771" s="57"/>
      <c r="R771" s="57"/>
      <c r="S771" s="57" t="s">
        <v>659</v>
      </c>
      <c r="W771" s="38" t="s">
        <v>752</v>
      </c>
      <c r="AB771" s="38" t="s">
        <v>613</v>
      </c>
      <c r="AC771" s="38" t="s">
        <v>156</v>
      </c>
      <c r="AD771" s="38" t="s">
        <v>739</v>
      </c>
      <c r="AE771" s="38" t="s">
        <v>740</v>
      </c>
      <c r="AF771" s="38" t="s">
        <v>693</v>
      </c>
      <c r="AG771" s="38" t="s">
        <v>217</v>
      </c>
      <c r="AH771" s="38" t="s">
        <v>217</v>
      </c>
      <c r="AI771" s="38" t="s">
        <v>252</v>
      </c>
      <c r="AJ771" s="38" t="s">
        <v>722</v>
      </c>
      <c r="AK771" s="38">
        <v>0</v>
      </c>
      <c r="AL771" s="38" t="s">
        <v>693</v>
      </c>
      <c r="AM771" s="38" t="s">
        <v>160</v>
      </c>
      <c r="AT771" s="64"/>
      <c r="CC771" s="38">
        <v>377</v>
      </c>
      <c r="CD771" s="38">
        <v>456</v>
      </c>
      <c r="DP771" s="46"/>
      <c r="DR771" s="46"/>
      <c r="DV771" s="38">
        <v>17.600000000000001</v>
      </c>
      <c r="DW771" s="38">
        <v>31.9</v>
      </c>
      <c r="DX771" s="38" t="s">
        <v>768</v>
      </c>
      <c r="EB771" s="38">
        <v>8.4000000000000005E-2</v>
      </c>
      <c r="EC771" s="38">
        <v>6.6000000000000003E-2</v>
      </c>
      <c r="ED771" s="38" t="s">
        <v>767</v>
      </c>
      <c r="EE771" s="38">
        <f>209*0.614</f>
        <v>128.32599999999999</v>
      </c>
      <c r="EF771" s="38">
        <f>331*0.614</f>
        <v>203.23400000000001</v>
      </c>
      <c r="EH771" s="38">
        <f>26.3*0.614</f>
        <v>16.148199999999999</v>
      </c>
      <c r="EI771" s="38">
        <f>37.1*0.614</f>
        <v>22.779399999999999</v>
      </c>
      <c r="EL771" s="38" t="s">
        <v>961</v>
      </c>
      <c r="EN771" s="38">
        <v>38</v>
      </c>
    </row>
    <row r="772" spans="1:144" s="38" customFormat="1" x14ac:dyDescent="0.25">
      <c r="A772" s="38">
        <v>38</v>
      </c>
      <c r="B772" s="38" t="s">
        <v>718</v>
      </c>
      <c r="C772" s="38" t="s">
        <v>719</v>
      </c>
      <c r="D772" s="38">
        <v>2005</v>
      </c>
      <c r="E772" s="38">
        <v>1999</v>
      </c>
      <c r="F772" s="38" t="s">
        <v>387</v>
      </c>
      <c r="G772" s="38" t="s">
        <v>735</v>
      </c>
      <c r="H772" s="38">
        <v>35.18</v>
      </c>
      <c r="I772" s="38">
        <v>-102.08</v>
      </c>
      <c r="J772" s="38">
        <v>1154</v>
      </c>
      <c r="P772" s="57" t="s">
        <v>186</v>
      </c>
      <c r="Q772" s="57"/>
      <c r="R772" s="57"/>
      <c r="S772" s="57" t="s">
        <v>660</v>
      </c>
      <c r="W772" s="38" t="s">
        <v>752</v>
      </c>
      <c r="AB772" s="38" t="s">
        <v>613</v>
      </c>
      <c r="AC772" s="38" t="s">
        <v>156</v>
      </c>
      <c r="AD772" s="38" t="s">
        <v>739</v>
      </c>
      <c r="AE772" s="38" t="s">
        <v>740</v>
      </c>
      <c r="AF772" s="38" t="s">
        <v>693</v>
      </c>
      <c r="AG772" s="38" t="s">
        <v>217</v>
      </c>
      <c r="AH772" s="38" t="s">
        <v>217</v>
      </c>
      <c r="AI772" s="38" t="s">
        <v>252</v>
      </c>
      <c r="AJ772" s="38" t="s">
        <v>722</v>
      </c>
      <c r="AK772" s="38">
        <v>0</v>
      </c>
      <c r="AL772" s="38" t="s">
        <v>693</v>
      </c>
      <c r="AM772" s="38" t="s">
        <v>160</v>
      </c>
      <c r="AT772" s="64"/>
      <c r="DP772" s="46"/>
      <c r="DR772" s="46"/>
      <c r="DV772" s="38">
        <v>8</v>
      </c>
      <c r="DW772" s="38">
        <v>10.4</v>
      </c>
      <c r="DX772" s="38" t="s">
        <v>768</v>
      </c>
      <c r="EB772" s="38">
        <v>2.5000000000000001E-2</v>
      </c>
      <c r="EC772" s="38">
        <v>2.7E-2</v>
      </c>
      <c r="ED772" s="38" t="s">
        <v>767</v>
      </c>
      <c r="EE772" s="38">
        <f>197*0.614</f>
        <v>120.958</v>
      </c>
      <c r="EF772" s="38">
        <f>223*0.614</f>
        <v>136.922</v>
      </c>
      <c r="EH772" s="38">
        <f>20.3*0.614</f>
        <v>12.4642</v>
      </c>
      <c r="EI772" s="38">
        <f>24.6*0.614</f>
        <v>15.1044</v>
      </c>
      <c r="EL772" s="38" t="s">
        <v>961</v>
      </c>
      <c r="EN772" s="38">
        <v>38</v>
      </c>
    </row>
    <row r="773" spans="1:144" s="38" customFormat="1" x14ac:dyDescent="0.25">
      <c r="A773" s="38">
        <v>38</v>
      </c>
      <c r="B773" s="38" t="s">
        <v>718</v>
      </c>
      <c r="C773" s="38" t="s">
        <v>719</v>
      </c>
      <c r="D773" s="38">
        <v>2005</v>
      </c>
      <c r="E773" s="38">
        <v>1999</v>
      </c>
      <c r="F773" s="38" t="s">
        <v>387</v>
      </c>
      <c r="G773" s="38" t="s">
        <v>735</v>
      </c>
      <c r="H773" s="38">
        <v>35.18</v>
      </c>
      <c r="I773" s="38">
        <v>-102.08</v>
      </c>
      <c r="J773" s="38">
        <v>1154</v>
      </c>
      <c r="P773" s="57" t="s">
        <v>186</v>
      </c>
      <c r="Q773" s="57"/>
      <c r="R773" s="57"/>
      <c r="S773" s="57" t="s">
        <v>669</v>
      </c>
      <c r="W773" s="38" t="s">
        <v>752</v>
      </c>
      <c r="AB773" s="38" t="s">
        <v>613</v>
      </c>
      <c r="AC773" s="38" t="s">
        <v>156</v>
      </c>
      <c r="AD773" s="38" t="s">
        <v>739</v>
      </c>
      <c r="AE773" s="38" t="s">
        <v>740</v>
      </c>
      <c r="AF773" s="38" t="s">
        <v>693</v>
      </c>
      <c r="AG773" s="38" t="s">
        <v>217</v>
      </c>
      <c r="AH773" s="38" t="s">
        <v>217</v>
      </c>
      <c r="AI773" s="38" t="s">
        <v>252</v>
      </c>
      <c r="AJ773" s="38" t="s">
        <v>722</v>
      </c>
      <c r="AK773" s="38">
        <v>0</v>
      </c>
      <c r="AL773" s="38" t="s">
        <v>693</v>
      </c>
      <c r="AM773" s="38" t="s">
        <v>160</v>
      </c>
      <c r="AT773" s="64"/>
      <c r="DP773" s="46"/>
      <c r="DR773" s="46"/>
      <c r="DV773" s="38">
        <v>7.2</v>
      </c>
      <c r="DW773" s="38">
        <v>12.3</v>
      </c>
      <c r="DX773" s="38" t="s">
        <v>768</v>
      </c>
      <c r="EB773" s="38">
        <v>0.03</v>
      </c>
      <c r="EC773" s="38">
        <v>7.2999999999999995E-2</v>
      </c>
      <c r="ED773" s="38" t="s">
        <v>767</v>
      </c>
      <c r="EE773" s="38">
        <f>305*0.614</f>
        <v>187.27</v>
      </c>
      <c r="EF773" s="38">
        <f>384*0.614</f>
        <v>235.77600000000001</v>
      </c>
      <c r="EH773" s="38">
        <f>35.5*0.614</f>
        <v>21.797000000000001</v>
      </c>
      <c r="EI773" s="38">
        <f>42.3*0.614</f>
        <v>25.972199999999997</v>
      </c>
      <c r="EL773" s="38" t="s">
        <v>961</v>
      </c>
      <c r="EN773" s="38">
        <v>38</v>
      </c>
    </row>
    <row r="774" spans="1:144" s="31" customFormat="1" x14ac:dyDescent="0.25">
      <c r="A774" s="31">
        <v>38</v>
      </c>
      <c r="B774" s="31" t="s">
        <v>718</v>
      </c>
      <c r="C774" s="31" t="s">
        <v>719</v>
      </c>
      <c r="D774" s="31">
        <v>2005</v>
      </c>
      <c r="E774" s="31">
        <v>1999</v>
      </c>
      <c r="F774" s="31" t="s">
        <v>387</v>
      </c>
      <c r="G774" s="31" t="s">
        <v>741</v>
      </c>
      <c r="H774" s="31">
        <v>46.89</v>
      </c>
      <c r="I774" s="31">
        <v>-96.78</v>
      </c>
      <c r="J774" s="31">
        <v>274.10000000000002</v>
      </c>
      <c r="P774" s="56" t="s">
        <v>186</v>
      </c>
      <c r="Q774" s="56"/>
      <c r="R774" s="56"/>
      <c r="S774" s="56" t="s">
        <v>659</v>
      </c>
      <c r="W774" s="31" t="s">
        <v>742</v>
      </c>
      <c r="AB774" s="31" t="s">
        <v>551</v>
      </c>
      <c r="AC774" s="31" t="s">
        <v>156</v>
      </c>
      <c r="AD774" s="31" t="s">
        <v>743</v>
      </c>
      <c r="AE774" s="31" t="s">
        <v>743</v>
      </c>
      <c r="AF774" s="31" t="s">
        <v>252</v>
      </c>
      <c r="AG774" s="31" t="s">
        <v>217</v>
      </c>
      <c r="AH774" s="31" t="s">
        <v>744</v>
      </c>
      <c r="AI774" s="31" t="s">
        <v>693</v>
      </c>
      <c r="AJ774" s="31">
        <v>0</v>
      </c>
      <c r="AK774" s="31">
        <v>0</v>
      </c>
      <c r="AL774" s="31" t="s">
        <v>252</v>
      </c>
      <c r="AM774" s="31" t="s">
        <v>160</v>
      </c>
      <c r="AT774" s="64"/>
      <c r="CC774" s="31">
        <v>739</v>
      </c>
      <c r="CD774" s="31">
        <v>832</v>
      </c>
      <c r="DP774" s="46"/>
      <c r="DR774" s="46"/>
      <c r="DV774" s="31">
        <v>14.4</v>
      </c>
      <c r="DW774" s="31">
        <v>21.2</v>
      </c>
      <c r="DX774" s="31" t="s">
        <v>768</v>
      </c>
      <c r="EB774" s="31">
        <v>0.05</v>
      </c>
      <c r="EC774" s="31">
        <v>2.5000000000000001E-2</v>
      </c>
      <c r="ED774" s="31" t="s">
        <v>767</v>
      </c>
      <c r="EE774" s="31">
        <f>243*0.614</f>
        <v>149.202</v>
      </c>
      <c r="EF774" s="31">
        <f>491*0.614</f>
        <v>301.47399999999999</v>
      </c>
      <c r="EH774" s="31">
        <f>42*0.614</f>
        <v>25.788</v>
      </c>
      <c r="EI774" s="31">
        <f>62.6*0.614</f>
        <v>38.436399999999999</v>
      </c>
      <c r="EL774" s="31" t="s">
        <v>961</v>
      </c>
      <c r="EN774" s="31">
        <v>38</v>
      </c>
    </row>
    <row r="775" spans="1:144" s="31" customFormat="1" x14ac:dyDescent="0.25">
      <c r="A775" s="31">
        <v>38</v>
      </c>
      <c r="B775" s="31" t="s">
        <v>718</v>
      </c>
      <c r="C775" s="31" t="s">
        <v>719</v>
      </c>
      <c r="D775" s="31">
        <v>2005</v>
      </c>
      <c r="E775" s="31">
        <v>1999</v>
      </c>
      <c r="F775" s="31" t="s">
        <v>387</v>
      </c>
      <c r="G775" s="31" t="s">
        <v>741</v>
      </c>
      <c r="H775" s="31">
        <v>46.89</v>
      </c>
      <c r="I775" s="31">
        <v>-96.78</v>
      </c>
      <c r="J775" s="31">
        <v>274.10000000000002</v>
      </c>
      <c r="P775" s="56" t="s">
        <v>186</v>
      </c>
      <c r="Q775" s="56"/>
      <c r="R775" s="56"/>
      <c r="S775" s="56" t="s">
        <v>660</v>
      </c>
      <c r="W775" s="31" t="s">
        <v>742</v>
      </c>
      <c r="AB775" s="31" t="s">
        <v>551</v>
      </c>
      <c r="AC775" s="31" t="s">
        <v>156</v>
      </c>
      <c r="AD775" s="31" t="s">
        <v>743</v>
      </c>
      <c r="AE775" s="31" t="s">
        <v>743</v>
      </c>
      <c r="AF775" s="31" t="s">
        <v>252</v>
      </c>
      <c r="AG775" s="31" t="s">
        <v>217</v>
      </c>
      <c r="AH775" s="31" t="s">
        <v>744</v>
      </c>
      <c r="AI775" s="31" t="s">
        <v>693</v>
      </c>
      <c r="AJ775" s="31">
        <v>0</v>
      </c>
      <c r="AK775" s="31">
        <v>0</v>
      </c>
      <c r="AL775" s="31" t="s">
        <v>252</v>
      </c>
      <c r="AM775" s="31" t="s">
        <v>160</v>
      </c>
      <c r="AT775" s="64"/>
      <c r="DP775" s="46"/>
      <c r="DR775" s="46"/>
      <c r="DV775" s="31">
        <v>11.7</v>
      </c>
      <c r="DW775" s="31">
        <v>10.1</v>
      </c>
      <c r="DX775" s="31" t="s">
        <v>768</v>
      </c>
      <c r="EB775" s="31">
        <v>2.3E-2</v>
      </c>
      <c r="EC775" s="31">
        <v>1.9E-2</v>
      </c>
      <c r="ED775" s="31" t="s">
        <v>767</v>
      </c>
      <c r="EE775" s="31">
        <f>259*0.614</f>
        <v>159.02600000000001</v>
      </c>
      <c r="EF775" s="31">
        <f>334*0.614</f>
        <v>205.07599999999999</v>
      </c>
      <c r="EH775" s="31">
        <f>42.9*0.614</f>
        <v>26.340599999999998</v>
      </c>
      <c r="EI775" s="31">
        <f>42.3*0.614</f>
        <v>25.972199999999997</v>
      </c>
      <c r="EL775" s="31" t="s">
        <v>961</v>
      </c>
      <c r="EN775" s="31">
        <v>38</v>
      </c>
    </row>
    <row r="776" spans="1:144" s="31" customFormat="1" x14ac:dyDescent="0.25">
      <c r="A776" s="31">
        <v>38</v>
      </c>
      <c r="B776" s="31" t="s">
        <v>718</v>
      </c>
      <c r="C776" s="31" t="s">
        <v>719</v>
      </c>
      <c r="D776" s="31">
        <v>2005</v>
      </c>
      <c r="E776" s="31">
        <v>1999</v>
      </c>
      <c r="F776" s="31" t="s">
        <v>387</v>
      </c>
      <c r="G776" s="31" t="s">
        <v>741</v>
      </c>
      <c r="H776" s="31">
        <v>46.89</v>
      </c>
      <c r="I776" s="31">
        <v>-96.78</v>
      </c>
      <c r="J776" s="31">
        <v>274.10000000000002</v>
      </c>
      <c r="P776" s="56" t="s">
        <v>186</v>
      </c>
      <c r="Q776" s="56"/>
      <c r="R776" s="56"/>
      <c r="S776" s="56" t="s">
        <v>669</v>
      </c>
      <c r="W776" s="31" t="s">
        <v>742</v>
      </c>
      <c r="AB776" s="31" t="s">
        <v>551</v>
      </c>
      <c r="AC776" s="31" t="s">
        <v>156</v>
      </c>
      <c r="AD776" s="31" t="s">
        <v>743</v>
      </c>
      <c r="AE776" s="31" t="s">
        <v>743</v>
      </c>
      <c r="AF776" s="31" t="s">
        <v>252</v>
      </c>
      <c r="AG776" s="31" t="s">
        <v>217</v>
      </c>
      <c r="AH776" s="31" t="s">
        <v>744</v>
      </c>
      <c r="AI776" s="31" t="s">
        <v>693</v>
      </c>
      <c r="AJ776" s="31">
        <v>0</v>
      </c>
      <c r="AK776" s="31">
        <v>0</v>
      </c>
      <c r="AL776" s="31" t="s">
        <v>252</v>
      </c>
      <c r="AM776" s="31" t="s">
        <v>160</v>
      </c>
      <c r="AT776" s="64"/>
      <c r="DP776" s="46"/>
      <c r="DR776" s="46"/>
      <c r="DV776" s="31">
        <v>12.9</v>
      </c>
      <c r="DW776" s="31">
        <v>10.6</v>
      </c>
      <c r="DX776" s="31" t="s">
        <v>768</v>
      </c>
      <c r="EB776" s="31">
        <v>2.1000000000000001E-2</v>
      </c>
      <c r="EC776" s="31">
        <v>2.4E-2</v>
      </c>
      <c r="ED776" s="31" t="s">
        <v>767</v>
      </c>
      <c r="EE776" s="31">
        <f>391*0.614</f>
        <v>240.07399999999998</v>
      </c>
      <c r="EF776" s="31">
        <f>401*0.614</f>
        <v>246.214</v>
      </c>
      <c r="EH776" s="31">
        <f>64.9*0.614</f>
        <v>39.848600000000005</v>
      </c>
      <c r="EI776" s="31">
        <f>52*0.614</f>
        <v>31.928000000000001</v>
      </c>
      <c r="EL776" s="31" t="s">
        <v>961</v>
      </c>
      <c r="EN776" s="31">
        <v>38</v>
      </c>
    </row>
    <row r="777" spans="1:144" s="38" customFormat="1" x14ac:dyDescent="0.25">
      <c r="A777" s="38">
        <v>38</v>
      </c>
      <c r="B777" s="38" t="s">
        <v>718</v>
      </c>
      <c r="C777" s="38" t="s">
        <v>719</v>
      </c>
      <c r="D777" s="38">
        <v>2005</v>
      </c>
      <c r="E777" s="38">
        <v>1999</v>
      </c>
      <c r="F777" s="38" t="s">
        <v>387</v>
      </c>
      <c r="G777" s="38" t="s">
        <v>745</v>
      </c>
      <c r="H777" s="38">
        <v>46.84</v>
      </c>
      <c r="I777" s="38">
        <v>-100.91</v>
      </c>
      <c r="J777" s="38">
        <v>558.1</v>
      </c>
      <c r="P777" s="57" t="s">
        <v>186</v>
      </c>
      <c r="Q777" s="57"/>
      <c r="R777" s="57"/>
      <c r="S777" s="57" t="s">
        <v>659</v>
      </c>
      <c r="W777" s="38" t="s">
        <v>175</v>
      </c>
      <c r="AB777" s="38" t="s">
        <v>747</v>
      </c>
      <c r="AC777" s="38" t="s">
        <v>1729</v>
      </c>
      <c r="AD777" s="38" t="s">
        <v>748</v>
      </c>
      <c r="AE777" s="38" t="s">
        <v>749</v>
      </c>
      <c r="AF777" s="38" t="s">
        <v>693</v>
      </c>
      <c r="AG777" s="38" t="s">
        <v>724</v>
      </c>
      <c r="AH777" s="38" t="s">
        <v>217</v>
      </c>
      <c r="AI777" s="38" t="s">
        <v>693</v>
      </c>
      <c r="AJ777" s="38" t="s">
        <v>750</v>
      </c>
      <c r="AK777" s="38" t="s">
        <v>750</v>
      </c>
      <c r="AL777" s="38" t="s">
        <v>252</v>
      </c>
      <c r="AM777" s="38" t="s">
        <v>160</v>
      </c>
      <c r="AT777" s="64"/>
      <c r="CC777" s="38">
        <v>218</v>
      </c>
      <c r="CD777" s="38">
        <v>507</v>
      </c>
      <c r="DP777" s="46"/>
      <c r="DR777" s="46"/>
      <c r="DV777" s="38">
        <v>21.7</v>
      </c>
      <c r="DW777" s="38">
        <v>35.6</v>
      </c>
      <c r="DX777" s="38" t="s">
        <v>768</v>
      </c>
      <c r="EB777" s="38">
        <v>4.4999999999999998E-2</v>
      </c>
      <c r="EC777" s="38">
        <v>4.8000000000000001E-2</v>
      </c>
      <c r="ED777" s="38" t="s">
        <v>767</v>
      </c>
      <c r="EE777" s="38">
        <f>297*0.614</f>
        <v>182.358</v>
      </c>
      <c r="EF777" s="38">
        <f>444*0.614</f>
        <v>272.61599999999999</v>
      </c>
      <c r="EH777" s="38">
        <f>30.9*0.614</f>
        <v>18.9726</v>
      </c>
      <c r="EI777" s="38">
        <f>49.2*0.614</f>
        <v>30.2088</v>
      </c>
      <c r="EL777" s="38" t="s">
        <v>961</v>
      </c>
      <c r="EN777" s="38">
        <v>38</v>
      </c>
    </row>
    <row r="778" spans="1:144" s="38" customFormat="1" x14ac:dyDescent="0.25">
      <c r="A778" s="38">
        <v>38</v>
      </c>
      <c r="B778" s="38" t="s">
        <v>718</v>
      </c>
      <c r="C778" s="38" t="s">
        <v>719</v>
      </c>
      <c r="D778" s="38">
        <v>2005</v>
      </c>
      <c r="E778" s="38">
        <v>1999</v>
      </c>
      <c r="F778" s="38" t="s">
        <v>387</v>
      </c>
      <c r="G778" s="38" t="s">
        <v>745</v>
      </c>
      <c r="H778" s="38">
        <v>46.84</v>
      </c>
      <c r="I778" s="38">
        <v>-100.91</v>
      </c>
      <c r="J778" s="38">
        <v>558.1</v>
      </c>
      <c r="P778" s="57" t="s">
        <v>186</v>
      </c>
      <c r="Q778" s="57"/>
      <c r="R778" s="57"/>
      <c r="S778" s="57" t="s">
        <v>660</v>
      </c>
      <c r="W778" s="38" t="s">
        <v>175</v>
      </c>
      <c r="AB778" s="38" t="s">
        <v>747</v>
      </c>
      <c r="AC778" s="38" t="s">
        <v>1729</v>
      </c>
      <c r="AD778" s="38" t="s">
        <v>748</v>
      </c>
      <c r="AE778" s="38" t="s">
        <v>749</v>
      </c>
      <c r="AF778" s="38" t="s">
        <v>693</v>
      </c>
      <c r="AG778" s="38" t="s">
        <v>724</v>
      </c>
      <c r="AH778" s="38" t="s">
        <v>217</v>
      </c>
      <c r="AI778" s="38" t="s">
        <v>693</v>
      </c>
      <c r="AJ778" s="38" t="s">
        <v>750</v>
      </c>
      <c r="AK778" s="38" t="s">
        <v>750</v>
      </c>
      <c r="AL778" s="38" t="s">
        <v>252</v>
      </c>
      <c r="AM778" s="38" t="s">
        <v>160</v>
      </c>
      <c r="AT778" s="64"/>
      <c r="DP778" s="46"/>
      <c r="DR778" s="46"/>
      <c r="DV778" s="38">
        <v>7.5</v>
      </c>
      <c r="DW778" s="38">
        <v>19.7</v>
      </c>
      <c r="DX778" s="38" t="s">
        <v>768</v>
      </c>
      <c r="EB778" s="38">
        <v>2.3E-2</v>
      </c>
      <c r="EC778" s="38">
        <v>2.4E-2</v>
      </c>
      <c r="ED778" s="38" t="s">
        <v>767</v>
      </c>
      <c r="EE778" s="38">
        <f>213*0.614</f>
        <v>130.78200000000001</v>
      </c>
      <c r="EF778" s="38">
        <f>227*0.614</f>
        <v>139.37799999999999</v>
      </c>
      <c r="EH778" s="38">
        <f>16.8*0.614</f>
        <v>10.315200000000001</v>
      </c>
      <c r="EI778" s="38">
        <f>30.1*0.614</f>
        <v>18.481400000000001</v>
      </c>
      <c r="EL778" s="38" t="s">
        <v>961</v>
      </c>
      <c r="EN778" s="38">
        <v>38</v>
      </c>
    </row>
    <row r="779" spans="1:144" s="38" customFormat="1" x14ac:dyDescent="0.25">
      <c r="A779" s="38">
        <v>38</v>
      </c>
      <c r="B779" s="38" t="s">
        <v>718</v>
      </c>
      <c r="C779" s="38" t="s">
        <v>719</v>
      </c>
      <c r="D779" s="38">
        <v>2005</v>
      </c>
      <c r="E779" s="38">
        <v>1999</v>
      </c>
      <c r="F779" s="38" t="s">
        <v>387</v>
      </c>
      <c r="G779" s="38" t="s">
        <v>745</v>
      </c>
      <c r="H779" s="38">
        <v>46.84</v>
      </c>
      <c r="I779" s="38">
        <v>-100.91</v>
      </c>
      <c r="J779" s="38">
        <v>558.1</v>
      </c>
      <c r="P779" s="57" t="s">
        <v>186</v>
      </c>
      <c r="Q779" s="57"/>
      <c r="R779" s="57"/>
      <c r="S779" s="57" t="s">
        <v>669</v>
      </c>
      <c r="W779" s="38" t="s">
        <v>175</v>
      </c>
      <c r="AB779" s="38" t="s">
        <v>747</v>
      </c>
      <c r="AC779" s="38" t="s">
        <v>1729</v>
      </c>
      <c r="AD779" s="38" t="s">
        <v>748</v>
      </c>
      <c r="AE779" s="38" t="s">
        <v>749</v>
      </c>
      <c r="AF779" s="38" t="s">
        <v>693</v>
      </c>
      <c r="AG779" s="38" t="s">
        <v>724</v>
      </c>
      <c r="AH779" s="38" t="s">
        <v>217</v>
      </c>
      <c r="AI779" s="38" t="s">
        <v>693</v>
      </c>
      <c r="AJ779" s="38" t="s">
        <v>750</v>
      </c>
      <c r="AK779" s="38" t="s">
        <v>750</v>
      </c>
      <c r="AL779" s="38" t="s">
        <v>252</v>
      </c>
      <c r="AM779" s="38" t="s">
        <v>160</v>
      </c>
      <c r="AT779" s="64"/>
      <c r="DP779" s="46"/>
      <c r="DR779" s="46"/>
      <c r="DV779" s="38">
        <v>9</v>
      </c>
      <c r="DW779" s="38">
        <v>15.7</v>
      </c>
      <c r="DX779" s="38" t="s">
        <v>768</v>
      </c>
      <c r="EB779" s="38">
        <v>2.3E-2</v>
      </c>
      <c r="EC779" s="38">
        <v>0.02</v>
      </c>
      <c r="ED779" s="38" t="s">
        <v>767</v>
      </c>
      <c r="EE779" s="38">
        <f>275*0.614</f>
        <v>168.85</v>
      </c>
      <c r="EF779" s="38">
        <f>453*0.614</f>
        <v>278.142</v>
      </c>
      <c r="EH779" s="38">
        <f>23.5*0.614</f>
        <v>14.429</v>
      </c>
      <c r="EI779" s="38">
        <f>36.5*0.614</f>
        <v>22.411000000000001</v>
      </c>
      <c r="EL779" s="38" t="s">
        <v>961</v>
      </c>
      <c r="EN779" s="38">
        <v>38</v>
      </c>
    </row>
    <row r="780" spans="1:144" s="31" customFormat="1" x14ac:dyDescent="0.25">
      <c r="A780" s="31">
        <v>38</v>
      </c>
      <c r="B780" s="31" t="s">
        <v>718</v>
      </c>
      <c r="C780" s="31" t="s">
        <v>719</v>
      </c>
      <c r="D780" s="31">
        <v>2005</v>
      </c>
      <c r="E780" s="31">
        <v>1999</v>
      </c>
      <c r="F780" s="31" t="s">
        <v>387</v>
      </c>
      <c r="G780" s="31" t="s">
        <v>751</v>
      </c>
      <c r="H780" s="31">
        <v>41.23</v>
      </c>
      <c r="I780" s="31">
        <v>-96.51</v>
      </c>
      <c r="J780" s="31">
        <v>365.7</v>
      </c>
      <c r="P780" s="56" t="s">
        <v>186</v>
      </c>
      <c r="Q780" s="56"/>
      <c r="R780" s="56"/>
      <c r="S780" s="56" t="s">
        <v>659</v>
      </c>
      <c r="W780" s="31" t="s">
        <v>752</v>
      </c>
      <c r="AB780" s="31" t="s">
        <v>753</v>
      </c>
      <c r="AC780" s="31" t="s">
        <v>174</v>
      </c>
      <c r="AD780" s="31" t="s">
        <v>738</v>
      </c>
      <c r="AE780" s="31" t="s">
        <v>754</v>
      </c>
      <c r="AF780" s="31" t="s">
        <v>693</v>
      </c>
      <c r="AG780" s="31" t="s">
        <v>758</v>
      </c>
      <c r="AH780" s="31" t="s">
        <v>758</v>
      </c>
      <c r="AI780" s="31" t="s">
        <v>252</v>
      </c>
      <c r="AJ780" s="31" t="s">
        <v>755</v>
      </c>
      <c r="AK780" s="31" t="s">
        <v>755</v>
      </c>
      <c r="AL780" s="31" t="s">
        <v>252</v>
      </c>
      <c r="AM780" s="31" t="s">
        <v>160</v>
      </c>
      <c r="AT780" s="64"/>
      <c r="CC780" s="31">
        <v>584</v>
      </c>
      <c r="CD780" s="31">
        <v>622</v>
      </c>
      <c r="DP780" s="46"/>
      <c r="DR780" s="46"/>
      <c r="DV780" s="31">
        <v>19.3</v>
      </c>
      <c r="DW780" s="31">
        <v>29.5</v>
      </c>
      <c r="DX780" s="31" t="s">
        <v>768</v>
      </c>
      <c r="EB780" s="31">
        <v>7.1999999999999995E-2</v>
      </c>
      <c r="EC780" s="31">
        <v>6.2E-2</v>
      </c>
      <c r="ED780" s="31" t="s">
        <v>767</v>
      </c>
      <c r="EE780" s="31">
        <f>195*0.614</f>
        <v>119.73</v>
      </c>
      <c r="EF780" s="31">
        <f>324*0.614</f>
        <v>198.93600000000001</v>
      </c>
      <c r="EH780" s="31">
        <f>29.6*0.614</f>
        <v>18.174400000000002</v>
      </c>
      <c r="EI780" s="31">
        <f>36.7*0.614</f>
        <v>22.533800000000003</v>
      </c>
      <c r="EL780" s="31" t="s">
        <v>961</v>
      </c>
      <c r="EN780" s="31">
        <v>38</v>
      </c>
    </row>
    <row r="781" spans="1:144" s="31" customFormat="1" x14ac:dyDescent="0.25">
      <c r="A781" s="31">
        <v>38</v>
      </c>
      <c r="B781" s="31" t="s">
        <v>718</v>
      </c>
      <c r="C781" s="31" t="s">
        <v>719</v>
      </c>
      <c r="D781" s="31">
        <v>2005</v>
      </c>
      <c r="E781" s="31">
        <v>1999</v>
      </c>
      <c r="F781" s="31" t="s">
        <v>387</v>
      </c>
      <c r="G781" s="31" t="s">
        <v>751</v>
      </c>
      <c r="H781" s="31">
        <v>41.23</v>
      </c>
      <c r="I781" s="31">
        <v>-96.51</v>
      </c>
      <c r="J781" s="31">
        <v>365.7</v>
      </c>
      <c r="P781" s="56" t="s">
        <v>186</v>
      </c>
      <c r="Q781" s="56"/>
      <c r="R781" s="56"/>
      <c r="S781" s="56" t="s">
        <v>660</v>
      </c>
      <c r="W781" s="31" t="s">
        <v>752</v>
      </c>
      <c r="AB781" s="31" t="s">
        <v>753</v>
      </c>
      <c r="AC781" s="31" t="s">
        <v>174</v>
      </c>
      <c r="AD781" s="31" t="s">
        <v>738</v>
      </c>
      <c r="AE781" s="31" t="s">
        <v>754</v>
      </c>
      <c r="AF781" s="31" t="s">
        <v>693</v>
      </c>
      <c r="AG781" s="31" t="s">
        <v>758</v>
      </c>
      <c r="AH781" s="31" t="s">
        <v>758</v>
      </c>
      <c r="AI781" s="31" t="s">
        <v>252</v>
      </c>
      <c r="AJ781" s="31" t="s">
        <v>755</v>
      </c>
      <c r="AK781" s="31" t="s">
        <v>755</v>
      </c>
      <c r="AL781" s="31" t="s">
        <v>252</v>
      </c>
      <c r="AM781" s="31" t="s">
        <v>160</v>
      </c>
      <c r="AT781" s="64"/>
      <c r="DP781" s="46"/>
      <c r="DR781" s="46"/>
      <c r="DV781" s="31">
        <v>10.8</v>
      </c>
      <c r="DW781" s="31">
        <v>11.3</v>
      </c>
      <c r="DX781" s="31" t="s">
        <v>768</v>
      </c>
      <c r="EB781" s="31">
        <v>0.04</v>
      </c>
      <c r="EC781" s="31">
        <v>3.1E-2</v>
      </c>
      <c r="ED781" s="31" t="s">
        <v>767</v>
      </c>
      <c r="EE781" s="31">
        <f>237*0.614</f>
        <v>145.518</v>
      </c>
      <c r="EF781" s="31">
        <f>272*0.614</f>
        <v>167.00800000000001</v>
      </c>
      <c r="EH781" s="31">
        <f>28.1*0.614</f>
        <v>17.253399999999999</v>
      </c>
      <c r="EI781" s="31">
        <f>32.2*0.614</f>
        <v>19.770800000000001</v>
      </c>
      <c r="EL781" s="31" t="s">
        <v>961</v>
      </c>
      <c r="EN781" s="31">
        <v>38</v>
      </c>
    </row>
    <row r="782" spans="1:144" s="31" customFormat="1" x14ac:dyDescent="0.25">
      <c r="A782" s="31">
        <v>38</v>
      </c>
      <c r="B782" s="31" t="s">
        <v>718</v>
      </c>
      <c r="C782" s="31" t="s">
        <v>719</v>
      </c>
      <c r="D782" s="31">
        <v>2005</v>
      </c>
      <c r="E782" s="31">
        <v>1999</v>
      </c>
      <c r="F782" s="31" t="s">
        <v>387</v>
      </c>
      <c r="G782" s="31" t="s">
        <v>751</v>
      </c>
      <c r="H782" s="31">
        <v>41.23</v>
      </c>
      <c r="I782" s="31">
        <v>-96.51</v>
      </c>
      <c r="J782" s="31">
        <v>365.7</v>
      </c>
      <c r="P782" s="56" t="s">
        <v>186</v>
      </c>
      <c r="Q782" s="56"/>
      <c r="R782" s="56"/>
      <c r="S782" s="56" t="s">
        <v>669</v>
      </c>
      <c r="W782" s="31" t="s">
        <v>752</v>
      </c>
      <c r="AB782" s="31" t="s">
        <v>753</v>
      </c>
      <c r="AC782" s="31" t="s">
        <v>174</v>
      </c>
      <c r="AD782" s="31" t="s">
        <v>738</v>
      </c>
      <c r="AE782" s="31" t="s">
        <v>754</v>
      </c>
      <c r="AF782" s="31" t="s">
        <v>693</v>
      </c>
      <c r="AG782" s="31" t="s">
        <v>758</v>
      </c>
      <c r="AH782" s="31" t="s">
        <v>758</v>
      </c>
      <c r="AI782" s="31" t="s">
        <v>252</v>
      </c>
      <c r="AJ782" s="31" t="s">
        <v>755</v>
      </c>
      <c r="AK782" s="31" t="s">
        <v>755</v>
      </c>
      <c r="AL782" s="31" t="s">
        <v>252</v>
      </c>
      <c r="AM782" s="31" t="s">
        <v>160</v>
      </c>
      <c r="AT782" s="64"/>
      <c r="DP782" s="46"/>
      <c r="DR782" s="46"/>
      <c r="DV782" s="31">
        <v>7.4</v>
      </c>
      <c r="DW782" s="31">
        <v>7.9</v>
      </c>
      <c r="DX782" s="31" t="s">
        <v>768</v>
      </c>
      <c r="EB782" s="31">
        <v>2.7E-2</v>
      </c>
      <c r="EC782" s="31">
        <v>3.4000000000000002E-2</v>
      </c>
      <c r="ED782" s="31" t="s">
        <v>767</v>
      </c>
      <c r="EE782" s="31">
        <f>317*0.614</f>
        <v>194.63800000000001</v>
      </c>
      <c r="EF782" s="31">
        <f>284*0.614</f>
        <v>174.376</v>
      </c>
      <c r="EH782" s="31">
        <f>37.2*0.614</f>
        <v>22.840800000000002</v>
      </c>
      <c r="EI782" s="31">
        <f>31.5*0.614</f>
        <v>19.341000000000001</v>
      </c>
      <c r="EL782" s="31" t="s">
        <v>961</v>
      </c>
      <c r="EN782" s="31">
        <v>38</v>
      </c>
    </row>
    <row r="783" spans="1:144" s="38" customFormat="1" x14ac:dyDescent="0.25">
      <c r="A783" s="38">
        <v>38</v>
      </c>
      <c r="B783" s="38" t="s">
        <v>718</v>
      </c>
      <c r="C783" s="38" t="s">
        <v>719</v>
      </c>
      <c r="D783" s="38">
        <v>2005</v>
      </c>
      <c r="E783" s="38">
        <v>1999</v>
      </c>
      <c r="F783" s="38" t="s">
        <v>387</v>
      </c>
      <c r="G783" s="38" t="s">
        <v>756</v>
      </c>
      <c r="H783" s="38">
        <v>47.72</v>
      </c>
      <c r="I783" s="38">
        <v>-104.16</v>
      </c>
      <c r="J783" s="38">
        <v>589</v>
      </c>
      <c r="P783" s="57" t="s">
        <v>186</v>
      </c>
      <c r="Q783" s="57"/>
      <c r="R783" s="57"/>
      <c r="S783" s="57" t="s">
        <v>659</v>
      </c>
      <c r="W783" s="38" t="s">
        <v>182</v>
      </c>
      <c r="AB783" s="38" t="s">
        <v>746</v>
      </c>
      <c r="AC783" s="38" t="s">
        <v>1730</v>
      </c>
      <c r="AD783" s="38" t="s">
        <v>748</v>
      </c>
      <c r="AE783" s="38" t="s">
        <v>757</v>
      </c>
      <c r="AF783" s="38" t="s">
        <v>693</v>
      </c>
      <c r="AG783" s="38" t="s">
        <v>758</v>
      </c>
      <c r="AH783" s="38" t="s">
        <v>217</v>
      </c>
      <c r="AI783" s="38" t="s">
        <v>693</v>
      </c>
      <c r="AJ783" s="38" t="s">
        <v>691</v>
      </c>
      <c r="AK783" s="38" t="s">
        <v>691</v>
      </c>
      <c r="AL783" s="38" t="s">
        <v>252</v>
      </c>
      <c r="AM783" s="38" t="s">
        <v>160</v>
      </c>
      <c r="AT783" s="64"/>
      <c r="CC783" s="38">
        <v>486</v>
      </c>
      <c r="CD783" s="38">
        <v>360</v>
      </c>
      <c r="DP783" s="46"/>
      <c r="DR783" s="46"/>
      <c r="DV783" s="38">
        <v>20.3</v>
      </c>
      <c r="DW783" s="38">
        <v>20.399999999999999</v>
      </c>
      <c r="DX783" s="38" t="s">
        <v>768</v>
      </c>
      <c r="EH783" s="38">
        <f>24.3*0.614</f>
        <v>14.920199999999999</v>
      </c>
      <c r="EI783" s="38">
        <f>27.6*0.614</f>
        <v>16.946400000000001</v>
      </c>
      <c r="EL783" s="38" t="s">
        <v>961</v>
      </c>
      <c r="EN783" s="38">
        <v>38</v>
      </c>
    </row>
    <row r="784" spans="1:144" s="38" customFormat="1" x14ac:dyDescent="0.25">
      <c r="A784" s="38">
        <v>38</v>
      </c>
      <c r="B784" s="38" t="s">
        <v>718</v>
      </c>
      <c r="C784" s="38" t="s">
        <v>719</v>
      </c>
      <c r="D784" s="38">
        <v>2005</v>
      </c>
      <c r="E784" s="38">
        <v>1999</v>
      </c>
      <c r="F784" s="38" t="s">
        <v>387</v>
      </c>
      <c r="G784" s="38" t="s">
        <v>756</v>
      </c>
      <c r="H784" s="38">
        <v>47.72</v>
      </c>
      <c r="I784" s="38">
        <v>-104.16</v>
      </c>
      <c r="J784" s="38">
        <v>589</v>
      </c>
      <c r="P784" s="57" t="s">
        <v>186</v>
      </c>
      <c r="Q784" s="57"/>
      <c r="R784" s="57"/>
      <c r="S784" s="57" t="s">
        <v>660</v>
      </c>
      <c r="W784" s="38" t="s">
        <v>182</v>
      </c>
      <c r="AB784" s="38" t="s">
        <v>746</v>
      </c>
      <c r="AC784" s="38" t="s">
        <v>1730</v>
      </c>
      <c r="AD784" s="38" t="s">
        <v>748</v>
      </c>
      <c r="AE784" s="38" t="s">
        <v>757</v>
      </c>
      <c r="AF784" s="38" t="s">
        <v>693</v>
      </c>
      <c r="AG784" s="38" t="s">
        <v>758</v>
      </c>
      <c r="AH784" s="38" t="s">
        <v>217</v>
      </c>
      <c r="AI784" s="38" t="s">
        <v>693</v>
      </c>
      <c r="AJ784" s="38" t="s">
        <v>691</v>
      </c>
      <c r="AK784" s="38" t="s">
        <v>691</v>
      </c>
      <c r="AL784" s="38" t="s">
        <v>252</v>
      </c>
      <c r="AM784" s="38" t="s">
        <v>160</v>
      </c>
      <c r="AT784" s="64"/>
      <c r="DP784" s="46"/>
      <c r="DR784" s="46"/>
      <c r="DV784" s="38">
        <v>8.5</v>
      </c>
      <c r="DW784" s="38">
        <v>13</v>
      </c>
      <c r="DX784" s="38" t="s">
        <v>768</v>
      </c>
      <c r="EB784" s="38">
        <v>4.7E-2</v>
      </c>
      <c r="EC784" s="38">
        <v>5.2999999999999999E-2</v>
      </c>
      <c r="ED784" s="38" t="s">
        <v>767</v>
      </c>
      <c r="EE784" s="38">
        <f>208*0.614</f>
        <v>127.712</v>
      </c>
      <c r="EF784" s="38">
        <f>193*0.614</f>
        <v>118.502</v>
      </c>
      <c r="EH784" s="38">
        <f>21.8*0.614</f>
        <v>13.385200000000001</v>
      </c>
      <c r="EI784" s="38">
        <f>17.4*0.614</f>
        <v>10.683599999999998</v>
      </c>
      <c r="EL784" s="38" t="s">
        <v>961</v>
      </c>
      <c r="EN784" s="38">
        <v>38</v>
      </c>
    </row>
    <row r="785" spans="1:144" s="38" customFormat="1" x14ac:dyDescent="0.25">
      <c r="A785" s="38">
        <v>38</v>
      </c>
      <c r="B785" s="38" t="s">
        <v>718</v>
      </c>
      <c r="C785" s="38" t="s">
        <v>719</v>
      </c>
      <c r="D785" s="38">
        <v>2005</v>
      </c>
      <c r="E785" s="38">
        <v>1999</v>
      </c>
      <c r="F785" s="38" t="s">
        <v>387</v>
      </c>
      <c r="G785" s="38" t="s">
        <v>756</v>
      </c>
      <c r="H785" s="38">
        <v>47.72</v>
      </c>
      <c r="I785" s="38">
        <v>-104.16</v>
      </c>
      <c r="J785" s="38">
        <v>589</v>
      </c>
      <c r="P785" s="57" t="s">
        <v>186</v>
      </c>
      <c r="Q785" s="57"/>
      <c r="R785" s="57"/>
      <c r="S785" s="57" t="s">
        <v>669</v>
      </c>
      <c r="W785" s="38" t="s">
        <v>182</v>
      </c>
      <c r="AB785" s="38" t="s">
        <v>746</v>
      </c>
      <c r="AC785" s="38" t="s">
        <v>1730</v>
      </c>
      <c r="AD785" s="38" t="s">
        <v>748</v>
      </c>
      <c r="AE785" s="38" t="s">
        <v>757</v>
      </c>
      <c r="AF785" s="38" t="s">
        <v>693</v>
      </c>
      <c r="AG785" s="38" t="s">
        <v>758</v>
      </c>
      <c r="AH785" s="38" t="s">
        <v>217</v>
      </c>
      <c r="AI785" s="38" t="s">
        <v>693</v>
      </c>
      <c r="AJ785" s="38" t="s">
        <v>691</v>
      </c>
      <c r="AK785" s="38" t="s">
        <v>691</v>
      </c>
      <c r="AL785" s="38" t="s">
        <v>252</v>
      </c>
      <c r="AM785" s="38" t="s">
        <v>160</v>
      </c>
      <c r="AT785" s="64"/>
      <c r="DP785" s="46"/>
      <c r="DR785" s="46"/>
      <c r="DV785" s="38">
        <v>6.3</v>
      </c>
      <c r="DW785" s="38">
        <v>10.8</v>
      </c>
      <c r="DX785" s="38" t="s">
        <v>768</v>
      </c>
      <c r="EB785" s="38">
        <v>5.1999999999999998E-2</v>
      </c>
      <c r="EC785" s="38">
        <v>5.8000000000000003E-2</v>
      </c>
      <c r="ED785" s="38" t="s">
        <v>767</v>
      </c>
      <c r="EE785" s="38">
        <f>263*0.614</f>
        <v>161.482</v>
      </c>
      <c r="EF785" s="38">
        <f>211*0.614</f>
        <v>129.554</v>
      </c>
      <c r="EH785" s="38">
        <f>26.1*0.614</f>
        <v>16.025400000000001</v>
      </c>
      <c r="EI785" s="38">
        <f>20*0.614</f>
        <v>12.28</v>
      </c>
      <c r="EL785" s="38" t="s">
        <v>961</v>
      </c>
      <c r="EN785" s="38">
        <v>38</v>
      </c>
    </row>
    <row r="786" spans="1:144" s="31" customFormat="1" x14ac:dyDescent="0.25">
      <c r="A786" s="31">
        <v>38</v>
      </c>
      <c r="B786" s="31" t="s">
        <v>718</v>
      </c>
      <c r="C786" s="31" t="s">
        <v>719</v>
      </c>
      <c r="D786" s="31">
        <v>2005</v>
      </c>
      <c r="E786" s="31">
        <v>1999</v>
      </c>
      <c r="F786" s="31" t="s">
        <v>387</v>
      </c>
      <c r="G786" s="31" t="s">
        <v>759</v>
      </c>
      <c r="H786" s="31">
        <v>50.29</v>
      </c>
      <c r="I786" s="31">
        <v>-107.73</v>
      </c>
      <c r="J786" s="31">
        <v>781</v>
      </c>
      <c r="P786" s="56" t="s">
        <v>186</v>
      </c>
      <c r="Q786" s="56"/>
      <c r="R786" s="56"/>
      <c r="S786" s="56" t="s">
        <v>659</v>
      </c>
      <c r="W786" s="31" t="s">
        <v>175</v>
      </c>
      <c r="AB786" s="31" t="s">
        <v>760</v>
      </c>
      <c r="AC786" s="31" t="s">
        <v>1730</v>
      </c>
      <c r="AD786" s="31" t="s">
        <v>748</v>
      </c>
      <c r="AE786" s="31" t="s">
        <v>761</v>
      </c>
      <c r="AF786" s="31" t="s">
        <v>693</v>
      </c>
      <c r="AG786" s="31" t="s">
        <v>762</v>
      </c>
      <c r="AH786" s="31" t="s">
        <v>762</v>
      </c>
      <c r="AI786" s="31" t="s">
        <v>252</v>
      </c>
      <c r="AJ786" s="31" t="s">
        <v>722</v>
      </c>
      <c r="AK786" s="31" t="s">
        <v>722</v>
      </c>
      <c r="AM786" s="31" t="s">
        <v>160</v>
      </c>
      <c r="AT786" s="64"/>
      <c r="CC786" s="31">
        <v>485</v>
      </c>
      <c r="CD786" s="31">
        <v>609</v>
      </c>
      <c r="DP786" s="46"/>
      <c r="DR786" s="46"/>
      <c r="DV786" s="31">
        <v>23.7</v>
      </c>
      <c r="DW786" s="31">
        <v>45.8</v>
      </c>
      <c r="DX786" s="31" t="s">
        <v>768</v>
      </c>
      <c r="EB786" s="31">
        <v>5.7000000000000002E-2</v>
      </c>
      <c r="EC786" s="31">
        <v>8.6999999999999994E-2</v>
      </c>
      <c r="ED786" s="31" t="s">
        <v>767</v>
      </c>
      <c r="EE786" s="31">
        <f>288*0.614</f>
        <v>176.83199999999999</v>
      </c>
      <c r="EF786" s="31">
        <f>491*0.614</f>
        <v>301.47399999999999</v>
      </c>
      <c r="EH786" s="31">
        <f>32.8*0.614</f>
        <v>20.139199999999999</v>
      </c>
      <c r="EI786" s="31">
        <f>45.2*0.614</f>
        <v>27.752800000000001</v>
      </c>
      <c r="EL786" s="31" t="s">
        <v>961</v>
      </c>
      <c r="EN786" s="31">
        <v>38</v>
      </c>
    </row>
    <row r="787" spans="1:144" s="31" customFormat="1" x14ac:dyDescent="0.25">
      <c r="A787" s="31">
        <v>38</v>
      </c>
      <c r="B787" s="31" t="s">
        <v>718</v>
      </c>
      <c r="C787" s="31" t="s">
        <v>719</v>
      </c>
      <c r="D787" s="31">
        <v>2005</v>
      </c>
      <c r="E787" s="31">
        <v>1999</v>
      </c>
      <c r="F787" s="31" t="s">
        <v>387</v>
      </c>
      <c r="G787" s="31" t="s">
        <v>759</v>
      </c>
      <c r="H787" s="31">
        <v>50.29</v>
      </c>
      <c r="I787" s="31">
        <v>-107.73</v>
      </c>
      <c r="J787" s="31">
        <v>781</v>
      </c>
      <c r="P787" s="56" t="s">
        <v>186</v>
      </c>
      <c r="Q787" s="56"/>
      <c r="R787" s="56"/>
      <c r="S787" s="56" t="s">
        <v>660</v>
      </c>
      <c r="W787" s="31" t="s">
        <v>175</v>
      </c>
      <c r="AB787" s="31" t="s">
        <v>760</v>
      </c>
      <c r="AC787" s="31" t="s">
        <v>1730</v>
      </c>
      <c r="AD787" s="31" t="s">
        <v>748</v>
      </c>
      <c r="AE787" s="31" t="s">
        <v>761</v>
      </c>
      <c r="AF787" s="31" t="s">
        <v>693</v>
      </c>
      <c r="AG787" s="31" t="s">
        <v>762</v>
      </c>
      <c r="AH787" s="31" t="s">
        <v>762</v>
      </c>
      <c r="AI787" s="31" t="s">
        <v>252</v>
      </c>
      <c r="AJ787" s="31" t="s">
        <v>722</v>
      </c>
      <c r="AK787" s="31" t="s">
        <v>722</v>
      </c>
      <c r="AM787" s="31" t="s">
        <v>160</v>
      </c>
      <c r="AT787" s="64"/>
      <c r="DP787" s="46"/>
      <c r="DR787" s="46"/>
      <c r="DV787" s="31">
        <v>14.2</v>
      </c>
      <c r="DW787" s="31">
        <v>22.6</v>
      </c>
      <c r="DX787" s="31" t="s">
        <v>768</v>
      </c>
      <c r="EB787" s="31">
        <v>2.9000000000000001E-2</v>
      </c>
      <c r="EC787" s="31">
        <v>2.3E-2</v>
      </c>
      <c r="ED787" s="31" t="s">
        <v>767</v>
      </c>
      <c r="EE787" s="31">
        <f>227*0.614</f>
        <v>139.37799999999999</v>
      </c>
      <c r="EF787" s="31">
        <f>352*0.614</f>
        <v>216.12799999999999</v>
      </c>
      <c r="EH787" s="31">
        <f>23.3*0.614</f>
        <v>14.3062</v>
      </c>
      <c r="EI787" s="31">
        <f>35.6*0.614</f>
        <v>21.8584</v>
      </c>
      <c r="EL787" s="31" t="s">
        <v>961</v>
      </c>
      <c r="EN787" s="31">
        <v>38</v>
      </c>
    </row>
    <row r="788" spans="1:144" s="31" customFormat="1" x14ac:dyDescent="0.25">
      <c r="A788" s="31">
        <v>38</v>
      </c>
      <c r="B788" s="31" t="s">
        <v>718</v>
      </c>
      <c r="C788" s="31" t="s">
        <v>719</v>
      </c>
      <c r="D788" s="31">
        <v>2005</v>
      </c>
      <c r="E788" s="31">
        <v>1999</v>
      </c>
      <c r="F788" s="31" t="s">
        <v>387</v>
      </c>
      <c r="G788" s="31" t="s">
        <v>759</v>
      </c>
      <c r="H788" s="31">
        <v>50.29</v>
      </c>
      <c r="I788" s="31">
        <v>-107.73</v>
      </c>
      <c r="J788" s="31">
        <v>781</v>
      </c>
      <c r="P788" s="56" t="s">
        <v>186</v>
      </c>
      <c r="Q788" s="56"/>
      <c r="R788" s="56"/>
      <c r="S788" s="56" t="s">
        <v>669</v>
      </c>
      <c r="W788" s="31" t="s">
        <v>175</v>
      </c>
      <c r="AB788" s="31" t="s">
        <v>760</v>
      </c>
      <c r="AC788" s="31" t="s">
        <v>1730</v>
      </c>
      <c r="AD788" s="31" t="s">
        <v>748</v>
      </c>
      <c r="AE788" s="31" t="s">
        <v>761</v>
      </c>
      <c r="AF788" s="31" t="s">
        <v>693</v>
      </c>
      <c r="AG788" s="31" t="s">
        <v>762</v>
      </c>
      <c r="AH788" s="31" t="s">
        <v>762</v>
      </c>
      <c r="AI788" s="31" t="s">
        <v>252</v>
      </c>
      <c r="AJ788" s="31" t="s">
        <v>722</v>
      </c>
      <c r="AK788" s="31" t="s">
        <v>722</v>
      </c>
      <c r="AM788" s="31" t="s">
        <v>160</v>
      </c>
      <c r="AT788" s="64"/>
      <c r="DP788" s="46"/>
      <c r="DR788" s="46"/>
      <c r="DV788" s="31">
        <v>12.5</v>
      </c>
      <c r="DW788" s="31">
        <v>15.1</v>
      </c>
      <c r="DX788" s="31" t="s">
        <v>768</v>
      </c>
      <c r="EB788" s="31">
        <v>3.5000000000000003E-2</v>
      </c>
      <c r="EC788" s="31">
        <v>2.5999999999999999E-2</v>
      </c>
      <c r="ED788" s="31" t="s">
        <v>767</v>
      </c>
      <c r="EE788" s="31">
        <f>239*0.614</f>
        <v>146.74600000000001</v>
      </c>
      <c r="EF788" s="31">
        <f>320*0.614</f>
        <v>196.48</v>
      </c>
      <c r="EH788" s="31">
        <f>26.1*0.614</f>
        <v>16.025400000000001</v>
      </c>
      <c r="EI788" s="31">
        <f>45.1*0.614</f>
        <v>27.691400000000002</v>
      </c>
      <c r="EL788" s="31" t="s">
        <v>961</v>
      </c>
      <c r="EN788" s="31">
        <v>38</v>
      </c>
    </row>
    <row r="789" spans="1:144" s="42" customFormat="1" x14ac:dyDescent="0.25">
      <c r="A789" s="42">
        <v>39</v>
      </c>
      <c r="B789" s="42" t="s">
        <v>769</v>
      </c>
      <c r="C789" s="42" t="s">
        <v>770</v>
      </c>
      <c r="D789" s="42">
        <v>2006</v>
      </c>
      <c r="E789" s="42">
        <v>2004</v>
      </c>
      <c r="F789" s="42" t="s">
        <v>168</v>
      </c>
      <c r="G789" s="42" t="s">
        <v>853</v>
      </c>
      <c r="H789" s="42">
        <f t="shared" ref="H789:H796" si="209">41+26/60</f>
        <v>41.43333333333333</v>
      </c>
      <c r="I789" s="42">
        <f t="shared" ref="I789:I796" si="210">-85-23/60</f>
        <v>-85.38333333333334</v>
      </c>
      <c r="J789" s="42">
        <v>292.60000000000002</v>
      </c>
      <c r="P789" s="59" t="s">
        <v>186</v>
      </c>
      <c r="Q789" s="59"/>
      <c r="R789" s="59"/>
      <c r="S789" s="59" t="s">
        <v>771</v>
      </c>
      <c r="W789" s="42" t="s">
        <v>624</v>
      </c>
      <c r="X789" s="42">
        <v>6.1</v>
      </c>
      <c r="AA789" s="42" t="s">
        <v>1693</v>
      </c>
      <c r="AB789" s="42" t="s">
        <v>1507</v>
      </c>
      <c r="AC789" s="42" t="s">
        <v>1736</v>
      </c>
      <c r="AD789" s="42" t="s">
        <v>776</v>
      </c>
      <c r="AE789" s="42" t="s">
        <v>775</v>
      </c>
      <c r="AF789" s="42" t="s">
        <v>693</v>
      </c>
      <c r="AG789" s="42" t="s">
        <v>774</v>
      </c>
      <c r="AH789" s="42" t="s">
        <v>774</v>
      </c>
      <c r="AI789" s="42" t="s">
        <v>252</v>
      </c>
      <c r="AJ789" s="42" t="s">
        <v>773</v>
      </c>
      <c r="AK789" s="42" t="s">
        <v>772</v>
      </c>
      <c r="AL789" s="42" t="s">
        <v>693</v>
      </c>
      <c r="AM789" s="42" t="s">
        <v>222</v>
      </c>
      <c r="AN789" s="42">
        <v>4</v>
      </c>
      <c r="AO789" s="42">
        <v>4</v>
      </c>
      <c r="AP789" s="42" t="s">
        <v>184</v>
      </c>
      <c r="AT789" s="63"/>
      <c r="AU789" s="42" t="s">
        <v>778</v>
      </c>
      <c r="BE789" s="42">
        <v>1.2370000000000001</v>
      </c>
      <c r="BF789" s="42">
        <v>1.35</v>
      </c>
      <c r="BG789" s="42" t="s">
        <v>225</v>
      </c>
      <c r="BH789" s="42">
        <v>1141</v>
      </c>
      <c r="BI789" s="42">
        <v>1277</v>
      </c>
      <c r="BJ789" s="42" t="s">
        <v>315</v>
      </c>
      <c r="DP789" s="47"/>
      <c r="DR789" s="47"/>
      <c r="DS789" s="42">
        <f>2.314*1000</f>
        <v>2314</v>
      </c>
      <c r="DT789" s="42">
        <f>2.337*1000</f>
        <v>2337</v>
      </c>
      <c r="DU789" s="42" t="s">
        <v>780</v>
      </c>
      <c r="DV789" s="42">
        <v>152</v>
      </c>
      <c r="DW789" s="42">
        <v>149</v>
      </c>
      <c r="DX789" s="42" t="s">
        <v>780</v>
      </c>
      <c r="EL789" s="42" t="s">
        <v>962</v>
      </c>
      <c r="EN789" s="42">
        <v>39</v>
      </c>
    </row>
    <row r="790" spans="1:144" s="42" customFormat="1" x14ac:dyDescent="0.25">
      <c r="A790" s="42">
        <v>39</v>
      </c>
      <c r="B790" s="42" t="s">
        <v>769</v>
      </c>
      <c r="C790" s="42" t="s">
        <v>770</v>
      </c>
      <c r="D790" s="42">
        <v>2006</v>
      </c>
      <c r="E790" s="42">
        <v>2004</v>
      </c>
      <c r="F790" s="42" t="s">
        <v>168</v>
      </c>
      <c r="G790" s="42" t="s">
        <v>853</v>
      </c>
      <c r="H790" s="42">
        <f t="shared" si="209"/>
        <v>41.43333333333333</v>
      </c>
      <c r="I790" s="42">
        <f t="shared" si="210"/>
        <v>-85.38333333333334</v>
      </c>
      <c r="J790" s="42">
        <v>292.60000000000002</v>
      </c>
      <c r="P790" s="59" t="s">
        <v>186</v>
      </c>
      <c r="Q790" s="59"/>
      <c r="R790" s="59"/>
      <c r="S790" s="59" t="s">
        <v>771</v>
      </c>
      <c r="W790" s="42" t="s">
        <v>624</v>
      </c>
      <c r="X790" s="42">
        <v>6.1</v>
      </c>
      <c r="AA790" s="42" t="s">
        <v>1693</v>
      </c>
      <c r="AB790" s="42" t="s">
        <v>1507</v>
      </c>
      <c r="AC790" s="42" t="s">
        <v>1736</v>
      </c>
      <c r="AD790" s="42" t="s">
        <v>776</v>
      </c>
      <c r="AE790" s="42" t="s">
        <v>775</v>
      </c>
      <c r="AF790" s="42" t="s">
        <v>693</v>
      </c>
      <c r="AG790" s="42" t="s">
        <v>774</v>
      </c>
      <c r="AH790" s="42" t="s">
        <v>774</v>
      </c>
      <c r="AI790" s="42" t="s">
        <v>252</v>
      </c>
      <c r="AJ790" s="42" t="s">
        <v>773</v>
      </c>
      <c r="AK790" s="42" t="s">
        <v>777</v>
      </c>
      <c r="AL790" s="42" t="s">
        <v>693</v>
      </c>
      <c r="AM790" s="42" t="s">
        <v>222</v>
      </c>
      <c r="AN790" s="42">
        <v>4</v>
      </c>
      <c r="AO790" s="42">
        <v>4</v>
      </c>
      <c r="AP790" s="42" t="s">
        <v>184</v>
      </c>
      <c r="AT790" s="63"/>
      <c r="AU790" s="42" t="s">
        <v>779</v>
      </c>
      <c r="BE790" s="42">
        <v>1.2370000000000001</v>
      </c>
      <c r="BF790" s="42">
        <v>1.4</v>
      </c>
      <c r="BG790" s="42" t="s">
        <v>225</v>
      </c>
      <c r="BH790" s="42">
        <v>1141</v>
      </c>
      <c r="BI790" s="42">
        <v>1335</v>
      </c>
      <c r="BJ790" s="42" t="s">
        <v>315</v>
      </c>
      <c r="DP790" s="47"/>
      <c r="DR790" s="47"/>
      <c r="DS790" s="42">
        <f>2.314*1000</f>
        <v>2314</v>
      </c>
      <c r="DT790" s="42">
        <f>1.719*1000</f>
        <v>1719</v>
      </c>
      <c r="DU790" s="42" t="s">
        <v>780</v>
      </c>
      <c r="DV790" s="42">
        <v>152</v>
      </c>
      <c r="DW790" s="42">
        <v>107</v>
      </c>
      <c r="DX790" s="42" t="s">
        <v>780</v>
      </c>
      <c r="EL790" s="42" t="s">
        <v>962</v>
      </c>
      <c r="EN790" s="42">
        <v>39</v>
      </c>
    </row>
    <row r="791" spans="1:144" s="42" customFormat="1" x14ac:dyDescent="0.25">
      <c r="A791" s="42">
        <v>39</v>
      </c>
      <c r="B791" s="42" t="s">
        <v>769</v>
      </c>
      <c r="C791" s="42" t="s">
        <v>770</v>
      </c>
      <c r="D791" s="42">
        <v>2006</v>
      </c>
      <c r="E791" s="42">
        <v>2004</v>
      </c>
      <c r="F791" s="42" t="s">
        <v>168</v>
      </c>
      <c r="G791" s="42" t="s">
        <v>853</v>
      </c>
      <c r="H791" s="42">
        <f t="shared" si="209"/>
        <v>41.43333333333333</v>
      </c>
      <c r="I791" s="42">
        <f t="shared" si="210"/>
        <v>-85.38333333333334</v>
      </c>
      <c r="J791" s="42">
        <v>292.60000000000002</v>
      </c>
      <c r="P791" s="59" t="s">
        <v>186</v>
      </c>
      <c r="Q791" s="59"/>
      <c r="R791" s="59"/>
      <c r="S791" s="59" t="s">
        <v>771</v>
      </c>
      <c r="W791" s="42" t="s">
        <v>624</v>
      </c>
      <c r="X791" s="42">
        <v>6.1</v>
      </c>
      <c r="AA791" s="42" t="s">
        <v>1693</v>
      </c>
      <c r="AB791" s="42" t="s">
        <v>1507</v>
      </c>
      <c r="AC791" s="42" t="s">
        <v>1736</v>
      </c>
      <c r="AD791" s="42" t="s">
        <v>776</v>
      </c>
      <c r="AE791" s="42" t="s">
        <v>775</v>
      </c>
      <c r="AF791" s="42" t="s">
        <v>693</v>
      </c>
      <c r="AG791" s="42" t="s">
        <v>774</v>
      </c>
      <c r="AH791" s="42" t="s">
        <v>774</v>
      </c>
      <c r="AI791" s="42" t="s">
        <v>252</v>
      </c>
      <c r="AJ791" s="42" t="s">
        <v>773</v>
      </c>
      <c r="AK791" s="42" t="s">
        <v>772</v>
      </c>
      <c r="AL791" s="42" t="s">
        <v>693</v>
      </c>
      <c r="AM791" s="42" t="s">
        <v>222</v>
      </c>
      <c r="AN791" s="42">
        <v>4</v>
      </c>
      <c r="AO791" s="42">
        <v>4</v>
      </c>
      <c r="AP791" s="42" t="s">
        <v>184</v>
      </c>
      <c r="AT791" s="63"/>
      <c r="AU791" s="42" t="s">
        <v>778</v>
      </c>
      <c r="DP791" s="47"/>
      <c r="DR791" s="47"/>
      <c r="DS791" s="42">
        <v>2569</v>
      </c>
      <c r="DT791" s="42">
        <v>2642</v>
      </c>
      <c r="DU791" s="42" t="s">
        <v>781</v>
      </c>
      <c r="DV791" s="42">
        <v>162</v>
      </c>
      <c r="DW791" s="42">
        <v>149</v>
      </c>
      <c r="DX791" s="42" t="s">
        <v>781</v>
      </c>
      <c r="EL791" s="42" t="s">
        <v>962</v>
      </c>
      <c r="EN791" s="42">
        <v>39</v>
      </c>
    </row>
    <row r="792" spans="1:144" s="42" customFormat="1" x14ac:dyDescent="0.25">
      <c r="A792" s="42">
        <v>39</v>
      </c>
      <c r="B792" s="42" t="s">
        <v>769</v>
      </c>
      <c r="C792" s="42" t="s">
        <v>770</v>
      </c>
      <c r="D792" s="42">
        <v>2006</v>
      </c>
      <c r="E792" s="42">
        <v>2004</v>
      </c>
      <c r="F792" s="42" t="s">
        <v>168</v>
      </c>
      <c r="G792" s="42" t="s">
        <v>853</v>
      </c>
      <c r="H792" s="42">
        <f t="shared" si="209"/>
        <v>41.43333333333333</v>
      </c>
      <c r="I792" s="42">
        <f t="shared" si="210"/>
        <v>-85.38333333333334</v>
      </c>
      <c r="J792" s="42">
        <v>292.60000000000002</v>
      </c>
      <c r="P792" s="59" t="s">
        <v>186</v>
      </c>
      <c r="Q792" s="59"/>
      <c r="R792" s="59"/>
      <c r="S792" s="59" t="s">
        <v>771</v>
      </c>
      <c r="W792" s="42" t="s">
        <v>624</v>
      </c>
      <c r="X792" s="42">
        <v>6.1</v>
      </c>
      <c r="AA792" s="42" t="s">
        <v>1693</v>
      </c>
      <c r="AB792" s="42" t="s">
        <v>1507</v>
      </c>
      <c r="AC792" s="42" t="s">
        <v>1736</v>
      </c>
      <c r="AD792" s="42" t="s">
        <v>776</v>
      </c>
      <c r="AE792" s="42" t="s">
        <v>775</v>
      </c>
      <c r="AF792" s="42" t="s">
        <v>693</v>
      </c>
      <c r="AG792" s="42" t="s">
        <v>774</v>
      </c>
      <c r="AH792" s="42" t="s">
        <v>774</v>
      </c>
      <c r="AI792" s="42" t="s">
        <v>252</v>
      </c>
      <c r="AJ792" s="42" t="s">
        <v>773</v>
      </c>
      <c r="AK792" s="42" t="s">
        <v>777</v>
      </c>
      <c r="AL792" s="42" t="s">
        <v>693</v>
      </c>
      <c r="AM792" s="42" t="s">
        <v>222</v>
      </c>
      <c r="AN792" s="42">
        <v>4</v>
      </c>
      <c r="AO792" s="42">
        <v>4</v>
      </c>
      <c r="AP792" s="42" t="s">
        <v>184</v>
      </c>
      <c r="AT792" s="63"/>
      <c r="AU792" s="42" t="s">
        <v>779</v>
      </c>
      <c r="DP792" s="47"/>
      <c r="DR792" s="47"/>
      <c r="DS792" s="42">
        <v>2569</v>
      </c>
      <c r="DT792" s="42">
        <v>2061</v>
      </c>
      <c r="DU792" s="42" t="s">
        <v>781</v>
      </c>
      <c r="DV792" s="42">
        <v>162</v>
      </c>
      <c r="DW792" s="42">
        <v>133</v>
      </c>
      <c r="DX792" s="42" t="s">
        <v>781</v>
      </c>
      <c r="EL792" s="42" t="s">
        <v>962</v>
      </c>
      <c r="EN792" s="42">
        <v>39</v>
      </c>
    </row>
    <row r="793" spans="1:144" s="42" customFormat="1" x14ac:dyDescent="0.25">
      <c r="A793" s="42">
        <v>39</v>
      </c>
      <c r="B793" s="42" t="s">
        <v>769</v>
      </c>
      <c r="C793" s="42" t="s">
        <v>770</v>
      </c>
      <c r="D793" s="42">
        <v>2006</v>
      </c>
      <c r="E793" s="42">
        <v>2004</v>
      </c>
      <c r="F793" s="42" t="s">
        <v>168</v>
      </c>
      <c r="G793" s="42" t="s">
        <v>853</v>
      </c>
      <c r="H793" s="42">
        <f t="shared" si="209"/>
        <v>41.43333333333333</v>
      </c>
      <c r="I793" s="42">
        <f t="shared" si="210"/>
        <v>-85.38333333333334</v>
      </c>
      <c r="J793" s="42">
        <v>292.60000000000002</v>
      </c>
      <c r="P793" s="59" t="s">
        <v>186</v>
      </c>
      <c r="Q793" s="59"/>
      <c r="R793" s="59"/>
      <c r="S793" s="59" t="s">
        <v>771</v>
      </c>
      <c r="W793" s="42" t="s">
        <v>624</v>
      </c>
      <c r="X793" s="42">
        <v>6.1</v>
      </c>
      <c r="AA793" s="42" t="s">
        <v>1693</v>
      </c>
      <c r="AB793" s="42" t="s">
        <v>1507</v>
      </c>
      <c r="AC793" s="42" t="s">
        <v>1736</v>
      </c>
      <c r="AD793" s="42" t="s">
        <v>776</v>
      </c>
      <c r="AE793" s="42" t="s">
        <v>775</v>
      </c>
      <c r="AF793" s="42" t="s">
        <v>693</v>
      </c>
      <c r="AG793" s="42" t="s">
        <v>774</v>
      </c>
      <c r="AH793" s="42" t="s">
        <v>774</v>
      </c>
      <c r="AI793" s="42" t="s">
        <v>252</v>
      </c>
      <c r="AJ793" s="42" t="s">
        <v>773</v>
      </c>
      <c r="AK793" s="42" t="s">
        <v>772</v>
      </c>
      <c r="AL793" s="42" t="s">
        <v>693</v>
      </c>
      <c r="AM793" s="42" t="s">
        <v>222</v>
      </c>
      <c r="AN793" s="42">
        <v>4</v>
      </c>
      <c r="AO793" s="42">
        <v>4</v>
      </c>
      <c r="AP793" s="42" t="s">
        <v>184</v>
      </c>
      <c r="AT793" s="63"/>
      <c r="AU793" s="42" t="s">
        <v>778</v>
      </c>
      <c r="DP793" s="47"/>
      <c r="DR793" s="47"/>
      <c r="DS793" s="42">
        <v>645</v>
      </c>
      <c r="DT793" s="42">
        <v>700</v>
      </c>
      <c r="DU793" s="42" t="s">
        <v>782</v>
      </c>
      <c r="DV793" s="42">
        <v>39</v>
      </c>
      <c r="DW793" s="42">
        <v>39</v>
      </c>
      <c r="DX793" s="42" t="s">
        <v>782</v>
      </c>
      <c r="EL793" s="42" t="s">
        <v>962</v>
      </c>
      <c r="EN793" s="42">
        <v>39</v>
      </c>
    </row>
    <row r="794" spans="1:144" s="42" customFormat="1" x14ac:dyDescent="0.25">
      <c r="A794" s="42">
        <v>39</v>
      </c>
      <c r="B794" s="42" t="s">
        <v>769</v>
      </c>
      <c r="C794" s="42" t="s">
        <v>770</v>
      </c>
      <c r="D794" s="42">
        <v>2006</v>
      </c>
      <c r="E794" s="42">
        <v>2004</v>
      </c>
      <c r="F794" s="42" t="s">
        <v>168</v>
      </c>
      <c r="G794" s="42" t="s">
        <v>853</v>
      </c>
      <c r="H794" s="42">
        <f t="shared" si="209"/>
        <v>41.43333333333333</v>
      </c>
      <c r="I794" s="42">
        <f t="shared" si="210"/>
        <v>-85.38333333333334</v>
      </c>
      <c r="J794" s="42">
        <v>292.60000000000002</v>
      </c>
      <c r="P794" s="59" t="s">
        <v>186</v>
      </c>
      <c r="Q794" s="59"/>
      <c r="R794" s="59"/>
      <c r="S794" s="59" t="s">
        <v>771</v>
      </c>
      <c r="W794" s="42" t="s">
        <v>624</v>
      </c>
      <c r="X794" s="42">
        <v>6.1</v>
      </c>
      <c r="AA794" s="42" t="s">
        <v>1693</v>
      </c>
      <c r="AB794" s="42" t="s">
        <v>1507</v>
      </c>
      <c r="AC794" s="42" t="s">
        <v>1736</v>
      </c>
      <c r="AD794" s="42" t="s">
        <v>776</v>
      </c>
      <c r="AE794" s="42" t="s">
        <v>775</v>
      </c>
      <c r="AF794" s="42" t="s">
        <v>693</v>
      </c>
      <c r="AG794" s="42" t="s">
        <v>774</v>
      </c>
      <c r="AH794" s="42" t="s">
        <v>774</v>
      </c>
      <c r="AI794" s="42" t="s">
        <v>252</v>
      </c>
      <c r="AJ794" s="42" t="s">
        <v>773</v>
      </c>
      <c r="AK794" s="42" t="s">
        <v>777</v>
      </c>
      <c r="AL794" s="42" t="s">
        <v>693</v>
      </c>
      <c r="AM794" s="42" t="s">
        <v>222</v>
      </c>
      <c r="AN794" s="42">
        <v>4</v>
      </c>
      <c r="AO794" s="42">
        <v>4</v>
      </c>
      <c r="AP794" s="42" t="s">
        <v>184</v>
      </c>
      <c r="AT794" s="63"/>
      <c r="AU794" s="42" t="s">
        <v>779</v>
      </c>
      <c r="DP794" s="47"/>
      <c r="DR794" s="47"/>
      <c r="DS794" s="42">
        <v>645</v>
      </c>
      <c r="DT794" s="42">
        <v>523</v>
      </c>
      <c r="DU794" s="42" t="s">
        <v>782</v>
      </c>
      <c r="DV794" s="42">
        <v>39</v>
      </c>
      <c r="DW794" s="42">
        <v>27</v>
      </c>
      <c r="DX794" s="42" t="s">
        <v>782</v>
      </c>
      <c r="EL794" s="42" t="s">
        <v>962</v>
      </c>
      <c r="EN794" s="42">
        <v>39</v>
      </c>
    </row>
    <row r="795" spans="1:144" s="42" customFormat="1" x14ac:dyDescent="0.25">
      <c r="A795" s="42">
        <v>39</v>
      </c>
      <c r="B795" s="42" t="s">
        <v>769</v>
      </c>
      <c r="C795" s="42" t="s">
        <v>770</v>
      </c>
      <c r="D795" s="42">
        <v>2006</v>
      </c>
      <c r="E795" s="42">
        <v>2004</v>
      </c>
      <c r="F795" s="42" t="s">
        <v>168</v>
      </c>
      <c r="G795" s="42" t="s">
        <v>853</v>
      </c>
      <c r="H795" s="42">
        <f t="shared" si="209"/>
        <v>41.43333333333333</v>
      </c>
      <c r="I795" s="42">
        <f t="shared" si="210"/>
        <v>-85.38333333333334</v>
      </c>
      <c r="J795" s="42">
        <v>292.60000000000002</v>
      </c>
      <c r="P795" s="59" t="s">
        <v>186</v>
      </c>
      <c r="Q795" s="59"/>
      <c r="R795" s="59"/>
      <c r="S795" s="59" t="s">
        <v>771</v>
      </c>
      <c r="W795" s="42" t="s">
        <v>624</v>
      </c>
      <c r="X795" s="42">
        <v>6.1</v>
      </c>
      <c r="AA795" s="42" t="s">
        <v>1693</v>
      </c>
      <c r="AB795" s="42" t="s">
        <v>1507</v>
      </c>
      <c r="AC795" s="42" t="s">
        <v>1736</v>
      </c>
      <c r="AD795" s="42" t="s">
        <v>776</v>
      </c>
      <c r="AE795" s="42" t="s">
        <v>775</v>
      </c>
      <c r="AF795" s="42" t="s">
        <v>693</v>
      </c>
      <c r="AG795" s="42" t="s">
        <v>774</v>
      </c>
      <c r="AH795" s="42" t="s">
        <v>774</v>
      </c>
      <c r="AI795" s="42" t="s">
        <v>252</v>
      </c>
      <c r="AJ795" s="42" t="s">
        <v>773</v>
      </c>
      <c r="AK795" s="42" t="s">
        <v>772</v>
      </c>
      <c r="AL795" s="42" t="s">
        <v>693</v>
      </c>
      <c r="AM795" s="42" t="s">
        <v>222</v>
      </c>
      <c r="AN795" s="42">
        <v>4</v>
      </c>
      <c r="AO795" s="42">
        <v>4</v>
      </c>
      <c r="AP795" s="42" t="s">
        <v>184</v>
      </c>
      <c r="AT795" s="63"/>
      <c r="AU795" s="42" t="s">
        <v>778</v>
      </c>
      <c r="DP795" s="47"/>
      <c r="DR795" s="47"/>
      <c r="DS795" s="42">
        <v>437</v>
      </c>
      <c r="DT795" s="42">
        <v>399</v>
      </c>
      <c r="DU795" s="42" t="s">
        <v>783</v>
      </c>
      <c r="DV795" s="42">
        <v>32</v>
      </c>
      <c r="DW795" s="42">
        <v>30</v>
      </c>
      <c r="DX795" s="42" t="s">
        <v>783</v>
      </c>
      <c r="EL795" s="42" t="s">
        <v>962</v>
      </c>
      <c r="EN795" s="42">
        <v>39</v>
      </c>
    </row>
    <row r="796" spans="1:144" s="42" customFormat="1" x14ac:dyDescent="0.25">
      <c r="A796" s="42">
        <v>39</v>
      </c>
      <c r="B796" s="42" t="s">
        <v>769</v>
      </c>
      <c r="C796" s="42" t="s">
        <v>770</v>
      </c>
      <c r="D796" s="42">
        <v>2006</v>
      </c>
      <c r="E796" s="42">
        <v>2004</v>
      </c>
      <c r="F796" s="42" t="s">
        <v>168</v>
      </c>
      <c r="G796" s="42" t="s">
        <v>853</v>
      </c>
      <c r="H796" s="42">
        <f t="shared" si="209"/>
        <v>41.43333333333333</v>
      </c>
      <c r="I796" s="42">
        <f t="shared" si="210"/>
        <v>-85.38333333333334</v>
      </c>
      <c r="J796" s="42">
        <v>292.60000000000002</v>
      </c>
      <c r="P796" s="59" t="s">
        <v>186</v>
      </c>
      <c r="Q796" s="59"/>
      <c r="R796" s="59"/>
      <c r="S796" s="59" t="s">
        <v>771</v>
      </c>
      <c r="W796" s="42" t="s">
        <v>624</v>
      </c>
      <c r="X796" s="42">
        <v>6.1</v>
      </c>
      <c r="AA796" s="42" t="s">
        <v>1693</v>
      </c>
      <c r="AB796" s="42" t="s">
        <v>1507</v>
      </c>
      <c r="AC796" s="42" t="s">
        <v>1736</v>
      </c>
      <c r="AD796" s="42" t="s">
        <v>776</v>
      </c>
      <c r="AE796" s="42" t="s">
        <v>775</v>
      </c>
      <c r="AF796" s="42" t="s">
        <v>693</v>
      </c>
      <c r="AG796" s="42" t="s">
        <v>774</v>
      </c>
      <c r="AH796" s="42" t="s">
        <v>774</v>
      </c>
      <c r="AI796" s="42" t="s">
        <v>252</v>
      </c>
      <c r="AJ796" s="42" t="s">
        <v>773</v>
      </c>
      <c r="AK796" s="42" t="s">
        <v>777</v>
      </c>
      <c r="AL796" s="42" t="s">
        <v>693</v>
      </c>
      <c r="AM796" s="42" t="s">
        <v>222</v>
      </c>
      <c r="AN796" s="42">
        <v>4</v>
      </c>
      <c r="AO796" s="42">
        <v>4</v>
      </c>
      <c r="AP796" s="42" t="s">
        <v>184</v>
      </c>
      <c r="AT796" s="63"/>
      <c r="AU796" s="42" t="s">
        <v>779</v>
      </c>
      <c r="DP796" s="47"/>
      <c r="DR796" s="47"/>
      <c r="DS796" s="42">
        <v>437</v>
      </c>
      <c r="DT796" s="42">
        <v>388</v>
      </c>
      <c r="DU796" s="42" t="s">
        <v>783</v>
      </c>
      <c r="DV796" s="42">
        <v>32</v>
      </c>
      <c r="DW796" s="42">
        <v>29</v>
      </c>
      <c r="DX796" s="42" t="s">
        <v>783</v>
      </c>
      <c r="EL796" s="42" t="s">
        <v>962</v>
      </c>
      <c r="EN796" s="42">
        <v>39</v>
      </c>
    </row>
    <row r="797" spans="1:144" s="38" customFormat="1" x14ac:dyDescent="0.25">
      <c r="A797" s="38">
        <v>40</v>
      </c>
      <c r="B797" s="38" t="s">
        <v>785</v>
      </c>
      <c r="C797" s="38" t="s">
        <v>786</v>
      </c>
      <c r="D797" s="38">
        <v>2015</v>
      </c>
      <c r="E797" s="38">
        <v>2013</v>
      </c>
      <c r="F797" s="38" t="s">
        <v>168</v>
      </c>
      <c r="G797" s="38" t="s">
        <v>799</v>
      </c>
      <c r="H797" s="38">
        <v>35.619999999999997</v>
      </c>
      <c r="I797" s="38">
        <v>-88.85</v>
      </c>
      <c r="J797" s="38">
        <v>107.7</v>
      </c>
      <c r="N797" s="38">
        <v>1375</v>
      </c>
      <c r="P797" s="57" t="s">
        <v>221</v>
      </c>
      <c r="Q797" s="57"/>
      <c r="R797" s="57"/>
      <c r="S797" s="57" t="s">
        <v>659</v>
      </c>
      <c r="T797" s="38">
        <f t="shared" ref="T797:T802" si="211">(1.4+1.39+1.43)/3</f>
        <v>1.4066666666666665</v>
      </c>
      <c r="W797" s="38" t="s">
        <v>175</v>
      </c>
      <c r="AA797" s="38" t="s">
        <v>1701</v>
      </c>
      <c r="AB797" s="38" t="s">
        <v>326</v>
      </c>
      <c r="AC797" s="38" t="s">
        <v>788</v>
      </c>
      <c r="AM797" s="38" t="s">
        <v>222</v>
      </c>
      <c r="AN797" s="38">
        <v>4</v>
      </c>
      <c r="AO797" s="38">
        <v>4</v>
      </c>
      <c r="AP797" s="38" t="s">
        <v>448</v>
      </c>
      <c r="AT797" s="64"/>
      <c r="AU797" s="38" t="s">
        <v>787</v>
      </c>
      <c r="AY797" s="38">
        <v>1375</v>
      </c>
      <c r="AZ797" s="38">
        <v>1608</v>
      </c>
      <c r="BB797" s="38">
        <v>1.43</v>
      </c>
      <c r="BC797" s="38">
        <v>1.4</v>
      </c>
      <c r="BE797" s="38">
        <f>0.35*2</f>
        <v>0.7</v>
      </c>
      <c r="BF797" s="38">
        <f>0.44*2</f>
        <v>0.88</v>
      </c>
      <c r="BG797" s="38" t="s">
        <v>1501</v>
      </c>
      <c r="BK797" s="38">
        <v>101.62</v>
      </c>
      <c r="BL797" s="38">
        <v>78.61</v>
      </c>
      <c r="BN797" s="38">
        <v>233.55</v>
      </c>
      <c r="BO797" s="38">
        <v>199.67</v>
      </c>
      <c r="BQ797" s="38">
        <v>5.44</v>
      </c>
      <c r="BR797" s="38">
        <v>5.4</v>
      </c>
      <c r="BT797" s="38" t="s">
        <v>859</v>
      </c>
      <c r="BU797" s="38" t="s">
        <v>859</v>
      </c>
      <c r="DD797" s="38">
        <v>21.08</v>
      </c>
      <c r="DE797" s="38">
        <v>23.69</v>
      </c>
      <c r="DP797" s="46">
        <v>27.94</v>
      </c>
      <c r="DQ797" s="38">
        <v>28.6</v>
      </c>
      <c r="DR797" s="46" t="s">
        <v>789</v>
      </c>
      <c r="EB797" s="38">
        <f>4.45*0.0441</f>
        <v>0.196245</v>
      </c>
      <c r="EC797" s="38">
        <f>6.24*0.0441</f>
        <v>0.27518399999999998</v>
      </c>
      <c r="EE797" s="38">
        <v>336.42</v>
      </c>
      <c r="EF797" s="38">
        <v>400.79</v>
      </c>
      <c r="EH797" s="38">
        <v>78.03</v>
      </c>
      <c r="EI797" s="38">
        <v>99.31</v>
      </c>
      <c r="EK797" s="38" t="s">
        <v>693</v>
      </c>
      <c r="EL797" s="38" t="s">
        <v>822</v>
      </c>
      <c r="EM797" s="38" t="s">
        <v>1212</v>
      </c>
      <c r="EN797" s="38">
        <v>40</v>
      </c>
    </row>
    <row r="798" spans="1:144" s="38" customFormat="1" x14ac:dyDescent="0.25">
      <c r="A798" s="38">
        <v>40</v>
      </c>
      <c r="B798" s="38" t="s">
        <v>785</v>
      </c>
      <c r="C798" s="38" t="s">
        <v>786</v>
      </c>
      <c r="D798" s="38">
        <v>2015</v>
      </c>
      <c r="E798" s="38">
        <v>2013</v>
      </c>
      <c r="F798" s="38" t="s">
        <v>168</v>
      </c>
      <c r="G798" s="38" t="s">
        <v>799</v>
      </c>
      <c r="H798" s="38">
        <v>35.619999999999997</v>
      </c>
      <c r="I798" s="38">
        <v>-88.85</v>
      </c>
      <c r="J798" s="38">
        <v>107.7</v>
      </c>
      <c r="N798" s="38">
        <v>1375</v>
      </c>
      <c r="P798" s="57" t="s">
        <v>221</v>
      </c>
      <c r="Q798" s="57"/>
      <c r="R798" s="57"/>
      <c r="S798" s="57" t="s">
        <v>659</v>
      </c>
      <c r="T798" s="38">
        <f t="shared" si="211"/>
        <v>1.4066666666666665</v>
      </c>
      <c r="W798" s="38" t="s">
        <v>175</v>
      </c>
      <c r="AA798" s="38" t="s">
        <v>1701</v>
      </c>
      <c r="AB798" s="38" t="s">
        <v>156</v>
      </c>
      <c r="AC798" s="38" t="s">
        <v>788</v>
      </c>
      <c r="AM798" s="38" t="s">
        <v>222</v>
      </c>
      <c r="AN798" s="38">
        <v>4</v>
      </c>
      <c r="AO798" s="38">
        <v>4</v>
      </c>
      <c r="AP798" s="38" t="s">
        <v>448</v>
      </c>
      <c r="AT798" s="64"/>
      <c r="AU798" s="38" t="s">
        <v>787</v>
      </c>
      <c r="AY798" s="38">
        <v>1375</v>
      </c>
      <c r="AZ798" s="38">
        <v>1344</v>
      </c>
      <c r="BB798" s="38">
        <v>1.43</v>
      </c>
      <c r="BC798" s="38">
        <v>1.39</v>
      </c>
      <c r="BE798" s="38">
        <f>0.35*2</f>
        <v>0.7</v>
      </c>
      <c r="BF798" s="38">
        <f>0.38*2</f>
        <v>0.76</v>
      </c>
      <c r="BG798" s="38" t="s">
        <v>1501</v>
      </c>
      <c r="BK798" s="38">
        <v>101.62</v>
      </c>
      <c r="BL798" s="38">
        <v>99.5</v>
      </c>
      <c r="BN798" s="38">
        <v>233.55</v>
      </c>
      <c r="BO798" s="38">
        <v>224.88</v>
      </c>
      <c r="BQ798" s="38">
        <v>5.44</v>
      </c>
      <c r="BR798" s="38">
        <v>5.51</v>
      </c>
      <c r="BT798" s="38" t="s">
        <v>859</v>
      </c>
      <c r="BU798" s="38" t="s">
        <v>859</v>
      </c>
      <c r="DD798" s="38">
        <v>21.08</v>
      </c>
      <c r="DE798" s="38">
        <v>21.44</v>
      </c>
      <c r="DP798" s="46">
        <v>27.94</v>
      </c>
      <c r="DQ798" s="38">
        <v>28.41</v>
      </c>
      <c r="DR798" s="46" t="s">
        <v>789</v>
      </c>
      <c r="EB798" s="38">
        <f>4.45*0.0441</f>
        <v>0.196245</v>
      </c>
      <c r="EC798" s="38">
        <f>4.42*0.0441</f>
        <v>0.19492200000000001</v>
      </c>
      <c r="EE798" s="38">
        <v>336.42</v>
      </c>
      <c r="EF798" s="38">
        <v>351.74</v>
      </c>
      <c r="EH798" s="38">
        <v>78.03</v>
      </c>
      <c r="EI798" s="38">
        <v>78.819999999999993</v>
      </c>
      <c r="EK798" s="38" t="s">
        <v>693</v>
      </c>
      <c r="EL798" s="38" t="s">
        <v>822</v>
      </c>
      <c r="EM798" s="38" t="s">
        <v>1212</v>
      </c>
      <c r="EN798" s="38">
        <v>40</v>
      </c>
    </row>
    <row r="799" spans="1:144" s="31" customFormat="1" x14ac:dyDescent="0.25">
      <c r="A799" s="31">
        <v>40</v>
      </c>
      <c r="B799" s="31" t="s">
        <v>785</v>
      </c>
      <c r="C799" s="31" t="s">
        <v>786</v>
      </c>
      <c r="D799" s="31">
        <v>2015</v>
      </c>
      <c r="E799" s="31">
        <v>2013</v>
      </c>
      <c r="F799" s="31" t="s">
        <v>168</v>
      </c>
      <c r="G799" s="31" t="s">
        <v>799</v>
      </c>
      <c r="H799" s="31">
        <v>35.619999999999997</v>
      </c>
      <c r="I799" s="31">
        <v>-88.85</v>
      </c>
      <c r="J799" s="31">
        <v>107.7</v>
      </c>
      <c r="N799" s="31">
        <v>1375</v>
      </c>
      <c r="P799" s="56" t="s">
        <v>221</v>
      </c>
      <c r="Q799" s="56"/>
      <c r="R799" s="56"/>
      <c r="S799" s="56" t="s">
        <v>659</v>
      </c>
      <c r="T799" s="31">
        <f t="shared" si="211"/>
        <v>1.4066666666666665</v>
      </c>
      <c r="W799" s="31" t="s">
        <v>175</v>
      </c>
      <c r="AA799" s="31" t="s">
        <v>1701</v>
      </c>
      <c r="AB799" s="31" t="s">
        <v>326</v>
      </c>
      <c r="AC799" s="31" t="s">
        <v>788</v>
      </c>
      <c r="AG799" s="31" t="s">
        <v>217</v>
      </c>
      <c r="AH799" s="31" t="s">
        <v>217</v>
      </c>
      <c r="AI799" s="31" t="s">
        <v>252</v>
      </c>
      <c r="AJ799" s="31">
        <v>0</v>
      </c>
      <c r="AK799" s="31">
        <v>0</v>
      </c>
      <c r="AL799" s="31" t="s">
        <v>252</v>
      </c>
      <c r="AM799" s="31" t="s">
        <v>222</v>
      </c>
      <c r="AN799" s="31">
        <v>4</v>
      </c>
      <c r="AO799" s="31">
        <v>4</v>
      </c>
      <c r="AP799" s="31" t="s">
        <v>448</v>
      </c>
      <c r="AU799" s="31" t="s">
        <v>787</v>
      </c>
      <c r="BE799" s="31">
        <f>9.98/10</f>
        <v>0.998</v>
      </c>
      <c r="BF799" s="31">
        <f>0.1*13.37</f>
        <v>1.337</v>
      </c>
      <c r="BG799" s="31" t="s">
        <v>1522</v>
      </c>
      <c r="BH799" s="31">
        <v>1.07</v>
      </c>
      <c r="BI799" s="31">
        <v>1.41</v>
      </c>
      <c r="BT799" s="31" t="s">
        <v>859</v>
      </c>
      <c r="BU799" s="31" t="s">
        <v>859</v>
      </c>
      <c r="DP799" s="31">
        <v>98.5</v>
      </c>
      <c r="DQ799" s="31">
        <v>70.16</v>
      </c>
      <c r="DR799" s="31" t="s">
        <v>791</v>
      </c>
      <c r="EK799" s="31" t="s">
        <v>693</v>
      </c>
      <c r="EL799" s="31" t="s">
        <v>822</v>
      </c>
      <c r="EM799" s="31" t="s">
        <v>1212</v>
      </c>
      <c r="EN799" s="31">
        <v>40</v>
      </c>
    </row>
    <row r="800" spans="1:144" s="31" customFormat="1" x14ac:dyDescent="0.25">
      <c r="A800" s="31">
        <v>40</v>
      </c>
      <c r="B800" s="31" t="s">
        <v>785</v>
      </c>
      <c r="C800" s="31" t="s">
        <v>786</v>
      </c>
      <c r="D800" s="31">
        <v>2015</v>
      </c>
      <c r="E800" s="31">
        <v>2013</v>
      </c>
      <c r="F800" s="31" t="s">
        <v>168</v>
      </c>
      <c r="G800" s="31" t="s">
        <v>799</v>
      </c>
      <c r="H800" s="31">
        <v>35.619999999999997</v>
      </c>
      <c r="I800" s="31">
        <v>-88.85</v>
      </c>
      <c r="J800" s="31">
        <v>107.7</v>
      </c>
      <c r="N800" s="31">
        <v>1375</v>
      </c>
      <c r="P800" s="56" t="s">
        <v>221</v>
      </c>
      <c r="Q800" s="56"/>
      <c r="R800" s="56"/>
      <c r="S800" s="56" t="s">
        <v>659</v>
      </c>
      <c r="T800" s="31">
        <f t="shared" si="211"/>
        <v>1.4066666666666665</v>
      </c>
      <c r="W800" s="31" t="s">
        <v>175</v>
      </c>
      <c r="AA800" s="31" t="s">
        <v>1701</v>
      </c>
      <c r="AB800" s="31" t="s">
        <v>156</v>
      </c>
      <c r="AC800" s="31" t="s">
        <v>788</v>
      </c>
      <c r="AG800" s="31" t="s">
        <v>217</v>
      </c>
      <c r="AH800" s="31" t="s">
        <v>217</v>
      </c>
      <c r="AI800" s="31" t="s">
        <v>252</v>
      </c>
      <c r="AJ800" s="31">
        <v>0</v>
      </c>
      <c r="AK800" s="31">
        <v>0</v>
      </c>
      <c r="AL800" s="31" t="s">
        <v>252</v>
      </c>
      <c r="AM800" s="31" t="s">
        <v>222</v>
      </c>
      <c r="AN800" s="31">
        <v>4</v>
      </c>
      <c r="AO800" s="31">
        <v>4</v>
      </c>
      <c r="AP800" s="31" t="s">
        <v>448</v>
      </c>
      <c r="AU800" s="31" t="s">
        <v>787</v>
      </c>
      <c r="BE800" s="31">
        <f>9.98/10</f>
        <v>0.998</v>
      </c>
      <c r="BF800" s="31">
        <f>0.1*10.96</f>
        <v>1.0960000000000001</v>
      </c>
      <c r="BG800" s="31" t="s">
        <v>1522</v>
      </c>
      <c r="BH800" s="31">
        <v>1.07</v>
      </c>
      <c r="BI800" s="31">
        <v>1.1000000000000001</v>
      </c>
      <c r="BT800" s="31" t="s">
        <v>859</v>
      </c>
      <c r="BU800" s="31" t="s">
        <v>859</v>
      </c>
      <c r="DP800" s="31">
        <v>98.5</v>
      </c>
      <c r="DQ800" s="31">
        <v>82.91</v>
      </c>
      <c r="DR800" s="31" t="s">
        <v>791</v>
      </c>
      <c r="EK800" s="31" t="s">
        <v>693</v>
      </c>
      <c r="EL800" s="31" t="s">
        <v>822</v>
      </c>
      <c r="EM800" s="31" t="s">
        <v>1212</v>
      </c>
      <c r="EN800" s="31">
        <v>40</v>
      </c>
    </row>
    <row r="801" spans="1:144" s="31" customFormat="1" x14ac:dyDescent="0.25">
      <c r="A801" s="31">
        <v>40</v>
      </c>
      <c r="B801" s="31" t="s">
        <v>785</v>
      </c>
      <c r="C801" s="31" t="s">
        <v>786</v>
      </c>
      <c r="D801" s="31">
        <v>2015</v>
      </c>
      <c r="E801" s="31">
        <v>2013</v>
      </c>
      <c r="F801" s="31" t="s">
        <v>168</v>
      </c>
      <c r="G801" s="31" t="s">
        <v>799</v>
      </c>
      <c r="H801" s="31">
        <v>35.619999999999997</v>
      </c>
      <c r="I801" s="31">
        <v>-88.85</v>
      </c>
      <c r="J801" s="31">
        <v>107.7</v>
      </c>
      <c r="N801" s="31">
        <v>1375</v>
      </c>
      <c r="P801" s="56" t="s">
        <v>221</v>
      </c>
      <c r="Q801" s="56"/>
      <c r="R801" s="56"/>
      <c r="S801" s="56" t="s">
        <v>659</v>
      </c>
      <c r="T801" s="31">
        <f t="shared" si="211"/>
        <v>1.4066666666666665</v>
      </c>
      <c r="W801" s="31" t="s">
        <v>175</v>
      </c>
      <c r="AA801" s="31" t="s">
        <v>1701</v>
      </c>
      <c r="AB801" s="31" t="s">
        <v>326</v>
      </c>
      <c r="AC801" s="31" t="s">
        <v>788</v>
      </c>
      <c r="AG801" s="31" t="s">
        <v>792</v>
      </c>
      <c r="AH801" s="31" t="s">
        <v>792</v>
      </c>
      <c r="AI801" s="31" t="s">
        <v>252</v>
      </c>
      <c r="AJ801" s="31">
        <v>0</v>
      </c>
      <c r="AK801" s="31">
        <v>0</v>
      </c>
      <c r="AL801" s="31" t="s">
        <v>252</v>
      </c>
      <c r="AM801" s="31" t="s">
        <v>222</v>
      </c>
      <c r="AN801" s="31">
        <v>4</v>
      </c>
      <c r="AO801" s="31">
        <v>4</v>
      </c>
      <c r="AP801" s="31" t="s">
        <v>448</v>
      </c>
      <c r="AU801" s="31" t="s">
        <v>787</v>
      </c>
      <c r="BE801" s="31">
        <f>8.82/10</f>
        <v>0.88200000000000001</v>
      </c>
      <c r="BF801" s="31">
        <f>0.1*9.76</f>
        <v>0.97599999999999998</v>
      </c>
      <c r="BG801" s="31" t="s">
        <v>1522</v>
      </c>
      <c r="BH801" s="31">
        <v>0.95</v>
      </c>
      <c r="BI801" s="31">
        <v>1.1000000000000001</v>
      </c>
      <c r="BT801" s="31" t="s">
        <v>859</v>
      </c>
      <c r="BU801" s="31" t="s">
        <v>859</v>
      </c>
      <c r="DP801" s="31">
        <v>81.599999999999994</v>
      </c>
      <c r="DQ801" s="31">
        <v>53.26</v>
      </c>
      <c r="DR801" s="31" t="s">
        <v>791</v>
      </c>
      <c r="EK801" s="31" t="s">
        <v>693</v>
      </c>
      <c r="EL801" s="31" t="s">
        <v>822</v>
      </c>
      <c r="EM801" s="31" t="s">
        <v>1212</v>
      </c>
      <c r="EN801" s="31">
        <v>40</v>
      </c>
    </row>
    <row r="802" spans="1:144" s="31" customFormat="1" x14ac:dyDescent="0.25">
      <c r="A802" s="31">
        <v>40</v>
      </c>
      <c r="B802" s="31" t="s">
        <v>785</v>
      </c>
      <c r="C802" s="31" t="s">
        <v>786</v>
      </c>
      <c r="D802" s="31">
        <v>2015</v>
      </c>
      <c r="E802" s="31">
        <v>2013</v>
      </c>
      <c r="F802" s="31" t="s">
        <v>168</v>
      </c>
      <c r="G802" s="31" t="s">
        <v>799</v>
      </c>
      <c r="H802" s="31">
        <v>35.619999999999997</v>
      </c>
      <c r="I802" s="31">
        <v>-88.85</v>
      </c>
      <c r="J802" s="31">
        <v>107.7</v>
      </c>
      <c r="N802" s="31">
        <v>1375</v>
      </c>
      <c r="P802" s="56" t="s">
        <v>221</v>
      </c>
      <c r="Q802" s="56"/>
      <c r="R802" s="56"/>
      <c r="S802" s="56" t="s">
        <v>659</v>
      </c>
      <c r="T802" s="31">
        <f t="shared" si="211"/>
        <v>1.4066666666666665</v>
      </c>
      <c r="W802" s="31" t="s">
        <v>175</v>
      </c>
      <c r="AA802" s="31" t="s">
        <v>1701</v>
      </c>
      <c r="AB802" s="31" t="s">
        <v>156</v>
      </c>
      <c r="AC802" s="31" t="s">
        <v>788</v>
      </c>
      <c r="AG802" s="31" t="s">
        <v>792</v>
      </c>
      <c r="AH802" s="31" t="s">
        <v>792</v>
      </c>
      <c r="AI802" s="31" t="s">
        <v>252</v>
      </c>
      <c r="AJ802" s="31">
        <v>0</v>
      </c>
      <c r="AK802" s="31">
        <v>0</v>
      </c>
      <c r="AL802" s="31" t="s">
        <v>252</v>
      </c>
      <c r="AM802" s="31" t="s">
        <v>222</v>
      </c>
      <c r="AN802" s="31">
        <v>4</v>
      </c>
      <c r="AO802" s="31">
        <v>4</v>
      </c>
      <c r="AP802" s="31" t="s">
        <v>448</v>
      </c>
      <c r="AU802" s="31" t="s">
        <v>787</v>
      </c>
      <c r="BE802" s="31">
        <f>8.82/10</f>
        <v>0.88200000000000001</v>
      </c>
      <c r="BF802" s="31">
        <f>0.1*7.6</f>
        <v>0.76</v>
      </c>
      <c r="BG802" s="31" t="s">
        <v>1522</v>
      </c>
      <c r="BH802" s="31">
        <v>0.95</v>
      </c>
      <c r="BI802" s="31">
        <v>0.78</v>
      </c>
      <c r="BT802" s="31" t="s">
        <v>859</v>
      </c>
      <c r="BU802" s="31" t="s">
        <v>859</v>
      </c>
      <c r="DP802" s="31">
        <v>81.599999999999994</v>
      </c>
      <c r="DQ802" s="31">
        <v>59.16</v>
      </c>
      <c r="DR802" s="31" t="s">
        <v>791</v>
      </c>
      <c r="EK802" s="31" t="s">
        <v>693</v>
      </c>
      <c r="EL802" s="31" t="s">
        <v>822</v>
      </c>
      <c r="EM802" s="31" t="s">
        <v>1212</v>
      </c>
      <c r="EN802" s="31">
        <v>40</v>
      </c>
    </row>
    <row r="803" spans="1:144" s="38" customFormat="1" x14ac:dyDescent="0.25">
      <c r="A803" s="38">
        <v>40</v>
      </c>
      <c r="B803" s="38" t="s">
        <v>785</v>
      </c>
      <c r="C803" s="38" t="s">
        <v>786</v>
      </c>
      <c r="D803" s="38">
        <v>2015</v>
      </c>
      <c r="E803" s="38">
        <v>2013</v>
      </c>
      <c r="F803" s="38" t="s">
        <v>168</v>
      </c>
      <c r="G803" s="38" t="s">
        <v>799</v>
      </c>
      <c r="H803" s="38">
        <v>35.619999999999997</v>
      </c>
      <c r="I803" s="38">
        <v>-88.85</v>
      </c>
      <c r="J803" s="38">
        <v>107.7</v>
      </c>
      <c r="N803" s="38">
        <v>1375</v>
      </c>
      <c r="P803" s="57" t="s">
        <v>221</v>
      </c>
      <c r="Q803" s="57"/>
      <c r="R803" s="57"/>
      <c r="S803" s="57" t="s">
        <v>659</v>
      </c>
      <c r="T803" s="38">
        <f t="shared" ref="T803:T814" si="212">(1.4+1.39+1.43)/3</f>
        <v>1.4066666666666665</v>
      </c>
      <c r="W803" s="38" t="s">
        <v>175</v>
      </c>
      <c r="AA803" s="38" t="s">
        <v>1701</v>
      </c>
      <c r="AB803" s="38" t="s">
        <v>326</v>
      </c>
      <c r="AC803" s="38" t="s">
        <v>788</v>
      </c>
      <c r="AG803" s="38" t="s">
        <v>217</v>
      </c>
      <c r="AH803" s="38" t="s">
        <v>217</v>
      </c>
      <c r="AI803" s="38" t="s">
        <v>252</v>
      </c>
      <c r="AJ803" s="38">
        <v>34</v>
      </c>
      <c r="AK803" s="38">
        <v>34</v>
      </c>
      <c r="AL803" s="38" t="s">
        <v>252</v>
      </c>
      <c r="AM803" s="38" t="s">
        <v>222</v>
      </c>
      <c r="AN803" s="38">
        <v>4</v>
      </c>
      <c r="AO803" s="38">
        <v>4</v>
      </c>
      <c r="AP803" s="38" t="s">
        <v>448</v>
      </c>
      <c r="AT803" s="64"/>
      <c r="AU803" s="38" t="s">
        <v>787</v>
      </c>
      <c r="BE803" s="38">
        <f>10.82/10</f>
        <v>1.0820000000000001</v>
      </c>
      <c r="BF803" s="38">
        <f>0.1*13.07</f>
        <v>1.3070000000000002</v>
      </c>
      <c r="BG803" s="38" t="s">
        <v>1522</v>
      </c>
      <c r="BH803" s="38">
        <v>1.04</v>
      </c>
      <c r="BI803" s="38">
        <v>1.29</v>
      </c>
      <c r="BT803" s="38" t="s">
        <v>859</v>
      </c>
      <c r="BU803" s="38" t="s">
        <v>859</v>
      </c>
      <c r="DP803" s="38">
        <v>90.9</v>
      </c>
      <c r="DQ803" s="38">
        <v>84.19</v>
      </c>
      <c r="DR803" s="38" t="s">
        <v>791</v>
      </c>
      <c r="EK803" s="38" t="s">
        <v>693</v>
      </c>
      <c r="EL803" s="38" t="s">
        <v>822</v>
      </c>
      <c r="EM803" s="38" t="s">
        <v>1212</v>
      </c>
      <c r="EN803" s="38">
        <v>40</v>
      </c>
    </row>
    <row r="804" spans="1:144" s="38" customFormat="1" x14ac:dyDescent="0.25">
      <c r="A804" s="38">
        <v>40</v>
      </c>
      <c r="B804" s="38" t="s">
        <v>785</v>
      </c>
      <c r="C804" s="38" t="s">
        <v>786</v>
      </c>
      <c r="D804" s="38">
        <v>2015</v>
      </c>
      <c r="E804" s="38">
        <v>2013</v>
      </c>
      <c r="F804" s="38" t="s">
        <v>168</v>
      </c>
      <c r="G804" s="38" t="s">
        <v>799</v>
      </c>
      <c r="H804" s="38">
        <v>35.619999999999997</v>
      </c>
      <c r="I804" s="38">
        <v>-88.85</v>
      </c>
      <c r="J804" s="38">
        <v>107.7</v>
      </c>
      <c r="N804" s="38">
        <v>1375</v>
      </c>
      <c r="P804" s="57" t="s">
        <v>221</v>
      </c>
      <c r="Q804" s="57"/>
      <c r="R804" s="57"/>
      <c r="S804" s="57" t="s">
        <v>659</v>
      </c>
      <c r="T804" s="38">
        <f t="shared" si="212"/>
        <v>1.4066666666666665</v>
      </c>
      <c r="W804" s="38" t="s">
        <v>175</v>
      </c>
      <c r="AA804" s="38" t="s">
        <v>1701</v>
      </c>
      <c r="AB804" s="38" t="s">
        <v>156</v>
      </c>
      <c r="AC804" s="38" t="s">
        <v>788</v>
      </c>
      <c r="AG804" s="38" t="s">
        <v>217</v>
      </c>
      <c r="AH804" s="38" t="s">
        <v>217</v>
      </c>
      <c r="AI804" s="38" t="s">
        <v>252</v>
      </c>
      <c r="AJ804" s="38">
        <v>34</v>
      </c>
      <c r="AK804" s="38">
        <v>34</v>
      </c>
      <c r="AL804" s="38" t="s">
        <v>252</v>
      </c>
      <c r="AM804" s="38" t="s">
        <v>222</v>
      </c>
      <c r="AN804" s="38">
        <v>4</v>
      </c>
      <c r="AO804" s="38">
        <v>4</v>
      </c>
      <c r="AP804" s="38" t="s">
        <v>448</v>
      </c>
      <c r="AT804" s="64"/>
      <c r="AU804" s="38" t="s">
        <v>787</v>
      </c>
      <c r="BE804" s="38">
        <f>0.1*10.82</f>
        <v>1.0820000000000001</v>
      </c>
      <c r="BF804" s="38">
        <f>0.1*14.62</f>
        <v>1.462</v>
      </c>
      <c r="BG804" s="38" t="s">
        <v>1522</v>
      </c>
      <c r="BH804" s="38">
        <v>1.04</v>
      </c>
      <c r="BI804" s="38">
        <v>1.3</v>
      </c>
      <c r="BT804" s="38" t="s">
        <v>859</v>
      </c>
      <c r="BU804" s="38" t="s">
        <v>859</v>
      </c>
      <c r="DP804" s="38">
        <v>90.9</v>
      </c>
      <c r="DQ804" s="38">
        <v>112.79</v>
      </c>
      <c r="DR804" s="38" t="s">
        <v>791</v>
      </c>
      <c r="EK804" s="38" t="s">
        <v>693</v>
      </c>
      <c r="EL804" s="38" t="s">
        <v>822</v>
      </c>
      <c r="EM804" s="38" t="s">
        <v>1212</v>
      </c>
      <c r="EN804" s="38">
        <v>40</v>
      </c>
    </row>
    <row r="805" spans="1:144" s="38" customFormat="1" x14ac:dyDescent="0.25">
      <c r="A805" s="38">
        <v>40</v>
      </c>
      <c r="B805" s="38" t="s">
        <v>785</v>
      </c>
      <c r="C805" s="38" t="s">
        <v>786</v>
      </c>
      <c r="D805" s="38">
        <v>2015</v>
      </c>
      <c r="E805" s="38">
        <v>2013</v>
      </c>
      <c r="F805" s="38" t="s">
        <v>168</v>
      </c>
      <c r="G805" s="38" t="s">
        <v>799</v>
      </c>
      <c r="H805" s="38">
        <v>35.619999999999997</v>
      </c>
      <c r="I805" s="38">
        <v>-88.85</v>
      </c>
      <c r="J805" s="38">
        <v>107.7</v>
      </c>
      <c r="N805" s="38">
        <v>1375</v>
      </c>
      <c r="P805" s="57" t="s">
        <v>221</v>
      </c>
      <c r="Q805" s="57"/>
      <c r="R805" s="57"/>
      <c r="S805" s="57" t="s">
        <v>659</v>
      </c>
      <c r="T805" s="38">
        <f t="shared" si="212"/>
        <v>1.4066666666666665</v>
      </c>
      <c r="W805" s="38" t="s">
        <v>175</v>
      </c>
      <c r="AA805" s="38" t="s">
        <v>1701</v>
      </c>
      <c r="AB805" s="38" t="s">
        <v>326</v>
      </c>
      <c r="AC805" s="38" t="s">
        <v>788</v>
      </c>
      <c r="AG805" s="38" t="s">
        <v>792</v>
      </c>
      <c r="AH805" s="38" t="s">
        <v>792</v>
      </c>
      <c r="AI805" s="38" t="s">
        <v>252</v>
      </c>
      <c r="AJ805" s="38">
        <v>34</v>
      </c>
      <c r="AK805" s="38">
        <v>34</v>
      </c>
      <c r="AL805" s="38" t="s">
        <v>252</v>
      </c>
      <c r="AM805" s="38" t="s">
        <v>222</v>
      </c>
      <c r="AN805" s="38">
        <v>4</v>
      </c>
      <c r="AO805" s="38">
        <v>4</v>
      </c>
      <c r="AP805" s="38" t="s">
        <v>448</v>
      </c>
      <c r="AT805" s="64"/>
      <c r="AU805" s="38" t="s">
        <v>787</v>
      </c>
      <c r="BE805" s="38">
        <f>0.1*9.57</f>
        <v>0.95700000000000007</v>
      </c>
      <c r="BF805" s="38">
        <f>0.1*10.09</f>
        <v>1.0090000000000001</v>
      </c>
      <c r="BG805" s="38" t="s">
        <v>1522</v>
      </c>
      <c r="BH805" s="38">
        <v>0.97</v>
      </c>
      <c r="BI805" s="38">
        <v>1</v>
      </c>
      <c r="BT805" s="38" t="s">
        <v>859</v>
      </c>
      <c r="BU805" s="38" t="s">
        <v>859</v>
      </c>
      <c r="DP805" s="38">
        <v>73.28</v>
      </c>
      <c r="DQ805" s="38">
        <v>66.22</v>
      </c>
      <c r="DR805" s="38" t="s">
        <v>791</v>
      </c>
      <c r="EK805" s="38" t="s">
        <v>693</v>
      </c>
      <c r="EL805" s="38" t="s">
        <v>822</v>
      </c>
      <c r="EM805" s="38" t="s">
        <v>1212</v>
      </c>
      <c r="EN805" s="38">
        <v>40</v>
      </c>
    </row>
    <row r="806" spans="1:144" s="38" customFormat="1" x14ac:dyDescent="0.25">
      <c r="A806" s="38">
        <v>40</v>
      </c>
      <c r="B806" s="38" t="s">
        <v>785</v>
      </c>
      <c r="C806" s="38" t="s">
        <v>786</v>
      </c>
      <c r="D806" s="38">
        <v>2015</v>
      </c>
      <c r="E806" s="38">
        <v>2013</v>
      </c>
      <c r="F806" s="38" t="s">
        <v>168</v>
      </c>
      <c r="G806" s="38" t="s">
        <v>799</v>
      </c>
      <c r="H806" s="38">
        <v>35.619999999999997</v>
      </c>
      <c r="I806" s="38">
        <v>-88.85</v>
      </c>
      <c r="J806" s="38">
        <v>107.7</v>
      </c>
      <c r="N806" s="38">
        <v>1375</v>
      </c>
      <c r="P806" s="57" t="s">
        <v>221</v>
      </c>
      <c r="Q806" s="57"/>
      <c r="R806" s="57"/>
      <c r="S806" s="57" t="s">
        <v>659</v>
      </c>
      <c r="T806" s="38">
        <f t="shared" si="212"/>
        <v>1.4066666666666665</v>
      </c>
      <c r="W806" s="38" t="s">
        <v>175</v>
      </c>
      <c r="AA806" s="38" t="s">
        <v>1701</v>
      </c>
      <c r="AB806" s="38" t="s">
        <v>156</v>
      </c>
      <c r="AC806" s="38" t="s">
        <v>788</v>
      </c>
      <c r="AG806" s="38" t="s">
        <v>792</v>
      </c>
      <c r="AH806" s="38" t="s">
        <v>792</v>
      </c>
      <c r="AI806" s="38" t="s">
        <v>252</v>
      </c>
      <c r="AJ806" s="38">
        <v>34</v>
      </c>
      <c r="AK806" s="38">
        <v>34</v>
      </c>
      <c r="AL806" s="38" t="s">
        <v>252</v>
      </c>
      <c r="AM806" s="38" t="s">
        <v>222</v>
      </c>
      <c r="AN806" s="38">
        <v>4</v>
      </c>
      <c r="AO806" s="38">
        <v>4</v>
      </c>
      <c r="AP806" s="38" t="s">
        <v>448</v>
      </c>
      <c r="AT806" s="64"/>
      <c r="AU806" s="38" t="s">
        <v>787</v>
      </c>
      <c r="BE806" s="38">
        <f>0.1*9.57</f>
        <v>0.95700000000000007</v>
      </c>
      <c r="BF806" s="38">
        <f>0.1*9.05</f>
        <v>0.90500000000000014</v>
      </c>
      <c r="BG806" s="38" t="s">
        <v>1522</v>
      </c>
      <c r="BH806" s="38">
        <v>0.97</v>
      </c>
      <c r="BI806" s="38">
        <v>1.01</v>
      </c>
      <c r="BT806" s="38" t="s">
        <v>859</v>
      </c>
      <c r="BU806" s="38" t="s">
        <v>859</v>
      </c>
      <c r="DP806" s="38">
        <v>73.28</v>
      </c>
      <c r="DQ806" s="38">
        <v>51.57</v>
      </c>
      <c r="DR806" s="38" t="s">
        <v>791</v>
      </c>
      <c r="EK806" s="38" t="s">
        <v>693</v>
      </c>
      <c r="EL806" s="38" t="s">
        <v>822</v>
      </c>
      <c r="EM806" s="38" t="s">
        <v>1212</v>
      </c>
      <c r="EN806" s="38">
        <v>40</v>
      </c>
    </row>
    <row r="807" spans="1:144" s="31" customFormat="1" x14ac:dyDescent="0.25">
      <c r="A807" s="31">
        <v>40</v>
      </c>
      <c r="B807" s="31" t="s">
        <v>785</v>
      </c>
      <c r="C807" s="31" t="s">
        <v>786</v>
      </c>
      <c r="D807" s="31">
        <v>2015</v>
      </c>
      <c r="E807" s="31">
        <v>2013</v>
      </c>
      <c r="F807" s="31" t="s">
        <v>168</v>
      </c>
      <c r="G807" s="31" t="s">
        <v>799</v>
      </c>
      <c r="H807" s="31">
        <v>35.619999999999997</v>
      </c>
      <c r="I807" s="31">
        <v>-88.85</v>
      </c>
      <c r="J807" s="31">
        <v>107.7</v>
      </c>
      <c r="N807" s="31">
        <v>1375</v>
      </c>
      <c r="P807" s="56" t="s">
        <v>221</v>
      </c>
      <c r="Q807" s="56"/>
      <c r="R807" s="56"/>
      <c r="S807" s="56" t="s">
        <v>659</v>
      </c>
      <c r="T807" s="31">
        <f t="shared" si="212"/>
        <v>1.4066666666666665</v>
      </c>
      <c r="W807" s="31" t="s">
        <v>175</v>
      </c>
      <c r="AA807" s="31" t="s">
        <v>1701</v>
      </c>
      <c r="AB807" s="31" t="s">
        <v>326</v>
      </c>
      <c r="AC807" s="31" t="s">
        <v>788</v>
      </c>
      <c r="AG807" s="31" t="s">
        <v>217</v>
      </c>
      <c r="AH807" s="31" t="s">
        <v>217</v>
      </c>
      <c r="AI807" s="31" t="s">
        <v>252</v>
      </c>
      <c r="AJ807" s="31">
        <v>67</v>
      </c>
      <c r="AK807" s="31">
        <v>67</v>
      </c>
      <c r="AL807" s="31" t="s">
        <v>252</v>
      </c>
      <c r="AM807" s="31" t="s">
        <v>222</v>
      </c>
      <c r="AN807" s="31">
        <v>4</v>
      </c>
      <c r="AO807" s="31">
        <v>4</v>
      </c>
      <c r="AP807" s="31" t="s">
        <v>448</v>
      </c>
      <c r="AU807" s="31" t="s">
        <v>787</v>
      </c>
      <c r="BE807" s="31">
        <f>0.1*10.08</f>
        <v>1.008</v>
      </c>
      <c r="BF807" s="31">
        <f>0.1*12.93</f>
        <v>1.2930000000000001</v>
      </c>
      <c r="BG807" s="31" t="s">
        <v>1522</v>
      </c>
      <c r="BH807" s="31">
        <v>1.06</v>
      </c>
      <c r="BI807" s="31">
        <v>1.34</v>
      </c>
      <c r="BT807" s="31" t="s">
        <v>859</v>
      </c>
      <c r="BU807" s="31" t="s">
        <v>859</v>
      </c>
      <c r="DP807" s="31">
        <v>82.24</v>
      </c>
      <c r="DQ807" s="31">
        <v>87.42</v>
      </c>
      <c r="DR807" s="31" t="s">
        <v>791</v>
      </c>
      <c r="EK807" s="31" t="s">
        <v>693</v>
      </c>
      <c r="EL807" s="31" t="s">
        <v>822</v>
      </c>
      <c r="EM807" s="31" t="s">
        <v>1212</v>
      </c>
      <c r="EN807" s="31">
        <v>40</v>
      </c>
    </row>
    <row r="808" spans="1:144" s="31" customFormat="1" x14ac:dyDescent="0.25">
      <c r="A808" s="31">
        <v>40</v>
      </c>
      <c r="B808" s="31" t="s">
        <v>785</v>
      </c>
      <c r="C808" s="31" t="s">
        <v>786</v>
      </c>
      <c r="D808" s="31">
        <v>2015</v>
      </c>
      <c r="E808" s="31">
        <v>2013</v>
      </c>
      <c r="F808" s="31" t="s">
        <v>168</v>
      </c>
      <c r="G808" s="31" t="s">
        <v>799</v>
      </c>
      <c r="H808" s="31">
        <v>35.619999999999997</v>
      </c>
      <c r="I808" s="31">
        <v>-88.85</v>
      </c>
      <c r="J808" s="31">
        <v>107.7</v>
      </c>
      <c r="N808" s="31">
        <v>1375</v>
      </c>
      <c r="P808" s="56" t="s">
        <v>221</v>
      </c>
      <c r="Q808" s="56"/>
      <c r="R808" s="56"/>
      <c r="S808" s="56" t="s">
        <v>659</v>
      </c>
      <c r="T808" s="31">
        <f t="shared" si="212"/>
        <v>1.4066666666666665</v>
      </c>
      <c r="W808" s="31" t="s">
        <v>175</v>
      </c>
      <c r="AA808" s="31" t="s">
        <v>1701</v>
      </c>
      <c r="AB808" s="31" t="s">
        <v>156</v>
      </c>
      <c r="AC808" s="31" t="s">
        <v>788</v>
      </c>
      <c r="AG808" s="31" t="s">
        <v>217</v>
      </c>
      <c r="AH808" s="31" t="s">
        <v>217</v>
      </c>
      <c r="AI808" s="31" t="s">
        <v>252</v>
      </c>
      <c r="AJ808" s="31">
        <v>67</v>
      </c>
      <c r="AK808" s="31">
        <v>67</v>
      </c>
      <c r="AL808" s="31" t="s">
        <v>252</v>
      </c>
      <c r="AM808" s="31" t="s">
        <v>222</v>
      </c>
      <c r="AN808" s="31">
        <v>4</v>
      </c>
      <c r="AO808" s="31">
        <v>4</v>
      </c>
      <c r="AP808" s="31" t="s">
        <v>448</v>
      </c>
      <c r="AU808" s="31" t="s">
        <v>787</v>
      </c>
      <c r="BE808" s="31">
        <f>0.1*10.08</f>
        <v>1.008</v>
      </c>
      <c r="BF808" s="31">
        <f>0.1*10.86</f>
        <v>1.0860000000000001</v>
      </c>
      <c r="BG808" s="31" t="s">
        <v>1522</v>
      </c>
      <c r="BH808" s="31">
        <v>1.06</v>
      </c>
      <c r="BI808" s="31">
        <v>1.1000000000000001</v>
      </c>
      <c r="BT808" s="31" t="s">
        <v>859</v>
      </c>
      <c r="BU808" s="31" t="s">
        <v>859</v>
      </c>
      <c r="DP808" s="31">
        <v>82.24</v>
      </c>
      <c r="DQ808" s="31">
        <v>77.459999999999994</v>
      </c>
      <c r="DR808" s="31" t="s">
        <v>791</v>
      </c>
      <c r="EK808" s="31" t="s">
        <v>693</v>
      </c>
      <c r="EL808" s="31" t="s">
        <v>822</v>
      </c>
      <c r="EM808" s="31" t="s">
        <v>1212</v>
      </c>
      <c r="EN808" s="31">
        <v>40</v>
      </c>
    </row>
    <row r="809" spans="1:144" s="31" customFormat="1" x14ac:dyDescent="0.25">
      <c r="A809" s="31">
        <v>40</v>
      </c>
      <c r="B809" s="31" t="s">
        <v>785</v>
      </c>
      <c r="C809" s="31" t="s">
        <v>786</v>
      </c>
      <c r="D809" s="31">
        <v>2015</v>
      </c>
      <c r="E809" s="31">
        <v>2013</v>
      </c>
      <c r="F809" s="31" t="s">
        <v>168</v>
      </c>
      <c r="G809" s="31" t="s">
        <v>799</v>
      </c>
      <c r="H809" s="31">
        <v>35.619999999999997</v>
      </c>
      <c r="I809" s="31">
        <v>-88.85</v>
      </c>
      <c r="J809" s="31">
        <v>107.7</v>
      </c>
      <c r="N809" s="31">
        <v>1375</v>
      </c>
      <c r="P809" s="56" t="s">
        <v>221</v>
      </c>
      <c r="Q809" s="56"/>
      <c r="R809" s="56"/>
      <c r="S809" s="56" t="s">
        <v>659</v>
      </c>
      <c r="T809" s="31">
        <f t="shared" si="212"/>
        <v>1.4066666666666665</v>
      </c>
      <c r="W809" s="31" t="s">
        <v>175</v>
      </c>
      <c r="AA809" s="31" t="s">
        <v>1701</v>
      </c>
      <c r="AB809" s="31" t="s">
        <v>326</v>
      </c>
      <c r="AC809" s="31" t="s">
        <v>788</v>
      </c>
      <c r="AG809" s="31" t="s">
        <v>792</v>
      </c>
      <c r="AH809" s="31" t="s">
        <v>792</v>
      </c>
      <c r="AI809" s="31" t="s">
        <v>252</v>
      </c>
      <c r="AJ809" s="31">
        <v>67</v>
      </c>
      <c r="AK809" s="31">
        <v>67</v>
      </c>
      <c r="AL809" s="31" t="s">
        <v>252</v>
      </c>
      <c r="AM809" s="31" t="s">
        <v>222</v>
      </c>
      <c r="AN809" s="31">
        <v>4</v>
      </c>
      <c r="AO809" s="31">
        <v>4</v>
      </c>
      <c r="AP809" s="31" t="s">
        <v>448</v>
      </c>
      <c r="AU809" s="31" t="s">
        <v>787</v>
      </c>
      <c r="BE809" s="31">
        <f>0.1*10.08</f>
        <v>1.008</v>
      </c>
      <c r="BF809" s="31">
        <f>0.1*10.26</f>
        <v>1.026</v>
      </c>
      <c r="BG809" s="31" t="s">
        <v>1522</v>
      </c>
      <c r="BH809" s="31">
        <v>1.02</v>
      </c>
      <c r="BI809" s="31">
        <v>1.06</v>
      </c>
      <c r="BT809" s="31" t="s">
        <v>859</v>
      </c>
      <c r="BU809" s="31" t="s">
        <v>859</v>
      </c>
      <c r="DP809" s="31">
        <v>70.03</v>
      </c>
      <c r="DQ809" s="31">
        <v>68</v>
      </c>
      <c r="DR809" s="31" t="s">
        <v>791</v>
      </c>
      <c r="EK809" s="31" t="s">
        <v>693</v>
      </c>
      <c r="EL809" s="31" t="s">
        <v>822</v>
      </c>
      <c r="EM809" s="31" t="s">
        <v>1212</v>
      </c>
      <c r="EN809" s="31">
        <v>40</v>
      </c>
    </row>
    <row r="810" spans="1:144" s="31" customFormat="1" x14ac:dyDescent="0.25">
      <c r="A810" s="31">
        <v>40</v>
      </c>
      <c r="B810" s="31" t="s">
        <v>785</v>
      </c>
      <c r="C810" s="31" t="s">
        <v>786</v>
      </c>
      <c r="D810" s="31">
        <v>2015</v>
      </c>
      <c r="E810" s="31">
        <v>2013</v>
      </c>
      <c r="F810" s="31" t="s">
        <v>168</v>
      </c>
      <c r="G810" s="31" t="s">
        <v>799</v>
      </c>
      <c r="H810" s="31">
        <v>35.619999999999997</v>
      </c>
      <c r="I810" s="31">
        <v>-88.85</v>
      </c>
      <c r="J810" s="31">
        <v>107.7</v>
      </c>
      <c r="N810" s="31">
        <v>1375</v>
      </c>
      <c r="P810" s="56" t="s">
        <v>221</v>
      </c>
      <c r="Q810" s="56"/>
      <c r="R810" s="56"/>
      <c r="S810" s="56" t="s">
        <v>659</v>
      </c>
      <c r="T810" s="31">
        <f t="shared" si="212"/>
        <v>1.4066666666666665</v>
      </c>
      <c r="W810" s="31" t="s">
        <v>175</v>
      </c>
      <c r="AA810" s="31" t="s">
        <v>1701</v>
      </c>
      <c r="AB810" s="31" t="s">
        <v>156</v>
      </c>
      <c r="AC810" s="31" t="s">
        <v>788</v>
      </c>
      <c r="AG810" s="31" t="s">
        <v>792</v>
      </c>
      <c r="AH810" s="31" t="s">
        <v>792</v>
      </c>
      <c r="AI810" s="31" t="s">
        <v>252</v>
      </c>
      <c r="AJ810" s="31">
        <v>67</v>
      </c>
      <c r="AK810" s="31">
        <v>67</v>
      </c>
      <c r="AL810" s="31" t="s">
        <v>252</v>
      </c>
      <c r="AM810" s="31" t="s">
        <v>222</v>
      </c>
      <c r="AN810" s="31">
        <v>4</v>
      </c>
      <c r="AO810" s="31">
        <v>4</v>
      </c>
      <c r="AP810" s="31" t="s">
        <v>448</v>
      </c>
      <c r="AU810" s="31" t="s">
        <v>787</v>
      </c>
      <c r="BE810" s="31">
        <f>0.1*10.08</f>
        <v>1.008</v>
      </c>
      <c r="BF810" s="31">
        <f>0.1*10.41</f>
        <v>1.0410000000000001</v>
      </c>
      <c r="BG810" s="31" t="s">
        <v>1522</v>
      </c>
      <c r="BH810" s="31">
        <v>1.02</v>
      </c>
      <c r="BI810" s="31">
        <v>1.07</v>
      </c>
      <c r="BT810" s="31" t="s">
        <v>859</v>
      </c>
      <c r="BU810" s="31" t="s">
        <v>859</v>
      </c>
      <c r="DP810" s="31">
        <v>70.03</v>
      </c>
      <c r="DQ810" s="31">
        <v>66</v>
      </c>
      <c r="DR810" s="31" t="s">
        <v>791</v>
      </c>
      <c r="EK810" s="31" t="s">
        <v>693</v>
      </c>
      <c r="EL810" s="31" t="s">
        <v>822</v>
      </c>
      <c r="EM810" s="31" t="s">
        <v>1212</v>
      </c>
      <c r="EN810" s="31">
        <v>40</v>
      </c>
    </row>
    <row r="811" spans="1:144" s="38" customFormat="1" x14ac:dyDescent="0.25">
      <c r="A811" s="38">
        <v>40</v>
      </c>
      <c r="B811" s="38" t="s">
        <v>785</v>
      </c>
      <c r="C811" s="38" t="s">
        <v>786</v>
      </c>
      <c r="D811" s="38">
        <v>2015</v>
      </c>
      <c r="E811" s="38">
        <v>2013</v>
      </c>
      <c r="F811" s="38" t="s">
        <v>168</v>
      </c>
      <c r="G811" s="38" t="s">
        <v>799</v>
      </c>
      <c r="H811" s="38">
        <v>35.619999999999997</v>
      </c>
      <c r="I811" s="38">
        <v>-88.85</v>
      </c>
      <c r="J811" s="38">
        <v>107.7</v>
      </c>
      <c r="N811" s="38">
        <v>1375</v>
      </c>
      <c r="P811" s="57" t="s">
        <v>221</v>
      </c>
      <c r="Q811" s="57"/>
      <c r="R811" s="57"/>
      <c r="S811" s="57" t="s">
        <v>659</v>
      </c>
      <c r="T811" s="38">
        <f t="shared" si="212"/>
        <v>1.4066666666666665</v>
      </c>
      <c r="W811" s="38" t="s">
        <v>175</v>
      </c>
      <c r="AA811" s="38" t="s">
        <v>1701</v>
      </c>
      <c r="AB811" s="38" t="s">
        <v>326</v>
      </c>
      <c r="AC811" s="38" t="s">
        <v>788</v>
      </c>
      <c r="AG811" s="38" t="s">
        <v>217</v>
      </c>
      <c r="AH811" s="38" t="s">
        <v>217</v>
      </c>
      <c r="AI811" s="38" t="s">
        <v>252</v>
      </c>
      <c r="AJ811" s="38">
        <v>101</v>
      </c>
      <c r="AK811" s="38">
        <v>101</v>
      </c>
      <c r="AL811" s="38" t="s">
        <v>252</v>
      </c>
      <c r="AM811" s="38" t="s">
        <v>222</v>
      </c>
      <c r="AN811" s="38">
        <v>4</v>
      </c>
      <c r="AO811" s="38">
        <v>4</v>
      </c>
      <c r="AP811" s="38" t="s">
        <v>448</v>
      </c>
      <c r="AT811" s="64"/>
      <c r="AU811" s="38" t="s">
        <v>787</v>
      </c>
      <c r="BE811" s="38">
        <f>0.1*14.02</f>
        <v>1.4020000000000001</v>
      </c>
      <c r="BF811" s="38">
        <f>0.1*12.58</f>
        <v>1.258</v>
      </c>
      <c r="BG811" s="38" t="s">
        <v>1522</v>
      </c>
      <c r="BH811" s="38">
        <v>1.47</v>
      </c>
      <c r="BI811" s="38">
        <v>1.25</v>
      </c>
      <c r="BT811" s="38" t="s">
        <v>859</v>
      </c>
      <c r="BU811" s="38" t="s">
        <v>859</v>
      </c>
      <c r="DP811" s="38">
        <v>86.18</v>
      </c>
      <c r="DQ811" s="38">
        <v>71.55</v>
      </c>
      <c r="DR811" s="38" t="s">
        <v>791</v>
      </c>
      <c r="EK811" s="38" t="s">
        <v>693</v>
      </c>
      <c r="EL811" s="38" t="s">
        <v>822</v>
      </c>
      <c r="EM811" s="38" t="s">
        <v>1212</v>
      </c>
      <c r="EN811" s="38">
        <v>40</v>
      </c>
    </row>
    <row r="812" spans="1:144" s="38" customFormat="1" x14ac:dyDescent="0.25">
      <c r="A812" s="38">
        <v>40</v>
      </c>
      <c r="B812" s="38" t="s">
        <v>785</v>
      </c>
      <c r="C812" s="38" t="s">
        <v>786</v>
      </c>
      <c r="D812" s="38">
        <v>2015</v>
      </c>
      <c r="E812" s="38">
        <v>2013</v>
      </c>
      <c r="F812" s="38" t="s">
        <v>168</v>
      </c>
      <c r="G812" s="38" t="s">
        <v>799</v>
      </c>
      <c r="H812" s="38">
        <v>35.619999999999997</v>
      </c>
      <c r="I812" s="38">
        <v>-88.85</v>
      </c>
      <c r="J812" s="38">
        <v>107.7</v>
      </c>
      <c r="N812" s="38">
        <v>1375</v>
      </c>
      <c r="P812" s="57" t="s">
        <v>221</v>
      </c>
      <c r="Q812" s="57"/>
      <c r="R812" s="57"/>
      <c r="S812" s="57" t="s">
        <v>659</v>
      </c>
      <c r="T812" s="38">
        <f t="shared" si="212"/>
        <v>1.4066666666666665</v>
      </c>
      <c r="W812" s="38" t="s">
        <v>175</v>
      </c>
      <c r="AA812" s="38" t="s">
        <v>1701</v>
      </c>
      <c r="AB812" s="38" t="s">
        <v>156</v>
      </c>
      <c r="AC812" s="38" t="s">
        <v>788</v>
      </c>
      <c r="AG812" s="38" t="s">
        <v>217</v>
      </c>
      <c r="AH812" s="38" t="s">
        <v>217</v>
      </c>
      <c r="AI812" s="38" t="s">
        <v>252</v>
      </c>
      <c r="AJ812" s="38">
        <v>101</v>
      </c>
      <c r="AK812" s="38">
        <v>101</v>
      </c>
      <c r="AL812" s="38" t="s">
        <v>252</v>
      </c>
      <c r="AM812" s="38" t="s">
        <v>222</v>
      </c>
      <c r="AN812" s="38">
        <v>4</v>
      </c>
      <c r="AO812" s="38">
        <v>4</v>
      </c>
      <c r="AP812" s="38" t="s">
        <v>448</v>
      </c>
      <c r="AT812" s="64"/>
      <c r="AU812" s="38" t="s">
        <v>787</v>
      </c>
      <c r="BE812" s="38">
        <f>0.1*14.02</f>
        <v>1.4020000000000001</v>
      </c>
      <c r="BF812" s="38">
        <f>0.1*13.35</f>
        <v>1.335</v>
      </c>
      <c r="BG812" s="38" t="s">
        <v>1522</v>
      </c>
      <c r="BH812" s="38">
        <v>1.47</v>
      </c>
      <c r="BI812" s="38">
        <v>1.39</v>
      </c>
      <c r="BT812" s="38" t="s">
        <v>859</v>
      </c>
      <c r="BU812" s="38" t="s">
        <v>859</v>
      </c>
      <c r="DP812" s="38">
        <v>86.18</v>
      </c>
      <c r="DQ812" s="38">
        <v>81.77</v>
      </c>
      <c r="DR812" s="38" t="s">
        <v>791</v>
      </c>
      <c r="EK812" s="38" t="s">
        <v>693</v>
      </c>
      <c r="EL812" s="38" t="s">
        <v>822</v>
      </c>
      <c r="EM812" s="38" t="s">
        <v>1212</v>
      </c>
      <c r="EN812" s="38">
        <v>40</v>
      </c>
    </row>
    <row r="813" spans="1:144" s="38" customFormat="1" x14ac:dyDescent="0.25">
      <c r="A813" s="38">
        <v>40</v>
      </c>
      <c r="B813" s="38" t="s">
        <v>785</v>
      </c>
      <c r="C813" s="38" t="s">
        <v>786</v>
      </c>
      <c r="D813" s="38">
        <v>2015</v>
      </c>
      <c r="E813" s="38">
        <v>2013</v>
      </c>
      <c r="F813" s="38" t="s">
        <v>168</v>
      </c>
      <c r="G813" s="38" t="s">
        <v>799</v>
      </c>
      <c r="H813" s="38">
        <v>35.619999999999997</v>
      </c>
      <c r="I813" s="38">
        <v>-88.85</v>
      </c>
      <c r="J813" s="38">
        <v>107.7</v>
      </c>
      <c r="N813" s="38">
        <v>1375</v>
      </c>
      <c r="P813" s="57" t="s">
        <v>221</v>
      </c>
      <c r="Q813" s="57"/>
      <c r="R813" s="57"/>
      <c r="S813" s="57" t="s">
        <v>659</v>
      </c>
      <c r="T813" s="38">
        <f t="shared" si="212"/>
        <v>1.4066666666666665</v>
      </c>
      <c r="W813" s="38" t="s">
        <v>175</v>
      </c>
      <c r="AA813" s="38" t="s">
        <v>1701</v>
      </c>
      <c r="AB813" s="38" t="s">
        <v>326</v>
      </c>
      <c r="AC813" s="38" t="s">
        <v>788</v>
      </c>
      <c r="AG813" s="38" t="s">
        <v>792</v>
      </c>
      <c r="AH813" s="38" t="s">
        <v>792</v>
      </c>
      <c r="AI813" s="38" t="s">
        <v>252</v>
      </c>
      <c r="AJ813" s="38">
        <v>101</v>
      </c>
      <c r="AK813" s="38">
        <v>101</v>
      </c>
      <c r="AL813" s="38" t="s">
        <v>252</v>
      </c>
      <c r="AM813" s="38" t="s">
        <v>222</v>
      </c>
      <c r="AN813" s="38">
        <v>4</v>
      </c>
      <c r="AO813" s="38">
        <v>4</v>
      </c>
      <c r="AP813" s="38" t="s">
        <v>448</v>
      </c>
      <c r="AT813" s="64"/>
      <c r="AU813" s="38" t="s">
        <v>787</v>
      </c>
      <c r="BE813" s="38">
        <f>0.1*11.72</f>
        <v>1.1720000000000002</v>
      </c>
      <c r="BF813" s="38">
        <f>0.1*11.36</f>
        <v>1.1359999999999999</v>
      </c>
      <c r="BG813" s="38" t="s">
        <v>1522</v>
      </c>
      <c r="BH813" s="38">
        <v>1.31</v>
      </c>
      <c r="BI813" s="38">
        <v>1.19</v>
      </c>
      <c r="BT813" s="38" t="s">
        <v>859</v>
      </c>
      <c r="BU813" s="38" t="s">
        <v>859</v>
      </c>
      <c r="DP813" s="38">
        <v>61.36</v>
      </c>
      <c r="DQ813" s="38">
        <v>70.5</v>
      </c>
      <c r="DR813" s="38" t="s">
        <v>791</v>
      </c>
      <c r="EK813" s="38" t="s">
        <v>693</v>
      </c>
      <c r="EL813" s="38" t="s">
        <v>822</v>
      </c>
      <c r="EM813" s="38" t="s">
        <v>1212</v>
      </c>
      <c r="EN813" s="38">
        <v>40</v>
      </c>
    </row>
    <row r="814" spans="1:144" s="38" customFormat="1" x14ac:dyDescent="0.25">
      <c r="A814" s="38">
        <v>40</v>
      </c>
      <c r="B814" s="38" t="s">
        <v>785</v>
      </c>
      <c r="C814" s="38" t="s">
        <v>786</v>
      </c>
      <c r="D814" s="38">
        <v>2015</v>
      </c>
      <c r="E814" s="38">
        <v>2013</v>
      </c>
      <c r="F814" s="38" t="s">
        <v>168</v>
      </c>
      <c r="G814" s="38" t="s">
        <v>799</v>
      </c>
      <c r="H814" s="38">
        <v>35.619999999999997</v>
      </c>
      <c r="I814" s="38">
        <v>-88.85</v>
      </c>
      <c r="J814" s="38">
        <v>107.7</v>
      </c>
      <c r="N814" s="38">
        <v>1375</v>
      </c>
      <c r="P814" s="57" t="s">
        <v>221</v>
      </c>
      <c r="Q814" s="57"/>
      <c r="R814" s="57"/>
      <c r="S814" s="57" t="s">
        <v>659</v>
      </c>
      <c r="T814" s="38">
        <f t="shared" si="212"/>
        <v>1.4066666666666665</v>
      </c>
      <c r="W814" s="38" t="s">
        <v>175</v>
      </c>
      <c r="AA814" s="38" t="s">
        <v>1701</v>
      </c>
      <c r="AB814" s="38" t="s">
        <v>156</v>
      </c>
      <c r="AC814" s="38" t="s">
        <v>788</v>
      </c>
      <c r="AG814" s="38" t="s">
        <v>792</v>
      </c>
      <c r="AH814" s="38" t="s">
        <v>792</v>
      </c>
      <c r="AI814" s="38" t="s">
        <v>252</v>
      </c>
      <c r="AJ814" s="38">
        <v>101</v>
      </c>
      <c r="AK814" s="38">
        <v>101</v>
      </c>
      <c r="AL814" s="38" t="s">
        <v>252</v>
      </c>
      <c r="AM814" s="38" t="s">
        <v>222</v>
      </c>
      <c r="AN814" s="38">
        <v>4</v>
      </c>
      <c r="AO814" s="38">
        <v>4</v>
      </c>
      <c r="AP814" s="38" t="s">
        <v>448</v>
      </c>
      <c r="AT814" s="64"/>
      <c r="AU814" s="38" t="s">
        <v>787</v>
      </c>
      <c r="BE814" s="38">
        <f>0.1*11.72</f>
        <v>1.1720000000000002</v>
      </c>
      <c r="BF814" s="38">
        <f>0.1*12.13</f>
        <v>1.2130000000000001</v>
      </c>
      <c r="BG814" s="38" t="s">
        <v>1522</v>
      </c>
      <c r="BH814" s="38">
        <v>1.31</v>
      </c>
      <c r="BI814" s="38">
        <v>1.2</v>
      </c>
      <c r="BT814" s="38" t="s">
        <v>859</v>
      </c>
      <c r="BU814" s="38" t="s">
        <v>859</v>
      </c>
      <c r="DP814" s="38">
        <v>61.36</v>
      </c>
      <c r="DQ814" s="38">
        <v>54.78</v>
      </c>
      <c r="DR814" s="38" t="s">
        <v>791</v>
      </c>
      <c r="EK814" s="38" t="s">
        <v>693</v>
      </c>
      <c r="EL814" s="38" t="s">
        <v>822</v>
      </c>
      <c r="EM814" s="38" t="s">
        <v>1212</v>
      </c>
      <c r="EN814" s="38">
        <v>40</v>
      </c>
    </row>
    <row r="815" spans="1:144" s="26" customFormat="1" x14ac:dyDescent="0.25">
      <c r="A815" s="26">
        <v>41</v>
      </c>
      <c r="B815" s="26" t="s">
        <v>797</v>
      </c>
      <c r="C815" s="26" t="s">
        <v>798</v>
      </c>
      <c r="D815" s="26">
        <v>1994</v>
      </c>
      <c r="E815" s="26">
        <v>1986</v>
      </c>
      <c r="F815" s="26" t="s">
        <v>575</v>
      </c>
      <c r="G815" s="26" t="s">
        <v>800</v>
      </c>
      <c r="H815" s="26">
        <v>38.03</v>
      </c>
      <c r="I815" s="26">
        <v>-84.51</v>
      </c>
      <c r="J815" s="26">
        <v>299.60000000000002</v>
      </c>
      <c r="P815" s="52" t="s">
        <v>187</v>
      </c>
      <c r="Q815" s="52"/>
      <c r="R815" s="52" t="s">
        <v>279</v>
      </c>
      <c r="S815" s="52" t="s">
        <v>658</v>
      </c>
      <c r="T815" s="26">
        <v>1.05</v>
      </c>
      <c r="U815" s="26">
        <v>7.3</v>
      </c>
      <c r="V815" s="26">
        <v>70.2</v>
      </c>
      <c r="W815" s="26" t="s">
        <v>175</v>
      </c>
      <c r="X815" s="26">
        <v>5.48</v>
      </c>
      <c r="Y815" s="26">
        <v>1.1599999999999999</v>
      </c>
      <c r="AA815" s="26" t="s">
        <v>1702</v>
      </c>
      <c r="AB815" s="26" t="s">
        <v>173</v>
      </c>
      <c r="AC815" s="26" t="s">
        <v>174</v>
      </c>
      <c r="AM815" s="26" t="s">
        <v>160</v>
      </c>
      <c r="AN815" s="26">
        <v>2</v>
      </c>
      <c r="AO815" s="26">
        <v>2</v>
      </c>
      <c r="AP815" s="26" t="s">
        <v>184</v>
      </c>
      <c r="AT815" s="63"/>
      <c r="CU815" s="26">
        <v>46.84</v>
      </c>
      <c r="CV815" s="26">
        <v>51.58</v>
      </c>
      <c r="CW815" s="26" t="s">
        <v>801</v>
      </c>
      <c r="EL815" s="26" t="s">
        <v>963</v>
      </c>
      <c r="EN815" s="26">
        <v>41</v>
      </c>
    </row>
    <row r="816" spans="1:144" s="26" customFormat="1" x14ac:dyDescent="0.25">
      <c r="A816" s="26">
        <v>41</v>
      </c>
      <c r="B816" s="26" t="s">
        <v>797</v>
      </c>
      <c r="C816" s="26" t="s">
        <v>798</v>
      </c>
      <c r="D816" s="26">
        <v>1994</v>
      </c>
      <c r="E816" s="26">
        <v>1986</v>
      </c>
      <c r="F816" s="26" t="s">
        <v>575</v>
      </c>
      <c r="G816" s="26" t="s">
        <v>800</v>
      </c>
      <c r="H816" s="26">
        <v>38.03</v>
      </c>
      <c r="I816" s="26">
        <v>-84.51</v>
      </c>
      <c r="J816" s="26">
        <v>299.60000000000002</v>
      </c>
      <c r="P816" s="52" t="s">
        <v>187</v>
      </c>
      <c r="Q816" s="52"/>
      <c r="R816" s="52" t="s">
        <v>802</v>
      </c>
      <c r="S816" s="52" t="s">
        <v>658</v>
      </c>
      <c r="T816" s="26">
        <v>1.05</v>
      </c>
      <c r="U816" s="26">
        <v>7.3</v>
      </c>
      <c r="V816" s="26">
        <v>70.2</v>
      </c>
      <c r="W816" s="26" t="s">
        <v>175</v>
      </c>
      <c r="X816" s="26">
        <v>5.48</v>
      </c>
      <c r="Y816" s="26">
        <v>1.1599999999999999</v>
      </c>
      <c r="AA816" s="26" t="s">
        <v>1702</v>
      </c>
      <c r="AB816" s="26" t="s">
        <v>173</v>
      </c>
      <c r="AC816" s="26" t="s">
        <v>174</v>
      </c>
      <c r="AM816" s="26" t="s">
        <v>160</v>
      </c>
      <c r="AN816" s="26">
        <v>2</v>
      </c>
      <c r="AO816" s="26">
        <v>2</v>
      </c>
      <c r="AP816" s="26" t="s">
        <v>184</v>
      </c>
      <c r="AT816" s="63"/>
      <c r="CU816" s="26">
        <v>0.25</v>
      </c>
      <c r="CV816" s="26">
        <v>0.25</v>
      </c>
      <c r="CW816" s="26" t="s">
        <v>801</v>
      </c>
      <c r="EL816" s="26" t="s">
        <v>963</v>
      </c>
      <c r="EN816" s="26">
        <v>41</v>
      </c>
    </row>
    <row r="817" spans="1:144" s="26" customFormat="1" x14ac:dyDescent="0.25">
      <c r="A817" s="26">
        <v>41</v>
      </c>
      <c r="B817" s="26" t="s">
        <v>797</v>
      </c>
      <c r="C817" s="26" t="s">
        <v>798</v>
      </c>
      <c r="D817" s="26">
        <v>1994</v>
      </c>
      <c r="E817" s="26">
        <v>1986</v>
      </c>
      <c r="F817" s="26" t="s">
        <v>575</v>
      </c>
      <c r="G817" s="26" t="s">
        <v>800</v>
      </c>
      <c r="H817" s="26">
        <v>38.03</v>
      </c>
      <c r="I817" s="26">
        <v>-84.51</v>
      </c>
      <c r="J817" s="26">
        <v>299.60000000000002</v>
      </c>
      <c r="P817" s="52" t="s">
        <v>187</v>
      </c>
      <c r="Q817" s="52"/>
      <c r="R817" s="52" t="s">
        <v>306</v>
      </c>
      <c r="S817" s="52" t="s">
        <v>658</v>
      </c>
      <c r="T817" s="26">
        <v>1.05</v>
      </c>
      <c r="U817" s="26">
        <v>7.3</v>
      </c>
      <c r="V817" s="26">
        <v>70.2</v>
      </c>
      <c r="W817" s="26" t="s">
        <v>175</v>
      </c>
      <c r="X817" s="26">
        <v>5.48</v>
      </c>
      <c r="Y817" s="26">
        <v>1.1599999999999999</v>
      </c>
      <c r="AA817" s="26" t="s">
        <v>1702</v>
      </c>
      <c r="AB817" s="26" t="s">
        <v>173</v>
      </c>
      <c r="AC817" s="26" t="s">
        <v>174</v>
      </c>
      <c r="AM817" s="26" t="s">
        <v>160</v>
      </c>
      <c r="AN817" s="26">
        <v>2</v>
      </c>
      <c r="AO817" s="26">
        <v>2</v>
      </c>
      <c r="AP817" s="26" t="s">
        <v>184</v>
      </c>
      <c r="AT817" s="63"/>
      <c r="CU817" s="26">
        <v>0.05</v>
      </c>
      <c r="CV817" s="26">
        <v>0.05</v>
      </c>
      <c r="CW817" s="26" t="s">
        <v>801</v>
      </c>
      <c r="EL817" s="26" t="s">
        <v>963</v>
      </c>
      <c r="EN817" s="26">
        <v>41</v>
      </c>
    </row>
    <row r="818" spans="1:144" s="26" customFormat="1" x14ac:dyDescent="0.25">
      <c r="A818" s="26">
        <v>41</v>
      </c>
      <c r="B818" s="26" t="s">
        <v>797</v>
      </c>
      <c r="C818" s="26" t="s">
        <v>798</v>
      </c>
      <c r="D818" s="26">
        <v>1994</v>
      </c>
      <c r="E818" s="26">
        <v>1986</v>
      </c>
      <c r="F818" s="26" t="s">
        <v>575</v>
      </c>
      <c r="G818" s="26" t="s">
        <v>800</v>
      </c>
      <c r="H818" s="26">
        <v>38.03</v>
      </c>
      <c r="I818" s="26">
        <v>-84.51</v>
      </c>
      <c r="J818" s="26">
        <v>299.60000000000002</v>
      </c>
      <c r="P818" s="52" t="s">
        <v>187</v>
      </c>
      <c r="Q818" s="52"/>
      <c r="R818" s="52" t="s">
        <v>803</v>
      </c>
      <c r="S818" s="52" t="s">
        <v>658</v>
      </c>
      <c r="T818" s="26">
        <v>1.05</v>
      </c>
      <c r="U818" s="26">
        <v>7.3</v>
      </c>
      <c r="V818" s="26">
        <v>70.2</v>
      </c>
      <c r="W818" s="26" t="s">
        <v>175</v>
      </c>
      <c r="X818" s="26">
        <v>5.48</v>
      </c>
      <c r="Y818" s="26">
        <v>1.1599999999999999</v>
      </c>
      <c r="AA818" s="26" t="s">
        <v>1702</v>
      </c>
      <c r="AB818" s="26" t="s">
        <v>173</v>
      </c>
      <c r="AC818" s="26" t="s">
        <v>174</v>
      </c>
      <c r="AM818" s="26" t="s">
        <v>160</v>
      </c>
      <c r="AN818" s="26">
        <v>2</v>
      </c>
      <c r="AO818" s="26">
        <v>2</v>
      </c>
      <c r="AP818" s="26" t="s">
        <v>184</v>
      </c>
      <c r="AT818" s="63"/>
      <c r="CU818" s="26">
        <v>0.3</v>
      </c>
      <c r="CV818" s="26">
        <v>0.3</v>
      </c>
      <c r="CW818" s="26" t="s">
        <v>801</v>
      </c>
      <c r="EL818" s="26" t="s">
        <v>963</v>
      </c>
      <c r="EN818" s="26">
        <v>41</v>
      </c>
    </row>
    <row r="819" spans="1:144" s="26" customFormat="1" x14ac:dyDescent="0.25">
      <c r="A819" s="26">
        <v>41</v>
      </c>
      <c r="B819" s="26" t="s">
        <v>797</v>
      </c>
      <c r="C819" s="26" t="s">
        <v>798</v>
      </c>
      <c r="D819" s="26">
        <v>1994</v>
      </c>
      <c r="E819" s="26">
        <v>1986</v>
      </c>
      <c r="F819" s="26" t="s">
        <v>575</v>
      </c>
      <c r="G819" s="26" t="s">
        <v>800</v>
      </c>
      <c r="H819" s="26">
        <v>38.03</v>
      </c>
      <c r="I819" s="26">
        <v>-84.51</v>
      </c>
      <c r="J819" s="26">
        <v>299.60000000000002</v>
      </c>
      <c r="P819" s="52" t="s">
        <v>187</v>
      </c>
      <c r="Q819" s="52"/>
      <c r="R819" s="52" t="s">
        <v>804</v>
      </c>
      <c r="S819" s="52" t="s">
        <v>658</v>
      </c>
      <c r="T819" s="26">
        <v>1.05</v>
      </c>
      <c r="U819" s="26">
        <v>7.3</v>
      </c>
      <c r="V819" s="26">
        <v>70.2</v>
      </c>
      <c r="W819" s="26" t="s">
        <v>175</v>
      </c>
      <c r="X819" s="26">
        <v>5.48</v>
      </c>
      <c r="Y819" s="26">
        <v>1.1599999999999999</v>
      </c>
      <c r="AA819" s="26" t="s">
        <v>1702</v>
      </c>
      <c r="AB819" s="26" t="s">
        <v>173</v>
      </c>
      <c r="AC819" s="26" t="s">
        <v>174</v>
      </c>
      <c r="AM819" s="26" t="s">
        <v>160</v>
      </c>
      <c r="AN819" s="26">
        <v>2</v>
      </c>
      <c r="AO819" s="26">
        <v>2</v>
      </c>
      <c r="AP819" s="26" t="s">
        <v>184</v>
      </c>
      <c r="AT819" s="63"/>
      <c r="CU819" s="26">
        <v>0.03</v>
      </c>
      <c r="CV819" s="26">
        <v>0.03</v>
      </c>
      <c r="CW819" s="26" t="s">
        <v>801</v>
      </c>
      <c r="EL819" s="26" t="s">
        <v>963</v>
      </c>
      <c r="EN819" s="26">
        <v>41</v>
      </c>
    </row>
    <row r="820" spans="1:144" s="26" customFormat="1" x14ac:dyDescent="0.25">
      <c r="A820" s="26">
        <v>41</v>
      </c>
      <c r="B820" s="26" t="s">
        <v>797</v>
      </c>
      <c r="C820" s="26" t="s">
        <v>798</v>
      </c>
      <c r="D820" s="26">
        <v>1994</v>
      </c>
      <c r="E820" s="26">
        <v>1986</v>
      </c>
      <c r="F820" s="26" t="s">
        <v>575</v>
      </c>
      <c r="G820" s="26" t="s">
        <v>800</v>
      </c>
      <c r="H820" s="26">
        <v>38.03</v>
      </c>
      <c r="I820" s="26">
        <v>-84.51</v>
      </c>
      <c r="J820" s="26">
        <v>299.60000000000002</v>
      </c>
      <c r="P820" s="52" t="s">
        <v>187</v>
      </c>
      <c r="Q820" s="52"/>
      <c r="R820" s="52" t="s">
        <v>712</v>
      </c>
      <c r="S820" s="52" t="s">
        <v>658</v>
      </c>
      <c r="T820" s="26">
        <v>1.05</v>
      </c>
      <c r="U820" s="26">
        <v>7.3</v>
      </c>
      <c r="V820" s="26">
        <v>70.2</v>
      </c>
      <c r="W820" s="26" t="s">
        <v>175</v>
      </c>
      <c r="X820" s="26">
        <v>5.48</v>
      </c>
      <c r="Y820" s="26">
        <v>1.1599999999999999</v>
      </c>
      <c r="AA820" s="26" t="s">
        <v>1702</v>
      </c>
      <c r="AB820" s="26" t="s">
        <v>173</v>
      </c>
      <c r="AC820" s="26" t="s">
        <v>174</v>
      </c>
      <c r="AM820" s="26" t="s">
        <v>160</v>
      </c>
      <c r="AN820" s="26">
        <v>2</v>
      </c>
      <c r="AO820" s="26">
        <v>2</v>
      </c>
      <c r="AP820" s="26" t="s">
        <v>184</v>
      </c>
      <c r="AT820" s="63"/>
      <c r="CU820" s="26">
        <v>34.22</v>
      </c>
      <c r="CV820" s="26">
        <v>26.66</v>
      </c>
      <c r="CW820" s="26" t="s">
        <v>801</v>
      </c>
      <c r="EL820" s="26" t="s">
        <v>963</v>
      </c>
      <c r="EN820" s="26">
        <v>41</v>
      </c>
    </row>
    <row r="821" spans="1:144" s="35" customFormat="1" x14ac:dyDescent="0.25">
      <c r="A821" s="35">
        <v>41</v>
      </c>
      <c r="B821" s="35" t="s">
        <v>797</v>
      </c>
      <c r="C821" s="35" t="s">
        <v>798</v>
      </c>
      <c r="D821" s="35">
        <v>1994</v>
      </c>
      <c r="E821" s="35">
        <v>1987</v>
      </c>
      <c r="F821" s="35" t="s">
        <v>575</v>
      </c>
      <c r="G821" s="35" t="s">
        <v>800</v>
      </c>
      <c r="H821" s="35">
        <v>38.03</v>
      </c>
      <c r="I821" s="35">
        <v>-84.51</v>
      </c>
      <c r="J821" s="35">
        <v>299.60000000000002</v>
      </c>
      <c r="P821" s="54" t="s">
        <v>188</v>
      </c>
      <c r="Q821" s="54"/>
      <c r="R821" s="54" t="s">
        <v>808</v>
      </c>
      <c r="S821" s="54" t="s">
        <v>658</v>
      </c>
      <c r="T821" s="35">
        <v>1.05</v>
      </c>
      <c r="U821" s="35">
        <v>7.3</v>
      </c>
      <c r="V821" s="35">
        <v>70.2</v>
      </c>
      <c r="W821" s="35" t="s">
        <v>175</v>
      </c>
      <c r="X821" s="35">
        <v>5.48</v>
      </c>
      <c r="Y821" s="35">
        <v>1.1599999999999999</v>
      </c>
      <c r="AA821" s="35" t="s">
        <v>1702</v>
      </c>
      <c r="AB821" s="35" t="s">
        <v>173</v>
      </c>
      <c r="AC821" s="35" t="s">
        <v>174</v>
      </c>
      <c r="AM821" s="35" t="s">
        <v>160</v>
      </c>
      <c r="AN821" s="35">
        <v>2</v>
      </c>
      <c r="AO821" s="35">
        <v>2</v>
      </c>
      <c r="AP821" s="35" t="s">
        <v>184</v>
      </c>
      <c r="AT821" s="63"/>
      <c r="CU821" s="35">
        <v>84.75</v>
      </c>
      <c r="CV821" s="35">
        <v>81.73</v>
      </c>
      <c r="CW821" s="35" t="s">
        <v>801</v>
      </c>
      <c r="EL821" s="35" t="s">
        <v>963</v>
      </c>
      <c r="EN821" s="35">
        <v>41</v>
      </c>
    </row>
    <row r="822" spans="1:144" s="35" customFormat="1" x14ac:dyDescent="0.25">
      <c r="A822" s="35">
        <v>41</v>
      </c>
      <c r="B822" s="35" t="s">
        <v>797</v>
      </c>
      <c r="C822" s="35" t="s">
        <v>798</v>
      </c>
      <c r="D822" s="35">
        <v>1994</v>
      </c>
      <c r="E822" s="35">
        <v>1987</v>
      </c>
      <c r="F822" s="35" t="s">
        <v>575</v>
      </c>
      <c r="G822" s="35" t="s">
        <v>800</v>
      </c>
      <c r="H822" s="35">
        <v>38.03</v>
      </c>
      <c r="I822" s="35">
        <v>-84.51</v>
      </c>
      <c r="J822" s="35">
        <v>299.60000000000002</v>
      </c>
      <c r="P822" s="54" t="s">
        <v>188</v>
      </c>
      <c r="Q822" s="54"/>
      <c r="R822" s="54" t="s">
        <v>809</v>
      </c>
      <c r="S822" s="54" t="s">
        <v>658</v>
      </c>
      <c r="T822" s="35">
        <v>1.05</v>
      </c>
      <c r="U822" s="35">
        <v>7.3</v>
      </c>
      <c r="V822" s="35">
        <v>70.2</v>
      </c>
      <c r="W822" s="35" t="s">
        <v>175</v>
      </c>
      <c r="X822" s="35">
        <v>5.48</v>
      </c>
      <c r="Y822" s="35">
        <v>1.1599999999999999</v>
      </c>
      <c r="AA822" s="35" t="s">
        <v>1702</v>
      </c>
      <c r="AB822" s="35" t="s">
        <v>173</v>
      </c>
      <c r="AC822" s="35" t="s">
        <v>174</v>
      </c>
      <c r="AM822" s="35" t="s">
        <v>160</v>
      </c>
      <c r="AN822" s="35">
        <v>2</v>
      </c>
      <c r="AO822" s="35">
        <v>2</v>
      </c>
      <c r="AP822" s="35" t="s">
        <v>184</v>
      </c>
      <c r="AT822" s="63"/>
      <c r="CU822" s="35">
        <v>87.58</v>
      </c>
      <c r="CV822" s="35">
        <v>85.64</v>
      </c>
      <c r="CW822" s="35" t="s">
        <v>801</v>
      </c>
      <c r="EL822" s="35" t="s">
        <v>963</v>
      </c>
      <c r="EN822" s="35">
        <v>41</v>
      </c>
    </row>
    <row r="823" spans="1:144" s="35" customFormat="1" x14ac:dyDescent="0.25">
      <c r="A823" s="35">
        <v>41</v>
      </c>
      <c r="B823" s="35" t="s">
        <v>797</v>
      </c>
      <c r="C823" s="35" t="s">
        <v>798</v>
      </c>
      <c r="D823" s="35">
        <v>1994</v>
      </c>
      <c r="E823" s="35">
        <v>1987</v>
      </c>
      <c r="F823" s="35" t="s">
        <v>575</v>
      </c>
      <c r="G823" s="35" t="s">
        <v>800</v>
      </c>
      <c r="H823" s="35">
        <v>38.03</v>
      </c>
      <c r="I823" s="35">
        <v>-84.51</v>
      </c>
      <c r="J823" s="35">
        <v>299.60000000000002</v>
      </c>
      <c r="P823" s="54" t="s">
        <v>188</v>
      </c>
      <c r="Q823" s="54"/>
      <c r="R823" s="54" t="s">
        <v>291</v>
      </c>
      <c r="S823" s="54" t="s">
        <v>658</v>
      </c>
      <c r="T823" s="35">
        <v>1.05</v>
      </c>
      <c r="U823" s="35">
        <v>7.3</v>
      </c>
      <c r="V823" s="35">
        <v>70.2</v>
      </c>
      <c r="W823" s="35" t="s">
        <v>175</v>
      </c>
      <c r="X823" s="35">
        <v>5.48</v>
      </c>
      <c r="Y823" s="35">
        <v>1.1599999999999999</v>
      </c>
      <c r="AA823" s="35" t="s">
        <v>1702</v>
      </c>
      <c r="AB823" s="35" t="s">
        <v>173</v>
      </c>
      <c r="AC823" s="35" t="s">
        <v>174</v>
      </c>
      <c r="AM823" s="35" t="s">
        <v>160</v>
      </c>
      <c r="AN823" s="35">
        <v>2</v>
      </c>
      <c r="AO823" s="35">
        <v>2</v>
      </c>
      <c r="AP823" s="35" t="s">
        <v>184</v>
      </c>
      <c r="AT823" s="63"/>
      <c r="CU823" s="35">
        <v>95.59</v>
      </c>
      <c r="CV823" s="35">
        <v>74.66</v>
      </c>
      <c r="CW823" s="35" t="s">
        <v>801</v>
      </c>
      <c r="EL823" s="35" t="s">
        <v>963</v>
      </c>
      <c r="EN823" s="35">
        <v>41</v>
      </c>
    </row>
    <row r="824" spans="1:144" s="35" customFormat="1" x14ac:dyDescent="0.25">
      <c r="A824" s="35">
        <v>41</v>
      </c>
      <c r="B824" s="35" t="s">
        <v>797</v>
      </c>
      <c r="C824" s="35" t="s">
        <v>798</v>
      </c>
      <c r="D824" s="35">
        <v>1994</v>
      </c>
      <c r="E824" s="35">
        <v>1987</v>
      </c>
      <c r="F824" s="35" t="s">
        <v>575</v>
      </c>
      <c r="G824" s="35" t="s">
        <v>800</v>
      </c>
      <c r="H824" s="35">
        <v>38.03</v>
      </c>
      <c r="I824" s="35">
        <v>-84.51</v>
      </c>
      <c r="J824" s="35">
        <v>299.60000000000002</v>
      </c>
      <c r="P824" s="54" t="s">
        <v>188</v>
      </c>
      <c r="Q824" s="54"/>
      <c r="R824" s="54" t="s">
        <v>806</v>
      </c>
      <c r="S824" s="54" t="s">
        <v>658</v>
      </c>
      <c r="T824" s="35">
        <v>1.05</v>
      </c>
      <c r="U824" s="35">
        <v>7.3</v>
      </c>
      <c r="V824" s="35">
        <v>70.2</v>
      </c>
      <c r="W824" s="35" t="s">
        <v>175</v>
      </c>
      <c r="X824" s="35">
        <v>5.48</v>
      </c>
      <c r="Y824" s="35">
        <v>1.1599999999999999</v>
      </c>
      <c r="AA824" s="35" t="s">
        <v>1702</v>
      </c>
      <c r="AB824" s="35" t="s">
        <v>173</v>
      </c>
      <c r="AC824" s="35" t="s">
        <v>174</v>
      </c>
      <c r="AM824" s="35" t="s">
        <v>160</v>
      </c>
      <c r="AN824" s="35">
        <v>2</v>
      </c>
      <c r="AO824" s="35">
        <v>2</v>
      </c>
      <c r="AP824" s="35" t="s">
        <v>184</v>
      </c>
      <c r="AT824" s="63"/>
      <c r="CU824" s="35">
        <v>79.63</v>
      </c>
      <c r="CV824" s="35">
        <v>51.37</v>
      </c>
      <c r="CW824" s="35" t="s">
        <v>801</v>
      </c>
      <c r="EL824" s="35" t="s">
        <v>963</v>
      </c>
      <c r="EN824" s="35">
        <v>41</v>
      </c>
    </row>
    <row r="825" spans="1:144" s="35" customFormat="1" x14ac:dyDescent="0.25">
      <c r="A825" s="35">
        <v>41</v>
      </c>
      <c r="B825" s="35" t="s">
        <v>797</v>
      </c>
      <c r="C825" s="35" t="s">
        <v>798</v>
      </c>
      <c r="D825" s="35">
        <v>1994</v>
      </c>
      <c r="E825" s="35">
        <v>1987</v>
      </c>
      <c r="F825" s="35" t="s">
        <v>575</v>
      </c>
      <c r="G825" s="35" t="s">
        <v>800</v>
      </c>
      <c r="H825" s="35">
        <v>38.03</v>
      </c>
      <c r="I825" s="35">
        <v>-84.51</v>
      </c>
      <c r="J825" s="35">
        <v>299.60000000000002</v>
      </c>
      <c r="P825" s="54" t="s">
        <v>188</v>
      </c>
      <c r="Q825" s="54"/>
      <c r="R825" s="54" t="s">
        <v>279</v>
      </c>
      <c r="S825" s="54" t="s">
        <v>658</v>
      </c>
      <c r="T825" s="35">
        <v>1.05</v>
      </c>
      <c r="U825" s="35">
        <v>7.3</v>
      </c>
      <c r="V825" s="35">
        <v>70.2</v>
      </c>
      <c r="W825" s="35" t="s">
        <v>175</v>
      </c>
      <c r="X825" s="35">
        <v>5.48</v>
      </c>
      <c r="Y825" s="35">
        <v>1.1599999999999999</v>
      </c>
      <c r="AA825" s="35" t="s">
        <v>1702</v>
      </c>
      <c r="AB825" s="35" t="s">
        <v>173</v>
      </c>
      <c r="AC825" s="35" t="s">
        <v>174</v>
      </c>
      <c r="AM825" s="35" t="s">
        <v>160</v>
      </c>
      <c r="AN825" s="35">
        <v>2</v>
      </c>
      <c r="AO825" s="35">
        <v>2</v>
      </c>
      <c r="AP825" s="35" t="s">
        <v>184</v>
      </c>
      <c r="AT825" s="63"/>
      <c r="CU825" s="35">
        <v>17.940000000000001</v>
      </c>
      <c r="CV825" s="35">
        <v>0.24</v>
      </c>
      <c r="CW825" s="35" t="s">
        <v>801</v>
      </c>
      <c r="EL825" s="35" t="s">
        <v>963</v>
      </c>
      <c r="EN825" s="35">
        <v>41</v>
      </c>
    </row>
    <row r="826" spans="1:144" s="35" customFormat="1" x14ac:dyDescent="0.25">
      <c r="A826" s="35">
        <v>41</v>
      </c>
      <c r="B826" s="35" t="s">
        <v>797</v>
      </c>
      <c r="C826" s="35" t="s">
        <v>798</v>
      </c>
      <c r="D826" s="35">
        <v>1994</v>
      </c>
      <c r="E826" s="35">
        <v>1987</v>
      </c>
      <c r="F826" s="35" t="s">
        <v>575</v>
      </c>
      <c r="G826" s="35" t="s">
        <v>800</v>
      </c>
      <c r="H826" s="35">
        <v>38.03</v>
      </c>
      <c r="I826" s="35">
        <v>-84.51</v>
      </c>
      <c r="J826" s="35">
        <v>299.60000000000002</v>
      </c>
      <c r="P826" s="54" t="s">
        <v>188</v>
      </c>
      <c r="Q826" s="54"/>
      <c r="R826" s="54" t="s">
        <v>802</v>
      </c>
      <c r="S826" s="54" t="s">
        <v>658</v>
      </c>
      <c r="T826" s="35">
        <v>1.05</v>
      </c>
      <c r="U826" s="35">
        <v>7.3</v>
      </c>
      <c r="V826" s="35">
        <v>70.2</v>
      </c>
      <c r="W826" s="35" t="s">
        <v>175</v>
      </c>
      <c r="X826" s="35">
        <v>5.48</v>
      </c>
      <c r="Y826" s="35">
        <v>1.1599999999999999</v>
      </c>
      <c r="AA826" s="35" t="s">
        <v>1702</v>
      </c>
      <c r="AB826" s="35" t="s">
        <v>173</v>
      </c>
      <c r="AC826" s="35" t="s">
        <v>174</v>
      </c>
      <c r="AM826" s="35" t="s">
        <v>160</v>
      </c>
      <c r="AN826" s="35">
        <v>2</v>
      </c>
      <c r="AO826" s="35">
        <v>2</v>
      </c>
      <c r="AP826" s="35" t="s">
        <v>184</v>
      </c>
      <c r="AT826" s="63"/>
      <c r="CU826" s="35">
        <v>30.46</v>
      </c>
      <c r="CV826" s="35">
        <v>0.26</v>
      </c>
      <c r="CW826" s="35" t="s">
        <v>801</v>
      </c>
      <c r="EL826" s="35" t="s">
        <v>963</v>
      </c>
      <c r="EN826" s="35">
        <v>41</v>
      </c>
    </row>
    <row r="827" spans="1:144" s="35" customFormat="1" x14ac:dyDescent="0.25">
      <c r="A827" s="35">
        <v>41</v>
      </c>
      <c r="B827" s="35" t="s">
        <v>797</v>
      </c>
      <c r="C827" s="35" t="s">
        <v>798</v>
      </c>
      <c r="D827" s="35">
        <v>1994</v>
      </c>
      <c r="E827" s="35">
        <v>1987</v>
      </c>
      <c r="F827" s="35" t="s">
        <v>575</v>
      </c>
      <c r="G827" s="35" t="s">
        <v>800</v>
      </c>
      <c r="H827" s="35">
        <v>38.03</v>
      </c>
      <c r="I827" s="35">
        <v>-84.51</v>
      </c>
      <c r="J827" s="35">
        <v>299.60000000000002</v>
      </c>
      <c r="P827" s="54" t="s">
        <v>188</v>
      </c>
      <c r="Q827" s="54"/>
      <c r="R827" s="54" t="s">
        <v>306</v>
      </c>
      <c r="S827" s="54" t="s">
        <v>658</v>
      </c>
      <c r="T827" s="35">
        <v>1.05</v>
      </c>
      <c r="U827" s="35">
        <v>7.3</v>
      </c>
      <c r="V827" s="35">
        <v>70.2</v>
      </c>
      <c r="W827" s="35" t="s">
        <v>175</v>
      </c>
      <c r="X827" s="35">
        <v>5.48</v>
      </c>
      <c r="Y827" s="35">
        <v>1.1599999999999999</v>
      </c>
      <c r="AA827" s="35" t="s">
        <v>1702</v>
      </c>
      <c r="AB827" s="35" t="s">
        <v>173</v>
      </c>
      <c r="AC827" s="35" t="s">
        <v>174</v>
      </c>
      <c r="AM827" s="35" t="s">
        <v>160</v>
      </c>
      <c r="AN827" s="35">
        <v>2</v>
      </c>
      <c r="AO827" s="35">
        <v>2</v>
      </c>
      <c r="AP827" s="35" t="s">
        <v>184</v>
      </c>
      <c r="AT827" s="63"/>
      <c r="CU827" s="35">
        <v>48.81</v>
      </c>
      <c r="CV827" s="35">
        <v>15.59</v>
      </c>
      <c r="CW827" s="35" t="s">
        <v>801</v>
      </c>
      <c r="EL827" s="35" t="s">
        <v>963</v>
      </c>
      <c r="EN827" s="35">
        <v>41</v>
      </c>
    </row>
    <row r="828" spans="1:144" s="35" customFormat="1" x14ac:dyDescent="0.25">
      <c r="A828" s="35">
        <v>41</v>
      </c>
      <c r="B828" s="35" t="s">
        <v>797</v>
      </c>
      <c r="C828" s="35" t="s">
        <v>798</v>
      </c>
      <c r="D828" s="35">
        <v>1994</v>
      </c>
      <c r="E828" s="35">
        <v>1987</v>
      </c>
      <c r="F828" s="35" t="s">
        <v>575</v>
      </c>
      <c r="G828" s="35" t="s">
        <v>800</v>
      </c>
      <c r="H828" s="35">
        <v>38.03</v>
      </c>
      <c r="I828" s="35">
        <v>-84.51</v>
      </c>
      <c r="J828" s="35">
        <v>299.60000000000002</v>
      </c>
      <c r="P828" s="54" t="s">
        <v>188</v>
      </c>
      <c r="Q828" s="54"/>
      <c r="R828" s="54" t="s">
        <v>803</v>
      </c>
      <c r="S828" s="54" t="s">
        <v>658</v>
      </c>
      <c r="T828" s="35">
        <v>1.05</v>
      </c>
      <c r="U828" s="35">
        <v>7.3</v>
      </c>
      <c r="V828" s="35">
        <v>70.2</v>
      </c>
      <c r="W828" s="35" t="s">
        <v>175</v>
      </c>
      <c r="X828" s="35">
        <v>5.48</v>
      </c>
      <c r="Y828" s="35">
        <v>1.1599999999999999</v>
      </c>
      <c r="AA828" s="35" t="s">
        <v>1702</v>
      </c>
      <c r="AB828" s="35" t="s">
        <v>173</v>
      </c>
      <c r="AC828" s="35" t="s">
        <v>174</v>
      </c>
      <c r="AM828" s="35" t="s">
        <v>160</v>
      </c>
      <c r="AN828" s="35">
        <v>2</v>
      </c>
      <c r="AO828" s="35">
        <v>2</v>
      </c>
      <c r="AP828" s="35" t="s">
        <v>184</v>
      </c>
      <c r="AT828" s="63"/>
      <c r="CU828" s="35">
        <v>35.020000000000003</v>
      </c>
      <c r="CV828" s="35">
        <v>35.020000000000003</v>
      </c>
      <c r="CW828" s="35" t="s">
        <v>801</v>
      </c>
      <c r="EL828" s="35" t="s">
        <v>963</v>
      </c>
      <c r="EN828" s="35">
        <v>41</v>
      </c>
    </row>
    <row r="829" spans="1:144" s="35" customFormat="1" x14ac:dyDescent="0.25">
      <c r="A829" s="35">
        <v>41</v>
      </c>
      <c r="B829" s="35" t="s">
        <v>797</v>
      </c>
      <c r="C829" s="35" t="s">
        <v>798</v>
      </c>
      <c r="D829" s="35">
        <v>1994</v>
      </c>
      <c r="E829" s="35">
        <v>1987</v>
      </c>
      <c r="F829" s="35" t="s">
        <v>575</v>
      </c>
      <c r="G829" s="35" t="s">
        <v>800</v>
      </c>
      <c r="H829" s="35">
        <v>38.03</v>
      </c>
      <c r="I829" s="35">
        <v>-84.51</v>
      </c>
      <c r="J829" s="35">
        <v>299.60000000000002</v>
      </c>
      <c r="P829" s="54" t="s">
        <v>188</v>
      </c>
      <c r="Q829" s="54"/>
      <c r="R829" s="54" t="s">
        <v>807</v>
      </c>
      <c r="S829" s="54" t="s">
        <v>658</v>
      </c>
      <c r="T829" s="35">
        <v>1.05</v>
      </c>
      <c r="U829" s="35">
        <v>7.3</v>
      </c>
      <c r="V829" s="35">
        <v>70.2</v>
      </c>
      <c r="W829" s="35" t="s">
        <v>175</v>
      </c>
      <c r="X829" s="35">
        <v>5.48</v>
      </c>
      <c r="Y829" s="35">
        <v>1.1599999999999999</v>
      </c>
      <c r="AA829" s="35" t="s">
        <v>1702</v>
      </c>
      <c r="AB829" s="35" t="s">
        <v>173</v>
      </c>
      <c r="AC829" s="35" t="s">
        <v>174</v>
      </c>
      <c r="AM829" s="35" t="s">
        <v>160</v>
      </c>
      <c r="AN829" s="35">
        <v>2</v>
      </c>
      <c r="AO829" s="35">
        <v>2</v>
      </c>
      <c r="AP829" s="35" t="s">
        <v>184</v>
      </c>
      <c r="AT829" s="63"/>
      <c r="CU829" s="35">
        <v>0.5</v>
      </c>
      <c r="CV829" s="35">
        <v>0.5</v>
      </c>
      <c r="CW829" s="35" t="s">
        <v>801</v>
      </c>
      <c r="EL829" s="35" t="s">
        <v>963</v>
      </c>
      <c r="EN829" s="35">
        <v>41</v>
      </c>
    </row>
    <row r="830" spans="1:144" s="35" customFormat="1" x14ac:dyDescent="0.25">
      <c r="A830" s="35">
        <v>41</v>
      </c>
      <c r="B830" s="35" t="s">
        <v>797</v>
      </c>
      <c r="C830" s="35" t="s">
        <v>798</v>
      </c>
      <c r="D830" s="35">
        <v>1994</v>
      </c>
      <c r="E830" s="35">
        <v>1987</v>
      </c>
      <c r="F830" s="35" t="s">
        <v>575</v>
      </c>
      <c r="G830" s="35" t="s">
        <v>800</v>
      </c>
      <c r="H830" s="35">
        <v>38.03</v>
      </c>
      <c r="I830" s="35">
        <v>-84.51</v>
      </c>
      <c r="J830" s="35">
        <v>299.60000000000002</v>
      </c>
      <c r="P830" s="54" t="s">
        <v>188</v>
      </c>
      <c r="Q830" s="54"/>
      <c r="R830" s="54" t="s">
        <v>712</v>
      </c>
      <c r="S830" s="54" t="s">
        <v>658</v>
      </c>
      <c r="T830" s="35">
        <v>1.05</v>
      </c>
      <c r="U830" s="35">
        <v>7.3</v>
      </c>
      <c r="V830" s="35">
        <v>70.2</v>
      </c>
      <c r="W830" s="35" t="s">
        <v>175</v>
      </c>
      <c r="X830" s="35">
        <v>5.48</v>
      </c>
      <c r="Y830" s="35">
        <v>1.1599999999999999</v>
      </c>
      <c r="AA830" s="35" t="s">
        <v>1702</v>
      </c>
      <c r="AB830" s="35" t="s">
        <v>173</v>
      </c>
      <c r="AC830" s="35" t="s">
        <v>174</v>
      </c>
      <c r="AM830" s="35" t="s">
        <v>160</v>
      </c>
      <c r="AN830" s="35">
        <v>2</v>
      </c>
      <c r="AO830" s="35">
        <v>2</v>
      </c>
      <c r="AP830" s="35" t="s">
        <v>184</v>
      </c>
      <c r="AT830" s="63"/>
      <c r="CU830" s="35">
        <v>0.17</v>
      </c>
      <c r="CV830" s="35">
        <v>0.17</v>
      </c>
      <c r="CW830" s="35" t="s">
        <v>801</v>
      </c>
      <c r="EL830" s="35" t="s">
        <v>963</v>
      </c>
      <c r="EN830" s="35">
        <v>41</v>
      </c>
    </row>
    <row r="831" spans="1:144" s="35" customFormat="1" x14ac:dyDescent="0.25">
      <c r="A831" s="35">
        <v>41</v>
      </c>
      <c r="B831" s="35" t="s">
        <v>797</v>
      </c>
      <c r="C831" s="35" t="s">
        <v>798</v>
      </c>
      <c r="D831" s="35">
        <v>1994</v>
      </c>
      <c r="E831" s="35">
        <v>1987</v>
      </c>
      <c r="F831" s="35" t="s">
        <v>575</v>
      </c>
      <c r="G831" s="35" t="s">
        <v>800</v>
      </c>
      <c r="H831" s="35">
        <v>38.03</v>
      </c>
      <c r="I831" s="35">
        <v>-84.51</v>
      </c>
      <c r="J831" s="35">
        <v>299.60000000000002</v>
      </c>
      <c r="P831" s="54" t="s">
        <v>188</v>
      </c>
      <c r="Q831" s="54"/>
      <c r="R831" s="54" t="s">
        <v>805</v>
      </c>
      <c r="S831" s="54" t="s">
        <v>658</v>
      </c>
      <c r="T831" s="35">
        <v>1.05</v>
      </c>
      <c r="U831" s="35">
        <v>7.3</v>
      </c>
      <c r="V831" s="35">
        <v>70.2</v>
      </c>
      <c r="W831" s="35" t="s">
        <v>175</v>
      </c>
      <c r="X831" s="35">
        <v>5.48</v>
      </c>
      <c r="Y831" s="35">
        <v>1.1599999999999999</v>
      </c>
      <c r="AA831" s="35" t="s">
        <v>1702</v>
      </c>
      <c r="AB831" s="35" t="s">
        <v>173</v>
      </c>
      <c r="AC831" s="35" t="s">
        <v>174</v>
      </c>
      <c r="AM831" s="35" t="s">
        <v>160</v>
      </c>
      <c r="AN831" s="35">
        <v>2</v>
      </c>
      <c r="AO831" s="35">
        <v>2</v>
      </c>
      <c r="AP831" s="35" t="s">
        <v>184</v>
      </c>
      <c r="AT831" s="63"/>
      <c r="CU831" s="35">
        <v>25.21</v>
      </c>
      <c r="CV831" s="35">
        <v>12.69</v>
      </c>
      <c r="CW831" s="35" t="s">
        <v>801</v>
      </c>
      <c r="EL831" s="35" t="s">
        <v>963</v>
      </c>
      <c r="EN831" s="35">
        <v>41</v>
      </c>
    </row>
    <row r="832" spans="1:144" s="26" customFormat="1" x14ac:dyDescent="0.25">
      <c r="A832" s="26">
        <v>41</v>
      </c>
      <c r="B832" s="26" t="s">
        <v>797</v>
      </c>
      <c r="C832" s="26" t="s">
        <v>798</v>
      </c>
      <c r="D832" s="26">
        <v>1994</v>
      </c>
      <c r="E832" s="26">
        <v>1988</v>
      </c>
      <c r="F832" s="26" t="s">
        <v>575</v>
      </c>
      <c r="G832" s="26" t="s">
        <v>800</v>
      </c>
      <c r="H832" s="26">
        <v>38.03</v>
      </c>
      <c r="I832" s="26">
        <v>-84.51</v>
      </c>
      <c r="J832" s="26">
        <v>299.60000000000002</v>
      </c>
      <c r="P832" s="52" t="s">
        <v>189</v>
      </c>
      <c r="Q832" s="52"/>
      <c r="R832" s="52" t="s">
        <v>808</v>
      </c>
      <c r="S832" s="52" t="s">
        <v>658</v>
      </c>
      <c r="T832" s="26">
        <v>1.05</v>
      </c>
      <c r="U832" s="26">
        <v>7.3</v>
      </c>
      <c r="V832" s="26">
        <v>70.2</v>
      </c>
      <c r="W832" s="26" t="s">
        <v>175</v>
      </c>
      <c r="X832" s="26">
        <v>5.48</v>
      </c>
      <c r="Y832" s="26">
        <v>1.1599999999999999</v>
      </c>
      <c r="AA832" s="26" t="s">
        <v>1702</v>
      </c>
      <c r="AB832" s="26" t="s">
        <v>173</v>
      </c>
      <c r="AC832" s="26" t="s">
        <v>174</v>
      </c>
      <c r="AM832" s="26" t="s">
        <v>160</v>
      </c>
      <c r="AN832" s="26">
        <v>2</v>
      </c>
      <c r="AO832" s="26">
        <v>2</v>
      </c>
      <c r="AP832" s="26" t="s">
        <v>184</v>
      </c>
      <c r="AT832" s="63"/>
      <c r="CU832" s="26">
        <v>95.55</v>
      </c>
      <c r="CV832" s="26">
        <v>92.09</v>
      </c>
      <c r="CW832" s="26" t="s">
        <v>801</v>
      </c>
      <c r="EL832" s="26" t="s">
        <v>963</v>
      </c>
      <c r="EN832" s="26">
        <v>41</v>
      </c>
    </row>
    <row r="833" spans="1:144" s="26" customFormat="1" x14ac:dyDescent="0.25">
      <c r="A833" s="26">
        <v>41</v>
      </c>
      <c r="B833" s="26" t="s">
        <v>797</v>
      </c>
      <c r="C833" s="26" t="s">
        <v>798</v>
      </c>
      <c r="D833" s="26">
        <v>1994</v>
      </c>
      <c r="E833" s="26">
        <v>1988</v>
      </c>
      <c r="F833" s="26" t="s">
        <v>575</v>
      </c>
      <c r="G833" s="26" t="s">
        <v>800</v>
      </c>
      <c r="H833" s="26">
        <v>38.03</v>
      </c>
      <c r="I833" s="26">
        <v>-84.51</v>
      </c>
      <c r="J833" s="26">
        <v>299.60000000000002</v>
      </c>
      <c r="P833" s="52" t="s">
        <v>189</v>
      </c>
      <c r="Q833" s="52"/>
      <c r="R833" s="52" t="s">
        <v>809</v>
      </c>
      <c r="S833" s="52" t="s">
        <v>658</v>
      </c>
      <c r="T833" s="26">
        <v>1.05</v>
      </c>
      <c r="U833" s="26">
        <v>7.3</v>
      </c>
      <c r="V833" s="26">
        <v>70.2</v>
      </c>
      <c r="W833" s="26" t="s">
        <v>175</v>
      </c>
      <c r="X833" s="26">
        <v>5.48</v>
      </c>
      <c r="Y833" s="26">
        <v>1.1599999999999999</v>
      </c>
      <c r="AA833" s="26" t="s">
        <v>1702</v>
      </c>
      <c r="AB833" s="26" t="s">
        <v>173</v>
      </c>
      <c r="AC833" s="26" t="s">
        <v>174</v>
      </c>
      <c r="AM833" s="26" t="s">
        <v>160</v>
      </c>
      <c r="AN833" s="26">
        <v>2</v>
      </c>
      <c r="AO833" s="26">
        <v>2</v>
      </c>
      <c r="AP833" s="26" t="s">
        <v>184</v>
      </c>
      <c r="AT833" s="63"/>
      <c r="CU833" s="26">
        <v>81.97</v>
      </c>
      <c r="CV833" s="26">
        <v>79.599999999999994</v>
      </c>
      <c r="CW833" s="26" t="s">
        <v>801</v>
      </c>
      <c r="EL833" s="26" t="s">
        <v>963</v>
      </c>
      <c r="EN833" s="26">
        <v>41</v>
      </c>
    </row>
    <row r="834" spans="1:144" s="26" customFormat="1" x14ac:dyDescent="0.25">
      <c r="A834" s="26">
        <v>41</v>
      </c>
      <c r="B834" s="26" t="s">
        <v>797</v>
      </c>
      <c r="C834" s="26" t="s">
        <v>798</v>
      </c>
      <c r="D834" s="26">
        <v>1994</v>
      </c>
      <c r="E834" s="26">
        <v>1988</v>
      </c>
      <c r="F834" s="26" t="s">
        <v>575</v>
      </c>
      <c r="G834" s="26" t="s">
        <v>800</v>
      </c>
      <c r="H834" s="26">
        <v>38.03</v>
      </c>
      <c r="I834" s="26">
        <v>-84.51</v>
      </c>
      <c r="J834" s="26">
        <v>299.60000000000002</v>
      </c>
      <c r="P834" s="52" t="s">
        <v>189</v>
      </c>
      <c r="Q834" s="52"/>
      <c r="R834" s="52" t="s">
        <v>291</v>
      </c>
      <c r="S834" s="52" t="s">
        <v>658</v>
      </c>
      <c r="T834" s="26">
        <v>1.05</v>
      </c>
      <c r="U834" s="26">
        <v>7.3</v>
      </c>
      <c r="V834" s="26">
        <v>70.2</v>
      </c>
      <c r="W834" s="26" t="s">
        <v>175</v>
      </c>
      <c r="X834" s="26">
        <v>5.48</v>
      </c>
      <c r="Y834" s="26">
        <v>1.1599999999999999</v>
      </c>
      <c r="AA834" s="26" t="s">
        <v>1702</v>
      </c>
      <c r="AB834" s="26" t="s">
        <v>173</v>
      </c>
      <c r="AC834" s="26" t="s">
        <v>174</v>
      </c>
      <c r="AM834" s="26" t="s">
        <v>160</v>
      </c>
      <c r="AN834" s="26">
        <v>2</v>
      </c>
      <c r="AO834" s="26">
        <v>2</v>
      </c>
      <c r="AP834" s="26" t="s">
        <v>184</v>
      </c>
      <c r="AT834" s="63"/>
      <c r="CU834" s="26">
        <v>100</v>
      </c>
      <c r="CV834" s="26">
        <v>95.79</v>
      </c>
      <c r="CW834" s="26" t="s">
        <v>801</v>
      </c>
      <c r="EL834" s="26" t="s">
        <v>963</v>
      </c>
      <c r="EN834" s="26">
        <v>41</v>
      </c>
    </row>
    <row r="835" spans="1:144" s="26" customFormat="1" x14ac:dyDescent="0.25">
      <c r="A835" s="26">
        <v>41</v>
      </c>
      <c r="B835" s="26" t="s">
        <v>797</v>
      </c>
      <c r="C835" s="26" t="s">
        <v>798</v>
      </c>
      <c r="D835" s="26">
        <v>1994</v>
      </c>
      <c r="E835" s="26">
        <v>1988</v>
      </c>
      <c r="F835" s="26" t="s">
        <v>575</v>
      </c>
      <c r="G835" s="26" t="s">
        <v>800</v>
      </c>
      <c r="H835" s="26">
        <v>38.03</v>
      </c>
      <c r="I835" s="26">
        <v>-84.51</v>
      </c>
      <c r="J835" s="26">
        <v>299.60000000000002</v>
      </c>
      <c r="P835" s="52" t="s">
        <v>189</v>
      </c>
      <c r="Q835" s="52"/>
      <c r="R835" s="52" t="s">
        <v>806</v>
      </c>
      <c r="S835" s="52" t="s">
        <v>658</v>
      </c>
      <c r="T835" s="26">
        <v>1.05</v>
      </c>
      <c r="U835" s="26">
        <v>7.3</v>
      </c>
      <c r="V835" s="26">
        <v>70.2</v>
      </c>
      <c r="W835" s="26" t="s">
        <v>175</v>
      </c>
      <c r="X835" s="26">
        <v>5.48</v>
      </c>
      <c r="Y835" s="26">
        <v>1.1599999999999999</v>
      </c>
      <c r="AA835" s="26" t="s">
        <v>1702</v>
      </c>
      <c r="AB835" s="26" t="s">
        <v>173</v>
      </c>
      <c r="AC835" s="26" t="s">
        <v>174</v>
      </c>
      <c r="AM835" s="26" t="s">
        <v>160</v>
      </c>
      <c r="AN835" s="26">
        <v>2</v>
      </c>
      <c r="AO835" s="26">
        <v>2</v>
      </c>
      <c r="AP835" s="26" t="s">
        <v>184</v>
      </c>
      <c r="AT835" s="63"/>
      <c r="CU835" s="26">
        <v>85.89</v>
      </c>
      <c r="CV835" s="26">
        <v>83.51</v>
      </c>
      <c r="CW835" s="26" t="s">
        <v>801</v>
      </c>
      <c r="EL835" s="26" t="s">
        <v>963</v>
      </c>
      <c r="EN835" s="26">
        <v>41</v>
      </c>
    </row>
    <row r="836" spans="1:144" s="26" customFormat="1" x14ac:dyDescent="0.25">
      <c r="A836" s="26">
        <v>41</v>
      </c>
      <c r="B836" s="26" t="s">
        <v>797</v>
      </c>
      <c r="C836" s="26" t="s">
        <v>798</v>
      </c>
      <c r="D836" s="26">
        <v>1994</v>
      </c>
      <c r="E836" s="26">
        <v>1988</v>
      </c>
      <c r="F836" s="26" t="s">
        <v>575</v>
      </c>
      <c r="G836" s="26" t="s">
        <v>800</v>
      </c>
      <c r="H836" s="26">
        <v>38.03</v>
      </c>
      <c r="I836" s="26">
        <v>-84.51</v>
      </c>
      <c r="J836" s="26">
        <v>299.60000000000002</v>
      </c>
      <c r="P836" s="52" t="s">
        <v>189</v>
      </c>
      <c r="Q836" s="52"/>
      <c r="R836" s="52" t="s">
        <v>806</v>
      </c>
      <c r="S836" s="52" t="s">
        <v>658</v>
      </c>
      <c r="T836" s="26">
        <v>1.05</v>
      </c>
      <c r="U836" s="26">
        <v>7.3</v>
      </c>
      <c r="V836" s="26">
        <v>70.2</v>
      </c>
      <c r="W836" s="26" t="s">
        <v>175</v>
      </c>
      <c r="X836" s="26">
        <v>5.48</v>
      </c>
      <c r="Y836" s="26">
        <v>1.1599999999999999</v>
      </c>
      <c r="AA836" s="26" t="s">
        <v>1702</v>
      </c>
      <c r="AB836" s="26" t="s">
        <v>173</v>
      </c>
      <c r="AC836" s="26" t="s">
        <v>174</v>
      </c>
      <c r="AM836" s="26" t="s">
        <v>160</v>
      </c>
      <c r="AN836" s="26">
        <v>2</v>
      </c>
      <c r="AO836" s="26">
        <v>2</v>
      </c>
      <c r="AP836" s="26" t="s">
        <v>184</v>
      </c>
      <c r="AT836" s="63"/>
      <c r="CU836" s="26">
        <v>52.89</v>
      </c>
      <c r="CV836" s="26">
        <v>31.31</v>
      </c>
      <c r="CW836" s="26" t="s">
        <v>801</v>
      </c>
      <c r="EL836" s="26" t="s">
        <v>963</v>
      </c>
      <c r="EN836" s="26">
        <v>41</v>
      </c>
    </row>
    <row r="837" spans="1:144" s="26" customFormat="1" x14ac:dyDescent="0.25">
      <c r="A837" s="26">
        <v>41</v>
      </c>
      <c r="B837" s="26" t="s">
        <v>797</v>
      </c>
      <c r="C837" s="26" t="s">
        <v>798</v>
      </c>
      <c r="D837" s="26">
        <v>1994</v>
      </c>
      <c r="E837" s="26">
        <v>1988</v>
      </c>
      <c r="F837" s="26" t="s">
        <v>575</v>
      </c>
      <c r="G837" s="26" t="s">
        <v>800</v>
      </c>
      <c r="H837" s="26">
        <v>38.03</v>
      </c>
      <c r="I837" s="26">
        <v>-84.51</v>
      </c>
      <c r="J837" s="26">
        <v>299.60000000000002</v>
      </c>
      <c r="P837" s="52" t="s">
        <v>189</v>
      </c>
      <c r="Q837" s="52"/>
      <c r="R837" s="52" t="s">
        <v>279</v>
      </c>
      <c r="S837" s="52" t="s">
        <v>658</v>
      </c>
      <c r="T837" s="26">
        <v>1.05</v>
      </c>
      <c r="U837" s="26">
        <v>7.3</v>
      </c>
      <c r="V837" s="26">
        <v>70.2</v>
      </c>
      <c r="W837" s="26" t="s">
        <v>175</v>
      </c>
      <c r="X837" s="26">
        <v>5.48</v>
      </c>
      <c r="Y837" s="26">
        <v>1.1599999999999999</v>
      </c>
      <c r="AA837" s="26" t="s">
        <v>1702</v>
      </c>
      <c r="AB837" s="26" t="s">
        <v>173</v>
      </c>
      <c r="AC837" s="26" t="s">
        <v>174</v>
      </c>
      <c r="AM837" s="26" t="s">
        <v>160</v>
      </c>
      <c r="AN837" s="26">
        <v>2</v>
      </c>
      <c r="AO837" s="26">
        <v>2</v>
      </c>
      <c r="AP837" s="26" t="s">
        <v>184</v>
      </c>
      <c r="AT837" s="63"/>
      <c r="CU837" s="26">
        <v>82.67</v>
      </c>
      <c r="CV837" s="26">
        <v>75.98</v>
      </c>
      <c r="CW837" s="26" t="s">
        <v>801</v>
      </c>
      <c r="EL837" s="26" t="s">
        <v>963</v>
      </c>
      <c r="EN837" s="26">
        <v>41</v>
      </c>
    </row>
    <row r="838" spans="1:144" s="26" customFormat="1" x14ac:dyDescent="0.25">
      <c r="A838" s="26">
        <v>41</v>
      </c>
      <c r="B838" s="26" t="s">
        <v>797</v>
      </c>
      <c r="C838" s="26" t="s">
        <v>798</v>
      </c>
      <c r="D838" s="26">
        <v>1994</v>
      </c>
      <c r="E838" s="26">
        <v>1988</v>
      </c>
      <c r="F838" s="26" t="s">
        <v>575</v>
      </c>
      <c r="G838" s="26" t="s">
        <v>800</v>
      </c>
      <c r="H838" s="26">
        <v>38.03</v>
      </c>
      <c r="I838" s="26">
        <v>-84.51</v>
      </c>
      <c r="J838" s="26">
        <v>299.60000000000002</v>
      </c>
      <c r="P838" s="52" t="s">
        <v>189</v>
      </c>
      <c r="Q838" s="52"/>
      <c r="R838" s="52" t="s">
        <v>279</v>
      </c>
      <c r="S838" s="52" t="s">
        <v>658</v>
      </c>
      <c r="T838" s="26">
        <v>1.05</v>
      </c>
      <c r="U838" s="26">
        <v>7.3</v>
      </c>
      <c r="V838" s="26">
        <v>70.2</v>
      </c>
      <c r="W838" s="26" t="s">
        <v>175</v>
      </c>
      <c r="X838" s="26">
        <v>5.48</v>
      </c>
      <c r="Y838" s="26">
        <v>1.1599999999999999</v>
      </c>
      <c r="AA838" s="26" t="s">
        <v>1702</v>
      </c>
      <c r="AB838" s="26" t="s">
        <v>173</v>
      </c>
      <c r="AC838" s="26" t="s">
        <v>174</v>
      </c>
      <c r="AM838" s="26" t="s">
        <v>160</v>
      </c>
      <c r="AN838" s="26">
        <v>2</v>
      </c>
      <c r="AO838" s="26">
        <v>2</v>
      </c>
      <c r="AP838" s="26" t="s">
        <v>184</v>
      </c>
      <c r="AT838" s="63"/>
      <c r="CU838" s="26">
        <v>66.94</v>
      </c>
      <c r="CV838" s="26">
        <v>24.65</v>
      </c>
      <c r="CW838" s="26" t="s">
        <v>801</v>
      </c>
      <c r="EL838" s="26" t="s">
        <v>963</v>
      </c>
      <c r="EN838" s="26">
        <v>41</v>
      </c>
    </row>
    <row r="839" spans="1:144" s="26" customFormat="1" x14ac:dyDescent="0.25">
      <c r="A839" s="26">
        <v>41</v>
      </c>
      <c r="B839" s="26" t="s">
        <v>797</v>
      </c>
      <c r="C839" s="26" t="s">
        <v>798</v>
      </c>
      <c r="D839" s="26">
        <v>1994</v>
      </c>
      <c r="E839" s="26">
        <v>1988</v>
      </c>
      <c r="F839" s="26" t="s">
        <v>575</v>
      </c>
      <c r="G839" s="26" t="s">
        <v>800</v>
      </c>
      <c r="H839" s="26">
        <v>38.03</v>
      </c>
      <c r="I839" s="26">
        <v>-84.51</v>
      </c>
      <c r="J839" s="26">
        <v>299.60000000000002</v>
      </c>
      <c r="P839" s="52" t="s">
        <v>189</v>
      </c>
      <c r="Q839" s="52"/>
      <c r="R839" s="52" t="s">
        <v>802</v>
      </c>
      <c r="S839" s="52" t="s">
        <v>658</v>
      </c>
      <c r="T839" s="26">
        <v>1.05</v>
      </c>
      <c r="U839" s="26">
        <v>7.3</v>
      </c>
      <c r="V839" s="26">
        <v>70.2</v>
      </c>
      <c r="W839" s="26" t="s">
        <v>175</v>
      </c>
      <c r="X839" s="26">
        <v>5.48</v>
      </c>
      <c r="Y839" s="26">
        <v>1.1599999999999999</v>
      </c>
      <c r="AA839" s="26" t="s">
        <v>1702</v>
      </c>
      <c r="AB839" s="26" t="s">
        <v>173</v>
      </c>
      <c r="AC839" s="26" t="s">
        <v>174</v>
      </c>
      <c r="AM839" s="26" t="s">
        <v>160</v>
      </c>
      <c r="AN839" s="26">
        <v>2</v>
      </c>
      <c r="AO839" s="26">
        <v>2</v>
      </c>
      <c r="AP839" s="26" t="s">
        <v>184</v>
      </c>
      <c r="AT839" s="63"/>
      <c r="CU839" s="26">
        <v>28.97</v>
      </c>
      <c r="CV839" s="26">
        <v>16.03</v>
      </c>
      <c r="CW839" s="26" t="s">
        <v>801</v>
      </c>
      <c r="EL839" s="26" t="s">
        <v>963</v>
      </c>
      <c r="EN839" s="26">
        <v>41</v>
      </c>
    </row>
    <row r="840" spans="1:144" s="26" customFormat="1" x14ac:dyDescent="0.25">
      <c r="A840" s="26">
        <v>41</v>
      </c>
      <c r="B840" s="26" t="s">
        <v>797</v>
      </c>
      <c r="C840" s="26" t="s">
        <v>798</v>
      </c>
      <c r="D840" s="26">
        <v>1994</v>
      </c>
      <c r="E840" s="26">
        <v>1988</v>
      </c>
      <c r="F840" s="26" t="s">
        <v>575</v>
      </c>
      <c r="G840" s="26" t="s">
        <v>800</v>
      </c>
      <c r="H840" s="26">
        <v>38.03</v>
      </c>
      <c r="I840" s="26">
        <v>-84.51</v>
      </c>
      <c r="J840" s="26">
        <v>299.60000000000002</v>
      </c>
      <c r="P840" s="52" t="s">
        <v>189</v>
      </c>
      <c r="Q840" s="52"/>
      <c r="R840" s="52" t="s">
        <v>306</v>
      </c>
      <c r="S840" s="52" t="s">
        <v>658</v>
      </c>
      <c r="T840" s="26">
        <v>1.05</v>
      </c>
      <c r="U840" s="26">
        <v>7.3</v>
      </c>
      <c r="V840" s="26">
        <v>70.2</v>
      </c>
      <c r="W840" s="26" t="s">
        <v>175</v>
      </c>
      <c r="X840" s="26">
        <v>5.48</v>
      </c>
      <c r="Y840" s="26">
        <v>1.1599999999999999</v>
      </c>
      <c r="AA840" s="26" t="s">
        <v>1702</v>
      </c>
      <c r="AB840" s="26" t="s">
        <v>173</v>
      </c>
      <c r="AC840" s="26" t="s">
        <v>174</v>
      </c>
      <c r="AM840" s="26" t="s">
        <v>160</v>
      </c>
      <c r="AN840" s="26">
        <v>2</v>
      </c>
      <c r="AO840" s="26">
        <v>2</v>
      </c>
      <c r="AP840" s="26" t="s">
        <v>184</v>
      </c>
      <c r="AT840" s="63"/>
      <c r="CU840" s="26">
        <v>43.01</v>
      </c>
      <c r="CV840" s="26">
        <v>58.39</v>
      </c>
      <c r="CW840" s="26" t="s">
        <v>801</v>
      </c>
      <c r="EL840" s="26" t="s">
        <v>963</v>
      </c>
      <c r="EN840" s="26">
        <v>41</v>
      </c>
    </row>
    <row r="841" spans="1:144" s="26" customFormat="1" x14ac:dyDescent="0.25">
      <c r="A841" s="26">
        <v>41</v>
      </c>
      <c r="B841" s="26" t="s">
        <v>797</v>
      </c>
      <c r="C841" s="26" t="s">
        <v>798</v>
      </c>
      <c r="D841" s="26">
        <v>1994</v>
      </c>
      <c r="E841" s="26">
        <v>1988</v>
      </c>
      <c r="F841" s="26" t="s">
        <v>575</v>
      </c>
      <c r="G841" s="26" t="s">
        <v>800</v>
      </c>
      <c r="H841" s="26">
        <v>38.03</v>
      </c>
      <c r="I841" s="26">
        <v>-84.51</v>
      </c>
      <c r="J841" s="26">
        <v>299.60000000000002</v>
      </c>
      <c r="P841" s="52" t="s">
        <v>189</v>
      </c>
      <c r="Q841" s="52"/>
      <c r="R841" s="52" t="s">
        <v>803</v>
      </c>
      <c r="S841" s="52" t="s">
        <v>658</v>
      </c>
      <c r="T841" s="26">
        <v>1.05</v>
      </c>
      <c r="U841" s="26">
        <v>7.3</v>
      </c>
      <c r="V841" s="26">
        <v>70.2</v>
      </c>
      <c r="W841" s="26" t="s">
        <v>175</v>
      </c>
      <c r="X841" s="26">
        <v>5.48</v>
      </c>
      <c r="Y841" s="26">
        <v>1.1599999999999999</v>
      </c>
      <c r="AA841" s="26" t="s">
        <v>1702</v>
      </c>
      <c r="AB841" s="26" t="s">
        <v>173</v>
      </c>
      <c r="AC841" s="26" t="s">
        <v>174</v>
      </c>
      <c r="AM841" s="26" t="s">
        <v>160</v>
      </c>
      <c r="AN841" s="26">
        <v>2</v>
      </c>
      <c r="AO841" s="26">
        <v>2</v>
      </c>
      <c r="AP841" s="26" t="s">
        <v>184</v>
      </c>
      <c r="AT841" s="63"/>
      <c r="CU841" s="26">
        <v>1.59</v>
      </c>
      <c r="CV841" s="26">
        <v>15.62</v>
      </c>
      <c r="CW841" s="26" t="s">
        <v>801</v>
      </c>
      <c r="EL841" s="26" t="s">
        <v>963</v>
      </c>
      <c r="EN841" s="26">
        <v>41</v>
      </c>
    </row>
    <row r="842" spans="1:144" s="26" customFormat="1" x14ac:dyDescent="0.25">
      <c r="A842" s="26">
        <v>41</v>
      </c>
      <c r="B842" s="26" t="s">
        <v>797</v>
      </c>
      <c r="C842" s="26" t="s">
        <v>798</v>
      </c>
      <c r="D842" s="26">
        <v>1994</v>
      </c>
      <c r="E842" s="26">
        <v>1988</v>
      </c>
      <c r="F842" s="26" t="s">
        <v>575</v>
      </c>
      <c r="G842" s="26" t="s">
        <v>800</v>
      </c>
      <c r="H842" s="26">
        <v>38.03</v>
      </c>
      <c r="I842" s="26">
        <v>-84.51</v>
      </c>
      <c r="J842" s="26">
        <v>299.60000000000002</v>
      </c>
      <c r="P842" s="52" t="s">
        <v>189</v>
      </c>
      <c r="Q842" s="52"/>
      <c r="R842" s="52" t="s">
        <v>804</v>
      </c>
      <c r="S842" s="52" t="s">
        <v>658</v>
      </c>
      <c r="T842" s="26">
        <v>1.05</v>
      </c>
      <c r="U842" s="26">
        <v>7.3</v>
      </c>
      <c r="V842" s="26">
        <v>70.2</v>
      </c>
      <c r="W842" s="26" t="s">
        <v>175</v>
      </c>
      <c r="X842" s="26">
        <v>5.48</v>
      </c>
      <c r="Y842" s="26">
        <v>1.1599999999999999</v>
      </c>
      <c r="AA842" s="26" t="s">
        <v>1702</v>
      </c>
      <c r="AB842" s="26" t="s">
        <v>173</v>
      </c>
      <c r="AC842" s="26" t="s">
        <v>174</v>
      </c>
      <c r="AM842" s="26" t="s">
        <v>160</v>
      </c>
      <c r="AN842" s="26">
        <v>2</v>
      </c>
      <c r="AO842" s="26">
        <v>2</v>
      </c>
      <c r="AP842" s="26" t="s">
        <v>184</v>
      </c>
      <c r="AT842" s="63"/>
      <c r="CU842" s="26">
        <v>4.8499999999999996</v>
      </c>
      <c r="CV842" s="26">
        <v>10.67</v>
      </c>
      <c r="CW842" s="26" t="s">
        <v>801</v>
      </c>
      <c r="EL842" s="26" t="s">
        <v>963</v>
      </c>
      <c r="EN842" s="26">
        <v>41</v>
      </c>
    </row>
    <row r="843" spans="1:144" s="26" customFormat="1" x14ac:dyDescent="0.25">
      <c r="A843" s="26">
        <v>41</v>
      </c>
      <c r="B843" s="26" t="s">
        <v>797</v>
      </c>
      <c r="C843" s="26" t="s">
        <v>798</v>
      </c>
      <c r="D843" s="26">
        <v>1994</v>
      </c>
      <c r="E843" s="26">
        <v>1988</v>
      </c>
      <c r="F843" s="26" t="s">
        <v>575</v>
      </c>
      <c r="G843" s="26" t="s">
        <v>800</v>
      </c>
      <c r="H843" s="26">
        <v>38.03</v>
      </c>
      <c r="I843" s="26">
        <v>-84.51</v>
      </c>
      <c r="J843" s="26">
        <v>299.60000000000002</v>
      </c>
      <c r="P843" s="52" t="s">
        <v>189</v>
      </c>
      <c r="Q843" s="52"/>
      <c r="R843" s="52" t="s">
        <v>712</v>
      </c>
      <c r="S843" s="52" t="s">
        <v>658</v>
      </c>
      <c r="T843" s="26">
        <v>1.05</v>
      </c>
      <c r="U843" s="26">
        <v>7.3</v>
      </c>
      <c r="V843" s="26">
        <v>70.2</v>
      </c>
      <c r="W843" s="26" t="s">
        <v>175</v>
      </c>
      <c r="X843" s="26">
        <v>5.48</v>
      </c>
      <c r="Y843" s="26">
        <v>1.1599999999999999</v>
      </c>
      <c r="AA843" s="26" t="s">
        <v>1702</v>
      </c>
      <c r="AB843" s="26" t="s">
        <v>173</v>
      </c>
      <c r="AC843" s="26" t="s">
        <v>174</v>
      </c>
      <c r="AM843" s="26" t="s">
        <v>160</v>
      </c>
      <c r="AN843" s="26">
        <v>2</v>
      </c>
      <c r="AO843" s="26">
        <v>2</v>
      </c>
      <c r="AP843" s="26" t="s">
        <v>184</v>
      </c>
      <c r="AT843" s="63"/>
      <c r="CU843" s="26">
        <v>0.13</v>
      </c>
      <c r="CV843" s="26">
        <v>4.4400000000000004</v>
      </c>
      <c r="CW843" s="26" t="s">
        <v>801</v>
      </c>
      <c r="EL843" s="26" t="s">
        <v>963</v>
      </c>
      <c r="EN843" s="26">
        <v>41</v>
      </c>
    </row>
    <row r="844" spans="1:144" s="26" customFormat="1" x14ac:dyDescent="0.25">
      <c r="A844" s="26">
        <v>41</v>
      </c>
      <c r="B844" s="26" t="s">
        <v>797</v>
      </c>
      <c r="C844" s="26" t="s">
        <v>798</v>
      </c>
      <c r="D844" s="26">
        <v>1994</v>
      </c>
      <c r="E844" s="26">
        <v>1988</v>
      </c>
      <c r="F844" s="26" t="s">
        <v>575</v>
      </c>
      <c r="G844" s="26" t="s">
        <v>800</v>
      </c>
      <c r="H844" s="26">
        <v>38.03</v>
      </c>
      <c r="I844" s="26">
        <v>-84.51</v>
      </c>
      <c r="J844" s="26">
        <v>299.60000000000002</v>
      </c>
      <c r="P844" s="52" t="s">
        <v>189</v>
      </c>
      <c r="Q844" s="52"/>
      <c r="R844" s="52" t="s">
        <v>712</v>
      </c>
      <c r="S844" s="52" t="s">
        <v>658</v>
      </c>
      <c r="T844" s="26">
        <v>1.05</v>
      </c>
      <c r="U844" s="26">
        <v>7.3</v>
      </c>
      <c r="V844" s="26">
        <v>70.2</v>
      </c>
      <c r="W844" s="26" t="s">
        <v>175</v>
      </c>
      <c r="X844" s="26">
        <v>5.48</v>
      </c>
      <c r="Y844" s="26">
        <v>1.1599999999999999</v>
      </c>
      <c r="AA844" s="26" t="s">
        <v>1702</v>
      </c>
      <c r="AB844" s="26" t="s">
        <v>173</v>
      </c>
      <c r="AC844" s="26" t="s">
        <v>174</v>
      </c>
      <c r="AM844" s="26" t="s">
        <v>160</v>
      </c>
      <c r="AN844" s="26">
        <v>2</v>
      </c>
      <c r="AO844" s="26">
        <v>2</v>
      </c>
      <c r="AP844" s="26" t="s">
        <v>184</v>
      </c>
      <c r="AT844" s="63"/>
      <c r="CU844" s="26">
        <v>72.64</v>
      </c>
      <c r="CV844" s="26">
        <v>95.51</v>
      </c>
      <c r="CW844" s="26" t="s">
        <v>801</v>
      </c>
      <c r="EL844" s="26" t="s">
        <v>963</v>
      </c>
      <c r="EN844" s="26">
        <v>41</v>
      </c>
    </row>
    <row r="845" spans="1:144" s="26" customFormat="1" x14ac:dyDescent="0.25">
      <c r="A845" s="26">
        <v>41</v>
      </c>
      <c r="B845" s="26" t="s">
        <v>797</v>
      </c>
      <c r="C845" s="26" t="s">
        <v>798</v>
      </c>
      <c r="D845" s="26">
        <v>1994</v>
      </c>
      <c r="E845" s="26">
        <v>1988</v>
      </c>
      <c r="F845" s="26" t="s">
        <v>575</v>
      </c>
      <c r="G845" s="26" t="s">
        <v>800</v>
      </c>
      <c r="H845" s="26">
        <v>38.03</v>
      </c>
      <c r="I845" s="26">
        <v>-84.51</v>
      </c>
      <c r="J845" s="26">
        <v>299.60000000000002</v>
      </c>
      <c r="P845" s="52" t="s">
        <v>189</v>
      </c>
      <c r="Q845" s="52"/>
      <c r="R845" s="52" t="s">
        <v>805</v>
      </c>
      <c r="S845" s="52" t="s">
        <v>658</v>
      </c>
      <c r="T845" s="26">
        <v>1.05</v>
      </c>
      <c r="U845" s="26">
        <v>7.3</v>
      </c>
      <c r="V845" s="26">
        <v>70.2</v>
      </c>
      <c r="W845" s="26" t="s">
        <v>175</v>
      </c>
      <c r="X845" s="26">
        <v>5.48</v>
      </c>
      <c r="Y845" s="26">
        <v>1.1599999999999999</v>
      </c>
      <c r="AA845" s="26" t="s">
        <v>1702</v>
      </c>
      <c r="AB845" s="26" t="s">
        <v>173</v>
      </c>
      <c r="AC845" s="26" t="s">
        <v>174</v>
      </c>
      <c r="AM845" s="26" t="s">
        <v>160</v>
      </c>
      <c r="AN845" s="26">
        <v>2</v>
      </c>
      <c r="AO845" s="26">
        <v>2</v>
      </c>
      <c r="AP845" s="26" t="s">
        <v>184</v>
      </c>
      <c r="AT845" s="63"/>
      <c r="CU845" s="26">
        <v>28.22</v>
      </c>
      <c r="CV845" s="26">
        <v>32.53</v>
      </c>
      <c r="CW845" s="26" t="s">
        <v>801</v>
      </c>
      <c r="EL845" s="26" t="s">
        <v>963</v>
      </c>
      <c r="EN845" s="26">
        <v>41</v>
      </c>
    </row>
    <row r="846" spans="1:144" s="26" customFormat="1" x14ac:dyDescent="0.25">
      <c r="A846" s="26">
        <v>41</v>
      </c>
      <c r="B846" s="26" t="s">
        <v>797</v>
      </c>
      <c r="C846" s="26" t="s">
        <v>798</v>
      </c>
      <c r="D846" s="26">
        <v>1994</v>
      </c>
      <c r="E846" s="26">
        <v>1988</v>
      </c>
      <c r="F846" s="26" t="s">
        <v>575</v>
      </c>
      <c r="G846" s="26" t="s">
        <v>800</v>
      </c>
      <c r="H846" s="26">
        <v>38.03</v>
      </c>
      <c r="I846" s="26">
        <v>-84.51</v>
      </c>
      <c r="J846" s="26">
        <v>299.60000000000002</v>
      </c>
      <c r="P846" s="52" t="s">
        <v>189</v>
      </c>
      <c r="Q846" s="52"/>
      <c r="R846" s="52" t="s">
        <v>805</v>
      </c>
      <c r="S846" s="52" t="s">
        <v>658</v>
      </c>
      <c r="T846" s="26">
        <v>1.05</v>
      </c>
      <c r="U846" s="26">
        <v>7.3</v>
      </c>
      <c r="V846" s="26">
        <v>70.2</v>
      </c>
      <c r="W846" s="26" t="s">
        <v>175</v>
      </c>
      <c r="X846" s="26">
        <v>5.48</v>
      </c>
      <c r="Y846" s="26">
        <v>1.1599999999999999</v>
      </c>
      <c r="AA846" s="26" t="s">
        <v>1702</v>
      </c>
      <c r="AB846" s="26" t="s">
        <v>173</v>
      </c>
      <c r="AC846" s="26" t="s">
        <v>174</v>
      </c>
      <c r="AM846" s="26" t="s">
        <v>160</v>
      </c>
      <c r="AN846" s="26">
        <v>2</v>
      </c>
      <c r="AO846" s="26">
        <v>2</v>
      </c>
      <c r="AP846" s="26" t="s">
        <v>184</v>
      </c>
      <c r="AT846" s="63"/>
      <c r="CU846" s="26">
        <v>73.099999999999994</v>
      </c>
      <c r="CV846" s="26">
        <v>69.22</v>
      </c>
      <c r="CW846" s="26" t="s">
        <v>801</v>
      </c>
      <c r="EL846" s="26" t="s">
        <v>963</v>
      </c>
      <c r="EN846" s="26">
        <v>41</v>
      </c>
    </row>
    <row r="847" spans="1:144" s="26" customFormat="1" x14ac:dyDescent="0.25">
      <c r="A847" s="26">
        <v>41</v>
      </c>
      <c r="B847" s="26" t="s">
        <v>797</v>
      </c>
      <c r="C847" s="26" t="s">
        <v>798</v>
      </c>
      <c r="D847" s="26">
        <v>1994</v>
      </c>
      <c r="E847" s="26">
        <v>1988</v>
      </c>
      <c r="F847" s="26" t="s">
        <v>575</v>
      </c>
      <c r="G847" s="26" t="s">
        <v>800</v>
      </c>
      <c r="H847" s="26">
        <v>38.03</v>
      </c>
      <c r="I847" s="26">
        <v>-84.51</v>
      </c>
      <c r="J847" s="26">
        <v>299.60000000000002</v>
      </c>
      <c r="P847" s="52" t="s">
        <v>189</v>
      </c>
      <c r="Q847" s="52"/>
      <c r="R847" s="52" t="s">
        <v>805</v>
      </c>
      <c r="S847" s="52" t="s">
        <v>658</v>
      </c>
      <c r="T847" s="26">
        <v>1.05</v>
      </c>
      <c r="U847" s="26">
        <v>7.3</v>
      </c>
      <c r="V847" s="26">
        <v>70.2</v>
      </c>
      <c r="W847" s="26" t="s">
        <v>175</v>
      </c>
      <c r="X847" s="26">
        <v>5.48</v>
      </c>
      <c r="Y847" s="26">
        <v>1.1599999999999999</v>
      </c>
      <c r="AA847" s="26" t="s">
        <v>1702</v>
      </c>
      <c r="AB847" s="26" t="s">
        <v>173</v>
      </c>
      <c r="AC847" s="26" t="s">
        <v>174</v>
      </c>
      <c r="AM847" s="26" t="s">
        <v>160</v>
      </c>
      <c r="AN847" s="26">
        <v>2</v>
      </c>
      <c r="AO847" s="26">
        <v>2</v>
      </c>
      <c r="AP847" s="26" t="s">
        <v>184</v>
      </c>
      <c r="AT847" s="63"/>
      <c r="CU847" s="26">
        <v>92.54</v>
      </c>
      <c r="CV847" s="26">
        <v>83.7</v>
      </c>
      <c r="CW847" s="26" t="s">
        <v>801</v>
      </c>
      <c r="EL847" s="26" t="s">
        <v>963</v>
      </c>
      <c r="EN847" s="26">
        <v>41</v>
      </c>
    </row>
    <row r="848" spans="1:144" s="35" customFormat="1" x14ac:dyDescent="0.25">
      <c r="A848" s="35">
        <v>41</v>
      </c>
      <c r="B848" s="35" t="s">
        <v>797</v>
      </c>
      <c r="C848" s="35" t="s">
        <v>798</v>
      </c>
      <c r="D848" s="35">
        <v>1994</v>
      </c>
      <c r="E848" s="35">
        <v>1989</v>
      </c>
      <c r="F848" s="35" t="s">
        <v>575</v>
      </c>
      <c r="G848" s="35" t="s">
        <v>800</v>
      </c>
      <c r="H848" s="35">
        <v>38.03</v>
      </c>
      <c r="I848" s="35">
        <v>-84.51</v>
      </c>
      <c r="J848" s="35">
        <v>299.60000000000002</v>
      </c>
      <c r="P848" s="54" t="s">
        <v>190</v>
      </c>
      <c r="Q848" s="54"/>
      <c r="R848" s="54" t="s">
        <v>808</v>
      </c>
      <c r="S848" s="54" t="s">
        <v>658</v>
      </c>
      <c r="T848" s="35">
        <v>1.05</v>
      </c>
      <c r="U848" s="35">
        <v>7.3</v>
      </c>
      <c r="V848" s="35">
        <v>70.2</v>
      </c>
      <c r="W848" s="35" t="s">
        <v>175</v>
      </c>
      <c r="X848" s="35">
        <v>5.48</v>
      </c>
      <c r="Y848" s="35">
        <v>1.1599999999999999</v>
      </c>
      <c r="AA848" s="35" t="s">
        <v>1702</v>
      </c>
      <c r="AB848" s="35" t="s">
        <v>173</v>
      </c>
      <c r="AC848" s="35" t="s">
        <v>174</v>
      </c>
      <c r="AM848" s="35" t="s">
        <v>160</v>
      </c>
      <c r="AN848" s="35">
        <v>2</v>
      </c>
      <c r="AO848" s="35">
        <v>2</v>
      </c>
      <c r="AP848" s="35" t="s">
        <v>184</v>
      </c>
      <c r="AT848" s="63"/>
      <c r="CU848" s="35">
        <v>91.05</v>
      </c>
      <c r="CV848" s="35">
        <v>89.54</v>
      </c>
      <c r="CW848" s="35" t="s">
        <v>801</v>
      </c>
      <c r="EL848" s="35" t="s">
        <v>963</v>
      </c>
      <c r="EN848" s="35">
        <v>41</v>
      </c>
    </row>
    <row r="849" spans="1:144" s="35" customFormat="1" x14ac:dyDescent="0.25">
      <c r="A849" s="35">
        <v>41</v>
      </c>
      <c r="B849" s="35" t="s">
        <v>797</v>
      </c>
      <c r="C849" s="35" t="s">
        <v>798</v>
      </c>
      <c r="D849" s="35">
        <v>1994</v>
      </c>
      <c r="E849" s="35">
        <v>1989</v>
      </c>
      <c r="F849" s="35" t="s">
        <v>575</v>
      </c>
      <c r="G849" s="35" t="s">
        <v>800</v>
      </c>
      <c r="H849" s="35">
        <v>38.03</v>
      </c>
      <c r="I849" s="35">
        <v>-84.51</v>
      </c>
      <c r="J849" s="35">
        <v>299.60000000000002</v>
      </c>
      <c r="P849" s="54" t="s">
        <v>190</v>
      </c>
      <c r="Q849" s="54"/>
      <c r="R849" s="54" t="s">
        <v>809</v>
      </c>
      <c r="S849" s="54" t="s">
        <v>658</v>
      </c>
      <c r="T849" s="35">
        <v>1.05</v>
      </c>
      <c r="U849" s="35">
        <v>7.3</v>
      </c>
      <c r="V849" s="35">
        <v>70.2</v>
      </c>
      <c r="W849" s="35" t="s">
        <v>175</v>
      </c>
      <c r="X849" s="35">
        <v>5.48</v>
      </c>
      <c r="Y849" s="35">
        <v>1.1599999999999999</v>
      </c>
      <c r="AA849" s="35" t="s">
        <v>1702</v>
      </c>
      <c r="AB849" s="35" t="s">
        <v>173</v>
      </c>
      <c r="AC849" s="35" t="s">
        <v>174</v>
      </c>
      <c r="AM849" s="35" t="s">
        <v>160</v>
      </c>
      <c r="AN849" s="35">
        <v>2</v>
      </c>
      <c r="AO849" s="35">
        <v>2</v>
      </c>
      <c r="AP849" s="35" t="s">
        <v>184</v>
      </c>
      <c r="AT849" s="63"/>
      <c r="CU849" s="35">
        <v>79.84</v>
      </c>
      <c r="CV849" s="35">
        <v>81.349999999999994</v>
      </c>
      <c r="CW849" s="35" t="s">
        <v>801</v>
      </c>
      <c r="EL849" s="35" t="s">
        <v>963</v>
      </c>
      <c r="EN849" s="35">
        <v>41</v>
      </c>
    </row>
    <row r="850" spans="1:144" s="35" customFormat="1" x14ac:dyDescent="0.25">
      <c r="A850" s="35">
        <v>41</v>
      </c>
      <c r="B850" s="35" t="s">
        <v>797</v>
      </c>
      <c r="C850" s="35" t="s">
        <v>798</v>
      </c>
      <c r="D850" s="35">
        <v>1994</v>
      </c>
      <c r="E850" s="35">
        <v>1989</v>
      </c>
      <c r="F850" s="35" t="s">
        <v>575</v>
      </c>
      <c r="G850" s="35" t="s">
        <v>800</v>
      </c>
      <c r="H850" s="35">
        <v>38.03</v>
      </c>
      <c r="I850" s="35">
        <v>-84.51</v>
      </c>
      <c r="J850" s="35">
        <v>299.60000000000002</v>
      </c>
      <c r="P850" s="54" t="s">
        <v>190</v>
      </c>
      <c r="Q850" s="54"/>
      <c r="R850" s="54" t="s">
        <v>291</v>
      </c>
      <c r="S850" s="54" t="s">
        <v>658</v>
      </c>
      <c r="T850" s="35">
        <v>1.05</v>
      </c>
      <c r="U850" s="35">
        <v>7.3</v>
      </c>
      <c r="V850" s="35">
        <v>70.2</v>
      </c>
      <c r="W850" s="35" t="s">
        <v>175</v>
      </c>
      <c r="X850" s="35">
        <v>5.48</v>
      </c>
      <c r="Y850" s="35">
        <v>1.1599999999999999</v>
      </c>
      <c r="AA850" s="35" t="s">
        <v>1702</v>
      </c>
      <c r="AB850" s="35" t="s">
        <v>173</v>
      </c>
      <c r="AC850" s="35" t="s">
        <v>174</v>
      </c>
      <c r="AM850" s="35" t="s">
        <v>160</v>
      </c>
      <c r="AN850" s="35">
        <v>2</v>
      </c>
      <c r="AO850" s="35">
        <v>2</v>
      </c>
      <c r="AP850" s="35" t="s">
        <v>184</v>
      </c>
      <c r="AT850" s="63"/>
      <c r="CU850" s="35">
        <v>100</v>
      </c>
      <c r="CV850" s="35">
        <v>97</v>
      </c>
      <c r="CW850" s="35" t="s">
        <v>801</v>
      </c>
      <c r="EL850" s="35" t="s">
        <v>963</v>
      </c>
      <c r="EN850" s="35">
        <v>41</v>
      </c>
    </row>
    <row r="851" spans="1:144" s="35" customFormat="1" x14ac:dyDescent="0.25">
      <c r="A851" s="35">
        <v>41</v>
      </c>
      <c r="B851" s="35" t="s">
        <v>797</v>
      </c>
      <c r="C851" s="35" t="s">
        <v>798</v>
      </c>
      <c r="D851" s="35">
        <v>1994</v>
      </c>
      <c r="E851" s="35">
        <v>1989</v>
      </c>
      <c r="F851" s="35" t="s">
        <v>575</v>
      </c>
      <c r="G851" s="35" t="s">
        <v>800</v>
      </c>
      <c r="H851" s="35">
        <v>38.03</v>
      </c>
      <c r="I851" s="35">
        <v>-84.51</v>
      </c>
      <c r="J851" s="35">
        <v>299.60000000000002</v>
      </c>
      <c r="P851" s="54" t="s">
        <v>190</v>
      </c>
      <c r="Q851" s="54"/>
      <c r="R851" s="54" t="s">
        <v>806</v>
      </c>
      <c r="S851" s="54" t="s">
        <v>658</v>
      </c>
      <c r="T851" s="35">
        <v>1.05</v>
      </c>
      <c r="U851" s="35">
        <v>7.3</v>
      </c>
      <c r="V851" s="35">
        <v>70.2</v>
      </c>
      <c r="W851" s="35" t="s">
        <v>175</v>
      </c>
      <c r="X851" s="35">
        <v>5.48</v>
      </c>
      <c r="Y851" s="35">
        <v>1.1599999999999999</v>
      </c>
      <c r="AA851" s="35" t="s">
        <v>1702</v>
      </c>
      <c r="AB851" s="35" t="s">
        <v>173</v>
      </c>
      <c r="AC851" s="35" t="s">
        <v>174</v>
      </c>
      <c r="AM851" s="35" t="s">
        <v>160</v>
      </c>
      <c r="AN851" s="35">
        <v>2</v>
      </c>
      <c r="AO851" s="35">
        <v>2</v>
      </c>
      <c r="AP851" s="35" t="s">
        <v>184</v>
      </c>
      <c r="AT851" s="63"/>
      <c r="CU851" s="35">
        <v>91.73</v>
      </c>
      <c r="CV851" s="35">
        <v>89</v>
      </c>
      <c r="CW851" s="35" t="s">
        <v>801</v>
      </c>
      <c r="EL851" s="35" t="s">
        <v>963</v>
      </c>
      <c r="EN851" s="35">
        <v>41</v>
      </c>
    </row>
    <row r="852" spans="1:144" s="35" customFormat="1" x14ac:dyDescent="0.25">
      <c r="A852" s="35">
        <v>41</v>
      </c>
      <c r="B852" s="35" t="s">
        <v>797</v>
      </c>
      <c r="C852" s="35" t="s">
        <v>798</v>
      </c>
      <c r="D852" s="35">
        <v>1994</v>
      </c>
      <c r="E852" s="35">
        <v>1989</v>
      </c>
      <c r="F852" s="35" t="s">
        <v>575</v>
      </c>
      <c r="G852" s="35" t="s">
        <v>800</v>
      </c>
      <c r="H852" s="35">
        <v>38.03</v>
      </c>
      <c r="I852" s="35">
        <v>-84.51</v>
      </c>
      <c r="J852" s="35">
        <v>299.60000000000002</v>
      </c>
      <c r="P852" s="54" t="s">
        <v>190</v>
      </c>
      <c r="Q852" s="54"/>
      <c r="R852" s="54" t="s">
        <v>279</v>
      </c>
      <c r="S852" s="54" t="s">
        <v>658</v>
      </c>
      <c r="T852" s="35">
        <v>1.05</v>
      </c>
      <c r="U852" s="35">
        <v>7.3</v>
      </c>
      <c r="V852" s="35">
        <v>70.2</v>
      </c>
      <c r="W852" s="35" t="s">
        <v>175</v>
      </c>
      <c r="X852" s="35">
        <v>5.48</v>
      </c>
      <c r="Y852" s="35">
        <v>1.1599999999999999</v>
      </c>
      <c r="AA852" s="35" t="s">
        <v>1702</v>
      </c>
      <c r="AB852" s="35" t="s">
        <v>173</v>
      </c>
      <c r="AC852" s="35" t="s">
        <v>174</v>
      </c>
      <c r="AM852" s="35" t="s">
        <v>160</v>
      </c>
      <c r="AN852" s="35">
        <v>2</v>
      </c>
      <c r="AO852" s="35">
        <v>2</v>
      </c>
      <c r="AP852" s="35" t="s">
        <v>184</v>
      </c>
      <c r="AT852" s="63"/>
      <c r="CU852" s="35">
        <v>73.400000000000006</v>
      </c>
      <c r="CV852" s="35">
        <v>76.209999999999994</v>
      </c>
      <c r="CW852" s="35" t="s">
        <v>801</v>
      </c>
      <c r="EL852" s="35" t="s">
        <v>963</v>
      </c>
      <c r="EN852" s="35">
        <v>41</v>
      </c>
    </row>
    <row r="853" spans="1:144" s="35" customFormat="1" x14ac:dyDescent="0.25">
      <c r="A853" s="35">
        <v>41</v>
      </c>
      <c r="B853" s="35" t="s">
        <v>797</v>
      </c>
      <c r="C853" s="35" t="s">
        <v>798</v>
      </c>
      <c r="D853" s="35">
        <v>1994</v>
      </c>
      <c r="E853" s="35">
        <v>1989</v>
      </c>
      <c r="F853" s="35" t="s">
        <v>575</v>
      </c>
      <c r="G853" s="35" t="s">
        <v>800</v>
      </c>
      <c r="H853" s="35">
        <v>38.03</v>
      </c>
      <c r="I853" s="35">
        <v>-84.51</v>
      </c>
      <c r="J853" s="35">
        <v>299.60000000000002</v>
      </c>
      <c r="P853" s="54" t="s">
        <v>190</v>
      </c>
      <c r="Q853" s="54"/>
      <c r="R853" s="54" t="s">
        <v>802</v>
      </c>
      <c r="S853" s="54" t="s">
        <v>658</v>
      </c>
      <c r="T853" s="35">
        <v>1.05</v>
      </c>
      <c r="U853" s="35">
        <v>7.3</v>
      </c>
      <c r="V853" s="35">
        <v>70.2</v>
      </c>
      <c r="W853" s="35" t="s">
        <v>175</v>
      </c>
      <c r="X853" s="35">
        <v>5.48</v>
      </c>
      <c r="Y853" s="35">
        <v>1.1599999999999999</v>
      </c>
      <c r="AA853" s="35" t="s">
        <v>1702</v>
      </c>
      <c r="AB853" s="35" t="s">
        <v>173</v>
      </c>
      <c r="AC853" s="35" t="s">
        <v>174</v>
      </c>
      <c r="AM853" s="35" t="s">
        <v>160</v>
      </c>
      <c r="AN853" s="35">
        <v>2</v>
      </c>
      <c r="AO853" s="35">
        <v>2</v>
      </c>
      <c r="AP853" s="35" t="s">
        <v>184</v>
      </c>
      <c r="AT853" s="63"/>
      <c r="CU853" s="35">
        <v>59.4</v>
      </c>
      <c r="CV853" s="35">
        <v>50.55</v>
      </c>
      <c r="CW853" s="35" t="s">
        <v>801</v>
      </c>
      <c r="EL853" s="35" t="s">
        <v>963</v>
      </c>
      <c r="EN853" s="35">
        <v>41</v>
      </c>
    </row>
    <row r="854" spans="1:144" s="35" customFormat="1" x14ac:dyDescent="0.25">
      <c r="A854" s="35">
        <v>41</v>
      </c>
      <c r="B854" s="35" t="s">
        <v>797</v>
      </c>
      <c r="C854" s="35" t="s">
        <v>798</v>
      </c>
      <c r="D854" s="35">
        <v>1994</v>
      </c>
      <c r="E854" s="35">
        <v>1989</v>
      </c>
      <c r="F854" s="35" t="s">
        <v>575</v>
      </c>
      <c r="G854" s="35" t="s">
        <v>800</v>
      </c>
      <c r="H854" s="35">
        <v>38.03</v>
      </c>
      <c r="I854" s="35">
        <v>-84.51</v>
      </c>
      <c r="J854" s="35">
        <v>299.60000000000002</v>
      </c>
      <c r="P854" s="54" t="s">
        <v>190</v>
      </c>
      <c r="Q854" s="54"/>
      <c r="R854" s="54" t="s">
        <v>306</v>
      </c>
      <c r="S854" s="54" t="s">
        <v>658</v>
      </c>
      <c r="T854" s="35">
        <v>1.05</v>
      </c>
      <c r="U854" s="35">
        <v>7.3</v>
      </c>
      <c r="V854" s="35">
        <v>70.2</v>
      </c>
      <c r="W854" s="35" t="s">
        <v>175</v>
      </c>
      <c r="X854" s="35">
        <v>5.48</v>
      </c>
      <c r="Y854" s="35">
        <v>1.1599999999999999</v>
      </c>
      <c r="AA854" s="35" t="s">
        <v>1702</v>
      </c>
      <c r="AB854" s="35" t="s">
        <v>173</v>
      </c>
      <c r="AC854" s="35" t="s">
        <v>174</v>
      </c>
      <c r="AM854" s="35" t="s">
        <v>160</v>
      </c>
      <c r="AN854" s="35">
        <v>2</v>
      </c>
      <c r="AO854" s="35">
        <v>2</v>
      </c>
      <c r="AP854" s="35" t="s">
        <v>184</v>
      </c>
      <c r="AT854" s="63"/>
      <c r="CU854" s="35">
        <v>63.73</v>
      </c>
      <c r="CV854" s="35">
        <v>46</v>
      </c>
      <c r="CW854" s="35" t="s">
        <v>801</v>
      </c>
      <c r="EL854" s="35" t="s">
        <v>963</v>
      </c>
      <c r="EN854" s="35">
        <v>41</v>
      </c>
    </row>
    <row r="855" spans="1:144" s="26" customFormat="1" x14ac:dyDescent="0.25">
      <c r="A855" s="26">
        <v>41</v>
      </c>
      <c r="B855" s="26" t="s">
        <v>797</v>
      </c>
      <c r="C855" s="26" t="s">
        <v>798</v>
      </c>
      <c r="D855" s="26">
        <v>1994</v>
      </c>
      <c r="E855" s="26">
        <v>1986</v>
      </c>
      <c r="F855" s="26" t="s">
        <v>575</v>
      </c>
      <c r="G855" s="26" t="s">
        <v>800</v>
      </c>
      <c r="H855" s="26">
        <v>38.03</v>
      </c>
      <c r="I855" s="26">
        <v>-84.51</v>
      </c>
      <c r="J855" s="26">
        <v>299.60000000000002</v>
      </c>
      <c r="P855" s="52" t="s">
        <v>187</v>
      </c>
      <c r="Q855" s="52"/>
      <c r="R855" s="52" t="s">
        <v>306</v>
      </c>
      <c r="S855" s="52" t="s">
        <v>658</v>
      </c>
      <c r="T855" s="26">
        <v>1.05</v>
      </c>
      <c r="U855" s="26">
        <v>7.3</v>
      </c>
      <c r="V855" s="26">
        <v>70.2</v>
      </c>
      <c r="W855" s="26" t="s">
        <v>175</v>
      </c>
      <c r="X855" s="26">
        <v>5.48</v>
      </c>
      <c r="Y855" s="26">
        <v>1.1599999999999999</v>
      </c>
      <c r="AA855" s="26" t="s">
        <v>1702</v>
      </c>
      <c r="AB855" s="26" t="s">
        <v>326</v>
      </c>
      <c r="AC855" s="26" t="s">
        <v>174</v>
      </c>
      <c r="AM855" s="26" t="s">
        <v>160</v>
      </c>
      <c r="AN855" s="26">
        <v>2</v>
      </c>
      <c r="AO855" s="26">
        <v>2</v>
      </c>
      <c r="AP855" s="26" t="s">
        <v>184</v>
      </c>
      <c r="AT855" s="63"/>
      <c r="CU855" s="26">
        <v>0.4</v>
      </c>
      <c r="CV855" s="26">
        <v>0.51</v>
      </c>
      <c r="CW855" s="26" t="s">
        <v>810</v>
      </c>
      <c r="EL855" s="26" t="s">
        <v>963</v>
      </c>
      <c r="EN855" s="26">
        <v>41</v>
      </c>
    </row>
    <row r="856" spans="1:144" s="26" customFormat="1" x14ac:dyDescent="0.25">
      <c r="A856" s="26">
        <v>41</v>
      </c>
      <c r="B856" s="26" t="s">
        <v>797</v>
      </c>
      <c r="C856" s="26" t="s">
        <v>798</v>
      </c>
      <c r="D856" s="26">
        <v>1994</v>
      </c>
      <c r="E856" s="26">
        <v>1986</v>
      </c>
      <c r="F856" s="26" t="s">
        <v>575</v>
      </c>
      <c r="G856" s="26" t="s">
        <v>800</v>
      </c>
      <c r="H856" s="26">
        <v>38.03</v>
      </c>
      <c r="I856" s="26">
        <v>-84.51</v>
      </c>
      <c r="J856" s="26">
        <v>299.60000000000002</v>
      </c>
      <c r="P856" s="52" t="s">
        <v>187</v>
      </c>
      <c r="Q856" s="52"/>
      <c r="R856" s="52" t="s">
        <v>803</v>
      </c>
      <c r="S856" s="52" t="s">
        <v>658</v>
      </c>
      <c r="T856" s="26">
        <v>1.05</v>
      </c>
      <c r="U856" s="26">
        <v>7.3</v>
      </c>
      <c r="V856" s="26">
        <v>70.2</v>
      </c>
      <c r="W856" s="26" t="s">
        <v>175</v>
      </c>
      <c r="X856" s="26">
        <v>5.48</v>
      </c>
      <c r="Y856" s="26">
        <v>1.1599999999999999</v>
      </c>
      <c r="AA856" s="26" t="s">
        <v>1702</v>
      </c>
      <c r="AB856" s="26" t="s">
        <v>326</v>
      </c>
      <c r="AC856" s="26" t="s">
        <v>174</v>
      </c>
      <c r="AM856" s="26" t="s">
        <v>160</v>
      </c>
      <c r="AN856" s="26">
        <v>2</v>
      </c>
      <c r="AO856" s="26">
        <v>2</v>
      </c>
      <c r="AP856" s="26" t="s">
        <v>184</v>
      </c>
      <c r="AT856" s="63"/>
      <c r="CU856" s="26">
        <v>0.187</v>
      </c>
      <c r="CV856" s="26">
        <v>0.3</v>
      </c>
      <c r="CW856" s="26" t="s">
        <v>810</v>
      </c>
      <c r="EL856" s="26" t="s">
        <v>963</v>
      </c>
      <c r="EN856" s="26">
        <v>41</v>
      </c>
    </row>
    <row r="857" spans="1:144" s="26" customFormat="1" x14ac:dyDescent="0.25">
      <c r="A857" s="26">
        <v>41</v>
      </c>
      <c r="B857" s="26" t="s">
        <v>797</v>
      </c>
      <c r="C857" s="26" t="s">
        <v>798</v>
      </c>
      <c r="D857" s="26">
        <v>1994</v>
      </c>
      <c r="E857" s="26">
        <v>1986</v>
      </c>
      <c r="F857" s="26" t="s">
        <v>575</v>
      </c>
      <c r="G857" s="26" t="s">
        <v>800</v>
      </c>
      <c r="H857" s="26">
        <v>38.03</v>
      </c>
      <c r="I857" s="26">
        <v>-84.51</v>
      </c>
      <c r="J857" s="26">
        <v>299.60000000000002</v>
      </c>
      <c r="P857" s="52" t="s">
        <v>187</v>
      </c>
      <c r="Q857" s="52"/>
      <c r="R857" s="52" t="s">
        <v>804</v>
      </c>
      <c r="S857" s="52" t="s">
        <v>658</v>
      </c>
      <c r="T857" s="26">
        <v>1.05</v>
      </c>
      <c r="U857" s="26">
        <v>7.3</v>
      </c>
      <c r="V857" s="26">
        <v>70.2</v>
      </c>
      <c r="W857" s="26" t="s">
        <v>175</v>
      </c>
      <c r="X857" s="26">
        <v>5.48</v>
      </c>
      <c r="Y857" s="26">
        <v>1.1599999999999999</v>
      </c>
      <c r="AA857" s="26" t="s">
        <v>1702</v>
      </c>
      <c r="AB857" s="26" t="s">
        <v>326</v>
      </c>
      <c r="AC857" s="26" t="s">
        <v>174</v>
      </c>
      <c r="AM857" s="26" t="s">
        <v>160</v>
      </c>
      <c r="AN857" s="26">
        <v>2</v>
      </c>
      <c r="AO857" s="26">
        <v>2</v>
      </c>
      <c r="AP857" s="26" t="s">
        <v>184</v>
      </c>
      <c r="AT857" s="63"/>
      <c r="CU857" s="26">
        <v>3.5000000000000003E-2</v>
      </c>
      <c r="CV857" s="26">
        <v>0.05</v>
      </c>
      <c r="CW857" s="26" t="s">
        <v>810</v>
      </c>
      <c r="EL857" s="26" t="s">
        <v>963</v>
      </c>
      <c r="EN857" s="26">
        <v>41</v>
      </c>
    </row>
    <row r="858" spans="1:144" s="26" customFormat="1" x14ac:dyDescent="0.25">
      <c r="A858" s="26">
        <v>41</v>
      </c>
      <c r="B858" s="26" t="s">
        <v>797</v>
      </c>
      <c r="C858" s="26" t="s">
        <v>798</v>
      </c>
      <c r="D858" s="26">
        <v>1994</v>
      </c>
      <c r="E858" s="26">
        <v>1986</v>
      </c>
      <c r="F858" s="26" t="s">
        <v>575</v>
      </c>
      <c r="G858" s="26" t="s">
        <v>800</v>
      </c>
      <c r="H858" s="26">
        <v>38.03</v>
      </c>
      <c r="I858" s="26">
        <v>-84.51</v>
      </c>
      <c r="J858" s="26">
        <v>299.60000000000002</v>
      </c>
      <c r="P858" s="52" t="s">
        <v>187</v>
      </c>
      <c r="Q858" s="52"/>
      <c r="R858" s="52" t="s">
        <v>712</v>
      </c>
      <c r="S858" s="52" t="s">
        <v>658</v>
      </c>
      <c r="T858" s="26">
        <v>1.05</v>
      </c>
      <c r="U858" s="26">
        <v>7.3</v>
      </c>
      <c r="V858" s="26">
        <v>70.2</v>
      </c>
      <c r="W858" s="26" t="s">
        <v>175</v>
      </c>
      <c r="X858" s="26">
        <v>5.48</v>
      </c>
      <c r="Y858" s="26">
        <v>1.1599999999999999</v>
      </c>
      <c r="AA858" s="26" t="s">
        <v>1702</v>
      </c>
      <c r="AB858" s="26" t="s">
        <v>326</v>
      </c>
      <c r="AC858" s="26" t="s">
        <v>174</v>
      </c>
      <c r="AM858" s="26" t="s">
        <v>160</v>
      </c>
      <c r="AN858" s="26">
        <v>2</v>
      </c>
      <c r="AO858" s="26">
        <v>2</v>
      </c>
      <c r="AP858" s="26" t="s">
        <v>184</v>
      </c>
      <c r="AT858" s="63"/>
      <c r="CU858" s="26">
        <v>0.08</v>
      </c>
      <c r="CV858" s="26">
        <v>0.04</v>
      </c>
      <c r="CW858" s="26" t="s">
        <v>810</v>
      </c>
      <c r="EL858" s="26" t="s">
        <v>963</v>
      </c>
      <c r="EN858" s="26">
        <v>41</v>
      </c>
    </row>
    <row r="859" spans="1:144" s="35" customFormat="1" x14ac:dyDescent="0.25">
      <c r="A859" s="35">
        <v>41</v>
      </c>
      <c r="B859" s="35" t="s">
        <v>797</v>
      </c>
      <c r="C859" s="35" t="s">
        <v>798</v>
      </c>
      <c r="D859" s="35">
        <v>1994</v>
      </c>
      <c r="E859" s="35">
        <v>1987</v>
      </c>
      <c r="F859" s="35" t="s">
        <v>575</v>
      </c>
      <c r="G859" s="35" t="s">
        <v>800</v>
      </c>
      <c r="H859" s="35">
        <v>38.03</v>
      </c>
      <c r="I859" s="35">
        <v>-84.51</v>
      </c>
      <c r="J859" s="35">
        <v>299.60000000000002</v>
      </c>
      <c r="P859" s="54" t="s">
        <v>188</v>
      </c>
      <c r="Q859" s="54"/>
      <c r="R859" s="54" t="s">
        <v>808</v>
      </c>
      <c r="S859" s="54" t="s">
        <v>658</v>
      </c>
      <c r="T859" s="35">
        <v>1.05</v>
      </c>
      <c r="U859" s="35">
        <v>7.3</v>
      </c>
      <c r="V859" s="35">
        <v>70.2</v>
      </c>
      <c r="W859" s="35" t="s">
        <v>175</v>
      </c>
      <c r="X859" s="35">
        <v>5.48</v>
      </c>
      <c r="Y859" s="35">
        <v>1.1599999999999999</v>
      </c>
      <c r="AA859" s="35" t="s">
        <v>1702</v>
      </c>
      <c r="AB859" s="35" t="s">
        <v>326</v>
      </c>
      <c r="AC859" s="35" t="s">
        <v>174</v>
      </c>
      <c r="AM859" s="35" t="s">
        <v>160</v>
      </c>
      <c r="AN859" s="35">
        <v>2</v>
      </c>
      <c r="AO859" s="35">
        <v>2</v>
      </c>
      <c r="AP859" s="35" t="s">
        <v>184</v>
      </c>
      <c r="AT859" s="63"/>
      <c r="CU859" s="35">
        <v>0.36</v>
      </c>
      <c r="CV859" s="35">
        <v>0.47699999999999998</v>
      </c>
      <c r="CW859" s="35" t="s">
        <v>810</v>
      </c>
      <c r="EL859" s="35" t="s">
        <v>963</v>
      </c>
      <c r="EN859" s="35">
        <v>41</v>
      </c>
    </row>
    <row r="860" spans="1:144" s="35" customFormat="1" x14ac:dyDescent="0.25">
      <c r="A860" s="35">
        <v>41</v>
      </c>
      <c r="B860" s="35" t="s">
        <v>797</v>
      </c>
      <c r="C860" s="35" t="s">
        <v>798</v>
      </c>
      <c r="D860" s="35">
        <v>1994</v>
      </c>
      <c r="E860" s="35">
        <v>1987</v>
      </c>
      <c r="F860" s="35" t="s">
        <v>575</v>
      </c>
      <c r="G860" s="35" t="s">
        <v>800</v>
      </c>
      <c r="H860" s="35">
        <v>38.03</v>
      </c>
      <c r="I860" s="35">
        <v>-84.51</v>
      </c>
      <c r="J860" s="35">
        <v>299.60000000000002</v>
      </c>
      <c r="P860" s="54" t="s">
        <v>188</v>
      </c>
      <c r="Q860" s="54"/>
      <c r="R860" s="54" t="s">
        <v>809</v>
      </c>
      <c r="S860" s="54" t="s">
        <v>658</v>
      </c>
      <c r="T860" s="35">
        <v>1.05</v>
      </c>
      <c r="U860" s="35">
        <v>7.3</v>
      </c>
      <c r="V860" s="35">
        <v>70.2</v>
      </c>
      <c r="W860" s="35" t="s">
        <v>175</v>
      </c>
      <c r="X860" s="35">
        <v>5.48</v>
      </c>
      <c r="Y860" s="35">
        <v>1.1599999999999999</v>
      </c>
      <c r="AA860" s="35" t="s">
        <v>1702</v>
      </c>
      <c r="AB860" s="35" t="s">
        <v>326</v>
      </c>
      <c r="AC860" s="35" t="s">
        <v>174</v>
      </c>
      <c r="AM860" s="35" t="s">
        <v>160</v>
      </c>
      <c r="AN860" s="35">
        <v>2</v>
      </c>
      <c r="AO860" s="35">
        <v>2</v>
      </c>
      <c r="AP860" s="35" t="s">
        <v>184</v>
      </c>
      <c r="AT860" s="63"/>
      <c r="CU860" s="35">
        <v>0.32</v>
      </c>
      <c r="CV860" s="35">
        <v>0.42</v>
      </c>
      <c r="CW860" s="35" t="s">
        <v>810</v>
      </c>
      <c r="EL860" s="35" t="s">
        <v>963</v>
      </c>
      <c r="EN860" s="35">
        <v>41</v>
      </c>
    </row>
    <row r="861" spans="1:144" s="35" customFormat="1" x14ac:dyDescent="0.25">
      <c r="A861" s="35">
        <v>41</v>
      </c>
      <c r="B861" s="35" t="s">
        <v>797</v>
      </c>
      <c r="C861" s="35" t="s">
        <v>798</v>
      </c>
      <c r="D861" s="35">
        <v>1994</v>
      </c>
      <c r="E861" s="35">
        <v>1987</v>
      </c>
      <c r="F861" s="35" t="s">
        <v>575</v>
      </c>
      <c r="G861" s="35" t="s">
        <v>800</v>
      </c>
      <c r="H861" s="35">
        <v>38.03</v>
      </c>
      <c r="I861" s="35">
        <v>-84.51</v>
      </c>
      <c r="J861" s="35">
        <v>299.60000000000002</v>
      </c>
      <c r="P861" s="54" t="s">
        <v>188</v>
      </c>
      <c r="Q861" s="54"/>
      <c r="R861" s="54" t="s">
        <v>291</v>
      </c>
      <c r="S861" s="54" t="s">
        <v>658</v>
      </c>
      <c r="T861" s="35">
        <v>1.05</v>
      </c>
      <c r="U861" s="35">
        <v>7.3</v>
      </c>
      <c r="V861" s="35">
        <v>70.2</v>
      </c>
      <c r="W861" s="35" t="s">
        <v>175</v>
      </c>
      <c r="X861" s="35">
        <v>5.48</v>
      </c>
      <c r="Y861" s="35">
        <v>1.1599999999999999</v>
      </c>
      <c r="AA861" s="35" t="s">
        <v>1702</v>
      </c>
      <c r="AB861" s="35" t="s">
        <v>326</v>
      </c>
      <c r="AC861" s="35" t="s">
        <v>174</v>
      </c>
      <c r="AM861" s="35" t="s">
        <v>160</v>
      </c>
      <c r="AN861" s="35">
        <v>2</v>
      </c>
      <c r="AO861" s="35">
        <v>2</v>
      </c>
      <c r="AP861" s="35" t="s">
        <v>184</v>
      </c>
      <c r="AT861" s="63"/>
      <c r="CU861" s="35">
        <v>0.28999999999999998</v>
      </c>
      <c r="CV861" s="35">
        <v>0.36499999999999999</v>
      </c>
      <c r="CW861" s="35" t="s">
        <v>810</v>
      </c>
      <c r="EL861" s="35" t="s">
        <v>963</v>
      </c>
      <c r="EN861" s="35">
        <v>41</v>
      </c>
    </row>
    <row r="862" spans="1:144" s="35" customFormat="1" x14ac:dyDescent="0.25">
      <c r="A862" s="35">
        <v>41</v>
      </c>
      <c r="B862" s="35" t="s">
        <v>797</v>
      </c>
      <c r="C862" s="35" t="s">
        <v>798</v>
      </c>
      <c r="D862" s="35">
        <v>1994</v>
      </c>
      <c r="E862" s="35">
        <v>1987</v>
      </c>
      <c r="F862" s="35" t="s">
        <v>575</v>
      </c>
      <c r="G862" s="35" t="s">
        <v>800</v>
      </c>
      <c r="H862" s="35">
        <v>38.03</v>
      </c>
      <c r="I862" s="35">
        <v>-84.51</v>
      </c>
      <c r="J862" s="35">
        <v>299.60000000000002</v>
      </c>
      <c r="P862" s="54" t="s">
        <v>188</v>
      </c>
      <c r="Q862" s="54"/>
      <c r="R862" s="54" t="s">
        <v>806</v>
      </c>
      <c r="S862" s="54" t="s">
        <v>658</v>
      </c>
      <c r="T862" s="35">
        <v>1.05</v>
      </c>
      <c r="U862" s="35">
        <v>7.3</v>
      </c>
      <c r="V862" s="35">
        <v>70.2</v>
      </c>
      <c r="W862" s="35" t="s">
        <v>175</v>
      </c>
      <c r="X862" s="35">
        <v>5.48</v>
      </c>
      <c r="Y862" s="35">
        <v>1.1599999999999999</v>
      </c>
      <c r="AA862" s="35" t="s">
        <v>1702</v>
      </c>
      <c r="AB862" s="35" t="s">
        <v>326</v>
      </c>
      <c r="AC862" s="35" t="s">
        <v>174</v>
      </c>
      <c r="AM862" s="35" t="s">
        <v>160</v>
      </c>
      <c r="AN862" s="35">
        <v>2</v>
      </c>
      <c r="AO862" s="35">
        <v>2</v>
      </c>
      <c r="AP862" s="35" t="s">
        <v>184</v>
      </c>
      <c r="AT862" s="63"/>
      <c r="CU862" s="35">
        <v>0.24399999999999999</v>
      </c>
      <c r="CV862" s="35">
        <v>0.24</v>
      </c>
      <c r="CW862" s="35" t="s">
        <v>810</v>
      </c>
      <c r="EL862" s="35" t="s">
        <v>963</v>
      </c>
      <c r="EN862" s="35">
        <v>41</v>
      </c>
    </row>
    <row r="863" spans="1:144" s="35" customFormat="1" x14ac:dyDescent="0.25">
      <c r="A863" s="35">
        <v>41</v>
      </c>
      <c r="B863" s="35" t="s">
        <v>797</v>
      </c>
      <c r="C863" s="35" t="s">
        <v>798</v>
      </c>
      <c r="D863" s="35">
        <v>1994</v>
      </c>
      <c r="E863" s="35">
        <v>1987</v>
      </c>
      <c r="F863" s="35" t="s">
        <v>575</v>
      </c>
      <c r="G863" s="35" t="s">
        <v>800</v>
      </c>
      <c r="H863" s="35">
        <v>38.03</v>
      </c>
      <c r="I863" s="35">
        <v>-84.51</v>
      </c>
      <c r="J863" s="35">
        <v>299.60000000000002</v>
      </c>
      <c r="P863" s="54" t="s">
        <v>188</v>
      </c>
      <c r="Q863" s="54"/>
      <c r="R863" s="54" t="s">
        <v>279</v>
      </c>
      <c r="S863" s="54" t="s">
        <v>658</v>
      </c>
      <c r="T863" s="35">
        <v>1.05</v>
      </c>
      <c r="U863" s="35">
        <v>7.3</v>
      </c>
      <c r="V863" s="35">
        <v>70.2</v>
      </c>
      <c r="W863" s="35" t="s">
        <v>175</v>
      </c>
      <c r="X863" s="35">
        <v>5.48</v>
      </c>
      <c r="Y863" s="35">
        <v>1.1599999999999999</v>
      </c>
      <c r="AA863" s="35" t="s">
        <v>1702</v>
      </c>
      <c r="AB863" s="35" t="s">
        <v>326</v>
      </c>
      <c r="AC863" s="35" t="s">
        <v>174</v>
      </c>
      <c r="AM863" s="35" t="s">
        <v>160</v>
      </c>
      <c r="AN863" s="35">
        <v>2</v>
      </c>
      <c r="AO863" s="35">
        <v>2</v>
      </c>
      <c r="AP863" s="35" t="s">
        <v>184</v>
      </c>
      <c r="AT863" s="63"/>
      <c r="CU863" s="35">
        <v>0.20599999999999999</v>
      </c>
      <c r="CV863" s="35">
        <v>0.21</v>
      </c>
      <c r="CW863" s="35" t="s">
        <v>810</v>
      </c>
      <c r="EL863" s="35" t="s">
        <v>963</v>
      </c>
      <c r="EN863" s="35">
        <v>41</v>
      </c>
    </row>
    <row r="864" spans="1:144" s="35" customFormat="1" x14ac:dyDescent="0.25">
      <c r="A864" s="35">
        <v>41</v>
      </c>
      <c r="B864" s="35" t="s">
        <v>797</v>
      </c>
      <c r="C864" s="35" t="s">
        <v>798</v>
      </c>
      <c r="D864" s="35">
        <v>1994</v>
      </c>
      <c r="E864" s="35">
        <v>1987</v>
      </c>
      <c r="F864" s="35" t="s">
        <v>575</v>
      </c>
      <c r="G864" s="35" t="s">
        <v>800</v>
      </c>
      <c r="H864" s="35">
        <v>38.03</v>
      </c>
      <c r="I864" s="35">
        <v>-84.51</v>
      </c>
      <c r="J864" s="35">
        <v>299.60000000000002</v>
      </c>
      <c r="P864" s="54" t="s">
        <v>188</v>
      </c>
      <c r="Q864" s="54"/>
      <c r="R864" s="54" t="s">
        <v>802</v>
      </c>
      <c r="S864" s="54" t="s">
        <v>658</v>
      </c>
      <c r="T864" s="35">
        <v>1.05</v>
      </c>
      <c r="U864" s="35">
        <v>7.3</v>
      </c>
      <c r="V864" s="35">
        <v>70.2</v>
      </c>
      <c r="W864" s="35" t="s">
        <v>175</v>
      </c>
      <c r="X864" s="35">
        <v>5.48</v>
      </c>
      <c r="Y864" s="35">
        <v>1.1599999999999999</v>
      </c>
      <c r="AA864" s="35" t="s">
        <v>1702</v>
      </c>
      <c r="AB864" s="35" t="s">
        <v>326</v>
      </c>
      <c r="AC864" s="35" t="s">
        <v>174</v>
      </c>
      <c r="AM864" s="35" t="s">
        <v>160</v>
      </c>
      <c r="AN864" s="35">
        <v>2</v>
      </c>
      <c r="AO864" s="35">
        <v>2</v>
      </c>
      <c r="AP864" s="35" t="s">
        <v>184</v>
      </c>
      <c r="AT864" s="63"/>
      <c r="CU864" s="35">
        <v>0.3</v>
      </c>
      <c r="CV864" s="35">
        <v>0.23</v>
      </c>
      <c r="CW864" s="35" t="s">
        <v>810</v>
      </c>
      <c r="EL864" s="35" t="s">
        <v>963</v>
      </c>
      <c r="EN864" s="35">
        <v>41</v>
      </c>
    </row>
    <row r="865" spans="1:144" s="35" customFormat="1" x14ac:dyDescent="0.25">
      <c r="A865" s="35">
        <v>41</v>
      </c>
      <c r="B865" s="35" t="s">
        <v>797</v>
      </c>
      <c r="C865" s="35" t="s">
        <v>798</v>
      </c>
      <c r="D865" s="35">
        <v>1994</v>
      </c>
      <c r="E865" s="35">
        <v>1987</v>
      </c>
      <c r="F865" s="35" t="s">
        <v>575</v>
      </c>
      <c r="G865" s="35" t="s">
        <v>800</v>
      </c>
      <c r="H865" s="35">
        <v>38.03</v>
      </c>
      <c r="I865" s="35">
        <v>-84.51</v>
      </c>
      <c r="J865" s="35">
        <v>299.60000000000002</v>
      </c>
      <c r="P865" s="54" t="s">
        <v>188</v>
      </c>
      <c r="Q865" s="54"/>
      <c r="R865" s="54" t="s">
        <v>306</v>
      </c>
      <c r="S865" s="54" t="s">
        <v>658</v>
      </c>
      <c r="T865" s="35">
        <v>1.05</v>
      </c>
      <c r="U865" s="35">
        <v>7.3</v>
      </c>
      <c r="V865" s="35">
        <v>70.2</v>
      </c>
      <c r="W865" s="35" t="s">
        <v>175</v>
      </c>
      <c r="X865" s="35">
        <v>5.48</v>
      </c>
      <c r="Y865" s="35">
        <v>1.1599999999999999</v>
      </c>
      <c r="AA865" s="35" t="s">
        <v>1702</v>
      </c>
      <c r="AB865" s="35" t="s">
        <v>326</v>
      </c>
      <c r="AC865" s="35" t="s">
        <v>174</v>
      </c>
      <c r="AM865" s="35" t="s">
        <v>160</v>
      </c>
      <c r="AN865" s="35">
        <v>2</v>
      </c>
      <c r="AO865" s="35">
        <v>2</v>
      </c>
      <c r="AP865" s="35" t="s">
        <v>184</v>
      </c>
      <c r="AT865" s="63"/>
      <c r="CU865" s="35">
        <v>0.36499999999999999</v>
      </c>
      <c r="CV865" s="35">
        <v>0.17799999999999999</v>
      </c>
      <c r="CW865" s="35" t="s">
        <v>810</v>
      </c>
      <c r="EL865" s="35" t="s">
        <v>963</v>
      </c>
      <c r="EN865" s="35">
        <v>41</v>
      </c>
    </row>
    <row r="866" spans="1:144" s="35" customFormat="1" x14ac:dyDescent="0.25">
      <c r="A866" s="35">
        <v>41</v>
      </c>
      <c r="B866" s="35" t="s">
        <v>797</v>
      </c>
      <c r="C866" s="35" t="s">
        <v>798</v>
      </c>
      <c r="D866" s="35">
        <v>1994</v>
      </c>
      <c r="E866" s="35">
        <v>1987</v>
      </c>
      <c r="F866" s="35" t="s">
        <v>575</v>
      </c>
      <c r="G866" s="35" t="s">
        <v>800</v>
      </c>
      <c r="H866" s="35">
        <v>38.03</v>
      </c>
      <c r="I866" s="35">
        <v>-84.51</v>
      </c>
      <c r="J866" s="35">
        <v>299.60000000000002</v>
      </c>
      <c r="P866" s="54" t="s">
        <v>188</v>
      </c>
      <c r="Q866" s="54"/>
      <c r="R866" s="54" t="s">
        <v>803</v>
      </c>
      <c r="S866" s="54" t="s">
        <v>658</v>
      </c>
      <c r="T866" s="35">
        <v>1.05</v>
      </c>
      <c r="U866" s="35">
        <v>7.3</v>
      </c>
      <c r="V866" s="35">
        <v>70.2</v>
      </c>
      <c r="W866" s="35" t="s">
        <v>175</v>
      </c>
      <c r="X866" s="35">
        <v>5.48</v>
      </c>
      <c r="Y866" s="35">
        <v>1.1599999999999999</v>
      </c>
      <c r="AA866" s="35" t="s">
        <v>1702</v>
      </c>
      <c r="AB866" s="35" t="s">
        <v>326</v>
      </c>
      <c r="AC866" s="35" t="s">
        <v>174</v>
      </c>
      <c r="AM866" s="35" t="s">
        <v>160</v>
      </c>
      <c r="AN866" s="35">
        <v>2</v>
      </c>
      <c r="AO866" s="35">
        <v>2</v>
      </c>
      <c r="AP866" s="35" t="s">
        <v>184</v>
      </c>
      <c r="AT866" s="63"/>
      <c r="CU866" s="35">
        <v>0.4</v>
      </c>
      <c r="CV866" s="35">
        <v>0.16</v>
      </c>
      <c r="CW866" s="35" t="s">
        <v>810</v>
      </c>
      <c r="EL866" s="35" t="s">
        <v>963</v>
      </c>
      <c r="EN866" s="35">
        <v>41</v>
      </c>
    </row>
    <row r="867" spans="1:144" s="35" customFormat="1" x14ac:dyDescent="0.25">
      <c r="A867" s="35">
        <v>41</v>
      </c>
      <c r="B867" s="35" t="s">
        <v>797</v>
      </c>
      <c r="C867" s="35" t="s">
        <v>798</v>
      </c>
      <c r="D867" s="35">
        <v>1994</v>
      </c>
      <c r="E867" s="35">
        <v>1987</v>
      </c>
      <c r="F867" s="35" t="s">
        <v>575</v>
      </c>
      <c r="G867" s="35" t="s">
        <v>800</v>
      </c>
      <c r="H867" s="35">
        <v>38.03</v>
      </c>
      <c r="I867" s="35">
        <v>-84.51</v>
      </c>
      <c r="J867" s="35">
        <v>299.60000000000002</v>
      </c>
      <c r="P867" s="54" t="s">
        <v>188</v>
      </c>
      <c r="Q867" s="54"/>
      <c r="R867" s="54" t="s">
        <v>807</v>
      </c>
      <c r="S867" s="54" t="s">
        <v>658</v>
      </c>
      <c r="T867" s="35">
        <v>1.05</v>
      </c>
      <c r="U867" s="35">
        <v>7.3</v>
      </c>
      <c r="V867" s="35">
        <v>70.2</v>
      </c>
      <c r="W867" s="35" t="s">
        <v>175</v>
      </c>
      <c r="X867" s="35">
        <v>5.48</v>
      </c>
      <c r="Y867" s="35">
        <v>1.1599999999999999</v>
      </c>
      <c r="AA867" s="35" t="s">
        <v>1702</v>
      </c>
      <c r="AB867" s="35" t="s">
        <v>326</v>
      </c>
      <c r="AC867" s="35" t="s">
        <v>174</v>
      </c>
      <c r="AM867" s="35" t="s">
        <v>160</v>
      </c>
      <c r="AN867" s="35">
        <v>2</v>
      </c>
      <c r="AO867" s="35">
        <v>2</v>
      </c>
      <c r="AP867" s="35" t="s">
        <v>184</v>
      </c>
      <c r="AT867" s="63"/>
      <c r="CU867" s="35">
        <v>0.45</v>
      </c>
      <c r="CV867" s="35">
        <v>0.156</v>
      </c>
      <c r="CW867" s="35" t="s">
        <v>810</v>
      </c>
      <c r="EL867" s="35" t="s">
        <v>963</v>
      </c>
      <c r="EN867" s="35">
        <v>41</v>
      </c>
    </row>
    <row r="868" spans="1:144" s="35" customFormat="1" x14ac:dyDescent="0.25">
      <c r="A868" s="35">
        <v>41</v>
      </c>
      <c r="B868" s="35" t="s">
        <v>797</v>
      </c>
      <c r="C868" s="35" t="s">
        <v>798</v>
      </c>
      <c r="D868" s="35">
        <v>1994</v>
      </c>
      <c r="E868" s="35">
        <v>1987</v>
      </c>
      <c r="F868" s="35" t="s">
        <v>575</v>
      </c>
      <c r="G868" s="35" t="s">
        <v>800</v>
      </c>
      <c r="H868" s="35">
        <v>38.03</v>
      </c>
      <c r="I868" s="35">
        <v>-84.51</v>
      </c>
      <c r="J868" s="35">
        <v>299.60000000000002</v>
      </c>
      <c r="P868" s="54" t="s">
        <v>188</v>
      </c>
      <c r="Q868" s="54"/>
      <c r="R868" s="54" t="s">
        <v>712</v>
      </c>
      <c r="S868" s="54" t="s">
        <v>658</v>
      </c>
      <c r="T868" s="35">
        <v>1.05</v>
      </c>
      <c r="U868" s="35">
        <v>7.3</v>
      </c>
      <c r="V868" s="35">
        <v>70.2</v>
      </c>
      <c r="W868" s="35" t="s">
        <v>175</v>
      </c>
      <c r="X868" s="35">
        <v>5.48</v>
      </c>
      <c r="Y868" s="35">
        <v>1.1599999999999999</v>
      </c>
      <c r="AA868" s="35" t="s">
        <v>1702</v>
      </c>
      <c r="AB868" s="35" t="s">
        <v>326</v>
      </c>
      <c r="AC868" s="35" t="s">
        <v>174</v>
      </c>
      <c r="AM868" s="35" t="s">
        <v>160</v>
      </c>
      <c r="AN868" s="35">
        <v>2</v>
      </c>
      <c r="AO868" s="35">
        <v>2</v>
      </c>
      <c r="AP868" s="35" t="s">
        <v>184</v>
      </c>
      <c r="AT868" s="63"/>
      <c r="CU868" s="35">
        <v>0.49</v>
      </c>
      <c r="CV868" s="35">
        <v>0.21</v>
      </c>
      <c r="CW868" s="35" t="s">
        <v>810</v>
      </c>
      <c r="EL868" s="35" t="s">
        <v>963</v>
      </c>
      <c r="EN868" s="35">
        <v>41</v>
      </c>
    </row>
    <row r="869" spans="1:144" s="35" customFormat="1" x14ac:dyDescent="0.25">
      <c r="A869" s="35">
        <v>41</v>
      </c>
      <c r="B869" s="35" t="s">
        <v>797</v>
      </c>
      <c r="C869" s="35" t="s">
        <v>798</v>
      </c>
      <c r="D869" s="35">
        <v>1994</v>
      </c>
      <c r="E869" s="35">
        <v>1987</v>
      </c>
      <c r="F869" s="35" t="s">
        <v>575</v>
      </c>
      <c r="G869" s="35" t="s">
        <v>800</v>
      </c>
      <c r="H869" s="35">
        <v>38.03</v>
      </c>
      <c r="I869" s="35">
        <v>-84.51</v>
      </c>
      <c r="J869" s="35">
        <v>299.60000000000002</v>
      </c>
      <c r="P869" s="54" t="s">
        <v>188</v>
      </c>
      <c r="Q869" s="54"/>
      <c r="R869" s="54" t="s">
        <v>805</v>
      </c>
      <c r="S869" s="54" t="s">
        <v>658</v>
      </c>
      <c r="T869" s="35">
        <v>1.05</v>
      </c>
      <c r="U869" s="35">
        <v>7.3</v>
      </c>
      <c r="V869" s="35">
        <v>70.2</v>
      </c>
      <c r="W869" s="35" t="s">
        <v>175</v>
      </c>
      <c r="X869" s="35">
        <v>5.48</v>
      </c>
      <c r="Y869" s="35">
        <v>1.1599999999999999</v>
      </c>
      <c r="AA869" s="35" t="s">
        <v>1702</v>
      </c>
      <c r="AB869" s="35" t="s">
        <v>326</v>
      </c>
      <c r="AC869" s="35" t="s">
        <v>174</v>
      </c>
      <c r="AM869" s="35" t="s">
        <v>160</v>
      </c>
      <c r="AN869" s="35">
        <v>2</v>
      </c>
      <c r="AO869" s="35">
        <v>2</v>
      </c>
      <c r="AP869" s="35" t="s">
        <v>184</v>
      </c>
      <c r="AT869" s="63"/>
      <c r="CU869" s="35">
        <v>0.438</v>
      </c>
      <c r="CV869" s="35">
        <v>0.218</v>
      </c>
      <c r="CW869" s="35" t="s">
        <v>810</v>
      </c>
      <c r="EL869" s="35" t="s">
        <v>963</v>
      </c>
      <c r="EN869" s="35">
        <v>41</v>
      </c>
    </row>
    <row r="870" spans="1:144" s="26" customFormat="1" x14ac:dyDescent="0.25">
      <c r="A870" s="26">
        <v>41</v>
      </c>
      <c r="B870" s="26" t="s">
        <v>797</v>
      </c>
      <c r="C870" s="26" t="s">
        <v>798</v>
      </c>
      <c r="D870" s="26">
        <v>1994</v>
      </c>
      <c r="E870" s="26">
        <v>1988</v>
      </c>
      <c r="F870" s="26" t="s">
        <v>575</v>
      </c>
      <c r="G870" s="26" t="s">
        <v>800</v>
      </c>
      <c r="H870" s="26">
        <v>38.03</v>
      </c>
      <c r="I870" s="26">
        <v>-84.51</v>
      </c>
      <c r="J870" s="26">
        <v>299.60000000000002</v>
      </c>
      <c r="P870" s="52" t="s">
        <v>189</v>
      </c>
      <c r="Q870" s="52"/>
      <c r="R870" s="52" t="s">
        <v>808</v>
      </c>
      <c r="S870" s="52" t="s">
        <v>658</v>
      </c>
      <c r="T870" s="26">
        <v>1.05</v>
      </c>
      <c r="U870" s="26">
        <v>7.3</v>
      </c>
      <c r="V870" s="26">
        <v>70.2</v>
      </c>
      <c r="W870" s="26" t="s">
        <v>175</v>
      </c>
      <c r="X870" s="26">
        <v>5.48</v>
      </c>
      <c r="Y870" s="26">
        <v>1.1599999999999999</v>
      </c>
      <c r="AA870" s="26" t="s">
        <v>1702</v>
      </c>
      <c r="AB870" s="26" t="s">
        <v>326</v>
      </c>
      <c r="AC870" s="26" t="s">
        <v>174</v>
      </c>
      <c r="AM870" s="26" t="s">
        <v>160</v>
      </c>
      <c r="AN870" s="26">
        <v>2</v>
      </c>
      <c r="AO870" s="26">
        <v>2</v>
      </c>
      <c r="AP870" s="26" t="s">
        <v>184</v>
      </c>
      <c r="AT870" s="63"/>
      <c r="CU870" s="26">
        <v>0.16300000000000001</v>
      </c>
      <c r="CV870" s="26">
        <v>3.5000000000000003E-2</v>
      </c>
      <c r="CW870" s="26" t="s">
        <v>810</v>
      </c>
      <c r="EL870" s="26" t="s">
        <v>963</v>
      </c>
      <c r="EN870" s="26">
        <v>41</v>
      </c>
    </row>
    <row r="871" spans="1:144" s="26" customFormat="1" x14ac:dyDescent="0.25">
      <c r="A871" s="26">
        <v>41</v>
      </c>
      <c r="B871" s="26" t="s">
        <v>797</v>
      </c>
      <c r="C871" s="26" t="s">
        <v>798</v>
      </c>
      <c r="D871" s="26">
        <v>1994</v>
      </c>
      <c r="E871" s="26">
        <v>1988</v>
      </c>
      <c r="F871" s="26" t="s">
        <v>575</v>
      </c>
      <c r="G871" s="26" t="s">
        <v>800</v>
      </c>
      <c r="H871" s="26">
        <v>38.03</v>
      </c>
      <c r="I871" s="26">
        <v>-84.51</v>
      </c>
      <c r="J871" s="26">
        <v>299.60000000000002</v>
      </c>
      <c r="P871" s="52" t="s">
        <v>189</v>
      </c>
      <c r="Q871" s="52"/>
      <c r="R871" s="52" t="s">
        <v>809</v>
      </c>
      <c r="S871" s="52" t="s">
        <v>658</v>
      </c>
      <c r="T871" s="26">
        <v>1.05</v>
      </c>
      <c r="U871" s="26">
        <v>7.3</v>
      </c>
      <c r="V871" s="26">
        <v>70.2</v>
      </c>
      <c r="W871" s="26" t="s">
        <v>175</v>
      </c>
      <c r="X871" s="26">
        <v>5.48</v>
      </c>
      <c r="Y871" s="26">
        <v>1.1599999999999999</v>
      </c>
      <c r="AA871" s="26" t="s">
        <v>1702</v>
      </c>
      <c r="AB871" s="26" t="s">
        <v>326</v>
      </c>
      <c r="AC871" s="26" t="s">
        <v>174</v>
      </c>
      <c r="AM871" s="26" t="s">
        <v>160</v>
      </c>
      <c r="AN871" s="26">
        <v>2</v>
      </c>
      <c r="AO871" s="26">
        <v>2</v>
      </c>
      <c r="AP871" s="26" t="s">
        <v>184</v>
      </c>
      <c r="AT871" s="63"/>
      <c r="CU871" s="26">
        <v>0.2</v>
      </c>
      <c r="CV871" s="26">
        <v>0.113</v>
      </c>
      <c r="CW871" s="26" t="s">
        <v>810</v>
      </c>
      <c r="EL871" s="26" t="s">
        <v>963</v>
      </c>
      <c r="EN871" s="26">
        <v>41</v>
      </c>
    </row>
    <row r="872" spans="1:144" s="26" customFormat="1" x14ac:dyDescent="0.25">
      <c r="A872" s="26">
        <v>41</v>
      </c>
      <c r="B872" s="26" t="s">
        <v>797</v>
      </c>
      <c r="C872" s="26" t="s">
        <v>798</v>
      </c>
      <c r="D872" s="26">
        <v>1994</v>
      </c>
      <c r="E872" s="26">
        <v>1988</v>
      </c>
      <c r="F872" s="26" t="s">
        <v>575</v>
      </c>
      <c r="G872" s="26" t="s">
        <v>800</v>
      </c>
      <c r="H872" s="26">
        <v>38.03</v>
      </c>
      <c r="I872" s="26">
        <v>-84.51</v>
      </c>
      <c r="J872" s="26">
        <v>299.60000000000002</v>
      </c>
      <c r="P872" s="52" t="s">
        <v>189</v>
      </c>
      <c r="Q872" s="52"/>
      <c r="R872" s="52" t="s">
        <v>291</v>
      </c>
      <c r="S872" s="52" t="s">
        <v>658</v>
      </c>
      <c r="T872" s="26">
        <v>1.05</v>
      </c>
      <c r="U872" s="26">
        <v>7.3</v>
      </c>
      <c r="V872" s="26">
        <v>70.2</v>
      </c>
      <c r="W872" s="26" t="s">
        <v>175</v>
      </c>
      <c r="X872" s="26">
        <v>5.48</v>
      </c>
      <c r="Y872" s="26">
        <v>1.1599999999999999</v>
      </c>
      <c r="AA872" s="26" t="s">
        <v>1702</v>
      </c>
      <c r="AB872" s="26" t="s">
        <v>326</v>
      </c>
      <c r="AC872" s="26" t="s">
        <v>174</v>
      </c>
      <c r="AM872" s="26" t="s">
        <v>160</v>
      </c>
      <c r="AN872" s="26">
        <v>2</v>
      </c>
      <c r="AO872" s="26">
        <v>2</v>
      </c>
      <c r="AP872" s="26" t="s">
        <v>184</v>
      </c>
      <c r="AT872" s="63"/>
      <c r="CU872" s="26">
        <v>0.21</v>
      </c>
      <c r="CV872" s="26">
        <v>0.15</v>
      </c>
      <c r="CW872" s="26" t="s">
        <v>810</v>
      </c>
      <c r="EL872" s="26" t="s">
        <v>963</v>
      </c>
      <c r="EN872" s="26">
        <v>41</v>
      </c>
    </row>
    <row r="873" spans="1:144" s="26" customFormat="1" x14ac:dyDescent="0.25">
      <c r="A873" s="26">
        <v>41</v>
      </c>
      <c r="B873" s="26" t="s">
        <v>797</v>
      </c>
      <c r="C873" s="26" t="s">
        <v>798</v>
      </c>
      <c r="D873" s="26">
        <v>1994</v>
      </c>
      <c r="E873" s="26">
        <v>1988</v>
      </c>
      <c r="F873" s="26" t="s">
        <v>575</v>
      </c>
      <c r="G873" s="26" t="s">
        <v>800</v>
      </c>
      <c r="H873" s="26">
        <v>38.03</v>
      </c>
      <c r="I873" s="26">
        <v>-84.51</v>
      </c>
      <c r="J873" s="26">
        <v>299.60000000000002</v>
      </c>
      <c r="P873" s="52" t="s">
        <v>189</v>
      </c>
      <c r="Q873" s="52"/>
      <c r="R873" s="52" t="s">
        <v>806</v>
      </c>
      <c r="S873" s="52" t="s">
        <v>658</v>
      </c>
      <c r="T873" s="26">
        <v>1.05</v>
      </c>
      <c r="U873" s="26">
        <v>7.3</v>
      </c>
      <c r="V873" s="26">
        <v>70.2</v>
      </c>
      <c r="W873" s="26" t="s">
        <v>175</v>
      </c>
      <c r="X873" s="26">
        <v>5.48</v>
      </c>
      <c r="Y873" s="26">
        <v>1.1599999999999999</v>
      </c>
      <c r="AA873" s="26" t="s">
        <v>1702</v>
      </c>
      <c r="AB873" s="26" t="s">
        <v>326</v>
      </c>
      <c r="AC873" s="26" t="s">
        <v>174</v>
      </c>
      <c r="AM873" s="26" t="s">
        <v>160</v>
      </c>
      <c r="AN873" s="26">
        <v>2</v>
      </c>
      <c r="AO873" s="26">
        <v>2</v>
      </c>
      <c r="AP873" s="26" t="s">
        <v>184</v>
      </c>
      <c r="AT873" s="63"/>
      <c r="CU873" s="26">
        <v>0.3</v>
      </c>
      <c r="CV873" s="26">
        <v>0.19</v>
      </c>
      <c r="CW873" s="26" t="s">
        <v>810</v>
      </c>
      <c r="EL873" s="26" t="s">
        <v>963</v>
      </c>
      <c r="EN873" s="26">
        <v>41</v>
      </c>
    </row>
    <row r="874" spans="1:144" s="26" customFormat="1" x14ac:dyDescent="0.25">
      <c r="A874" s="26">
        <v>41</v>
      </c>
      <c r="B874" s="26" t="s">
        <v>797</v>
      </c>
      <c r="C874" s="26" t="s">
        <v>798</v>
      </c>
      <c r="D874" s="26">
        <v>1994</v>
      </c>
      <c r="E874" s="26">
        <v>1988</v>
      </c>
      <c r="F874" s="26" t="s">
        <v>575</v>
      </c>
      <c r="G874" s="26" t="s">
        <v>800</v>
      </c>
      <c r="H874" s="26">
        <v>38.03</v>
      </c>
      <c r="I874" s="26">
        <v>-84.51</v>
      </c>
      <c r="J874" s="26">
        <v>299.60000000000002</v>
      </c>
      <c r="P874" s="52" t="s">
        <v>189</v>
      </c>
      <c r="Q874" s="52"/>
      <c r="R874" s="52" t="s">
        <v>279</v>
      </c>
      <c r="S874" s="52" t="s">
        <v>658</v>
      </c>
      <c r="T874" s="26">
        <v>1.05</v>
      </c>
      <c r="U874" s="26">
        <v>7.3</v>
      </c>
      <c r="V874" s="26">
        <v>70.2</v>
      </c>
      <c r="W874" s="26" t="s">
        <v>175</v>
      </c>
      <c r="X874" s="26">
        <v>5.48</v>
      </c>
      <c r="Y874" s="26">
        <v>1.1599999999999999</v>
      </c>
      <c r="AA874" s="26" t="s">
        <v>1702</v>
      </c>
      <c r="AB874" s="26" t="s">
        <v>326</v>
      </c>
      <c r="AC874" s="26" t="s">
        <v>174</v>
      </c>
      <c r="AM874" s="26" t="s">
        <v>160</v>
      </c>
      <c r="AN874" s="26">
        <v>2</v>
      </c>
      <c r="AO874" s="26">
        <v>2</v>
      </c>
      <c r="AP874" s="26" t="s">
        <v>184</v>
      </c>
      <c r="AT874" s="63"/>
      <c r="CU874" s="26">
        <v>0.33150000000000002</v>
      </c>
      <c r="CV874" s="26">
        <v>0.22</v>
      </c>
      <c r="CW874" s="26" t="s">
        <v>810</v>
      </c>
      <c r="EL874" s="26" t="s">
        <v>963</v>
      </c>
      <c r="EN874" s="26">
        <v>41</v>
      </c>
    </row>
    <row r="875" spans="1:144" s="26" customFormat="1" x14ac:dyDescent="0.25">
      <c r="A875" s="26">
        <v>41</v>
      </c>
      <c r="B875" s="26" t="s">
        <v>797</v>
      </c>
      <c r="C875" s="26" t="s">
        <v>798</v>
      </c>
      <c r="D875" s="26">
        <v>1994</v>
      </c>
      <c r="E875" s="26">
        <v>1988</v>
      </c>
      <c r="F875" s="26" t="s">
        <v>575</v>
      </c>
      <c r="G875" s="26" t="s">
        <v>800</v>
      </c>
      <c r="H875" s="26">
        <v>38.03</v>
      </c>
      <c r="I875" s="26">
        <v>-84.51</v>
      </c>
      <c r="J875" s="26">
        <v>299.60000000000002</v>
      </c>
      <c r="P875" s="52" t="s">
        <v>189</v>
      </c>
      <c r="Q875" s="52"/>
      <c r="R875" s="52" t="s">
        <v>802</v>
      </c>
      <c r="S875" s="52" t="s">
        <v>658</v>
      </c>
      <c r="T875" s="26">
        <v>1.05</v>
      </c>
      <c r="U875" s="26">
        <v>7.3</v>
      </c>
      <c r="V875" s="26">
        <v>70.2</v>
      </c>
      <c r="W875" s="26" t="s">
        <v>175</v>
      </c>
      <c r="X875" s="26">
        <v>5.48</v>
      </c>
      <c r="Y875" s="26">
        <v>1.1599999999999999</v>
      </c>
      <c r="AA875" s="26" t="s">
        <v>1702</v>
      </c>
      <c r="AB875" s="26" t="s">
        <v>326</v>
      </c>
      <c r="AC875" s="26" t="s">
        <v>174</v>
      </c>
      <c r="AM875" s="26" t="s">
        <v>160</v>
      </c>
      <c r="AN875" s="26">
        <v>2</v>
      </c>
      <c r="AO875" s="26">
        <v>2</v>
      </c>
      <c r="AP875" s="26" t="s">
        <v>184</v>
      </c>
      <c r="AT875" s="63"/>
      <c r="CU875" s="26">
        <v>0.34799999999999998</v>
      </c>
      <c r="CV875" s="26">
        <v>0.25</v>
      </c>
      <c r="CW875" s="26" t="s">
        <v>810</v>
      </c>
      <c r="EL875" s="26" t="s">
        <v>963</v>
      </c>
      <c r="EN875" s="26">
        <v>41</v>
      </c>
    </row>
    <row r="876" spans="1:144" s="26" customFormat="1" x14ac:dyDescent="0.25">
      <c r="A876" s="26">
        <v>41</v>
      </c>
      <c r="B876" s="26" t="s">
        <v>797</v>
      </c>
      <c r="C876" s="26" t="s">
        <v>798</v>
      </c>
      <c r="D876" s="26">
        <v>1994</v>
      </c>
      <c r="E876" s="26">
        <v>1988</v>
      </c>
      <c r="F876" s="26" t="s">
        <v>575</v>
      </c>
      <c r="G876" s="26" t="s">
        <v>800</v>
      </c>
      <c r="H876" s="26">
        <v>38.03</v>
      </c>
      <c r="I876" s="26">
        <v>-84.51</v>
      </c>
      <c r="J876" s="26">
        <v>299.60000000000002</v>
      </c>
      <c r="P876" s="52" t="s">
        <v>189</v>
      </c>
      <c r="Q876" s="52"/>
      <c r="R876" s="52" t="s">
        <v>306</v>
      </c>
      <c r="S876" s="52" t="s">
        <v>658</v>
      </c>
      <c r="T876" s="26">
        <v>1.05</v>
      </c>
      <c r="U876" s="26">
        <v>7.3</v>
      </c>
      <c r="V876" s="26">
        <v>70.2</v>
      </c>
      <c r="W876" s="26" t="s">
        <v>175</v>
      </c>
      <c r="X876" s="26">
        <v>5.48</v>
      </c>
      <c r="Y876" s="26">
        <v>1.1599999999999999</v>
      </c>
      <c r="AA876" s="26" t="s">
        <v>1702</v>
      </c>
      <c r="AB876" s="26" t="s">
        <v>326</v>
      </c>
      <c r="AC876" s="26" t="s">
        <v>174</v>
      </c>
      <c r="AM876" s="26" t="s">
        <v>160</v>
      </c>
      <c r="AN876" s="26">
        <v>2</v>
      </c>
      <c r="AO876" s="26">
        <v>2</v>
      </c>
      <c r="AP876" s="26" t="s">
        <v>184</v>
      </c>
      <c r="AT876" s="63"/>
      <c r="CU876" s="26">
        <v>0.36</v>
      </c>
      <c r="CV876" s="26">
        <v>0.24</v>
      </c>
      <c r="CW876" s="26" t="s">
        <v>810</v>
      </c>
      <c r="EL876" s="26" t="s">
        <v>963</v>
      </c>
      <c r="EN876" s="26">
        <v>41</v>
      </c>
    </row>
    <row r="877" spans="1:144" s="26" customFormat="1" x14ac:dyDescent="0.25">
      <c r="A877" s="26">
        <v>41</v>
      </c>
      <c r="B877" s="26" t="s">
        <v>797</v>
      </c>
      <c r="C877" s="26" t="s">
        <v>798</v>
      </c>
      <c r="D877" s="26">
        <v>1994</v>
      </c>
      <c r="E877" s="26">
        <v>1988</v>
      </c>
      <c r="F877" s="26" t="s">
        <v>575</v>
      </c>
      <c r="G877" s="26" t="s">
        <v>800</v>
      </c>
      <c r="H877" s="26">
        <v>38.03</v>
      </c>
      <c r="I877" s="26">
        <v>-84.51</v>
      </c>
      <c r="J877" s="26">
        <v>299.60000000000002</v>
      </c>
      <c r="P877" s="52" t="s">
        <v>189</v>
      </c>
      <c r="Q877" s="52"/>
      <c r="R877" s="52" t="s">
        <v>307</v>
      </c>
      <c r="S877" s="52" t="s">
        <v>658</v>
      </c>
      <c r="T877" s="26">
        <v>1.05</v>
      </c>
      <c r="U877" s="26">
        <v>7.3</v>
      </c>
      <c r="V877" s="26">
        <v>70.2</v>
      </c>
      <c r="W877" s="26" t="s">
        <v>175</v>
      </c>
      <c r="X877" s="26">
        <v>5.48</v>
      </c>
      <c r="Y877" s="26">
        <v>1.1599999999999999</v>
      </c>
      <c r="AA877" s="26" t="s">
        <v>1702</v>
      </c>
      <c r="AB877" s="26" t="s">
        <v>326</v>
      </c>
      <c r="AC877" s="26" t="s">
        <v>174</v>
      </c>
      <c r="AM877" s="26" t="s">
        <v>160</v>
      </c>
      <c r="AN877" s="26">
        <v>2</v>
      </c>
      <c r="AO877" s="26">
        <v>2</v>
      </c>
      <c r="AP877" s="26" t="s">
        <v>184</v>
      </c>
      <c r="AT877" s="63"/>
      <c r="CU877" s="26">
        <v>0.37</v>
      </c>
      <c r="CV877" s="26">
        <v>0.22</v>
      </c>
      <c r="CW877" s="26" t="s">
        <v>810</v>
      </c>
      <c r="EL877" s="26" t="s">
        <v>963</v>
      </c>
      <c r="EN877" s="26">
        <v>41</v>
      </c>
    </row>
    <row r="878" spans="1:144" s="26" customFormat="1" x14ac:dyDescent="0.25">
      <c r="A878" s="26">
        <v>41</v>
      </c>
      <c r="B878" s="26" t="s">
        <v>797</v>
      </c>
      <c r="C878" s="26" t="s">
        <v>798</v>
      </c>
      <c r="D878" s="26">
        <v>1994</v>
      </c>
      <c r="E878" s="26">
        <v>1988</v>
      </c>
      <c r="F878" s="26" t="s">
        <v>575</v>
      </c>
      <c r="G878" s="26" t="s">
        <v>800</v>
      </c>
      <c r="H878" s="26">
        <v>38.03</v>
      </c>
      <c r="I878" s="26">
        <v>-84.51</v>
      </c>
      <c r="J878" s="26">
        <v>299.60000000000002</v>
      </c>
      <c r="P878" s="52" t="s">
        <v>189</v>
      </c>
      <c r="Q878" s="52"/>
      <c r="R878" s="52" t="s">
        <v>308</v>
      </c>
      <c r="S878" s="52" t="s">
        <v>658</v>
      </c>
      <c r="T878" s="26">
        <v>1.05</v>
      </c>
      <c r="U878" s="26">
        <v>7.3</v>
      </c>
      <c r="V878" s="26">
        <v>70.2</v>
      </c>
      <c r="W878" s="26" t="s">
        <v>175</v>
      </c>
      <c r="X878" s="26">
        <v>5.48</v>
      </c>
      <c r="Y878" s="26">
        <v>1.1599999999999999</v>
      </c>
      <c r="AA878" s="26" t="s">
        <v>1702</v>
      </c>
      <c r="AB878" s="26" t="s">
        <v>326</v>
      </c>
      <c r="AC878" s="26" t="s">
        <v>174</v>
      </c>
      <c r="AM878" s="26" t="s">
        <v>160</v>
      </c>
      <c r="AN878" s="26">
        <v>2</v>
      </c>
      <c r="AO878" s="26">
        <v>2</v>
      </c>
      <c r="AP878" s="26" t="s">
        <v>184</v>
      </c>
      <c r="AT878" s="63"/>
      <c r="CU878" s="26">
        <v>0.41199999999999998</v>
      </c>
      <c r="CV878" s="26">
        <v>0.187</v>
      </c>
      <c r="CW878" s="26" t="s">
        <v>810</v>
      </c>
      <c r="EL878" s="26" t="s">
        <v>963</v>
      </c>
      <c r="EN878" s="26">
        <v>41</v>
      </c>
    </row>
    <row r="879" spans="1:144" s="26" customFormat="1" x14ac:dyDescent="0.25">
      <c r="A879" s="26">
        <v>41</v>
      </c>
      <c r="B879" s="26" t="s">
        <v>797</v>
      </c>
      <c r="C879" s="26" t="s">
        <v>798</v>
      </c>
      <c r="D879" s="26">
        <v>1994</v>
      </c>
      <c r="E879" s="26">
        <v>1988</v>
      </c>
      <c r="F879" s="26" t="s">
        <v>575</v>
      </c>
      <c r="G879" s="26" t="s">
        <v>800</v>
      </c>
      <c r="H879" s="26">
        <v>38.03</v>
      </c>
      <c r="I879" s="26">
        <v>-84.51</v>
      </c>
      <c r="J879" s="26">
        <v>299.60000000000002</v>
      </c>
      <c r="P879" s="52" t="s">
        <v>189</v>
      </c>
      <c r="Q879" s="52"/>
      <c r="R879" s="52" t="s">
        <v>804</v>
      </c>
      <c r="S879" s="52" t="s">
        <v>658</v>
      </c>
      <c r="T879" s="26">
        <v>1.05</v>
      </c>
      <c r="U879" s="26">
        <v>7.3</v>
      </c>
      <c r="V879" s="26">
        <v>70.2</v>
      </c>
      <c r="W879" s="26" t="s">
        <v>175</v>
      </c>
      <c r="X879" s="26">
        <v>5.48</v>
      </c>
      <c r="Y879" s="26">
        <v>1.1599999999999999</v>
      </c>
      <c r="AA879" s="26" t="s">
        <v>1702</v>
      </c>
      <c r="AB879" s="26" t="s">
        <v>326</v>
      </c>
      <c r="AC879" s="26" t="s">
        <v>174</v>
      </c>
      <c r="AM879" s="26" t="s">
        <v>160</v>
      </c>
      <c r="AN879" s="26">
        <v>2</v>
      </c>
      <c r="AO879" s="26">
        <v>2</v>
      </c>
      <c r="AP879" s="26" t="s">
        <v>184</v>
      </c>
      <c r="AT879" s="63"/>
      <c r="CU879" s="26">
        <v>0.40960000000000002</v>
      </c>
      <c r="CV879" s="26">
        <v>0.215</v>
      </c>
      <c r="CW879" s="26" t="s">
        <v>810</v>
      </c>
      <c r="EL879" s="26" t="s">
        <v>963</v>
      </c>
      <c r="EN879" s="26">
        <v>41</v>
      </c>
    </row>
    <row r="880" spans="1:144" s="26" customFormat="1" x14ac:dyDescent="0.25">
      <c r="A880" s="26">
        <v>41</v>
      </c>
      <c r="B880" s="26" t="s">
        <v>797</v>
      </c>
      <c r="C880" s="26" t="s">
        <v>798</v>
      </c>
      <c r="D880" s="26">
        <v>1994</v>
      </c>
      <c r="E880" s="26">
        <v>1988</v>
      </c>
      <c r="F880" s="26" t="s">
        <v>575</v>
      </c>
      <c r="G880" s="26" t="s">
        <v>800</v>
      </c>
      <c r="H880" s="26">
        <v>38.03</v>
      </c>
      <c r="I880" s="26">
        <v>-84.51</v>
      </c>
      <c r="J880" s="26">
        <v>299.60000000000002</v>
      </c>
      <c r="P880" s="52" t="s">
        <v>189</v>
      </c>
      <c r="Q880" s="52"/>
      <c r="R880" s="52" t="s">
        <v>712</v>
      </c>
      <c r="S880" s="52" t="s">
        <v>658</v>
      </c>
      <c r="T880" s="26">
        <v>1.05</v>
      </c>
      <c r="U880" s="26">
        <v>7.3</v>
      </c>
      <c r="V880" s="26">
        <v>70.2</v>
      </c>
      <c r="W880" s="26" t="s">
        <v>175</v>
      </c>
      <c r="X880" s="26">
        <v>5.48</v>
      </c>
      <c r="Y880" s="26">
        <v>1.1599999999999999</v>
      </c>
      <c r="AA880" s="26" t="s">
        <v>1702</v>
      </c>
      <c r="AB880" s="26" t="s">
        <v>326</v>
      </c>
      <c r="AC880" s="26" t="s">
        <v>174</v>
      </c>
      <c r="AM880" s="26" t="s">
        <v>160</v>
      </c>
      <c r="AN880" s="26">
        <v>2</v>
      </c>
      <c r="AO880" s="26">
        <v>2</v>
      </c>
      <c r="AP880" s="26" t="s">
        <v>184</v>
      </c>
      <c r="AT880" s="63"/>
      <c r="CU880" s="26">
        <v>0.41899999999999998</v>
      </c>
      <c r="CV880" s="26">
        <v>0.253</v>
      </c>
      <c r="CW880" s="26" t="s">
        <v>810</v>
      </c>
      <c r="EL880" s="26" t="s">
        <v>963</v>
      </c>
      <c r="EN880" s="26">
        <v>41</v>
      </c>
    </row>
    <row r="881" spans="1:144" s="26" customFormat="1" x14ac:dyDescent="0.25">
      <c r="A881" s="26">
        <v>41</v>
      </c>
      <c r="B881" s="26" t="s">
        <v>797</v>
      </c>
      <c r="C881" s="26" t="s">
        <v>798</v>
      </c>
      <c r="D881" s="26">
        <v>1994</v>
      </c>
      <c r="E881" s="26">
        <v>1988</v>
      </c>
      <c r="F881" s="26" t="s">
        <v>575</v>
      </c>
      <c r="G881" s="26" t="s">
        <v>800</v>
      </c>
      <c r="H881" s="26">
        <v>38.03</v>
      </c>
      <c r="I881" s="26">
        <v>-84.51</v>
      </c>
      <c r="J881" s="26">
        <v>299.60000000000002</v>
      </c>
      <c r="P881" s="52" t="s">
        <v>189</v>
      </c>
      <c r="Q881" s="52"/>
      <c r="R881" s="52" t="s">
        <v>805</v>
      </c>
      <c r="S881" s="52" t="s">
        <v>658</v>
      </c>
      <c r="T881" s="26">
        <v>1.05</v>
      </c>
      <c r="U881" s="26">
        <v>7.3</v>
      </c>
      <c r="V881" s="26">
        <v>70.2</v>
      </c>
      <c r="W881" s="26" t="s">
        <v>175</v>
      </c>
      <c r="X881" s="26">
        <v>5.48</v>
      </c>
      <c r="Y881" s="26">
        <v>1.1599999999999999</v>
      </c>
      <c r="AA881" s="26" t="s">
        <v>1702</v>
      </c>
      <c r="AB881" s="26" t="s">
        <v>326</v>
      </c>
      <c r="AC881" s="26" t="s">
        <v>174</v>
      </c>
      <c r="AM881" s="26" t="s">
        <v>160</v>
      </c>
      <c r="AN881" s="26">
        <v>2</v>
      </c>
      <c r="AO881" s="26">
        <v>2</v>
      </c>
      <c r="AP881" s="26" t="s">
        <v>184</v>
      </c>
      <c r="AT881" s="63"/>
      <c r="CU881" s="26">
        <v>0.48299999999999998</v>
      </c>
      <c r="CV881" s="26">
        <v>0.40699999999999997</v>
      </c>
      <c r="CW881" s="26" t="s">
        <v>810</v>
      </c>
      <c r="EL881" s="26" t="s">
        <v>963</v>
      </c>
      <c r="EN881" s="26">
        <v>41</v>
      </c>
    </row>
    <row r="882" spans="1:144" s="35" customFormat="1" x14ac:dyDescent="0.25">
      <c r="A882" s="35">
        <v>41</v>
      </c>
      <c r="B882" s="35" t="s">
        <v>797</v>
      </c>
      <c r="C882" s="35" t="s">
        <v>798</v>
      </c>
      <c r="D882" s="35">
        <v>1994</v>
      </c>
      <c r="E882" s="35">
        <v>1989</v>
      </c>
      <c r="F882" s="35" t="s">
        <v>575</v>
      </c>
      <c r="G882" s="35" t="s">
        <v>800</v>
      </c>
      <c r="H882" s="35">
        <v>38.03</v>
      </c>
      <c r="I882" s="35">
        <v>-84.51</v>
      </c>
      <c r="J882" s="35">
        <v>299.60000000000002</v>
      </c>
      <c r="P882" s="54" t="s">
        <v>190</v>
      </c>
      <c r="Q882" s="54"/>
      <c r="R882" s="54" t="s">
        <v>808</v>
      </c>
      <c r="S882" s="54" t="s">
        <v>658</v>
      </c>
      <c r="T882" s="35">
        <v>1.05</v>
      </c>
      <c r="U882" s="35">
        <v>7.3</v>
      </c>
      <c r="V882" s="35">
        <v>70.2</v>
      </c>
      <c r="W882" s="35" t="s">
        <v>175</v>
      </c>
      <c r="X882" s="35">
        <v>5.48</v>
      </c>
      <c r="Y882" s="35">
        <v>1.1599999999999999</v>
      </c>
      <c r="AA882" s="35" t="s">
        <v>1702</v>
      </c>
      <c r="AB882" s="35" t="s">
        <v>326</v>
      </c>
      <c r="AC882" s="35" t="s">
        <v>174</v>
      </c>
      <c r="AM882" s="35" t="s">
        <v>160</v>
      </c>
      <c r="AN882" s="35">
        <v>2</v>
      </c>
      <c r="AO882" s="35">
        <v>2</v>
      </c>
      <c r="AP882" s="35" t="s">
        <v>184</v>
      </c>
      <c r="AT882" s="63"/>
      <c r="CU882" s="35">
        <v>0.01</v>
      </c>
      <c r="CV882" s="35">
        <v>0.01</v>
      </c>
      <c r="CW882" s="35" t="s">
        <v>810</v>
      </c>
      <c r="EL882" s="35" t="s">
        <v>963</v>
      </c>
      <c r="EN882" s="35">
        <v>41</v>
      </c>
    </row>
    <row r="883" spans="1:144" s="35" customFormat="1" x14ac:dyDescent="0.25">
      <c r="A883" s="35">
        <v>41</v>
      </c>
      <c r="B883" s="35" t="s">
        <v>797</v>
      </c>
      <c r="C883" s="35" t="s">
        <v>798</v>
      </c>
      <c r="D883" s="35">
        <v>1994</v>
      </c>
      <c r="E883" s="35">
        <v>1989</v>
      </c>
      <c r="F883" s="35" t="s">
        <v>575</v>
      </c>
      <c r="G883" s="35" t="s">
        <v>800</v>
      </c>
      <c r="H883" s="35">
        <v>38.03</v>
      </c>
      <c r="I883" s="35">
        <v>-84.51</v>
      </c>
      <c r="J883" s="35">
        <v>299.60000000000002</v>
      </c>
      <c r="P883" s="54" t="s">
        <v>190</v>
      </c>
      <c r="Q883" s="54"/>
      <c r="R883" s="54" t="s">
        <v>809</v>
      </c>
      <c r="S883" s="54" t="s">
        <v>658</v>
      </c>
      <c r="T883" s="35">
        <v>1.05</v>
      </c>
      <c r="U883" s="35">
        <v>7.3</v>
      </c>
      <c r="V883" s="35">
        <v>70.2</v>
      </c>
      <c r="W883" s="35" t="s">
        <v>175</v>
      </c>
      <c r="X883" s="35">
        <v>5.48</v>
      </c>
      <c r="Y883" s="35">
        <v>1.1599999999999999</v>
      </c>
      <c r="AA883" s="35" t="s">
        <v>1702</v>
      </c>
      <c r="AB883" s="35" t="s">
        <v>326</v>
      </c>
      <c r="AC883" s="35" t="s">
        <v>174</v>
      </c>
      <c r="AM883" s="35" t="s">
        <v>160</v>
      </c>
      <c r="AN883" s="35">
        <v>2</v>
      </c>
      <c r="AO883" s="35">
        <v>2</v>
      </c>
      <c r="AP883" s="35" t="s">
        <v>184</v>
      </c>
      <c r="AT883" s="63"/>
      <c r="CU883" s="35">
        <v>0.01</v>
      </c>
      <c r="CV883" s="35">
        <v>0.03</v>
      </c>
      <c r="CW883" s="35" t="s">
        <v>810</v>
      </c>
      <c r="EL883" s="35" t="s">
        <v>963</v>
      </c>
      <c r="EN883" s="35">
        <v>41</v>
      </c>
    </row>
    <row r="884" spans="1:144" s="35" customFormat="1" x14ac:dyDescent="0.25">
      <c r="A884" s="35">
        <v>41</v>
      </c>
      <c r="B884" s="35" t="s">
        <v>797</v>
      </c>
      <c r="C884" s="35" t="s">
        <v>798</v>
      </c>
      <c r="D884" s="35">
        <v>1994</v>
      </c>
      <c r="E884" s="35">
        <v>1989</v>
      </c>
      <c r="F884" s="35" t="s">
        <v>575</v>
      </c>
      <c r="G884" s="35" t="s">
        <v>800</v>
      </c>
      <c r="H884" s="35">
        <v>38.03</v>
      </c>
      <c r="I884" s="35">
        <v>-84.51</v>
      </c>
      <c r="J884" s="35">
        <v>299.60000000000002</v>
      </c>
      <c r="P884" s="54" t="s">
        <v>190</v>
      </c>
      <c r="Q884" s="54"/>
      <c r="R884" s="54" t="s">
        <v>291</v>
      </c>
      <c r="S884" s="54" t="s">
        <v>658</v>
      </c>
      <c r="T884" s="35">
        <v>1.05</v>
      </c>
      <c r="U884" s="35">
        <v>7.3</v>
      </c>
      <c r="V884" s="35">
        <v>70.2</v>
      </c>
      <c r="W884" s="35" t="s">
        <v>175</v>
      </c>
      <c r="X884" s="35">
        <v>5.48</v>
      </c>
      <c r="Y884" s="35">
        <v>1.1599999999999999</v>
      </c>
      <c r="AA884" s="35" t="s">
        <v>1702</v>
      </c>
      <c r="AB884" s="35" t="s">
        <v>326</v>
      </c>
      <c r="AC884" s="35" t="s">
        <v>174</v>
      </c>
      <c r="AM884" s="35" t="s">
        <v>160</v>
      </c>
      <c r="AN884" s="35">
        <v>2</v>
      </c>
      <c r="AO884" s="35">
        <v>2</v>
      </c>
      <c r="AP884" s="35" t="s">
        <v>184</v>
      </c>
      <c r="AT884" s="63"/>
      <c r="CU884" s="35">
        <v>0.01</v>
      </c>
      <c r="CV884" s="35">
        <v>0.04</v>
      </c>
      <c r="CW884" s="35" t="s">
        <v>810</v>
      </c>
      <c r="EL884" s="35" t="s">
        <v>963</v>
      </c>
      <c r="EN884" s="35">
        <v>41</v>
      </c>
    </row>
    <row r="885" spans="1:144" s="35" customFormat="1" x14ac:dyDescent="0.25">
      <c r="A885" s="35">
        <v>41</v>
      </c>
      <c r="B885" s="35" t="s">
        <v>797</v>
      </c>
      <c r="C885" s="35" t="s">
        <v>798</v>
      </c>
      <c r="D885" s="35">
        <v>1994</v>
      </c>
      <c r="E885" s="35">
        <v>1989</v>
      </c>
      <c r="F885" s="35" t="s">
        <v>575</v>
      </c>
      <c r="G885" s="35" t="s">
        <v>800</v>
      </c>
      <c r="H885" s="35">
        <v>38.03</v>
      </c>
      <c r="I885" s="35">
        <v>-84.51</v>
      </c>
      <c r="J885" s="35">
        <v>299.60000000000002</v>
      </c>
      <c r="P885" s="54" t="s">
        <v>190</v>
      </c>
      <c r="Q885" s="54"/>
      <c r="R885" s="54" t="s">
        <v>806</v>
      </c>
      <c r="S885" s="54" t="s">
        <v>658</v>
      </c>
      <c r="T885" s="35">
        <v>1.05</v>
      </c>
      <c r="U885" s="35">
        <v>7.3</v>
      </c>
      <c r="V885" s="35">
        <v>70.2</v>
      </c>
      <c r="W885" s="35" t="s">
        <v>175</v>
      </c>
      <c r="X885" s="35">
        <v>5.48</v>
      </c>
      <c r="Y885" s="35">
        <v>1.1599999999999999</v>
      </c>
      <c r="AA885" s="35" t="s">
        <v>1702</v>
      </c>
      <c r="AB885" s="35" t="s">
        <v>326</v>
      </c>
      <c r="AC885" s="35" t="s">
        <v>174</v>
      </c>
      <c r="AM885" s="35" t="s">
        <v>160</v>
      </c>
      <c r="AN885" s="35">
        <v>2</v>
      </c>
      <c r="AO885" s="35">
        <v>2</v>
      </c>
      <c r="AP885" s="35" t="s">
        <v>184</v>
      </c>
      <c r="AT885" s="63"/>
      <c r="CU885" s="35">
        <v>2.7E-2</v>
      </c>
      <c r="CV885" s="35">
        <v>0.01</v>
      </c>
      <c r="CW885" s="35" t="s">
        <v>810</v>
      </c>
      <c r="EL885" s="35" t="s">
        <v>963</v>
      </c>
      <c r="EN885" s="35">
        <v>41</v>
      </c>
    </row>
    <row r="886" spans="1:144" s="35" customFormat="1" x14ac:dyDescent="0.25">
      <c r="A886" s="35">
        <v>41</v>
      </c>
      <c r="B886" s="35" t="s">
        <v>797</v>
      </c>
      <c r="C886" s="35" t="s">
        <v>798</v>
      </c>
      <c r="D886" s="35">
        <v>1994</v>
      </c>
      <c r="E886" s="35">
        <v>1989</v>
      </c>
      <c r="F886" s="35" t="s">
        <v>575</v>
      </c>
      <c r="G886" s="35" t="s">
        <v>800</v>
      </c>
      <c r="H886" s="35">
        <v>38.03</v>
      </c>
      <c r="I886" s="35">
        <v>-84.51</v>
      </c>
      <c r="J886" s="35">
        <v>299.60000000000002</v>
      </c>
      <c r="P886" s="54" t="s">
        <v>190</v>
      </c>
      <c r="Q886" s="54"/>
      <c r="R886" s="54" t="s">
        <v>279</v>
      </c>
      <c r="S886" s="54" t="s">
        <v>658</v>
      </c>
      <c r="T886" s="35">
        <v>1.05</v>
      </c>
      <c r="U886" s="35">
        <v>7.3</v>
      </c>
      <c r="V886" s="35">
        <v>70.2</v>
      </c>
      <c r="W886" s="35" t="s">
        <v>175</v>
      </c>
      <c r="X886" s="35">
        <v>5.48</v>
      </c>
      <c r="Y886" s="35">
        <v>1.1599999999999999</v>
      </c>
      <c r="AA886" s="35" t="s">
        <v>1702</v>
      </c>
      <c r="AB886" s="35" t="s">
        <v>326</v>
      </c>
      <c r="AC886" s="35" t="s">
        <v>174</v>
      </c>
      <c r="AM886" s="35" t="s">
        <v>160</v>
      </c>
      <c r="AN886" s="35">
        <v>2</v>
      </c>
      <c r="AO886" s="35">
        <v>2</v>
      </c>
      <c r="AP886" s="35" t="s">
        <v>184</v>
      </c>
      <c r="AT886" s="63"/>
      <c r="CU886" s="35">
        <v>5.0999999999999997E-2</v>
      </c>
      <c r="CV886" s="35">
        <v>0.01</v>
      </c>
      <c r="CW886" s="35" t="s">
        <v>810</v>
      </c>
      <c r="EL886" s="35" t="s">
        <v>963</v>
      </c>
      <c r="EN886" s="35">
        <v>41</v>
      </c>
    </row>
    <row r="887" spans="1:144" s="35" customFormat="1" x14ac:dyDescent="0.25">
      <c r="A887" s="35">
        <v>41</v>
      </c>
      <c r="B887" s="35" t="s">
        <v>797</v>
      </c>
      <c r="C887" s="35" t="s">
        <v>798</v>
      </c>
      <c r="D887" s="35">
        <v>1994</v>
      </c>
      <c r="E887" s="35">
        <v>1989</v>
      </c>
      <c r="F887" s="35" t="s">
        <v>575</v>
      </c>
      <c r="G887" s="35" t="s">
        <v>800</v>
      </c>
      <c r="H887" s="35">
        <v>38.03</v>
      </c>
      <c r="I887" s="35">
        <v>-84.51</v>
      </c>
      <c r="J887" s="35">
        <v>299.60000000000002</v>
      </c>
      <c r="P887" s="54" t="s">
        <v>190</v>
      </c>
      <c r="Q887" s="54"/>
      <c r="R887" s="54" t="s">
        <v>802</v>
      </c>
      <c r="S887" s="54" t="s">
        <v>658</v>
      </c>
      <c r="T887" s="35">
        <v>1.05</v>
      </c>
      <c r="U887" s="35">
        <v>7.3</v>
      </c>
      <c r="V887" s="35">
        <v>70.2</v>
      </c>
      <c r="W887" s="35" t="s">
        <v>175</v>
      </c>
      <c r="X887" s="35">
        <v>5.48</v>
      </c>
      <c r="Y887" s="35">
        <v>1.1599999999999999</v>
      </c>
      <c r="AA887" s="35" t="s">
        <v>1702</v>
      </c>
      <c r="AB887" s="35" t="s">
        <v>326</v>
      </c>
      <c r="AC887" s="35" t="s">
        <v>174</v>
      </c>
      <c r="AM887" s="35" t="s">
        <v>160</v>
      </c>
      <c r="AN887" s="35">
        <v>2</v>
      </c>
      <c r="AO887" s="35">
        <v>2</v>
      </c>
      <c r="AP887" s="35" t="s">
        <v>184</v>
      </c>
      <c r="AT887" s="63"/>
      <c r="CU887" s="35">
        <v>8.4000000000000005E-2</v>
      </c>
      <c r="CV887" s="35">
        <v>0.02</v>
      </c>
      <c r="CW887" s="35" t="s">
        <v>810</v>
      </c>
      <c r="EL887" s="35" t="s">
        <v>963</v>
      </c>
      <c r="EN887" s="35">
        <v>41</v>
      </c>
    </row>
    <row r="888" spans="1:144" s="35" customFormat="1" x14ac:dyDescent="0.25">
      <c r="A888" s="35">
        <v>41</v>
      </c>
      <c r="B888" s="35" t="s">
        <v>797</v>
      </c>
      <c r="C888" s="35" t="s">
        <v>798</v>
      </c>
      <c r="D888" s="35">
        <v>1994</v>
      </c>
      <c r="E888" s="35">
        <v>1989</v>
      </c>
      <c r="F888" s="35" t="s">
        <v>575</v>
      </c>
      <c r="G888" s="35" t="s">
        <v>800</v>
      </c>
      <c r="H888" s="35">
        <v>38.03</v>
      </c>
      <c r="I888" s="35">
        <v>-84.51</v>
      </c>
      <c r="J888" s="35">
        <v>299.60000000000002</v>
      </c>
      <c r="P888" s="54" t="s">
        <v>190</v>
      </c>
      <c r="Q888" s="54"/>
      <c r="R888" s="54" t="s">
        <v>306</v>
      </c>
      <c r="S888" s="54" t="s">
        <v>658</v>
      </c>
      <c r="T888" s="35">
        <v>1.05</v>
      </c>
      <c r="U888" s="35">
        <v>7.3</v>
      </c>
      <c r="V888" s="35">
        <v>70.2</v>
      </c>
      <c r="W888" s="35" t="s">
        <v>175</v>
      </c>
      <c r="X888" s="35">
        <v>5.48</v>
      </c>
      <c r="Y888" s="35">
        <v>1.1599999999999999</v>
      </c>
      <c r="AA888" s="35" t="s">
        <v>1702</v>
      </c>
      <c r="AB888" s="35" t="s">
        <v>326</v>
      </c>
      <c r="AC888" s="35" t="s">
        <v>174</v>
      </c>
      <c r="AM888" s="35" t="s">
        <v>160</v>
      </c>
      <c r="AN888" s="35">
        <v>2</v>
      </c>
      <c r="AO888" s="35">
        <v>2</v>
      </c>
      <c r="AP888" s="35" t="s">
        <v>184</v>
      </c>
      <c r="AT888" s="63"/>
      <c r="CU888" s="35">
        <v>9.8000000000000004E-2</v>
      </c>
      <c r="CV888" s="35">
        <v>0.02</v>
      </c>
      <c r="CW888" s="35" t="s">
        <v>810</v>
      </c>
      <c r="EL888" s="35" t="s">
        <v>963</v>
      </c>
      <c r="EN888" s="35">
        <v>41</v>
      </c>
    </row>
    <row r="889" spans="1:144" s="5" customFormat="1" x14ac:dyDescent="0.25">
      <c r="A889" s="5">
        <v>42</v>
      </c>
      <c r="B889" s="5" t="s">
        <v>811</v>
      </c>
      <c r="C889" s="5" t="s">
        <v>812</v>
      </c>
      <c r="D889" s="5">
        <v>1989</v>
      </c>
      <c r="E889" s="5">
        <v>1988</v>
      </c>
      <c r="F889" s="5" t="s">
        <v>575</v>
      </c>
      <c r="G889" s="5" t="s">
        <v>815</v>
      </c>
      <c r="H889" s="49">
        <v>34.137</v>
      </c>
      <c r="I889" s="5">
        <v>-85.09</v>
      </c>
      <c r="J889" s="5">
        <v>223.8</v>
      </c>
      <c r="P889" s="62" t="s">
        <v>188</v>
      </c>
      <c r="Q889" s="62"/>
      <c r="R889" s="62"/>
      <c r="S889" s="62" t="s">
        <v>671</v>
      </c>
      <c r="W889" s="5" t="s">
        <v>814</v>
      </c>
      <c r="Y889" s="5">
        <f>(1.01+0.87+0.79)/3</f>
        <v>0.89</v>
      </c>
      <c r="AA889" s="5" t="s">
        <v>1690</v>
      </c>
      <c r="AB889" s="5" t="s">
        <v>156</v>
      </c>
      <c r="AC889" s="5" t="s">
        <v>174</v>
      </c>
      <c r="AM889" s="5" t="s">
        <v>160</v>
      </c>
      <c r="AN889" s="5">
        <v>4</v>
      </c>
      <c r="AO889" s="5">
        <v>4</v>
      </c>
      <c r="AP889" s="5" t="s">
        <v>448</v>
      </c>
      <c r="AR889" s="5">
        <v>1775</v>
      </c>
      <c r="AS889" s="5">
        <f>AR889/32</f>
        <v>55.46875</v>
      </c>
      <c r="AT889" s="64"/>
      <c r="BE889" s="5">
        <v>1.01</v>
      </c>
      <c r="BF889" s="5">
        <v>1.18</v>
      </c>
      <c r="BH889" s="5">
        <v>1300</v>
      </c>
      <c r="BI889" s="5">
        <v>1400</v>
      </c>
      <c r="BT889" s="5" t="s">
        <v>1524</v>
      </c>
      <c r="BU889" s="5" t="s">
        <v>1524</v>
      </c>
      <c r="CC889" s="5">
        <v>56.3</v>
      </c>
      <c r="CD889" s="5">
        <v>65.099999999999994</v>
      </c>
      <c r="CE889" s="5" t="s">
        <v>819</v>
      </c>
      <c r="DP889" s="46"/>
      <c r="DR889" s="46"/>
      <c r="EK889" s="5" t="s">
        <v>693</v>
      </c>
      <c r="EL889" s="5" t="s">
        <v>823</v>
      </c>
      <c r="EN889" s="5">
        <v>42</v>
      </c>
    </row>
    <row r="890" spans="1:144" s="5" customFormat="1" x14ac:dyDescent="0.25">
      <c r="A890" s="5">
        <v>42</v>
      </c>
      <c r="B890" s="5" t="s">
        <v>811</v>
      </c>
      <c r="C890" s="5" t="s">
        <v>812</v>
      </c>
      <c r="D890" s="5">
        <v>1989</v>
      </c>
      <c r="E890" s="5">
        <v>1988</v>
      </c>
      <c r="F890" s="5" t="s">
        <v>575</v>
      </c>
      <c r="G890" s="5" t="s">
        <v>815</v>
      </c>
      <c r="H890" s="49">
        <v>34.137</v>
      </c>
      <c r="I890" s="5">
        <v>-85.09</v>
      </c>
      <c r="J890" s="5">
        <v>223.8</v>
      </c>
      <c r="P890" s="62" t="s">
        <v>188</v>
      </c>
      <c r="Q890" s="62"/>
      <c r="R890" s="62"/>
      <c r="S890" s="62" t="s">
        <v>671</v>
      </c>
      <c r="W890" s="5" t="s">
        <v>814</v>
      </c>
      <c r="Y890" s="5">
        <f t="shared" ref="Y890:Y897" si="213">(1.01+0.87+0.79)/3</f>
        <v>0.89</v>
      </c>
      <c r="AA890" s="5" t="s">
        <v>1690</v>
      </c>
      <c r="AB890" s="5" t="s">
        <v>250</v>
      </c>
      <c r="AC890" s="5" t="s">
        <v>174</v>
      </c>
      <c r="AM890" s="5" t="s">
        <v>160</v>
      </c>
      <c r="AN890" s="5">
        <v>4</v>
      </c>
      <c r="AO890" s="5">
        <v>4</v>
      </c>
      <c r="AP890" s="5" t="s">
        <v>448</v>
      </c>
      <c r="AR890" s="5">
        <v>3544</v>
      </c>
      <c r="AS890" s="5">
        <f>AR890/108</f>
        <v>32.814814814814817</v>
      </c>
      <c r="AT890" s="64"/>
      <c r="BE890" s="5">
        <v>1.01</v>
      </c>
      <c r="BF890" s="5">
        <v>1.28</v>
      </c>
      <c r="BH890" s="5">
        <v>1300</v>
      </c>
      <c r="BI890" s="5">
        <v>1500</v>
      </c>
      <c r="BT890" s="5" t="s">
        <v>1524</v>
      </c>
      <c r="BU890" s="5" t="s">
        <v>1524</v>
      </c>
      <c r="CC890" s="5">
        <v>56.3</v>
      </c>
      <c r="CD890" s="5">
        <v>55</v>
      </c>
      <c r="CE890" s="5" t="s">
        <v>819</v>
      </c>
      <c r="DP890" s="46"/>
      <c r="DR890" s="46"/>
      <c r="EK890" s="5" t="s">
        <v>693</v>
      </c>
      <c r="EL890" s="5" t="s">
        <v>823</v>
      </c>
      <c r="EN890" s="5">
        <v>42</v>
      </c>
    </row>
    <row r="891" spans="1:144" s="5" customFormat="1" x14ac:dyDescent="0.25">
      <c r="A891" s="5">
        <v>42</v>
      </c>
      <c r="B891" s="5" t="s">
        <v>811</v>
      </c>
      <c r="C891" s="5" t="s">
        <v>812</v>
      </c>
      <c r="D891" s="5">
        <v>1989</v>
      </c>
      <c r="E891" s="5">
        <v>1988</v>
      </c>
      <c r="F891" s="5" t="s">
        <v>575</v>
      </c>
      <c r="G891" s="5" t="s">
        <v>815</v>
      </c>
      <c r="H891" s="49">
        <v>34.137</v>
      </c>
      <c r="I891" s="5">
        <v>-85.09</v>
      </c>
      <c r="J891" s="5">
        <v>223.8</v>
      </c>
      <c r="P891" s="62" t="s">
        <v>188</v>
      </c>
      <c r="Q891" s="62"/>
      <c r="R891" s="62"/>
      <c r="S891" s="62" t="s">
        <v>671</v>
      </c>
      <c r="W891" s="5" t="s">
        <v>814</v>
      </c>
      <c r="Y891" s="5">
        <f t="shared" si="213"/>
        <v>0.89</v>
      </c>
      <c r="AA891" s="5" t="s">
        <v>1690</v>
      </c>
      <c r="AB891" s="5" t="s">
        <v>326</v>
      </c>
      <c r="AC891" s="5" t="s">
        <v>174</v>
      </c>
      <c r="AM891" s="5" t="s">
        <v>160</v>
      </c>
      <c r="AN891" s="5">
        <v>4</v>
      </c>
      <c r="AO891" s="5">
        <v>4</v>
      </c>
      <c r="AP891" s="5" t="s">
        <v>448</v>
      </c>
      <c r="AR891" s="5">
        <v>3433</v>
      </c>
      <c r="AS891" s="5">
        <f>AR891/128</f>
        <v>26.8203125</v>
      </c>
      <c r="AT891" s="64"/>
      <c r="BE891" s="5">
        <v>1.01</v>
      </c>
      <c r="BF891" s="5">
        <v>1.18</v>
      </c>
      <c r="BH891" s="5">
        <v>1300</v>
      </c>
      <c r="BI891" s="5">
        <v>1500</v>
      </c>
      <c r="BT891" s="5" t="s">
        <v>1524</v>
      </c>
      <c r="BU891" s="5" t="s">
        <v>1524</v>
      </c>
      <c r="CC891" s="5">
        <v>56.3</v>
      </c>
      <c r="CD891" s="5">
        <v>58.2</v>
      </c>
      <c r="CE891" s="5" t="s">
        <v>819</v>
      </c>
      <c r="CL891" s="5">
        <v>23.4</v>
      </c>
      <c r="CM891" s="5">
        <v>38.799999999999997</v>
      </c>
      <c r="DP891" s="46"/>
      <c r="DR891" s="46"/>
      <c r="EK891" s="5" t="s">
        <v>693</v>
      </c>
      <c r="EL891" s="5" t="s">
        <v>823</v>
      </c>
      <c r="EN891" s="5">
        <v>42</v>
      </c>
    </row>
    <row r="892" spans="1:144" s="5" customFormat="1" x14ac:dyDescent="0.25">
      <c r="A892" s="5">
        <v>42</v>
      </c>
      <c r="B892" s="5" t="s">
        <v>811</v>
      </c>
      <c r="C892" s="5" t="s">
        <v>812</v>
      </c>
      <c r="D892" s="5">
        <v>1989</v>
      </c>
      <c r="E892" s="5">
        <v>1988</v>
      </c>
      <c r="F892" s="5" t="s">
        <v>575</v>
      </c>
      <c r="G892" s="5" t="s">
        <v>815</v>
      </c>
      <c r="H892" s="49">
        <v>34.137</v>
      </c>
      <c r="I892" s="5">
        <v>-85.09</v>
      </c>
      <c r="J892" s="5">
        <v>223.8</v>
      </c>
      <c r="P892" s="62" t="s">
        <v>188</v>
      </c>
      <c r="Q892" s="62"/>
      <c r="R892" s="62"/>
      <c r="S892" s="62" t="s">
        <v>817</v>
      </c>
      <c r="W892" s="5" t="s">
        <v>814</v>
      </c>
      <c r="Y892" s="5">
        <f t="shared" si="213"/>
        <v>0.89</v>
      </c>
      <c r="AA892" s="5" t="s">
        <v>1690</v>
      </c>
      <c r="AB892" s="5" t="s">
        <v>156</v>
      </c>
      <c r="AC892" s="5" t="s">
        <v>174</v>
      </c>
      <c r="AM892" s="5" t="s">
        <v>160</v>
      </c>
      <c r="AN892" s="5">
        <v>4</v>
      </c>
      <c r="AO892" s="5">
        <v>4</v>
      </c>
      <c r="AP892" s="5" t="s">
        <v>448</v>
      </c>
      <c r="AR892" s="5">
        <v>1775</v>
      </c>
      <c r="AS892" s="5">
        <f>AR892/32</f>
        <v>55.46875</v>
      </c>
      <c r="AT892" s="64"/>
      <c r="BE892" s="5">
        <v>0.87</v>
      </c>
      <c r="BF892" s="5">
        <v>0.95</v>
      </c>
      <c r="BH892" s="5">
        <v>1000</v>
      </c>
      <c r="BI892" s="5">
        <v>1200</v>
      </c>
      <c r="BT892" s="5" t="s">
        <v>1524</v>
      </c>
      <c r="BU892" s="5" t="s">
        <v>1524</v>
      </c>
      <c r="DP892" s="46"/>
      <c r="DR892" s="46"/>
      <c r="EK892" s="5" t="s">
        <v>693</v>
      </c>
      <c r="EL892" s="5" t="s">
        <v>823</v>
      </c>
      <c r="EN892" s="5">
        <v>42</v>
      </c>
    </row>
    <row r="893" spans="1:144" s="5" customFormat="1" x14ac:dyDescent="0.25">
      <c r="A893" s="5">
        <v>42</v>
      </c>
      <c r="B893" s="5" t="s">
        <v>811</v>
      </c>
      <c r="C893" s="5" t="s">
        <v>812</v>
      </c>
      <c r="D893" s="5">
        <v>1989</v>
      </c>
      <c r="E893" s="5">
        <v>1988</v>
      </c>
      <c r="F893" s="5" t="s">
        <v>575</v>
      </c>
      <c r="G893" s="5" t="s">
        <v>815</v>
      </c>
      <c r="H893" s="49">
        <v>34.137</v>
      </c>
      <c r="I893" s="5">
        <v>-85.09</v>
      </c>
      <c r="J893" s="5">
        <v>223.8</v>
      </c>
      <c r="P893" s="62" t="s">
        <v>188</v>
      </c>
      <c r="Q893" s="62"/>
      <c r="R893" s="62"/>
      <c r="S893" s="62" t="s">
        <v>817</v>
      </c>
      <c r="W893" s="5" t="s">
        <v>814</v>
      </c>
      <c r="Y893" s="5">
        <f t="shared" si="213"/>
        <v>0.89</v>
      </c>
      <c r="AA893" s="5" t="s">
        <v>1690</v>
      </c>
      <c r="AB893" s="5" t="s">
        <v>250</v>
      </c>
      <c r="AC893" s="5" t="s">
        <v>174</v>
      </c>
      <c r="AM893" s="5" t="s">
        <v>160</v>
      </c>
      <c r="AN893" s="5">
        <v>4</v>
      </c>
      <c r="AO893" s="5">
        <v>4</v>
      </c>
      <c r="AP893" s="5" t="s">
        <v>448</v>
      </c>
      <c r="AR893" s="5">
        <v>3544</v>
      </c>
      <c r="AS893" s="5">
        <f>AR893/108</f>
        <v>32.814814814814817</v>
      </c>
      <c r="AT893" s="64"/>
      <c r="BE893" s="5">
        <v>0.87</v>
      </c>
      <c r="BF893" s="5">
        <v>1.03</v>
      </c>
      <c r="BH893" s="5">
        <v>1000</v>
      </c>
      <c r="BI893" s="5">
        <v>1200</v>
      </c>
      <c r="BT893" s="5" t="s">
        <v>1524</v>
      </c>
      <c r="BU893" s="5" t="s">
        <v>1524</v>
      </c>
      <c r="DP893" s="46"/>
      <c r="DR893" s="46"/>
      <c r="EK893" s="5" t="s">
        <v>693</v>
      </c>
      <c r="EL893" s="5" t="s">
        <v>823</v>
      </c>
      <c r="EN893" s="5">
        <v>42</v>
      </c>
    </row>
    <row r="894" spans="1:144" s="5" customFormat="1" x14ac:dyDescent="0.25">
      <c r="A894" s="5">
        <v>42</v>
      </c>
      <c r="B894" s="5" t="s">
        <v>811</v>
      </c>
      <c r="C894" s="5" t="s">
        <v>812</v>
      </c>
      <c r="D894" s="5">
        <v>1989</v>
      </c>
      <c r="E894" s="5">
        <v>1988</v>
      </c>
      <c r="F894" s="5" t="s">
        <v>575</v>
      </c>
      <c r="G894" s="5" t="s">
        <v>815</v>
      </c>
      <c r="H894" s="49">
        <v>34.137</v>
      </c>
      <c r="I894" s="5">
        <v>-85.09</v>
      </c>
      <c r="J894" s="5">
        <v>223.8</v>
      </c>
      <c r="P894" s="62" t="s">
        <v>188</v>
      </c>
      <c r="Q894" s="62"/>
      <c r="R894" s="62"/>
      <c r="S894" s="62" t="s">
        <v>817</v>
      </c>
      <c r="W894" s="5" t="s">
        <v>814</v>
      </c>
      <c r="Y894" s="5">
        <f t="shared" si="213"/>
        <v>0.89</v>
      </c>
      <c r="AA894" s="5" t="s">
        <v>1690</v>
      </c>
      <c r="AB894" s="5" t="s">
        <v>326</v>
      </c>
      <c r="AC894" s="5" t="s">
        <v>174</v>
      </c>
      <c r="AM894" s="5" t="s">
        <v>160</v>
      </c>
      <c r="AN894" s="5">
        <v>4</v>
      </c>
      <c r="AO894" s="5">
        <v>4</v>
      </c>
      <c r="AP894" s="5" t="s">
        <v>448</v>
      </c>
      <c r="AR894" s="5">
        <v>3433</v>
      </c>
      <c r="AS894" s="5">
        <f>AR894/128</f>
        <v>26.8203125</v>
      </c>
      <c r="AT894" s="64"/>
      <c r="BE894" s="5">
        <v>0.87</v>
      </c>
      <c r="BF894" s="5">
        <v>0.93</v>
      </c>
      <c r="BH894" s="5">
        <v>1000</v>
      </c>
      <c r="BI894" s="5">
        <v>1200</v>
      </c>
      <c r="BT894" s="5" t="s">
        <v>1524</v>
      </c>
      <c r="BU894" s="5" t="s">
        <v>1524</v>
      </c>
      <c r="DP894" s="46"/>
      <c r="DR894" s="46"/>
      <c r="EK894" s="5" t="s">
        <v>693</v>
      </c>
      <c r="EL894" s="5" t="s">
        <v>823</v>
      </c>
      <c r="EN894" s="5">
        <v>42</v>
      </c>
    </row>
    <row r="895" spans="1:144" s="5" customFormat="1" x14ac:dyDescent="0.25">
      <c r="A895" s="5">
        <v>42</v>
      </c>
      <c r="B895" s="5" t="s">
        <v>811</v>
      </c>
      <c r="C895" s="5" t="s">
        <v>812</v>
      </c>
      <c r="D895" s="5">
        <v>1989</v>
      </c>
      <c r="E895" s="5">
        <v>1988</v>
      </c>
      <c r="F895" s="5" t="s">
        <v>575</v>
      </c>
      <c r="G895" s="5" t="s">
        <v>815</v>
      </c>
      <c r="H895" s="49">
        <v>34.137</v>
      </c>
      <c r="I895" s="5">
        <v>-85.09</v>
      </c>
      <c r="J895" s="5">
        <v>223.8</v>
      </c>
      <c r="P895" s="62" t="s">
        <v>188</v>
      </c>
      <c r="Q895" s="62"/>
      <c r="R895" s="62"/>
      <c r="S895" s="62" t="s">
        <v>818</v>
      </c>
      <c r="W895" s="5" t="s">
        <v>814</v>
      </c>
      <c r="Y895" s="5">
        <f t="shared" si="213"/>
        <v>0.89</v>
      </c>
      <c r="AA895" s="5" t="s">
        <v>1690</v>
      </c>
      <c r="AB895" s="5" t="s">
        <v>156</v>
      </c>
      <c r="AC895" s="5" t="s">
        <v>174</v>
      </c>
      <c r="AM895" s="5" t="s">
        <v>160</v>
      </c>
      <c r="AN895" s="5">
        <v>4</v>
      </c>
      <c r="AO895" s="5">
        <v>4</v>
      </c>
      <c r="AP895" s="5" t="s">
        <v>448</v>
      </c>
      <c r="AR895" s="5">
        <v>1775</v>
      </c>
      <c r="AS895" s="5">
        <f>AR895/32</f>
        <v>55.46875</v>
      </c>
      <c r="AT895" s="64"/>
      <c r="BE895" s="5">
        <v>0.79</v>
      </c>
      <c r="BF895" s="5">
        <v>0.93</v>
      </c>
      <c r="BH895" s="5">
        <v>1100</v>
      </c>
      <c r="BI895" s="5">
        <v>1100</v>
      </c>
      <c r="BT895" s="5" t="s">
        <v>1524</v>
      </c>
      <c r="BU895" s="5" t="s">
        <v>1524</v>
      </c>
      <c r="DP895" s="46"/>
      <c r="DR895" s="46"/>
      <c r="EK895" s="5" t="s">
        <v>693</v>
      </c>
      <c r="EL895" s="5" t="s">
        <v>823</v>
      </c>
      <c r="EN895" s="5">
        <v>42</v>
      </c>
    </row>
    <row r="896" spans="1:144" s="5" customFormat="1" x14ac:dyDescent="0.25">
      <c r="A896" s="5">
        <v>42</v>
      </c>
      <c r="B896" s="5" t="s">
        <v>811</v>
      </c>
      <c r="C896" s="5" t="s">
        <v>812</v>
      </c>
      <c r="D896" s="5">
        <v>1989</v>
      </c>
      <c r="E896" s="5">
        <v>1988</v>
      </c>
      <c r="F896" s="5" t="s">
        <v>575</v>
      </c>
      <c r="G896" s="5" t="s">
        <v>815</v>
      </c>
      <c r="H896" s="49">
        <v>34.137</v>
      </c>
      <c r="I896" s="5">
        <v>-85.09</v>
      </c>
      <c r="J896" s="5">
        <v>223.8</v>
      </c>
      <c r="P896" s="62" t="s">
        <v>188</v>
      </c>
      <c r="Q896" s="62"/>
      <c r="R896" s="62"/>
      <c r="S896" s="62" t="s">
        <v>818</v>
      </c>
      <c r="W896" s="5" t="s">
        <v>814</v>
      </c>
      <c r="Y896" s="5">
        <f t="shared" si="213"/>
        <v>0.89</v>
      </c>
      <c r="AA896" s="5" t="s">
        <v>1690</v>
      </c>
      <c r="AB896" s="5" t="s">
        <v>250</v>
      </c>
      <c r="AC896" s="5" t="s">
        <v>174</v>
      </c>
      <c r="AM896" s="5" t="s">
        <v>160</v>
      </c>
      <c r="AN896" s="5">
        <v>4</v>
      </c>
      <c r="AO896" s="5">
        <v>4</v>
      </c>
      <c r="AP896" s="5" t="s">
        <v>448</v>
      </c>
      <c r="AR896" s="5">
        <v>3544</v>
      </c>
      <c r="AS896" s="5">
        <f>AR896/108</f>
        <v>32.814814814814817</v>
      </c>
      <c r="AT896" s="64"/>
      <c r="BE896" s="5">
        <v>0.79</v>
      </c>
      <c r="BF896" s="5">
        <v>1.01</v>
      </c>
      <c r="BH896" s="5">
        <v>1100</v>
      </c>
      <c r="BI896" s="5">
        <v>1200</v>
      </c>
      <c r="BT896" s="5" t="s">
        <v>1524</v>
      </c>
      <c r="BU896" s="5" t="s">
        <v>1524</v>
      </c>
      <c r="DP896" s="46"/>
      <c r="DR896" s="46"/>
      <c r="EK896" s="5" t="s">
        <v>693</v>
      </c>
      <c r="EL896" s="5" t="s">
        <v>823</v>
      </c>
      <c r="EN896" s="5">
        <v>42</v>
      </c>
    </row>
    <row r="897" spans="1:144" s="5" customFormat="1" x14ac:dyDescent="0.25">
      <c r="A897" s="5">
        <v>42</v>
      </c>
      <c r="B897" s="5" t="s">
        <v>811</v>
      </c>
      <c r="C897" s="5" t="s">
        <v>812</v>
      </c>
      <c r="D897" s="5">
        <v>1989</v>
      </c>
      <c r="E897" s="5">
        <v>1988</v>
      </c>
      <c r="F897" s="5" t="s">
        <v>575</v>
      </c>
      <c r="G897" s="5" t="s">
        <v>815</v>
      </c>
      <c r="H897" s="49">
        <v>34.137</v>
      </c>
      <c r="I897" s="5">
        <v>-85.09</v>
      </c>
      <c r="J897" s="5">
        <v>223.8</v>
      </c>
      <c r="P897" s="62" t="s">
        <v>188</v>
      </c>
      <c r="Q897" s="62"/>
      <c r="R897" s="62"/>
      <c r="S897" s="62" t="s">
        <v>818</v>
      </c>
      <c r="W897" s="5" t="s">
        <v>814</v>
      </c>
      <c r="Y897" s="5">
        <f t="shared" si="213"/>
        <v>0.89</v>
      </c>
      <c r="AA897" s="5" t="s">
        <v>1690</v>
      </c>
      <c r="AB897" s="5" t="s">
        <v>326</v>
      </c>
      <c r="AC897" s="5" t="s">
        <v>174</v>
      </c>
      <c r="AM897" s="5" t="s">
        <v>160</v>
      </c>
      <c r="AN897" s="5">
        <v>4</v>
      </c>
      <c r="AO897" s="5">
        <v>4</v>
      </c>
      <c r="AP897" s="5" t="s">
        <v>448</v>
      </c>
      <c r="AR897" s="5">
        <v>3433</v>
      </c>
      <c r="AS897" s="5">
        <f>AR897/128</f>
        <v>26.8203125</v>
      </c>
      <c r="AT897" s="64"/>
      <c r="BE897" s="5">
        <v>0.79</v>
      </c>
      <c r="BF897" s="5">
        <v>0.79</v>
      </c>
      <c r="BH897" s="5">
        <v>1100</v>
      </c>
      <c r="BI897" s="5">
        <v>1100</v>
      </c>
      <c r="BT897" s="5" t="s">
        <v>1524</v>
      </c>
      <c r="BU897" s="5" t="s">
        <v>1524</v>
      </c>
      <c r="DP897" s="46"/>
      <c r="DR897" s="46"/>
      <c r="EK897" s="5" t="s">
        <v>693</v>
      </c>
      <c r="EL897" s="5" t="s">
        <v>823</v>
      </c>
      <c r="EN897" s="5">
        <v>42</v>
      </c>
    </row>
    <row r="898" spans="1:144" s="31" customFormat="1" x14ac:dyDescent="0.25">
      <c r="A898" s="31">
        <v>42</v>
      </c>
      <c r="B898" s="31" t="s">
        <v>811</v>
      </c>
      <c r="C898" s="31" t="s">
        <v>812</v>
      </c>
      <c r="D898" s="31">
        <v>1989</v>
      </c>
      <c r="E898" s="31">
        <v>1988</v>
      </c>
      <c r="F898" s="31" t="s">
        <v>575</v>
      </c>
      <c r="G898" s="31" t="s">
        <v>816</v>
      </c>
      <c r="H898" s="50">
        <v>31.62</v>
      </c>
      <c r="I898" s="31">
        <v>-81.91</v>
      </c>
      <c r="J898" s="31">
        <v>33.700000000000003</v>
      </c>
      <c r="P898" s="56" t="s">
        <v>188</v>
      </c>
      <c r="Q898" s="56"/>
      <c r="R898" s="56"/>
      <c r="S898" s="56" t="s">
        <v>671</v>
      </c>
      <c r="W898" s="31" t="s">
        <v>813</v>
      </c>
      <c r="X898" s="31">
        <v>5.5</v>
      </c>
      <c r="Y898" s="31">
        <v>0.72</v>
      </c>
      <c r="AA898" s="31" t="s">
        <v>1690</v>
      </c>
      <c r="AB898" s="31" t="s">
        <v>156</v>
      </c>
      <c r="AC898" s="31" t="s">
        <v>299</v>
      </c>
      <c r="AM898" s="31" t="s">
        <v>160</v>
      </c>
      <c r="AN898" s="31">
        <v>4</v>
      </c>
      <c r="AO898" s="31">
        <v>4</v>
      </c>
      <c r="AP898" s="31" t="s">
        <v>448</v>
      </c>
      <c r="AR898" s="31">
        <v>1775</v>
      </c>
      <c r="AS898" s="31">
        <v>55.46875</v>
      </c>
      <c r="AT898" s="64"/>
      <c r="BE898" s="31">
        <f>8.5/10</f>
        <v>0.85</v>
      </c>
      <c r="BF898" s="31">
        <v>0.89</v>
      </c>
      <c r="BH898" s="31">
        <f>1000</f>
        <v>1000</v>
      </c>
      <c r="BI898" s="31">
        <f>1100</f>
        <v>1100</v>
      </c>
      <c r="BK898" s="31">
        <v>21</v>
      </c>
      <c r="BL898" s="31">
        <v>20.3</v>
      </c>
      <c r="BQ898" s="31">
        <v>5</v>
      </c>
      <c r="BR898" s="31">
        <v>5</v>
      </c>
      <c r="BT898" s="31" t="s">
        <v>1524</v>
      </c>
      <c r="BU898" s="31" t="s">
        <v>1524</v>
      </c>
      <c r="CC898" s="31">
        <v>28.9</v>
      </c>
      <c r="CD898" s="31">
        <v>32.6</v>
      </c>
      <c r="CE898" s="31" t="s">
        <v>819</v>
      </c>
      <c r="CL898" s="31">
        <v>37.799999999999997</v>
      </c>
      <c r="CM898" s="31">
        <v>42.3</v>
      </c>
      <c r="EK898" s="31" t="s">
        <v>693</v>
      </c>
      <c r="EL898" s="31" t="s">
        <v>823</v>
      </c>
      <c r="EN898" s="31">
        <v>42</v>
      </c>
    </row>
    <row r="899" spans="1:144" s="31" customFormat="1" x14ac:dyDescent="0.25">
      <c r="A899" s="31">
        <v>42</v>
      </c>
      <c r="B899" s="31" t="s">
        <v>811</v>
      </c>
      <c r="C899" s="31" t="s">
        <v>812</v>
      </c>
      <c r="D899" s="31">
        <v>1989</v>
      </c>
      <c r="E899" s="31">
        <v>1988</v>
      </c>
      <c r="F899" s="31" t="s">
        <v>575</v>
      </c>
      <c r="G899" s="31" t="s">
        <v>816</v>
      </c>
      <c r="H899" s="50">
        <v>31.62</v>
      </c>
      <c r="I899" s="31">
        <v>-81.91</v>
      </c>
      <c r="J899" s="31">
        <v>33.700000000000003</v>
      </c>
      <c r="P899" s="56" t="s">
        <v>188</v>
      </c>
      <c r="Q899" s="56"/>
      <c r="R899" s="56"/>
      <c r="S899" s="56" t="s">
        <v>671</v>
      </c>
      <c r="W899" s="31" t="s">
        <v>813</v>
      </c>
      <c r="X899" s="31">
        <v>5.5</v>
      </c>
      <c r="Y899" s="31">
        <v>0.72</v>
      </c>
      <c r="AA899" s="31" t="s">
        <v>1690</v>
      </c>
      <c r="AB899" s="31" t="s">
        <v>250</v>
      </c>
      <c r="AC899" s="31" t="s">
        <v>299</v>
      </c>
      <c r="AM899" s="31" t="s">
        <v>160</v>
      </c>
      <c r="AN899" s="31">
        <v>4</v>
      </c>
      <c r="AO899" s="31">
        <v>4</v>
      </c>
      <c r="AP899" s="31" t="s">
        <v>448</v>
      </c>
      <c r="AR899" s="31">
        <v>3544</v>
      </c>
      <c r="AS899" s="31">
        <v>32.814814814814817</v>
      </c>
      <c r="AT899" s="64"/>
      <c r="BE899" s="31">
        <f t="shared" ref="BE899:BE900" si="214">8.5/10</f>
        <v>0.85</v>
      </c>
      <c r="BF899" s="31">
        <v>1.06</v>
      </c>
      <c r="BH899" s="31">
        <f>1000</f>
        <v>1000</v>
      </c>
      <c r="BI899" s="31">
        <v>1300</v>
      </c>
      <c r="BK899" s="31">
        <v>21</v>
      </c>
      <c r="BL899" s="31">
        <v>14.5</v>
      </c>
      <c r="BQ899" s="31">
        <v>5</v>
      </c>
      <c r="BR899" s="31">
        <v>4.9000000000000004</v>
      </c>
      <c r="BT899" s="31" t="s">
        <v>1524</v>
      </c>
      <c r="BU899" s="31" t="s">
        <v>1524</v>
      </c>
      <c r="CC899" s="31">
        <v>28.9</v>
      </c>
      <c r="CD899" s="31">
        <v>37.9</v>
      </c>
      <c r="CE899" s="31" t="s">
        <v>819</v>
      </c>
      <c r="EK899" s="31" t="s">
        <v>693</v>
      </c>
      <c r="EL899" s="31" t="s">
        <v>823</v>
      </c>
      <c r="EN899" s="31">
        <v>42</v>
      </c>
    </row>
    <row r="900" spans="1:144" s="31" customFormat="1" x14ac:dyDescent="0.25">
      <c r="A900" s="31">
        <v>42</v>
      </c>
      <c r="B900" s="31" t="s">
        <v>811</v>
      </c>
      <c r="C900" s="31" t="s">
        <v>812</v>
      </c>
      <c r="D900" s="31">
        <v>1989</v>
      </c>
      <c r="E900" s="31">
        <v>1988</v>
      </c>
      <c r="F900" s="31" t="s">
        <v>575</v>
      </c>
      <c r="G900" s="31" t="s">
        <v>816</v>
      </c>
      <c r="H900" s="50">
        <v>31.62</v>
      </c>
      <c r="I900" s="31">
        <v>-81.91</v>
      </c>
      <c r="J900" s="31">
        <v>33.700000000000003</v>
      </c>
      <c r="P900" s="56" t="s">
        <v>188</v>
      </c>
      <c r="Q900" s="56"/>
      <c r="R900" s="56"/>
      <c r="S900" s="56" t="s">
        <v>671</v>
      </c>
      <c r="W900" s="31" t="s">
        <v>813</v>
      </c>
      <c r="X900" s="31">
        <v>5.5</v>
      </c>
      <c r="Y900" s="31">
        <v>0.72</v>
      </c>
      <c r="AA900" s="31" t="s">
        <v>1690</v>
      </c>
      <c r="AB900" s="31" t="s">
        <v>326</v>
      </c>
      <c r="AC900" s="31" t="s">
        <v>299</v>
      </c>
      <c r="AM900" s="31" t="s">
        <v>160</v>
      </c>
      <c r="AN900" s="31">
        <v>4</v>
      </c>
      <c r="AO900" s="31">
        <v>4</v>
      </c>
      <c r="AP900" s="31" t="s">
        <v>448</v>
      </c>
      <c r="AR900" s="31">
        <v>3433</v>
      </c>
      <c r="AS900" s="31">
        <v>26.8203125</v>
      </c>
      <c r="AT900" s="64"/>
      <c r="BE900" s="31">
        <f t="shared" si="214"/>
        <v>0.85</v>
      </c>
      <c r="BF900" s="31">
        <v>1.02</v>
      </c>
      <c r="BH900" s="31">
        <f>1000</f>
        <v>1000</v>
      </c>
      <c r="BI900" s="31">
        <v>1300</v>
      </c>
      <c r="BK900" s="31">
        <v>21</v>
      </c>
      <c r="BL900" s="31">
        <v>18.8</v>
      </c>
      <c r="BQ900" s="31">
        <v>5</v>
      </c>
      <c r="BR900" s="31">
        <v>4.8</v>
      </c>
      <c r="BT900" s="31" t="s">
        <v>1524</v>
      </c>
      <c r="BU900" s="31" t="s">
        <v>1524</v>
      </c>
      <c r="CC900" s="31">
        <v>28.9</v>
      </c>
      <c r="CD900" s="31">
        <v>36.700000000000003</v>
      </c>
      <c r="CE900" s="31" t="s">
        <v>819</v>
      </c>
      <c r="CL900" s="31">
        <v>37.799999999999997</v>
      </c>
      <c r="CM900" s="31">
        <v>58.4</v>
      </c>
      <c r="EK900" s="31" t="s">
        <v>693</v>
      </c>
      <c r="EL900" s="31" t="s">
        <v>823</v>
      </c>
      <c r="EN900" s="31">
        <v>42</v>
      </c>
    </row>
    <row r="901" spans="1:144" s="31" customFormat="1" x14ac:dyDescent="0.25">
      <c r="A901" s="31">
        <v>42</v>
      </c>
      <c r="B901" s="31" t="s">
        <v>811</v>
      </c>
      <c r="C901" s="31" t="s">
        <v>812</v>
      </c>
      <c r="D901" s="31">
        <v>1989</v>
      </c>
      <c r="E901" s="31">
        <v>1988</v>
      </c>
      <c r="F901" s="31" t="s">
        <v>575</v>
      </c>
      <c r="G901" s="31" t="s">
        <v>816</v>
      </c>
      <c r="H901" s="50">
        <v>31.62</v>
      </c>
      <c r="I901" s="31">
        <v>-81.91</v>
      </c>
      <c r="J901" s="31">
        <v>33.700000000000003</v>
      </c>
      <c r="P901" s="56" t="s">
        <v>188</v>
      </c>
      <c r="Q901" s="56"/>
      <c r="R901" s="56"/>
      <c r="S901" s="56" t="s">
        <v>817</v>
      </c>
      <c r="W901" s="31" t="s">
        <v>813</v>
      </c>
      <c r="X901" s="31">
        <v>5.5</v>
      </c>
      <c r="Y901" s="31">
        <v>0.72</v>
      </c>
      <c r="AA901" s="31" t="s">
        <v>1690</v>
      </c>
      <c r="AB901" s="31" t="s">
        <v>156</v>
      </c>
      <c r="AC901" s="31" t="s">
        <v>299</v>
      </c>
      <c r="AM901" s="31" t="s">
        <v>160</v>
      </c>
      <c r="AN901" s="31">
        <v>4</v>
      </c>
      <c r="AO901" s="31">
        <v>4</v>
      </c>
      <c r="AP901" s="31" t="s">
        <v>448</v>
      </c>
      <c r="AR901" s="31">
        <v>1775</v>
      </c>
      <c r="AS901" s="31">
        <v>55.46875</v>
      </c>
      <c r="AT901" s="64"/>
      <c r="BE901" s="31">
        <f>0.72</f>
        <v>0.72</v>
      </c>
      <c r="BF901" s="31">
        <v>0.73</v>
      </c>
      <c r="BH901" s="31">
        <v>900</v>
      </c>
      <c r="BI901" s="31">
        <v>1000</v>
      </c>
      <c r="BK901" s="31">
        <v>18</v>
      </c>
      <c r="BL901" s="31">
        <v>14.7</v>
      </c>
      <c r="BQ901" s="31">
        <v>5.6</v>
      </c>
      <c r="BR901" s="31">
        <v>5.5</v>
      </c>
      <c r="BT901" s="31" t="s">
        <v>1524</v>
      </c>
      <c r="BU901" s="31" t="s">
        <v>1524</v>
      </c>
      <c r="EK901" s="31" t="s">
        <v>693</v>
      </c>
      <c r="EL901" s="31" t="s">
        <v>823</v>
      </c>
      <c r="EN901" s="31">
        <v>42</v>
      </c>
    </row>
    <row r="902" spans="1:144" s="31" customFormat="1" x14ac:dyDescent="0.25">
      <c r="A902" s="31">
        <v>42</v>
      </c>
      <c r="B902" s="31" t="s">
        <v>811</v>
      </c>
      <c r="C902" s="31" t="s">
        <v>812</v>
      </c>
      <c r="D902" s="31">
        <v>1989</v>
      </c>
      <c r="E902" s="31">
        <v>1988</v>
      </c>
      <c r="F902" s="31" t="s">
        <v>575</v>
      </c>
      <c r="G902" s="31" t="s">
        <v>816</v>
      </c>
      <c r="H902" s="50">
        <v>31.62</v>
      </c>
      <c r="I902" s="31">
        <v>-81.91</v>
      </c>
      <c r="J902" s="31">
        <v>33.700000000000003</v>
      </c>
      <c r="P902" s="56" t="s">
        <v>188</v>
      </c>
      <c r="Q902" s="56"/>
      <c r="R902" s="56"/>
      <c r="S902" s="56" t="s">
        <v>817</v>
      </c>
      <c r="W902" s="31" t="s">
        <v>813</v>
      </c>
      <c r="X902" s="31">
        <v>5.5</v>
      </c>
      <c r="Y902" s="31">
        <v>0.72</v>
      </c>
      <c r="AA902" s="31" t="s">
        <v>1690</v>
      </c>
      <c r="AB902" s="31" t="s">
        <v>250</v>
      </c>
      <c r="AC902" s="31" t="s">
        <v>299</v>
      </c>
      <c r="AM902" s="31" t="s">
        <v>160</v>
      </c>
      <c r="AN902" s="31">
        <v>4</v>
      </c>
      <c r="AO902" s="31">
        <v>4</v>
      </c>
      <c r="AP902" s="31" t="s">
        <v>448</v>
      </c>
      <c r="AR902" s="31">
        <v>3544</v>
      </c>
      <c r="AS902" s="31">
        <v>32.814814814814817</v>
      </c>
      <c r="AT902" s="64"/>
      <c r="BE902" s="31">
        <f t="shared" ref="BE902:BE903" si="215">0.72</f>
        <v>0.72</v>
      </c>
      <c r="BF902" s="31">
        <v>0.77</v>
      </c>
      <c r="BH902" s="31">
        <v>900</v>
      </c>
      <c r="BI902" s="31">
        <v>1000</v>
      </c>
      <c r="BK902" s="31">
        <v>18</v>
      </c>
      <c r="BL902" s="31">
        <v>11.5</v>
      </c>
      <c r="BQ902" s="31">
        <v>5.6</v>
      </c>
      <c r="BR902" s="31">
        <v>5</v>
      </c>
      <c r="BT902" s="31" t="s">
        <v>1524</v>
      </c>
      <c r="BU902" s="31" t="s">
        <v>1524</v>
      </c>
      <c r="EK902" s="31" t="s">
        <v>693</v>
      </c>
      <c r="EL902" s="31" t="s">
        <v>823</v>
      </c>
      <c r="EN902" s="31">
        <v>42</v>
      </c>
    </row>
    <row r="903" spans="1:144" s="31" customFormat="1" x14ac:dyDescent="0.25">
      <c r="A903" s="31">
        <v>42</v>
      </c>
      <c r="B903" s="31" t="s">
        <v>811</v>
      </c>
      <c r="C903" s="31" t="s">
        <v>812</v>
      </c>
      <c r="D903" s="31">
        <v>1989</v>
      </c>
      <c r="E903" s="31">
        <v>1988</v>
      </c>
      <c r="F903" s="31" t="s">
        <v>575</v>
      </c>
      <c r="G903" s="31" t="s">
        <v>816</v>
      </c>
      <c r="H903" s="50">
        <v>31.62</v>
      </c>
      <c r="I903" s="31">
        <v>-81.91</v>
      </c>
      <c r="J903" s="31">
        <v>33.700000000000003</v>
      </c>
      <c r="P903" s="56" t="s">
        <v>188</v>
      </c>
      <c r="Q903" s="56"/>
      <c r="R903" s="56"/>
      <c r="S903" s="56" t="s">
        <v>817</v>
      </c>
      <c r="W903" s="31" t="s">
        <v>813</v>
      </c>
      <c r="X903" s="31">
        <v>5.5</v>
      </c>
      <c r="Y903" s="31">
        <v>0.72</v>
      </c>
      <c r="AA903" s="31" t="s">
        <v>1690</v>
      </c>
      <c r="AB903" s="31" t="s">
        <v>326</v>
      </c>
      <c r="AC903" s="31" t="s">
        <v>299</v>
      </c>
      <c r="AM903" s="31" t="s">
        <v>160</v>
      </c>
      <c r="AN903" s="31">
        <v>4</v>
      </c>
      <c r="AO903" s="31">
        <v>4</v>
      </c>
      <c r="AP903" s="31" t="s">
        <v>448</v>
      </c>
      <c r="AR903" s="31">
        <v>3433</v>
      </c>
      <c r="AS903" s="31">
        <v>26.8203125</v>
      </c>
      <c r="AT903" s="64"/>
      <c r="BE903" s="31">
        <f t="shared" si="215"/>
        <v>0.72</v>
      </c>
      <c r="BF903" s="31">
        <v>0.74</v>
      </c>
      <c r="BH903" s="31">
        <v>900</v>
      </c>
      <c r="BI903" s="31">
        <v>1000</v>
      </c>
      <c r="BK903" s="31">
        <v>18</v>
      </c>
      <c r="BL903" s="31">
        <v>12.4</v>
      </c>
      <c r="BQ903" s="31">
        <v>5.6</v>
      </c>
      <c r="BR903" s="31">
        <v>5.3</v>
      </c>
      <c r="BT903" s="31" t="s">
        <v>1524</v>
      </c>
      <c r="BU903" s="31" t="s">
        <v>1524</v>
      </c>
      <c r="EK903" s="31" t="s">
        <v>693</v>
      </c>
      <c r="EL903" s="31" t="s">
        <v>823</v>
      </c>
      <c r="EN903" s="31">
        <v>42</v>
      </c>
    </row>
    <row r="904" spans="1:144" s="31" customFormat="1" x14ac:dyDescent="0.25">
      <c r="A904" s="31">
        <v>42</v>
      </c>
      <c r="B904" s="31" t="s">
        <v>811</v>
      </c>
      <c r="C904" s="31" t="s">
        <v>812</v>
      </c>
      <c r="D904" s="31">
        <v>1989</v>
      </c>
      <c r="E904" s="31">
        <v>1988</v>
      </c>
      <c r="F904" s="31" t="s">
        <v>575</v>
      </c>
      <c r="G904" s="31" t="s">
        <v>816</v>
      </c>
      <c r="H904" s="50">
        <v>31.62</v>
      </c>
      <c r="I904" s="31">
        <v>-81.91</v>
      </c>
      <c r="J904" s="31">
        <v>33.700000000000003</v>
      </c>
      <c r="P904" s="56" t="s">
        <v>188</v>
      </c>
      <c r="Q904" s="56"/>
      <c r="R904" s="56"/>
      <c r="S904" s="56" t="s">
        <v>818</v>
      </c>
      <c r="W904" s="31" t="s">
        <v>813</v>
      </c>
      <c r="X904" s="31">
        <v>5.5</v>
      </c>
      <c r="Y904" s="31">
        <v>0.72</v>
      </c>
      <c r="AA904" s="31" t="s">
        <v>1690</v>
      </c>
      <c r="AB904" s="31" t="s">
        <v>156</v>
      </c>
      <c r="AC904" s="31" t="s">
        <v>299</v>
      </c>
      <c r="AM904" s="31" t="s">
        <v>160</v>
      </c>
      <c r="AN904" s="31">
        <v>4</v>
      </c>
      <c r="AO904" s="31">
        <v>4</v>
      </c>
      <c r="AP904" s="31" t="s">
        <v>448</v>
      </c>
      <c r="AR904" s="31">
        <v>1775</v>
      </c>
      <c r="AS904" s="31">
        <v>55.46875</v>
      </c>
      <c r="AT904" s="64"/>
      <c r="BE904" s="31">
        <v>0.68</v>
      </c>
      <c r="BF904" s="31">
        <v>0.66</v>
      </c>
      <c r="BH904" s="31">
        <v>900</v>
      </c>
      <c r="BI904" s="31">
        <v>900</v>
      </c>
      <c r="BK904" s="31">
        <v>16</v>
      </c>
      <c r="BL904" s="31">
        <v>14.4</v>
      </c>
      <c r="BQ904" s="31">
        <v>6</v>
      </c>
      <c r="BR904" s="31">
        <v>5.9</v>
      </c>
      <c r="BT904" s="31" t="s">
        <v>1524</v>
      </c>
      <c r="BU904" s="31" t="s">
        <v>1524</v>
      </c>
      <c r="EK904" s="31" t="s">
        <v>693</v>
      </c>
      <c r="EL904" s="31" t="s">
        <v>823</v>
      </c>
      <c r="EN904" s="31">
        <v>42</v>
      </c>
    </row>
    <row r="905" spans="1:144" s="31" customFormat="1" x14ac:dyDescent="0.25">
      <c r="A905" s="31">
        <v>42</v>
      </c>
      <c r="B905" s="31" t="s">
        <v>811</v>
      </c>
      <c r="C905" s="31" t="s">
        <v>812</v>
      </c>
      <c r="D905" s="31">
        <v>1989</v>
      </c>
      <c r="E905" s="31">
        <v>1988</v>
      </c>
      <c r="F905" s="31" t="s">
        <v>575</v>
      </c>
      <c r="G905" s="31" t="s">
        <v>816</v>
      </c>
      <c r="H905" s="50">
        <v>31.62</v>
      </c>
      <c r="I905" s="31">
        <v>-81.91</v>
      </c>
      <c r="J905" s="31">
        <v>33.700000000000003</v>
      </c>
      <c r="P905" s="56" t="s">
        <v>188</v>
      </c>
      <c r="Q905" s="56"/>
      <c r="R905" s="56"/>
      <c r="S905" s="62" t="s">
        <v>818</v>
      </c>
      <c r="W905" s="31" t="s">
        <v>813</v>
      </c>
      <c r="X905" s="31">
        <v>5.5</v>
      </c>
      <c r="Y905" s="31">
        <v>0.72</v>
      </c>
      <c r="AA905" s="31" t="s">
        <v>1690</v>
      </c>
      <c r="AB905" s="31" t="s">
        <v>250</v>
      </c>
      <c r="AC905" s="31" t="s">
        <v>299</v>
      </c>
      <c r="AM905" s="31" t="s">
        <v>160</v>
      </c>
      <c r="AN905" s="31">
        <v>4</v>
      </c>
      <c r="AO905" s="31">
        <v>4</v>
      </c>
      <c r="AP905" s="31" t="s">
        <v>448</v>
      </c>
      <c r="AR905" s="31">
        <v>3544</v>
      </c>
      <c r="AS905" s="31">
        <v>32.814814814814817</v>
      </c>
      <c r="AT905" s="64"/>
      <c r="BE905" s="31">
        <v>0.68</v>
      </c>
      <c r="BF905" s="31">
        <v>0.71</v>
      </c>
      <c r="BH905" s="31">
        <v>900</v>
      </c>
      <c r="BI905" s="31">
        <v>900</v>
      </c>
      <c r="BK905" s="31">
        <v>16</v>
      </c>
      <c r="BL905" s="31">
        <v>10.5</v>
      </c>
      <c r="BQ905" s="31">
        <v>6</v>
      </c>
      <c r="BR905" s="31">
        <v>5.5</v>
      </c>
      <c r="BT905" s="31" t="s">
        <v>1524</v>
      </c>
      <c r="BU905" s="31" t="s">
        <v>1524</v>
      </c>
      <c r="EK905" s="31" t="s">
        <v>693</v>
      </c>
      <c r="EL905" s="31" t="s">
        <v>823</v>
      </c>
      <c r="EN905" s="31">
        <v>42</v>
      </c>
    </row>
    <row r="906" spans="1:144" s="31" customFormat="1" x14ac:dyDescent="0.25">
      <c r="A906" s="31">
        <v>42</v>
      </c>
      <c r="B906" s="31" t="s">
        <v>811</v>
      </c>
      <c r="C906" s="31" t="s">
        <v>812</v>
      </c>
      <c r="D906" s="31">
        <v>1989</v>
      </c>
      <c r="E906" s="31">
        <v>1988</v>
      </c>
      <c r="F906" s="31" t="s">
        <v>575</v>
      </c>
      <c r="G906" s="31" t="s">
        <v>816</v>
      </c>
      <c r="H906" s="50">
        <v>31.62</v>
      </c>
      <c r="I906" s="31">
        <v>-81.91</v>
      </c>
      <c r="J906" s="31">
        <v>33.700000000000003</v>
      </c>
      <c r="P906" s="56" t="s">
        <v>188</v>
      </c>
      <c r="Q906" s="56"/>
      <c r="R906" s="56"/>
      <c r="S906" s="62" t="s">
        <v>818</v>
      </c>
      <c r="W906" s="31" t="s">
        <v>813</v>
      </c>
      <c r="X906" s="31">
        <v>5.5</v>
      </c>
      <c r="Y906" s="31">
        <v>0.72</v>
      </c>
      <c r="AA906" s="31" t="s">
        <v>1690</v>
      </c>
      <c r="AB906" s="31" t="s">
        <v>326</v>
      </c>
      <c r="AC906" s="31" t="s">
        <v>299</v>
      </c>
      <c r="AM906" s="31" t="s">
        <v>160</v>
      </c>
      <c r="AN906" s="31">
        <v>4</v>
      </c>
      <c r="AO906" s="31">
        <v>4</v>
      </c>
      <c r="AP906" s="31" t="s">
        <v>448</v>
      </c>
      <c r="AR906" s="31">
        <v>3433</v>
      </c>
      <c r="AS906" s="31">
        <v>26.8203125</v>
      </c>
      <c r="AT906" s="64"/>
      <c r="BE906" s="31">
        <v>0.68</v>
      </c>
      <c r="BF906" s="31">
        <v>0.67</v>
      </c>
      <c r="BH906" s="31">
        <v>900</v>
      </c>
      <c r="BI906" s="31">
        <v>900</v>
      </c>
      <c r="BK906" s="31">
        <v>16</v>
      </c>
      <c r="BL906" s="31">
        <v>10.8</v>
      </c>
      <c r="BQ906" s="31">
        <v>6</v>
      </c>
      <c r="BR906" s="31">
        <v>5.9</v>
      </c>
      <c r="BT906" s="31" t="s">
        <v>1524</v>
      </c>
      <c r="BU906" s="31" t="s">
        <v>1524</v>
      </c>
      <c r="EK906" s="31" t="s">
        <v>693</v>
      </c>
      <c r="EL906" s="31" t="s">
        <v>823</v>
      </c>
      <c r="EN906" s="31">
        <v>42</v>
      </c>
    </row>
    <row r="907" spans="1:144" s="39" customFormat="1" x14ac:dyDescent="0.25">
      <c r="A907" s="39">
        <v>43</v>
      </c>
      <c r="B907" s="39" t="s">
        <v>828</v>
      </c>
      <c r="C907" s="39" t="s">
        <v>829</v>
      </c>
      <c r="D907" s="39">
        <v>1999</v>
      </c>
      <c r="E907" s="39">
        <v>1995</v>
      </c>
      <c r="F907" s="39" t="s">
        <v>575</v>
      </c>
      <c r="G907" s="39" t="s">
        <v>169</v>
      </c>
      <c r="H907" s="39">
        <v>45.231000000000002</v>
      </c>
      <c r="I907" s="39">
        <v>-122.756</v>
      </c>
      <c r="J907" s="39">
        <v>48.4</v>
      </c>
      <c r="N907" s="39">
        <v>1040</v>
      </c>
      <c r="O907" s="39" t="s">
        <v>176</v>
      </c>
      <c r="P907" s="58" t="s">
        <v>186</v>
      </c>
      <c r="Q907" s="58"/>
      <c r="R907" s="58" t="s">
        <v>308</v>
      </c>
      <c r="S907" s="58" t="s">
        <v>658</v>
      </c>
      <c r="U907" s="39">
        <v>31.3</v>
      </c>
      <c r="V907" s="39">
        <v>54</v>
      </c>
      <c r="W907" s="39" t="s">
        <v>175</v>
      </c>
      <c r="AA907" s="39" t="s">
        <v>1703</v>
      </c>
      <c r="AB907" s="39" t="s">
        <v>831</v>
      </c>
      <c r="AC907" s="39" t="s">
        <v>1737</v>
      </c>
      <c r="AD907" s="39" t="s">
        <v>830</v>
      </c>
      <c r="AE907" s="39" t="s">
        <v>830</v>
      </c>
      <c r="AF907" s="39" t="s">
        <v>252</v>
      </c>
      <c r="AM907" s="39" t="s">
        <v>160</v>
      </c>
      <c r="AN907" s="39">
        <v>4</v>
      </c>
      <c r="AO907" s="39">
        <v>4</v>
      </c>
      <c r="AP907" s="39" t="s">
        <v>184</v>
      </c>
      <c r="BE907" s="39">
        <f>18.3/10</f>
        <v>1.83</v>
      </c>
      <c r="BF907" s="39">
        <v>1.66</v>
      </c>
      <c r="BG907" s="39" t="s">
        <v>832</v>
      </c>
      <c r="BJ907" s="39" t="s">
        <v>833</v>
      </c>
      <c r="DP907" s="39">
        <v>52.5</v>
      </c>
      <c r="DQ907" s="39">
        <v>56.5</v>
      </c>
      <c r="DR907" s="39" t="s">
        <v>837</v>
      </c>
      <c r="DS907" s="39">
        <v>62.1</v>
      </c>
      <c r="DT907" s="39">
        <v>59.3</v>
      </c>
      <c r="EE907" s="39">
        <v>135</v>
      </c>
      <c r="EF907" s="39">
        <v>196</v>
      </c>
      <c r="EG907" s="39" t="s">
        <v>834</v>
      </c>
      <c r="EL907" s="39" t="s">
        <v>838</v>
      </c>
      <c r="EN907" s="39">
        <v>43</v>
      </c>
    </row>
    <row r="908" spans="1:144" s="39" customFormat="1" x14ac:dyDescent="0.25">
      <c r="A908" s="39">
        <v>43</v>
      </c>
      <c r="B908" s="39" t="s">
        <v>828</v>
      </c>
      <c r="C908" s="39" t="s">
        <v>829</v>
      </c>
      <c r="D908" s="39">
        <v>1999</v>
      </c>
      <c r="E908" s="39">
        <v>1995</v>
      </c>
      <c r="F908" s="39" t="s">
        <v>575</v>
      </c>
      <c r="G908" s="39" t="s">
        <v>169</v>
      </c>
      <c r="H908" s="39">
        <v>45.231000000000002</v>
      </c>
      <c r="I908" s="39">
        <v>-122.756</v>
      </c>
      <c r="J908" s="39">
        <v>48.4</v>
      </c>
      <c r="N908" s="39">
        <v>1040</v>
      </c>
      <c r="O908" s="39" t="s">
        <v>176</v>
      </c>
      <c r="P908" s="58" t="s">
        <v>186</v>
      </c>
      <c r="Q908" s="58"/>
      <c r="R908" s="58" t="s">
        <v>308</v>
      </c>
      <c r="S908" s="58" t="s">
        <v>658</v>
      </c>
      <c r="U908" s="39">
        <v>31.3</v>
      </c>
      <c r="V908" s="39">
        <v>54</v>
      </c>
      <c r="W908" s="39" t="s">
        <v>175</v>
      </c>
      <c r="AA908" s="39" t="s">
        <v>1703</v>
      </c>
      <c r="AB908" s="39" t="s">
        <v>777</v>
      </c>
      <c r="AC908" s="39" t="s">
        <v>1737</v>
      </c>
      <c r="AD908" s="39" t="s">
        <v>830</v>
      </c>
      <c r="AE908" s="39" t="s">
        <v>830</v>
      </c>
      <c r="AF908" s="39" t="s">
        <v>252</v>
      </c>
      <c r="AM908" s="39" t="s">
        <v>160</v>
      </c>
      <c r="AN908" s="39">
        <v>4</v>
      </c>
      <c r="AO908" s="39">
        <v>4</v>
      </c>
      <c r="AP908" s="39" t="s">
        <v>184</v>
      </c>
      <c r="BE908" s="39">
        <f>18.3/10</f>
        <v>1.83</v>
      </c>
      <c r="BF908" s="39">
        <v>1.76</v>
      </c>
      <c r="BG908" s="39" t="s">
        <v>832</v>
      </c>
      <c r="BJ908" s="39" t="s">
        <v>833</v>
      </c>
      <c r="DP908" s="39">
        <v>52.5</v>
      </c>
      <c r="DQ908" s="39">
        <v>64.900000000000006</v>
      </c>
      <c r="DR908" s="39" t="s">
        <v>837</v>
      </c>
      <c r="DS908" s="39">
        <v>62.1</v>
      </c>
      <c r="DT908" s="39">
        <v>62.1</v>
      </c>
      <c r="EE908" s="39">
        <v>135</v>
      </c>
      <c r="EF908" s="39">
        <v>206</v>
      </c>
      <c r="EG908" s="39" t="s">
        <v>834</v>
      </c>
      <c r="EL908" s="39" t="s">
        <v>838</v>
      </c>
      <c r="EN908" s="39">
        <v>43</v>
      </c>
    </row>
    <row r="909" spans="1:144" s="26" customFormat="1" x14ac:dyDescent="0.25">
      <c r="A909" s="26">
        <v>43</v>
      </c>
      <c r="B909" s="26" t="s">
        <v>828</v>
      </c>
      <c r="C909" s="26" t="s">
        <v>829</v>
      </c>
      <c r="D909" s="26">
        <v>1999</v>
      </c>
      <c r="E909" s="26">
        <v>1996</v>
      </c>
      <c r="F909" s="26" t="s">
        <v>575</v>
      </c>
      <c r="G909" s="26" t="s">
        <v>169</v>
      </c>
      <c r="H909" s="26">
        <v>45.231000000000002</v>
      </c>
      <c r="I909" s="26">
        <v>-122.756</v>
      </c>
      <c r="J909" s="26">
        <v>48.4</v>
      </c>
      <c r="N909" s="26">
        <v>1040</v>
      </c>
      <c r="O909" s="26" t="s">
        <v>176</v>
      </c>
      <c r="P909" s="52" t="s">
        <v>187</v>
      </c>
      <c r="Q909" s="52"/>
      <c r="R909" s="52" t="s">
        <v>802</v>
      </c>
      <c r="S909" s="52" t="s">
        <v>658</v>
      </c>
      <c r="U909" s="26">
        <v>31.3</v>
      </c>
      <c r="V909" s="26">
        <v>54</v>
      </c>
      <c r="W909" s="26" t="s">
        <v>175</v>
      </c>
      <c r="AA909" s="26" t="s">
        <v>1703</v>
      </c>
      <c r="AB909" s="26" t="s">
        <v>831</v>
      </c>
      <c r="AC909" s="26" t="s">
        <v>1737</v>
      </c>
      <c r="AD909" s="26" t="s">
        <v>830</v>
      </c>
      <c r="AE909" s="26" t="s">
        <v>830</v>
      </c>
      <c r="AF909" s="26" t="s">
        <v>252</v>
      </c>
      <c r="AM909" s="26" t="s">
        <v>160</v>
      </c>
      <c r="AN909" s="26">
        <v>4</v>
      </c>
      <c r="AO909" s="26">
        <v>4</v>
      </c>
      <c r="AP909" s="26" t="s">
        <v>184</v>
      </c>
      <c r="BE909" s="26">
        <v>1.64</v>
      </c>
      <c r="BF909" s="26">
        <v>1.46</v>
      </c>
      <c r="BG909" s="26" t="s">
        <v>832</v>
      </c>
      <c r="BH909" s="26">
        <v>839</v>
      </c>
      <c r="BI909" s="26">
        <v>718</v>
      </c>
      <c r="BJ909" s="26" t="s">
        <v>833</v>
      </c>
      <c r="DP909" s="26">
        <v>51.9</v>
      </c>
      <c r="DQ909" s="26">
        <v>64.8</v>
      </c>
      <c r="DR909" s="26" t="s">
        <v>837</v>
      </c>
      <c r="DS909" s="26">
        <v>30.3</v>
      </c>
      <c r="DT909" s="26">
        <v>47.6</v>
      </c>
      <c r="DV909" s="26">
        <v>10.4</v>
      </c>
      <c r="DW909" s="26">
        <v>16.600000000000001</v>
      </c>
      <c r="EE909" s="26">
        <v>109</v>
      </c>
      <c r="EF909" s="26">
        <v>91</v>
      </c>
      <c r="EG909" s="26" t="s">
        <v>834</v>
      </c>
      <c r="EL909" s="26" t="s">
        <v>838</v>
      </c>
      <c r="EN909" s="26">
        <v>43</v>
      </c>
    </row>
    <row r="910" spans="1:144" s="26" customFormat="1" x14ac:dyDescent="0.25">
      <c r="A910" s="26">
        <v>43</v>
      </c>
      <c r="B910" s="26" t="s">
        <v>828</v>
      </c>
      <c r="C910" s="26" t="s">
        <v>829</v>
      </c>
      <c r="D910" s="26">
        <v>1999</v>
      </c>
      <c r="E910" s="26">
        <v>1996</v>
      </c>
      <c r="F910" s="26" t="s">
        <v>575</v>
      </c>
      <c r="G910" s="26" t="s">
        <v>169</v>
      </c>
      <c r="H910" s="26">
        <v>45.231000000000002</v>
      </c>
      <c r="I910" s="26">
        <v>-122.756</v>
      </c>
      <c r="J910" s="26">
        <v>48.4</v>
      </c>
      <c r="N910" s="26">
        <v>1040</v>
      </c>
      <c r="O910" s="26" t="s">
        <v>176</v>
      </c>
      <c r="P910" s="52" t="s">
        <v>187</v>
      </c>
      <c r="Q910" s="52"/>
      <c r="R910" s="52" t="s">
        <v>802</v>
      </c>
      <c r="S910" s="52" t="s">
        <v>658</v>
      </c>
      <c r="U910" s="26">
        <v>31.3</v>
      </c>
      <c r="V910" s="26">
        <v>54</v>
      </c>
      <c r="W910" s="26" t="s">
        <v>175</v>
      </c>
      <c r="AA910" s="26" t="s">
        <v>1703</v>
      </c>
      <c r="AB910" s="26" t="s">
        <v>777</v>
      </c>
      <c r="AC910" s="26" t="s">
        <v>1737</v>
      </c>
      <c r="AD910" s="26" t="s">
        <v>830</v>
      </c>
      <c r="AE910" s="26" t="s">
        <v>830</v>
      </c>
      <c r="AF910" s="26" t="s">
        <v>252</v>
      </c>
      <c r="AM910" s="26" t="s">
        <v>160</v>
      </c>
      <c r="AN910" s="26">
        <v>4</v>
      </c>
      <c r="AO910" s="26">
        <v>4</v>
      </c>
      <c r="AP910" s="26" t="s">
        <v>184</v>
      </c>
      <c r="BE910" s="26">
        <v>1.64</v>
      </c>
      <c r="BF910" s="26">
        <v>1.63</v>
      </c>
      <c r="BG910" s="26" t="s">
        <v>832</v>
      </c>
      <c r="BH910" s="26">
        <v>839</v>
      </c>
      <c r="BI910" s="26">
        <v>753</v>
      </c>
      <c r="BJ910" s="26" t="s">
        <v>833</v>
      </c>
      <c r="DP910" s="26">
        <v>51.9</v>
      </c>
      <c r="DQ910" s="26">
        <v>73.099999999999994</v>
      </c>
      <c r="DR910" s="26" t="s">
        <v>837</v>
      </c>
      <c r="DS910" s="26">
        <v>30.3</v>
      </c>
      <c r="DT910" s="26">
        <v>45.4</v>
      </c>
      <c r="DV910" s="26">
        <v>10.4</v>
      </c>
      <c r="DW910" s="26">
        <v>13.4</v>
      </c>
      <c r="EE910" s="26">
        <v>109</v>
      </c>
      <c r="EF910" s="26">
        <v>104</v>
      </c>
      <c r="EG910" s="26" t="s">
        <v>834</v>
      </c>
      <c r="EL910" s="26" t="s">
        <v>838</v>
      </c>
      <c r="EN910" s="26">
        <v>43</v>
      </c>
    </row>
    <row r="911" spans="1:144" s="26" customFormat="1" x14ac:dyDescent="0.25">
      <c r="A911" s="26">
        <v>43</v>
      </c>
      <c r="B911" s="26" t="s">
        <v>828</v>
      </c>
      <c r="C911" s="26" t="s">
        <v>829</v>
      </c>
      <c r="D911" s="26">
        <v>1999</v>
      </c>
      <c r="E911" s="26">
        <v>1996</v>
      </c>
      <c r="F911" s="26" t="s">
        <v>575</v>
      </c>
      <c r="G911" s="26" t="s">
        <v>169</v>
      </c>
      <c r="H911" s="26">
        <v>45.231000000000002</v>
      </c>
      <c r="I911" s="26">
        <v>-122.756</v>
      </c>
      <c r="J911" s="26">
        <v>48.4</v>
      </c>
      <c r="N911" s="26">
        <v>1040</v>
      </c>
      <c r="O911" s="26" t="s">
        <v>176</v>
      </c>
      <c r="P911" s="52" t="s">
        <v>187</v>
      </c>
      <c r="Q911" s="52"/>
      <c r="R911" s="52" t="s">
        <v>308</v>
      </c>
      <c r="S911" s="52" t="s">
        <v>658</v>
      </c>
      <c r="U911" s="26">
        <v>31.3</v>
      </c>
      <c r="V911" s="26">
        <v>54</v>
      </c>
      <c r="W911" s="26" t="s">
        <v>175</v>
      </c>
      <c r="AA911" s="26" t="s">
        <v>1703</v>
      </c>
      <c r="AB911" s="26" t="s">
        <v>831</v>
      </c>
      <c r="AC911" s="26" t="s">
        <v>1737</v>
      </c>
      <c r="AD911" s="26" t="s">
        <v>830</v>
      </c>
      <c r="AE911" s="26" t="s">
        <v>830</v>
      </c>
      <c r="AF911" s="26" t="s">
        <v>252</v>
      </c>
      <c r="AM911" s="26" t="s">
        <v>160</v>
      </c>
      <c r="AN911" s="26">
        <v>4</v>
      </c>
      <c r="AO911" s="26">
        <v>4</v>
      </c>
      <c r="AP911" s="26" t="s">
        <v>184</v>
      </c>
      <c r="BE911" s="26">
        <v>1.75</v>
      </c>
      <c r="BF911" s="26">
        <v>1.43</v>
      </c>
      <c r="BG911" s="26" t="s">
        <v>832</v>
      </c>
      <c r="BH911" s="26">
        <v>843</v>
      </c>
      <c r="BI911" s="26">
        <v>792</v>
      </c>
      <c r="BJ911" s="26" t="s">
        <v>833</v>
      </c>
      <c r="DP911" s="26">
        <v>77.400000000000006</v>
      </c>
      <c r="DQ911" s="26">
        <v>109.2</v>
      </c>
      <c r="DR911" s="26" t="s">
        <v>837</v>
      </c>
      <c r="DS911" s="26">
        <v>43.3</v>
      </c>
      <c r="DT911" s="26">
        <v>48.4</v>
      </c>
      <c r="DV911" s="26">
        <v>7.1</v>
      </c>
      <c r="DW911" s="26">
        <v>8.3000000000000007</v>
      </c>
      <c r="EE911" s="26">
        <v>112</v>
      </c>
      <c r="EF911" s="26">
        <v>115</v>
      </c>
      <c r="EG911" s="26" t="s">
        <v>834</v>
      </c>
      <c r="EL911" s="26" t="s">
        <v>838</v>
      </c>
      <c r="EN911" s="26">
        <v>43</v>
      </c>
    </row>
    <row r="912" spans="1:144" s="26" customFormat="1" x14ac:dyDescent="0.25">
      <c r="A912" s="26">
        <v>43</v>
      </c>
      <c r="B912" s="26" t="s">
        <v>828</v>
      </c>
      <c r="C912" s="26" t="s">
        <v>829</v>
      </c>
      <c r="D912" s="26">
        <v>1999</v>
      </c>
      <c r="E912" s="26">
        <v>1996</v>
      </c>
      <c r="F912" s="26" t="s">
        <v>575</v>
      </c>
      <c r="G912" s="26" t="s">
        <v>169</v>
      </c>
      <c r="H912" s="26">
        <v>45.231000000000002</v>
      </c>
      <c r="I912" s="26">
        <v>-122.756</v>
      </c>
      <c r="J912" s="26">
        <v>48.4</v>
      </c>
      <c r="N912" s="26">
        <v>1040</v>
      </c>
      <c r="O912" s="26" t="s">
        <v>176</v>
      </c>
      <c r="P912" s="52" t="s">
        <v>187</v>
      </c>
      <c r="Q912" s="52"/>
      <c r="R912" s="52" t="s">
        <v>308</v>
      </c>
      <c r="S912" s="52" t="s">
        <v>658</v>
      </c>
      <c r="U912" s="26">
        <v>31.3</v>
      </c>
      <c r="V912" s="26">
        <v>54</v>
      </c>
      <c r="W912" s="26" t="s">
        <v>175</v>
      </c>
      <c r="AA912" s="26" t="s">
        <v>1703</v>
      </c>
      <c r="AB912" s="26" t="s">
        <v>777</v>
      </c>
      <c r="AC912" s="26" t="s">
        <v>1737</v>
      </c>
      <c r="AD912" s="26" t="s">
        <v>830</v>
      </c>
      <c r="AE912" s="26" t="s">
        <v>830</v>
      </c>
      <c r="AF912" s="26" t="s">
        <v>252</v>
      </c>
      <c r="AM912" s="26" t="s">
        <v>160</v>
      </c>
      <c r="AN912" s="26">
        <v>4</v>
      </c>
      <c r="AO912" s="26">
        <v>4</v>
      </c>
      <c r="AP912" s="26" t="s">
        <v>184</v>
      </c>
      <c r="BE912" s="26">
        <v>1.75</v>
      </c>
      <c r="BF912" s="26">
        <v>1.73</v>
      </c>
      <c r="BG912" s="26" t="s">
        <v>832</v>
      </c>
      <c r="BH912" s="26">
        <v>843</v>
      </c>
      <c r="BI912" s="26">
        <v>809</v>
      </c>
      <c r="BJ912" s="26" t="s">
        <v>833</v>
      </c>
      <c r="DP912" s="26">
        <v>77.400000000000006</v>
      </c>
      <c r="DQ912" s="26">
        <v>115.2</v>
      </c>
      <c r="DR912" s="26" t="s">
        <v>837</v>
      </c>
      <c r="DS912" s="26">
        <v>43.3</v>
      </c>
      <c r="DT912" s="26">
        <v>59</v>
      </c>
      <c r="DV912" s="26">
        <v>7.1</v>
      </c>
      <c r="DW912" s="26">
        <v>9.6999999999999993</v>
      </c>
      <c r="EE912" s="26">
        <v>112</v>
      </c>
      <c r="EF912" s="26">
        <v>124</v>
      </c>
      <c r="EG912" s="26" t="s">
        <v>834</v>
      </c>
      <c r="EL912" s="26" t="s">
        <v>838</v>
      </c>
      <c r="EN912" s="26">
        <v>43</v>
      </c>
    </row>
    <row r="913" spans="1:144" s="31" customFormat="1" x14ac:dyDescent="0.25">
      <c r="A913" s="31">
        <v>44</v>
      </c>
      <c r="B913" s="31" t="s">
        <v>839</v>
      </c>
      <c r="C913" s="31" t="s">
        <v>840</v>
      </c>
      <c r="D913" s="31">
        <v>2000</v>
      </c>
      <c r="E913" s="31">
        <v>1996</v>
      </c>
      <c r="F913" s="31" t="s">
        <v>841</v>
      </c>
      <c r="G913" s="31" t="s">
        <v>842</v>
      </c>
      <c r="H913" s="31">
        <v>45.01</v>
      </c>
      <c r="I913" s="31">
        <v>-122.78</v>
      </c>
      <c r="J913" s="31">
        <v>78.5</v>
      </c>
      <c r="N913" s="31">
        <v>1040</v>
      </c>
      <c r="O913" s="31" t="s">
        <v>176</v>
      </c>
      <c r="P913" s="56" t="s">
        <v>186</v>
      </c>
      <c r="Q913" s="56"/>
      <c r="R913" s="56"/>
      <c r="S913" s="56" t="s">
        <v>659</v>
      </c>
      <c r="U913" s="31">
        <v>7</v>
      </c>
      <c r="V913" s="31">
        <v>67</v>
      </c>
      <c r="W913" s="31" t="s">
        <v>846</v>
      </c>
      <c r="AA913" s="31" t="s">
        <v>1652</v>
      </c>
      <c r="AB913" s="31" t="s">
        <v>173</v>
      </c>
      <c r="AC913" s="31" t="s">
        <v>849</v>
      </c>
      <c r="AD913" s="31" t="s">
        <v>854</v>
      </c>
      <c r="AE913" s="31" t="s">
        <v>854</v>
      </c>
      <c r="AF913" s="31" t="s">
        <v>252</v>
      </c>
      <c r="AM913" s="31" t="s">
        <v>160</v>
      </c>
      <c r="AN913" s="31">
        <v>4</v>
      </c>
      <c r="AO913" s="31">
        <v>4</v>
      </c>
      <c r="AP913" s="31" t="s">
        <v>448</v>
      </c>
      <c r="BE913" s="31">
        <v>1.95</v>
      </c>
      <c r="BF913" s="31">
        <v>1.9300000000000002</v>
      </c>
      <c r="BG913" s="31" t="s">
        <v>1211</v>
      </c>
      <c r="BH913" s="31">
        <f>1.6*1000</f>
        <v>1600</v>
      </c>
      <c r="BI913" s="31">
        <v>1700</v>
      </c>
      <c r="BN913" s="31">
        <f>0.69*390</f>
        <v>269.09999999999997</v>
      </c>
      <c r="BO913" s="31">
        <f>0.65*390</f>
        <v>253.5</v>
      </c>
      <c r="BQ913" s="31">
        <v>5.74</v>
      </c>
      <c r="BR913" s="31">
        <v>5.74</v>
      </c>
      <c r="BT913" s="31">
        <v>26.32</v>
      </c>
      <c r="BU913" s="31">
        <v>27.04</v>
      </c>
      <c r="BZ913" s="31">
        <v>11.82</v>
      </c>
      <c r="CA913" s="31">
        <v>11.63</v>
      </c>
      <c r="CB913" s="31" t="s">
        <v>859</v>
      </c>
      <c r="EL913" s="31" t="s">
        <v>880</v>
      </c>
      <c r="EM913" s="31" t="s">
        <v>1036</v>
      </c>
      <c r="EN913" s="31">
        <v>44</v>
      </c>
    </row>
    <row r="914" spans="1:144" s="31" customFormat="1" x14ac:dyDescent="0.25">
      <c r="A914" s="31">
        <v>44</v>
      </c>
      <c r="B914" s="31" t="s">
        <v>839</v>
      </c>
      <c r="C914" s="31" t="s">
        <v>840</v>
      </c>
      <c r="D914" s="31">
        <v>2000</v>
      </c>
      <c r="E914" s="31">
        <v>1996</v>
      </c>
      <c r="F914" s="31" t="s">
        <v>841</v>
      </c>
      <c r="G914" s="31" t="s">
        <v>843</v>
      </c>
      <c r="H914" s="31">
        <v>44.94</v>
      </c>
      <c r="I914" s="31">
        <v>-123.04</v>
      </c>
      <c r="J914" s="31">
        <v>49.3</v>
      </c>
      <c r="N914" s="31">
        <v>1040</v>
      </c>
      <c r="O914" s="31" t="s">
        <v>176</v>
      </c>
      <c r="P914" s="56" t="s">
        <v>186</v>
      </c>
      <c r="Q914" s="56"/>
      <c r="R914" s="56"/>
      <c r="S914" s="56" t="s">
        <v>659</v>
      </c>
      <c r="U914" s="31">
        <v>43</v>
      </c>
      <c r="V914" s="31">
        <v>41</v>
      </c>
      <c r="W914" s="31" t="s">
        <v>182</v>
      </c>
      <c r="AA914" s="31" t="s">
        <v>1652</v>
      </c>
      <c r="AB914" s="31" t="s">
        <v>1517</v>
      </c>
      <c r="AC914" s="31" t="s">
        <v>174</v>
      </c>
      <c r="AD914" s="31" t="s">
        <v>855</v>
      </c>
      <c r="AE914" s="31" t="s">
        <v>855</v>
      </c>
      <c r="AF914" s="31" t="s">
        <v>252</v>
      </c>
      <c r="AM914" s="31" t="s">
        <v>160</v>
      </c>
      <c r="AN914" s="31">
        <v>4</v>
      </c>
      <c r="AO914" s="31">
        <v>4</v>
      </c>
      <c r="AP914" s="31" t="s">
        <v>448</v>
      </c>
      <c r="BE914" s="31">
        <v>1.95</v>
      </c>
      <c r="BF914" s="31">
        <v>1.9300000000000002</v>
      </c>
      <c r="BG914" s="31" t="s">
        <v>1211</v>
      </c>
      <c r="BH914" s="31">
        <f t="shared" ref="BH914:BH916" si="216">1.6*1000</f>
        <v>1600</v>
      </c>
      <c r="BI914" s="31">
        <v>1700</v>
      </c>
      <c r="BN914" s="31">
        <f t="shared" ref="BN914:BN916" si="217">0.69*390</f>
        <v>269.09999999999997</v>
      </c>
      <c r="BO914" s="31">
        <f t="shared" ref="BO914:BO916" si="218">0.65*390</f>
        <v>253.5</v>
      </c>
      <c r="BQ914" s="31">
        <v>5.74</v>
      </c>
      <c r="BR914" s="31">
        <v>5.74</v>
      </c>
      <c r="BT914" s="31">
        <v>26.32</v>
      </c>
      <c r="BU914" s="31">
        <v>27.04</v>
      </c>
      <c r="BZ914" s="31">
        <v>11.82</v>
      </c>
      <c r="CA914" s="31">
        <v>11.63</v>
      </c>
      <c r="CB914" s="31" t="s">
        <v>859</v>
      </c>
      <c r="EL914" s="31" t="s">
        <v>880</v>
      </c>
      <c r="EM914" s="31" t="s">
        <v>1036</v>
      </c>
      <c r="EN914" s="31">
        <v>44</v>
      </c>
    </row>
    <row r="915" spans="1:144" s="31" customFormat="1" x14ac:dyDescent="0.25">
      <c r="A915" s="31">
        <v>44</v>
      </c>
      <c r="B915" s="31" t="s">
        <v>839</v>
      </c>
      <c r="C915" s="31" t="s">
        <v>840</v>
      </c>
      <c r="D915" s="31">
        <v>2000</v>
      </c>
      <c r="E915" s="31">
        <v>1996</v>
      </c>
      <c r="F915" s="31" t="s">
        <v>841</v>
      </c>
      <c r="G915" s="31" t="s">
        <v>845</v>
      </c>
      <c r="H915" s="31">
        <v>45.15</v>
      </c>
      <c r="I915" s="31">
        <v>-122.58</v>
      </c>
      <c r="J915" s="31">
        <v>112.8</v>
      </c>
      <c r="N915" s="31">
        <v>1040</v>
      </c>
      <c r="O915" s="31" t="s">
        <v>176</v>
      </c>
      <c r="P915" s="56" t="s">
        <v>186</v>
      </c>
      <c r="Q915" s="56"/>
      <c r="R915" s="56"/>
      <c r="S915" s="56" t="s">
        <v>659</v>
      </c>
      <c r="U915" s="31">
        <v>10</v>
      </c>
      <c r="V915" s="31">
        <v>70</v>
      </c>
      <c r="W915" s="31" t="s">
        <v>175</v>
      </c>
      <c r="AA915" s="31" t="s">
        <v>1652</v>
      </c>
      <c r="AB915" s="31" t="s">
        <v>713</v>
      </c>
      <c r="AC915" s="31" t="s">
        <v>174</v>
      </c>
      <c r="AD915" s="31" t="s">
        <v>854</v>
      </c>
      <c r="AE915" s="31" t="s">
        <v>854</v>
      </c>
      <c r="AF915" s="31" t="s">
        <v>252</v>
      </c>
      <c r="AM915" s="31" t="s">
        <v>160</v>
      </c>
      <c r="AN915" s="31">
        <v>4</v>
      </c>
      <c r="AO915" s="31">
        <v>4</v>
      </c>
      <c r="AP915" s="31" t="s">
        <v>448</v>
      </c>
      <c r="BE915" s="31">
        <v>1.95</v>
      </c>
      <c r="BF915" s="31">
        <v>1.9300000000000002</v>
      </c>
      <c r="BG915" s="31" t="s">
        <v>1211</v>
      </c>
      <c r="BH915" s="31">
        <f t="shared" si="216"/>
        <v>1600</v>
      </c>
      <c r="BI915" s="31">
        <v>1700</v>
      </c>
      <c r="BN915" s="31">
        <f t="shared" si="217"/>
        <v>269.09999999999997</v>
      </c>
      <c r="BO915" s="31">
        <f t="shared" si="218"/>
        <v>253.5</v>
      </c>
      <c r="BQ915" s="31">
        <v>5.74</v>
      </c>
      <c r="BR915" s="31">
        <v>5.74</v>
      </c>
      <c r="BT915" s="31">
        <v>26.32</v>
      </c>
      <c r="BU915" s="31">
        <v>27.04</v>
      </c>
      <c r="BZ915" s="31">
        <v>11.82</v>
      </c>
      <c r="CA915" s="31">
        <v>11.63</v>
      </c>
      <c r="CB915" s="31" t="s">
        <v>859</v>
      </c>
      <c r="EL915" s="31" t="s">
        <v>880</v>
      </c>
      <c r="EM915" s="31" t="s">
        <v>1036</v>
      </c>
      <c r="EN915" s="31">
        <v>44</v>
      </c>
    </row>
    <row r="916" spans="1:144" s="31" customFormat="1" x14ac:dyDescent="0.25">
      <c r="A916" s="31">
        <v>44</v>
      </c>
      <c r="B916" s="31" t="s">
        <v>839</v>
      </c>
      <c r="C916" s="31" t="s">
        <v>840</v>
      </c>
      <c r="D916" s="31">
        <v>2000</v>
      </c>
      <c r="E916" s="31">
        <v>1996</v>
      </c>
      <c r="F916" s="31" t="s">
        <v>841</v>
      </c>
      <c r="G916" s="31" t="s">
        <v>844</v>
      </c>
      <c r="H916" s="31">
        <v>45.11</v>
      </c>
      <c r="I916" s="31">
        <v>-122.9</v>
      </c>
      <c r="J916" s="31">
        <v>57.3</v>
      </c>
      <c r="N916" s="31">
        <v>1040</v>
      </c>
      <c r="O916" s="31" t="s">
        <v>176</v>
      </c>
      <c r="P916" s="56" t="s">
        <v>186</v>
      </c>
      <c r="Q916" s="56"/>
      <c r="R916" s="56"/>
      <c r="S916" s="56" t="s">
        <v>659</v>
      </c>
      <c r="U916" s="31">
        <v>9</v>
      </c>
      <c r="V916" s="31">
        <v>70</v>
      </c>
      <c r="W916" s="31" t="s">
        <v>175</v>
      </c>
      <c r="AA916" s="31" t="s">
        <v>1652</v>
      </c>
      <c r="AB916" s="31" t="s">
        <v>326</v>
      </c>
      <c r="AC916" s="31" t="s">
        <v>174</v>
      </c>
      <c r="AD916" s="31" t="s">
        <v>856</v>
      </c>
      <c r="AE916" s="31" t="s">
        <v>856</v>
      </c>
      <c r="AF916" s="31" t="s">
        <v>252</v>
      </c>
      <c r="AM916" s="31" t="s">
        <v>160</v>
      </c>
      <c r="AN916" s="31">
        <v>4</v>
      </c>
      <c r="AO916" s="31">
        <v>4</v>
      </c>
      <c r="AP916" s="31" t="s">
        <v>448</v>
      </c>
      <c r="BE916" s="31">
        <v>1.95</v>
      </c>
      <c r="BF916" s="31">
        <v>1.9300000000000002</v>
      </c>
      <c r="BG916" s="31" t="s">
        <v>1211</v>
      </c>
      <c r="BH916" s="31">
        <f t="shared" si="216"/>
        <v>1600</v>
      </c>
      <c r="BI916" s="31">
        <v>1700</v>
      </c>
      <c r="BN916" s="31">
        <f t="shared" si="217"/>
        <v>269.09999999999997</v>
      </c>
      <c r="BO916" s="31">
        <f t="shared" si="218"/>
        <v>253.5</v>
      </c>
      <c r="BQ916" s="31">
        <v>5.74</v>
      </c>
      <c r="BR916" s="31">
        <v>5.74</v>
      </c>
      <c r="BT916" s="31">
        <v>26.32</v>
      </c>
      <c r="BU916" s="31">
        <v>27.04</v>
      </c>
      <c r="BZ916" s="31">
        <v>11.82</v>
      </c>
      <c r="CA916" s="31">
        <v>11.63</v>
      </c>
      <c r="CB916" s="31" t="s">
        <v>859</v>
      </c>
      <c r="EL916" s="31" t="s">
        <v>880</v>
      </c>
      <c r="EM916" s="31" t="s">
        <v>1036</v>
      </c>
      <c r="EN916" s="31">
        <v>44</v>
      </c>
    </row>
    <row r="917" spans="1:144" s="23" customFormat="1" x14ac:dyDescent="0.25">
      <c r="A917" s="23">
        <v>44</v>
      </c>
      <c r="B917" s="23" t="s">
        <v>839</v>
      </c>
      <c r="C917" s="23" t="s">
        <v>840</v>
      </c>
      <c r="D917" s="23">
        <v>2000</v>
      </c>
      <c r="E917" s="23">
        <v>1996</v>
      </c>
      <c r="F917" s="23" t="s">
        <v>841</v>
      </c>
      <c r="G917" s="23" t="s">
        <v>847</v>
      </c>
      <c r="H917" s="23">
        <v>45.231000000000002</v>
      </c>
      <c r="I917" s="23">
        <v>-122.756</v>
      </c>
      <c r="J917" s="23">
        <v>48.4</v>
      </c>
      <c r="N917" s="23">
        <v>1040</v>
      </c>
      <c r="O917" s="23" t="s">
        <v>176</v>
      </c>
      <c r="P917" s="23" t="s">
        <v>186</v>
      </c>
      <c r="R917" s="53"/>
      <c r="S917" s="53" t="s">
        <v>659</v>
      </c>
      <c r="T917" s="53"/>
      <c r="U917" s="23">
        <v>28</v>
      </c>
      <c r="V917" s="23">
        <v>54</v>
      </c>
      <c r="W917" s="23" t="s">
        <v>175</v>
      </c>
      <c r="AA917" s="23" t="s">
        <v>1652</v>
      </c>
      <c r="AB917" s="23" t="s">
        <v>878</v>
      </c>
      <c r="AC917" s="23" t="s">
        <v>850</v>
      </c>
      <c r="AD917" s="23" t="s">
        <v>857</v>
      </c>
      <c r="AE917" s="23" t="s">
        <v>857</v>
      </c>
      <c r="AF917" s="23" t="s">
        <v>252</v>
      </c>
      <c r="AM917" s="23" t="s">
        <v>160</v>
      </c>
      <c r="AN917" s="23">
        <v>4</v>
      </c>
      <c r="AO917" s="23">
        <v>4</v>
      </c>
      <c r="AP917" s="23" t="s">
        <v>448</v>
      </c>
      <c r="BE917" s="23">
        <v>1.8199999999999998</v>
      </c>
      <c r="BF917" s="23">
        <v>1.6</v>
      </c>
      <c r="BG917" s="23" t="s">
        <v>1211</v>
      </c>
      <c r="BH917" s="23">
        <v>1300</v>
      </c>
      <c r="BI917" s="23">
        <v>1200</v>
      </c>
      <c r="BN917" s="23">
        <f>0.45*390</f>
        <v>175.5</v>
      </c>
      <c r="BO917" s="23">
        <f>0.49*390</f>
        <v>191.1</v>
      </c>
      <c r="BP917" s="31"/>
      <c r="BQ917" s="23">
        <v>5.3</v>
      </c>
      <c r="BR917" s="23">
        <v>4.9000000000000004</v>
      </c>
      <c r="BT917" s="23">
        <v>23.4</v>
      </c>
      <c r="BU917" s="23">
        <v>22.96</v>
      </c>
      <c r="BZ917" s="23">
        <v>6.3</v>
      </c>
      <c r="CA917" s="23">
        <v>7.55</v>
      </c>
      <c r="CB917" s="23" t="s">
        <v>859</v>
      </c>
      <c r="EL917" s="31" t="s">
        <v>880</v>
      </c>
      <c r="EM917" s="31" t="s">
        <v>1036</v>
      </c>
      <c r="EN917" s="23">
        <v>44</v>
      </c>
    </row>
    <row r="918" spans="1:144" s="23" customFormat="1" x14ac:dyDescent="0.25">
      <c r="A918" s="23">
        <v>44</v>
      </c>
      <c r="B918" s="23" t="s">
        <v>839</v>
      </c>
      <c r="C918" s="23" t="s">
        <v>840</v>
      </c>
      <c r="D918" s="23">
        <v>2000</v>
      </c>
      <c r="E918" s="23">
        <v>1996</v>
      </c>
      <c r="F918" s="23" t="s">
        <v>841</v>
      </c>
      <c r="G918" s="23" t="s">
        <v>848</v>
      </c>
      <c r="H918" s="23">
        <v>44.94</v>
      </c>
      <c r="I918" s="23">
        <v>-122.93</v>
      </c>
      <c r="J918" s="23">
        <v>66.5</v>
      </c>
      <c r="N918" s="23">
        <v>1040</v>
      </c>
      <c r="O918" s="23" t="s">
        <v>176</v>
      </c>
      <c r="P918" s="53" t="s">
        <v>186</v>
      </c>
      <c r="Q918" s="53"/>
      <c r="R918" s="53"/>
      <c r="S918" s="53" t="s">
        <v>659</v>
      </c>
      <c r="U918" s="23">
        <v>22</v>
      </c>
      <c r="V918" s="23">
        <v>52</v>
      </c>
      <c r="W918" s="23" t="s">
        <v>175</v>
      </c>
      <c r="AA918" s="23" t="s">
        <v>1652</v>
      </c>
      <c r="AB918" s="23" t="s">
        <v>851</v>
      </c>
      <c r="AC918" s="23" t="s">
        <v>174</v>
      </c>
      <c r="AD918" s="23" t="s">
        <v>858</v>
      </c>
      <c r="AE918" s="23" t="s">
        <v>858</v>
      </c>
      <c r="AF918" s="23" t="s">
        <v>252</v>
      </c>
      <c r="AM918" s="23" t="s">
        <v>160</v>
      </c>
      <c r="AN918" s="23">
        <v>4</v>
      </c>
      <c r="AO918" s="23">
        <v>4</v>
      </c>
      <c r="AP918" s="23" t="s">
        <v>448</v>
      </c>
      <c r="BE918" s="23">
        <v>1.53</v>
      </c>
      <c r="BF918" s="23">
        <v>1.7399999999999998</v>
      </c>
      <c r="BG918" s="23" t="s">
        <v>1211</v>
      </c>
      <c r="BH918" s="23">
        <v>1500</v>
      </c>
      <c r="BI918" s="23">
        <v>1400</v>
      </c>
      <c r="BN918" s="23">
        <f>0.6*390</f>
        <v>234</v>
      </c>
      <c r="BO918" s="23">
        <f>0.73*390</f>
        <v>284.7</v>
      </c>
      <c r="BP918" s="31"/>
      <c r="BQ918" s="23">
        <v>5.53</v>
      </c>
      <c r="BR918" s="23">
        <v>5.5</v>
      </c>
      <c r="BT918" s="23">
        <v>33.97</v>
      </c>
      <c r="BU918" s="23">
        <v>31.45</v>
      </c>
      <c r="BZ918" s="23">
        <v>16.079999999999998</v>
      </c>
      <c r="CA918" s="23">
        <v>16.55</v>
      </c>
      <c r="CB918" s="23" t="s">
        <v>859</v>
      </c>
      <c r="EL918" s="31" t="s">
        <v>880</v>
      </c>
      <c r="EM918" s="31" t="s">
        <v>1036</v>
      </c>
      <c r="EN918" s="23">
        <v>44</v>
      </c>
    </row>
    <row r="919" spans="1:144" s="31" customFormat="1" x14ac:dyDescent="0.25">
      <c r="A919" s="31">
        <v>44</v>
      </c>
      <c r="B919" s="31" t="s">
        <v>839</v>
      </c>
      <c r="C919" s="31" t="s">
        <v>840</v>
      </c>
      <c r="D919" s="31">
        <v>2000</v>
      </c>
      <c r="E919" s="31">
        <v>1996</v>
      </c>
      <c r="F919" s="31" t="s">
        <v>841</v>
      </c>
      <c r="G919" s="31" t="s">
        <v>873</v>
      </c>
      <c r="H919" s="31">
        <v>45.01</v>
      </c>
      <c r="I919" s="31">
        <v>-122.78</v>
      </c>
      <c r="J919" s="31">
        <v>78.5</v>
      </c>
      <c r="N919" s="31">
        <v>1040</v>
      </c>
      <c r="O919" s="31" t="s">
        <v>176</v>
      </c>
      <c r="P919" s="56" t="s">
        <v>186</v>
      </c>
      <c r="Q919" s="56"/>
      <c r="R919" s="56" t="s">
        <v>874</v>
      </c>
      <c r="S919" s="56" t="s">
        <v>659</v>
      </c>
      <c r="U919" s="31">
        <v>7</v>
      </c>
      <c r="V919" s="31">
        <v>67</v>
      </c>
      <c r="W919" s="31" t="s">
        <v>846</v>
      </c>
      <c r="AA919" s="31" t="s">
        <v>1652</v>
      </c>
      <c r="AB919" s="31" t="s">
        <v>173</v>
      </c>
      <c r="AC919" s="31" t="s">
        <v>849</v>
      </c>
      <c r="AD919" s="31" t="s">
        <v>854</v>
      </c>
      <c r="AE919" s="31" t="s">
        <v>854</v>
      </c>
      <c r="AF919" s="31" t="s">
        <v>252</v>
      </c>
      <c r="AM919" s="31" t="s">
        <v>160</v>
      </c>
      <c r="AN919" s="31">
        <v>4</v>
      </c>
      <c r="AO919" s="31">
        <v>4</v>
      </c>
      <c r="AP919" s="31" t="s">
        <v>448</v>
      </c>
      <c r="DP919" s="31">
        <v>102.23</v>
      </c>
      <c r="DQ919" s="31">
        <v>102.23</v>
      </c>
      <c r="DR919" s="31" t="s">
        <v>837</v>
      </c>
      <c r="EE919" s="31">
        <v>119.18</v>
      </c>
      <c r="EF919" s="31">
        <v>119.18</v>
      </c>
      <c r="EL919" s="31" t="s">
        <v>880</v>
      </c>
      <c r="EM919" s="31" t="s">
        <v>1036</v>
      </c>
      <c r="EN919" s="31">
        <v>44</v>
      </c>
    </row>
    <row r="920" spans="1:144" s="31" customFormat="1" x14ac:dyDescent="0.25">
      <c r="A920" s="31">
        <v>44</v>
      </c>
      <c r="B920" s="31" t="s">
        <v>839</v>
      </c>
      <c r="C920" s="31" t="s">
        <v>840</v>
      </c>
      <c r="D920" s="31">
        <v>2000</v>
      </c>
      <c r="E920" s="31">
        <v>1997</v>
      </c>
      <c r="F920" s="31" t="s">
        <v>841</v>
      </c>
      <c r="G920" s="31" t="s">
        <v>873</v>
      </c>
      <c r="H920" s="31">
        <v>45.01</v>
      </c>
      <c r="I920" s="31">
        <v>-122.78</v>
      </c>
      <c r="J920" s="31">
        <v>78.5</v>
      </c>
      <c r="N920" s="31">
        <v>1040</v>
      </c>
      <c r="O920" s="31" t="s">
        <v>176</v>
      </c>
      <c r="P920" s="56" t="s">
        <v>187</v>
      </c>
      <c r="Q920" s="56"/>
      <c r="R920" s="56" t="s">
        <v>875</v>
      </c>
      <c r="S920" s="56" t="s">
        <v>659</v>
      </c>
      <c r="U920" s="31">
        <v>7</v>
      </c>
      <c r="V920" s="31">
        <v>67</v>
      </c>
      <c r="W920" s="31" t="s">
        <v>846</v>
      </c>
      <c r="AA920" s="31" t="s">
        <v>1652</v>
      </c>
      <c r="AB920" s="31" t="s">
        <v>173</v>
      </c>
      <c r="AC920" s="31" t="s">
        <v>849</v>
      </c>
      <c r="AD920" s="31" t="s">
        <v>854</v>
      </c>
      <c r="AE920" s="31" t="s">
        <v>854</v>
      </c>
      <c r="AF920" s="31" t="s">
        <v>252</v>
      </c>
      <c r="AM920" s="31" t="s">
        <v>160</v>
      </c>
      <c r="AN920" s="31">
        <v>4</v>
      </c>
      <c r="AO920" s="31">
        <v>4</v>
      </c>
      <c r="AP920" s="31" t="s">
        <v>448</v>
      </c>
      <c r="DP920" s="31">
        <v>125.4</v>
      </c>
      <c r="DQ920" s="31">
        <v>148.54</v>
      </c>
      <c r="DR920" s="31" t="s">
        <v>837</v>
      </c>
      <c r="EE920" s="31">
        <v>177</v>
      </c>
      <c r="EF920" s="31">
        <v>213.62</v>
      </c>
      <c r="EL920" s="31" t="s">
        <v>880</v>
      </c>
      <c r="EM920" s="31" t="s">
        <v>1036</v>
      </c>
      <c r="EN920" s="31">
        <v>44</v>
      </c>
    </row>
    <row r="921" spans="1:144" s="31" customFormat="1" x14ac:dyDescent="0.25">
      <c r="A921" s="31">
        <v>44</v>
      </c>
      <c r="B921" s="31" t="s">
        <v>839</v>
      </c>
      <c r="C921" s="31" t="s">
        <v>840</v>
      </c>
      <c r="D921" s="31">
        <v>2000</v>
      </c>
      <c r="E921" s="31">
        <v>1997</v>
      </c>
      <c r="F921" s="31" t="s">
        <v>841</v>
      </c>
      <c r="G921" s="31" t="s">
        <v>873</v>
      </c>
      <c r="H921" s="31">
        <v>45.01</v>
      </c>
      <c r="I921" s="31">
        <v>-122.78</v>
      </c>
      <c r="J921" s="31">
        <v>78.5</v>
      </c>
      <c r="N921" s="31">
        <v>1040</v>
      </c>
      <c r="O921" s="31" t="s">
        <v>176</v>
      </c>
      <c r="P921" s="56" t="s">
        <v>187</v>
      </c>
      <c r="Q921" s="56"/>
      <c r="R921" s="56" t="s">
        <v>874</v>
      </c>
      <c r="S921" s="56" t="s">
        <v>659</v>
      </c>
      <c r="U921" s="31">
        <v>7</v>
      </c>
      <c r="V921" s="31">
        <v>67</v>
      </c>
      <c r="W921" s="31" t="s">
        <v>846</v>
      </c>
      <c r="AA921" s="31" t="s">
        <v>1652</v>
      </c>
      <c r="AB921" s="31" t="s">
        <v>173</v>
      </c>
      <c r="AC921" s="31" t="s">
        <v>849</v>
      </c>
      <c r="AD921" s="31" t="s">
        <v>854</v>
      </c>
      <c r="AE921" s="31" t="s">
        <v>854</v>
      </c>
      <c r="AF921" s="31" t="s">
        <v>252</v>
      </c>
      <c r="AM921" s="31" t="s">
        <v>160</v>
      </c>
      <c r="AN921" s="31">
        <v>4</v>
      </c>
      <c r="AO921" s="31">
        <v>4</v>
      </c>
      <c r="AP921" s="31" t="s">
        <v>448</v>
      </c>
      <c r="DP921" s="31">
        <v>125.85</v>
      </c>
      <c r="DQ921" s="31">
        <v>129.63</v>
      </c>
      <c r="DR921" s="31" t="s">
        <v>837</v>
      </c>
      <c r="EE921" s="31">
        <v>137.91</v>
      </c>
      <c r="EF921" s="31">
        <v>193.93</v>
      </c>
      <c r="EL921" s="31" t="s">
        <v>880</v>
      </c>
      <c r="EM921" s="31" t="s">
        <v>1036</v>
      </c>
      <c r="EN921" s="31">
        <v>44</v>
      </c>
    </row>
    <row r="922" spans="1:144" s="31" customFormat="1" x14ac:dyDescent="0.25">
      <c r="A922" s="31">
        <v>44</v>
      </c>
      <c r="B922" s="31" t="s">
        <v>839</v>
      </c>
      <c r="C922" s="31" t="s">
        <v>840</v>
      </c>
      <c r="D922" s="31">
        <v>2000</v>
      </c>
      <c r="E922" s="31">
        <v>1997</v>
      </c>
      <c r="F922" s="31" t="s">
        <v>841</v>
      </c>
      <c r="G922" s="31" t="s">
        <v>873</v>
      </c>
      <c r="H922" s="31">
        <v>45.01</v>
      </c>
      <c r="I922" s="31">
        <v>-122.78</v>
      </c>
      <c r="J922" s="31">
        <v>78.5</v>
      </c>
      <c r="N922" s="31">
        <v>1040</v>
      </c>
      <c r="O922" s="31" t="s">
        <v>176</v>
      </c>
      <c r="P922" s="56" t="s">
        <v>187</v>
      </c>
      <c r="Q922" s="56"/>
      <c r="R922" s="56" t="s">
        <v>876</v>
      </c>
      <c r="S922" s="56" t="s">
        <v>659</v>
      </c>
      <c r="U922" s="31">
        <v>7</v>
      </c>
      <c r="V922" s="31">
        <v>67</v>
      </c>
      <c r="W922" s="31" t="s">
        <v>846</v>
      </c>
      <c r="AA922" s="31" t="s">
        <v>1652</v>
      </c>
      <c r="AB922" s="31" t="s">
        <v>173</v>
      </c>
      <c r="AC922" s="31" t="s">
        <v>849</v>
      </c>
      <c r="AD922" s="31" t="s">
        <v>854</v>
      </c>
      <c r="AE922" s="31" t="s">
        <v>854</v>
      </c>
      <c r="AF922" s="31" t="s">
        <v>252</v>
      </c>
      <c r="AM922" s="31" t="s">
        <v>160</v>
      </c>
      <c r="AN922" s="31">
        <v>4</v>
      </c>
      <c r="AO922" s="31">
        <v>4</v>
      </c>
      <c r="AP922" s="31" t="s">
        <v>448</v>
      </c>
      <c r="DP922" s="31">
        <v>127.98</v>
      </c>
      <c r="DQ922" s="31">
        <v>133.03</v>
      </c>
      <c r="DR922" s="31" t="s">
        <v>837</v>
      </c>
      <c r="EE922" s="31">
        <v>182.81</v>
      </c>
      <c r="EF922" s="31">
        <v>225.86</v>
      </c>
      <c r="EL922" s="31" t="s">
        <v>880</v>
      </c>
      <c r="EM922" s="31" t="s">
        <v>1036</v>
      </c>
      <c r="EN922" s="31">
        <v>44</v>
      </c>
    </row>
    <row r="923" spans="1:144" s="31" customFormat="1" x14ac:dyDescent="0.25">
      <c r="A923" s="31">
        <v>44</v>
      </c>
      <c r="B923" s="31" t="s">
        <v>839</v>
      </c>
      <c r="C923" s="31" t="s">
        <v>840</v>
      </c>
      <c r="D923" s="31">
        <v>2000</v>
      </c>
      <c r="E923" s="31">
        <v>1998</v>
      </c>
      <c r="F923" s="31" t="s">
        <v>841</v>
      </c>
      <c r="G923" s="31" t="s">
        <v>873</v>
      </c>
      <c r="H923" s="31">
        <v>45.01</v>
      </c>
      <c r="I923" s="31">
        <v>-122.78</v>
      </c>
      <c r="J923" s="31">
        <v>78.5</v>
      </c>
      <c r="N923" s="31">
        <v>1040</v>
      </c>
      <c r="O923" s="31" t="s">
        <v>176</v>
      </c>
      <c r="P923" s="56" t="s">
        <v>188</v>
      </c>
      <c r="Q923" s="56"/>
      <c r="R923" s="56" t="s">
        <v>875</v>
      </c>
      <c r="S923" s="56" t="s">
        <v>659</v>
      </c>
      <c r="U923" s="31">
        <v>7</v>
      </c>
      <c r="V923" s="31">
        <v>67</v>
      </c>
      <c r="W923" s="31" t="s">
        <v>846</v>
      </c>
      <c r="AA923" s="31" t="s">
        <v>1652</v>
      </c>
      <c r="AB923" s="31" t="s">
        <v>173</v>
      </c>
      <c r="AC923" s="31" t="s">
        <v>849</v>
      </c>
      <c r="AD923" s="31" t="s">
        <v>854</v>
      </c>
      <c r="AE923" s="31" t="s">
        <v>854</v>
      </c>
      <c r="AF923" s="31" t="s">
        <v>252</v>
      </c>
      <c r="AM923" s="31" t="s">
        <v>160</v>
      </c>
      <c r="AN923" s="31">
        <v>4</v>
      </c>
      <c r="AO923" s="31">
        <v>4</v>
      </c>
      <c r="AP923" s="31" t="s">
        <v>448</v>
      </c>
      <c r="DP923" s="31">
        <v>136.43</v>
      </c>
      <c r="DQ923" s="31">
        <v>146.94</v>
      </c>
      <c r="DR923" s="31" t="s">
        <v>837</v>
      </c>
      <c r="EE923" s="31">
        <v>257.87</v>
      </c>
      <c r="EF923" s="31">
        <v>296.64</v>
      </c>
      <c r="EL923" s="31" t="s">
        <v>880</v>
      </c>
      <c r="EM923" s="31" t="s">
        <v>1036</v>
      </c>
      <c r="EN923" s="31">
        <v>44</v>
      </c>
    </row>
    <row r="924" spans="1:144" s="31" customFormat="1" x14ac:dyDescent="0.25">
      <c r="A924" s="31">
        <v>44</v>
      </c>
      <c r="B924" s="31" t="s">
        <v>839</v>
      </c>
      <c r="C924" s="31" t="s">
        <v>840</v>
      </c>
      <c r="D924" s="31">
        <v>2000</v>
      </c>
      <c r="E924" s="31">
        <v>1998</v>
      </c>
      <c r="F924" s="31" t="s">
        <v>841</v>
      </c>
      <c r="G924" s="31" t="s">
        <v>873</v>
      </c>
      <c r="H924" s="31">
        <v>45.01</v>
      </c>
      <c r="I924" s="31">
        <v>-122.78</v>
      </c>
      <c r="J924" s="31">
        <v>78.5</v>
      </c>
      <c r="N924" s="31">
        <v>1040</v>
      </c>
      <c r="O924" s="31" t="s">
        <v>176</v>
      </c>
      <c r="P924" s="56" t="s">
        <v>188</v>
      </c>
      <c r="Q924" s="56"/>
      <c r="R924" s="56" t="s">
        <v>874</v>
      </c>
      <c r="S924" s="56" t="s">
        <v>659</v>
      </c>
      <c r="U924" s="31">
        <v>7</v>
      </c>
      <c r="V924" s="31">
        <v>67</v>
      </c>
      <c r="W924" s="31" t="s">
        <v>846</v>
      </c>
      <c r="AA924" s="31" t="s">
        <v>1652</v>
      </c>
      <c r="AB924" s="31" t="s">
        <v>173</v>
      </c>
      <c r="AC924" s="31" t="s">
        <v>849</v>
      </c>
      <c r="AD924" s="31" t="s">
        <v>854</v>
      </c>
      <c r="AE924" s="31" t="s">
        <v>854</v>
      </c>
      <c r="AF924" s="31" t="s">
        <v>252</v>
      </c>
      <c r="AM924" s="31" t="s">
        <v>160</v>
      </c>
      <c r="AN924" s="31">
        <v>4</v>
      </c>
      <c r="AO924" s="31">
        <v>4</v>
      </c>
      <c r="AP924" s="31" t="s">
        <v>448</v>
      </c>
      <c r="DP924" s="31">
        <v>81.77</v>
      </c>
      <c r="DQ924" s="31">
        <v>105.75</v>
      </c>
      <c r="DR924" s="31" t="s">
        <v>837</v>
      </c>
      <c r="EE924" s="31">
        <v>119.67</v>
      </c>
      <c r="EF924" s="31">
        <v>158.43</v>
      </c>
      <c r="EL924" s="31" t="s">
        <v>880</v>
      </c>
      <c r="EM924" s="31" t="s">
        <v>1036</v>
      </c>
      <c r="EN924" s="31">
        <v>44</v>
      </c>
    </row>
    <row r="925" spans="1:144" s="31" customFormat="1" x14ac:dyDescent="0.25">
      <c r="A925" s="31">
        <v>44</v>
      </c>
      <c r="B925" s="31" t="s">
        <v>839</v>
      </c>
      <c r="C925" s="31" t="s">
        <v>840</v>
      </c>
      <c r="D925" s="31">
        <v>2000</v>
      </c>
      <c r="E925" s="31">
        <v>1998</v>
      </c>
      <c r="F925" s="31" t="s">
        <v>841</v>
      </c>
      <c r="G925" s="31" t="s">
        <v>873</v>
      </c>
      <c r="H925" s="31">
        <v>45.01</v>
      </c>
      <c r="I925" s="31">
        <v>-122.78</v>
      </c>
      <c r="J925" s="31">
        <v>78.5</v>
      </c>
      <c r="N925" s="31">
        <v>1040</v>
      </c>
      <c r="O925" s="31" t="s">
        <v>176</v>
      </c>
      <c r="P925" s="56" t="s">
        <v>188</v>
      </c>
      <c r="Q925" s="56"/>
      <c r="R925" s="56" t="s">
        <v>876</v>
      </c>
      <c r="S925" s="56" t="s">
        <v>659</v>
      </c>
      <c r="U925" s="31">
        <v>7</v>
      </c>
      <c r="V925" s="31">
        <v>67</v>
      </c>
      <c r="W925" s="31" t="s">
        <v>846</v>
      </c>
      <c r="AA925" s="31" t="s">
        <v>1652</v>
      </c>
      <c r="AB925" s="31" t="s">
        <v>173</v>
      </c>
      <c r="AC925" s="31" t="s">
        <v>849</v>
      </c>
      <c r="AD925" s="31" t="s">
        <v>854</v>
      </c>
      <c r="AE925" s="31" t="s">
        <v>854</v>
      </c>
      <c r="AF925" s="31" t="s">
        <v>252</v>
      </c>
      <c r="AM925" s="31" t="s">
        <v>160</v>
      </c>
      <c r="AN925" s="31">
        <v>4</v>
      </c>
      <c r="AO925" s="31">
        <v>4</v>
      </c>
      <c r="AP925" s="31" t="s">
        <v>448</v>
      </c>
      <c r="DP925" s="31">
        <v>82.63</v>
      </c>
      <c r="DQ925" s="31">
        <v>101.57</v>
      </c>
      <c r="DR925" s="31" t="s">
        <v>837</v>
      </c>
      <c r="EE925" s="31">
        <v>125.77</v>
      </c>
      <c r="EF925" s="31">
        <v>173.19</v>
      </c>
      <c r="EL925" s="31" t="s">
        <v>880</v>
      </c>
      <c r="EM925" s="31" t="s">
        <v>1036</v>
      </c>
      <c r="EN925" s="31">
        <v>44</v>
      </c>
    </row>
    <row r="926" spans="1:144" s="23" customFormat="1" x14ac:dyDescent="0.25">
      <c r="A926" s="23">
        <v>44</v>
      </c>
      <c r="B926" s="23" t="s">
        <v>839</v>
      </c>
      <c r="C926" s="23" t="s">
        <v>840</v>
      </c>
      <c r="D926" s="23">
        <v>2000</v>
      </c>
      <c r="E926" s="23">
        <v>1996</v>
      </c>
      <c r="F926" s="23" t="s">
        <v>841</v>
      </c>
      <c r="G926" s="23" t="s">
        <v>847</v>
      </c>
      <c r="H926" s="23">
        <v>45.231000000000002</v>
      </c>
      <c r="I926" s="23">
        <v>-122.756</v>
      </c>
      <c r="J926" s="23">
        <v>48.4</v>
      </c>
      <c r="N926" s="23">
        <v>1040</v>
      </c>
      <c r="O926" s="23" t="s">
        <v>176</v>
      </c>
      <c r="P926" s="23" t="s">
        <v>186</v>
      </c>
      <c r="R926" s="53" t="s">
        <v>874</v>
      </c>
      <c r="S926" s="53" t="s">
        <v>659</v>
      </c>
      <c r="T926" s="53"/>
      <c r="U926" s="23">
        <v>28</v>
      </c>
      <c r="V926" s="23">
        <v>54</v>
      </c>
      <c r="W926" s="23" t="s">
        <v>175</v>
      </c>
      <c r="AA926" s="23" t="s">
        <v>1652</v>
      </c>
      <c r="AB926" s="23" t="s">
        <v>877</v>
      </c>
      <c r="AC926" s="23" t="s">
        <v>850</v>
      </c>
      <c r="AD926" s="23" t="s">
        <v>857</v>
      </c>
      <c r="AE926" s="23" t="s">
        <v>857</v>
      </c>
      <c r="AF926" s="23" t="s">
        <v>252</v>
      </c>
      <c r="AM926" s="23" t="s">
        <v>160</v>
      </c>
      <c r="AN926" s="23">
        <v>4</v>
      </c>
      <c r="AO926" s="23">
        <v>4</v>
      </c>
      <c r="AP926" s="23" t="s">
        <v>448</v>
      </c>
      <c r="BP926" s="31"/>
      <c r="DP926" s="23">
        <v>54.72</v>
      </c>
      <c r="DQ926" s="23">
        <v>63.83</v>
      </c>
      <c r="DR926" s="23" t="s">
        <v>837</v>
      </c>
      <c r="EE926" s="23">
        <v>58.24</v>
      </c>
      <c r="EF926" s="23">
        <v>65.680000000000007</v>
      </c>
      <c r="EL926" s="31" t="s">
        <v>880</v>
      </c>
      <c r="EM926" s="31" t="s">
        <v>1036</v>
      </c>
      <c r="EN926" s="23">
        <v>44</v>
      </c>
    </row>
    <row r="927" spans="1:144" s="23" customFormat="1" x14ac:dyDescent="0.25">
      <c r="A927" s="23">
        <v>44</v>
      </c>
      <c r="B927" s="23" t="s">
        <v>839</v>
      </c>
      <c r="C927" s="23" t="s">
        <v>840</v>
      </c>
      <c r="D927" s="23">
        <v>2000</v>
      </c>
      <c r="E927" s="23">
        <v>1997</v>
      </c>
      <c r="F927" s="23" t="s">
        <v>841</v>
      </c>
      <c r="G927" s="23" t="s">
        <v>847</v>
      </c>
      <c r="H927" s="23">
        <v>45.231000000000002</v>
      </c>
      <c r="I927" s="23">
        <v>-122.756</v>
      </c>
      <c r="J927" s="23">
        <v>48.4</v>
      </c>
      <c r="N927" s="23">
        <v>1040</v>
      </c>
      <c r="O927" s="23" t="s">
        <v>176</v>
      </c>
      <c r="P927" s="23" t="s">
        <v>187</v>
      </c>
      <c r="R927" s="53" t="s">
        <v>875</v>
      </c>
      <c r="S927" s="53" t="s">
        <v>659</v>
      </c>
      <c r="T927" s="53"/>
      <c r="U927" s="23">
        <v>28</v>
      </c>
      <c r="V927" s="23">
        <v>54</v>
      </c>
      <c r="W927" s="23" t="s">
        <v>175</v>
      </c>
      <c r="AA927" s="23" t="s">
        <v>1652</v>
      </c>
      <c r="AB927" s="23" t="s">
        <v>877</v>
      </c>
      <c r="AC927" s="23" t="s">
        <v>850</v>
      </c>
      <c r="AD927" s="23" t="s">
        <v>857</v>
      </c>
      <c r="AE927" s="23" t="s">
        <v>857</v>
      </c>
      <c r="AF927" s="23" t="s">
        <v>252</v>
      </c>
      <c r="AM927" s="23" t="s">
        <v>160</v>
      </c>
      <c r="AN927" s="23">
        <v>4</v>
      </c>
      <c r="AO927" s="23">
        <v>4</v>
      </c>
      <c r="AP927" s="23" t="s">
        <v>448</v>
      </c>
      <c r="BP927" s="31"/>
      <c r="DP927" s="23">
        <v>103.23</v>
      </c>
      <c r="DQ927" s="23">
        <v>85.85</v>
      </c>
      <c r="DR927" s="23" t="s">
        <v>837</v>
      </c>
      <c r="EE927" s="23">
        <v>129.22999999999999</v>
      </c>
      <c r="EF927" s="23">
        <v>84.61</v>
      </c>
      <c r="EL927" s="31" t="s">
        <v>880</v>
      </c>
      <c r="EM927" s="31" t="s">
        <v>1036</v>
      </c>
      <c r="EN927" s="23">
        <v>44</v>
      </c>
    </row>
    <row r="928" spans="1:144" s="23" customFormat="1" x14ac:dyDescent="0.25">
      <c r="A928" s="23">
        <v>44</v>
      </c>
      <c r="B928" s="23" t="s">
        <v>839</v>
      </c>
      <c r="C928" s="23" t="s">
        <v>840</v>
      </c>
      <c r="D928" s="23">
        <v>2000</v>
      </c>
      <c r="E928" s="23">
        <v>1997</v>
      </c>
      <c r="F928" s="23" t="s">
        <v>841</v>
      </c>
      <c r="G928" s="23" t="s">
        <v>847</v>
      </c>
      <c r="H928" s="23">
        <v>45.231000000000002</v>
      </c>
      <c r="I928" s="23">
        <v>-122.756</v>
      </c>
      <c r="J928" s="23">
        <v>48.4</v>
      </c>
      <c r="N928" s="23">
        <v>1040</v>
      </c>
      <c r="O928" s="23" t="s">
        <v>176</v>
      </c>
      <c r="P928" s="23" t="s">
        <v>187</v>
      </c>
      <c r="R928" s="53" t="s">
        <v>874</v>
      </c>
      <c r="S928" s="53" t="s">
        <v>659</v>
      </c>
      <c r="T928" s="53"/>
      <c r="U928" s="23">
        <v>28</v>
      </c>
      <c r="V928" s="23">
        <v>54</v>
      </c>
      <c r="W928" s="23" t="s">
        <v>175</v>
      </c>
      <c r="AA928" s="23" t="s">
        <v>1652</v>
      </c>
      <c r="AB928" s="23" t="s">
        <v>877</v>
      </c>
      <c r="AC928" s="23" t="s">
        <v>850</v>
      </c>
      <c r="AD928" s="23" t="s">
        <v>857</v>
      </c>
      <c r="AE928" s="23" t="s">
        <v>857</v>
      </c>
      <c r="AF928" s="23" t="s">
        <v>252</v>
      </c>
      <c r="AM928" s="23" t="s">
        <v>160</v>
      </c>
      <c r="AN928" s="23">
        <v>4</v>
      </c>
      <c r="AO928" s="23">
        <v>4</v>
      </c>
      <c r="AP928" s="23" t="s">
        <v>448</v>
      </c>
      <c r="BP928" s="31"/>
      <c r="DP928" s="23">
        <v>57.78</v>
      </c>
      <c r="DQ928" s="23">
        <v>58.6</v>
      </c>
      <c r="DR928" s="23" t="s">
        <v>837</v>
      </c>
      <c r="EE928" s="23">
        <v>70.59</v>
      </c>
      <c r="EF928" s="23">
        <v>48.29</v>
      </c>
      <c r="EL928" s="31" t="s">
        <v>880</v>
      </c>
      <c r="EM928" s="31" t="s">
        <v>1036</v>
      </c>
      <c r="EN928" s="23">
        <v>44</v>
      </c>
    </row>
    <row r="929" spans="1:144" s="23" customFormat="1" x14ac:dyDescent="0.25">
      <c r="A929" s="23">
        <v>44</v>
      </c>
      <c r="B929" s="23" t="s">
        <v>839</v>
      </c>
      <c r="C929" s="23" t="s">
        <v>840</v>
      </c>
      <c r="D929" s="23">
        <v>2000</v>
      </c>
      <c r="E929" s="23">
        <v>1997</v>
      </c>
      <c r="F929" s="23" t="s">
        <v>841</v>
      </c>
      <c r="G929" s="23" t="s">
        <v>847</v>
      </c>
      <c r="H929" s="23">
        <v>45.231000000000002</v>
      </c>
      <c r="I929" s="23">
        <v>-122.756</v>
      </c>
      <c r="J929" s="23">
        <v>48.4</v>
      </c>
      <c r="N929" s="23">
        <v>1040</v>
      </c>
      <c r="O929" s="23" t="s">
        <v>176</v>
      </c>
      <c r="P929" s="23" t="s">
        <v>187</v>
      </c>
      <c r="R929" s="53" t="s">
        <v>876</v>
      </c>
      <c r="S929" s="53" t="s">
        <v>659</v>
      </c>
      <c r="T929" s="53"/>
      <c r="U929" s="23">
        <v>28</v>
      </c>
      <c r="V929" s="23">
        <v>54</v>
      </c>
      <c r="W929" s="23" t="s">
        <v>175</v>
      </c>
      <c r="AA929" s="23" t="s">
        <v>1652</v>
      </c>
      <c r="AB929" s="23" t="s">
        <v>877</v>
      </c>
      <c r="AC929" s="23" t="s">
        <v>850</v>
      </c>
      <c r="AD929" s="23" t="s">
        <v>857</v>
      </c>
      <c r="AE929" s="23" t="s">
        <v>857</v>
      </c>
      <c r="AF929" s="23" t="s">
        <v>252</v>
      </c>
      <c r="AM929" s="23" t="s">
        <v>160</v>
      </c>
      <c r="AN929" s="23">
        <v>4</v>
      </c>
      <c r="AO929" s="23">
        <v>4</v>
      </c>
      <c r="AP929" s="23" t="s">
        <v>448</v>
      </c>
      <c r="BP929" s="31"/>
      <c r="DP929" s="23">
        <v>61.58</v>
      </c>
      <c r="DQ929" s="23">
        <v>65.72</v>
      </c>
      <c r="DR929" s="23" t="s">
        <v>837</v>
      </c>
      <c r="EE929" s="23">
        <v>85.28</v>
      </c>
      <c r="EF929" s="23">
        <v>66.150000000000006</v>
      </c>
      <c r="EL929" s="31" t="s">
        <v>880</v>
      </c>
      <c r="EM929" s="31" t="s">
        <v>1036</v>
      </c>
      <c r="EN929" s="23">
        <v>44</v>
      </c>
    </row>
    <row r="930" spans="1:144" s="23" customFormat="1" x14ac:dyDescent="0.25">
      <c r="A930" s="23">
        <v>44</v>
      </c>
      <c r="B930" s="23" t="s">
        <v>839</v>
      </c>
      <c r="C930" s="23" t="s">
        <v>840</v>
      </c>
      <c r="D930" s="23">
        <v>2000</v>
      </c>
      <c r="E930" s="23">
        <v>1998</v>
      </c>
      <c r="F930" s="23" t="s">
        <v>841</v>
      </c>
      <c r="G930" s="23" t="s">
        <v>847</v>
      </c>
      <c r="H930" s="23">
        <v>45.231000000000002</v>
      </c>
      <c r="I930" s="23">
        <v>-122.756</v>
      </c>
      <c r="J930" s="23">
        <v>48.4</v>
      </c>
      <c r="N930" s="23">
        <v>1040</v>
      </c>
      <c r="O930" s="23" t="s">
        <v>176</v>
      </c>
      <c r="P930" s="23" t="s">
        <v>188</v>
      </c>
      <c r="R930" s="53" t="s">
        <v>875</v>
      </c>
      <c r="S930" s="53" t="s">
        <v>659</v>
      </c>
      <c r="T930" s="53"/>
      <c r="U930" s="23">
        <v>28</v>
      </c>
      <c r="V930" s="23">
        <v>54</v>
      </c>
      <c r="W930" s="23" t="s">
        <v>175</v>
      </c>
      <c r="AA930" s="23" t="s">
        <v>1652</v>
      </c>
      <c r="AB930" s="23" t="s">
        <v>877</v>
      </c>
      <c r="AC930" s="23" t="s">
        <v>850</v>
      </c>
      <c r="AD930" s="23" t="s">
        <v>857</v>
      </c>
      <c r="AE930" s="23" t="s">
        <v>857</v>
      </c>
      <c r="AF930" s="23" t="s">
        <v>252</v>
      </c>
      <c r="AM930" s="23" t="s">
        <v>160</v>
      </c>
      <c r="AN930" s="23">
        <v>4</v>
      </c>
      <c r="AO930" s="23">
        <v>4</v>
      </c>
      <c r="AP930" s="23" t="s">
        <v>448</v>
      </c>
      <c r="BP930" s="31"/>
      <c r="DP930" s="23">
        <v>69.11</v>
      </c>
      <c r="DQ930" s="23">
        <v>69.11</v>
      </c>
      <c r="DR930" s="23" t="s">
        <v>837</v>
      </c>
      <c r="EE930" s="23">
        <v>102.08</v>
      </c>
      <c r="EF930" s="23">
        <v>64.88</v>
      </c>
      <c r="EL930" s="31" t="s">
        <v>880</v>
      </c>
      <c r="EM930" s="31" t="s">
        <v>1036</v>
      </c>
      <c r="EN930" s="23">
        <v>44</v>
      </c>
    </row>
    <row r="931" spans="1:144" s="23" customFormat="1" x14ac:dyDescent="0.25">
      <c r="A931" s="23">
        <v>44</v>
      </c>
      <c r="B931" s="23" t="s">
        <v>839</v>
      </c>
      <c r="C931" s="23" t="s">
        <v>840</v>
      </c>
      <c r="D931" s="23">
        <v>2000</v>
      </c>
      <c r="E931" s="23">
        <v>1998</v>
      </c>
      <c r="F931" s="23" t="s">
        <v>841</v>
      </c>
      <c r="G931" s="23" t="s">
        <v>847</v>
      </c>
      <c r="H931" s="23">
        <v>45.231000000000002</v>
      </c>
      <c r="I931" s="23">
        <v>-122.756</v>
      </c>
      <c r="J931" s="23">
        <v>48.4</v>
      </c>
      <c r="N931" s="23">
        <v>1040</v>
      </c>
      <c r="O931" s="23" t="s">
        <v>176</v>
      </c>
      <c r="P931" s="23" t="s">
        <v>188</v>
      </c>
      <c r="R931" s="53" t="s">
        <v>874</v>
      </c>
      <c r="S931" s="53" t="s">
        <v>659</v>
      </c>
      <c r="T931" s="53"/>
      <c r="U931" s="23">
        <v>28</v>
      </c>
      <c r="V931" s="23">
        <v>54</v>
      </c>
      <c r="W931" s="23" t="s">
        <v>175</v>
      </c>
      <c r="AA931" s="23" t="s">
        <v>1652</v>
      </c>
      <c r="AB931" s="23" t="s">
        <v>877</v>
      </c>
      <c r="AC931" s="23" t="s">
        <v>850</v>
      </c>
      <c r="AD931" s="23" t="s">
        <v>857</v>
      </c>
      <c r="AE931" s="23" t="s">
        <v>857</v>
      </c>
      <c r="AF931" s="23" t="s">
        <v>252</v>
      </c>
      <c r="AM931" s="23" t="s">
        <v>160</v>
      </c>
      <c r="AN931" s="23">
        <v>4</v>
      </c>
      <c r="AO931" s="23">
        <v>4</v>
      </c>
      <c r="AP931" s="23" t="s">
        <v>448</v>
      </c>
      <c r="BP931" s="31"/>
      <c r="DP931" s="23">
        <v>64.63</v>
      </c>
      <c r="DQ931" s="23">
        <v>64.63</v>
      </c>
      <c r="DR931" s="23" t="s">
        <v>837</v>
      </c>
      <c r="EE931" s="23">
        <v>76.38</v>
      </c>
      <c r="EF931" s="23">
        <v>76.38</v>
      </c>
      <c r="EL931" s="31" t="s">
        <v>880</v>
      </c>
      <c r="EM931" s="31" t="s">
        <v>1036</v>
      </c>
      <c r="EN931" s="23">
        <v>44</v>
      </c>
    </row>
    <row r="932" spans="1:144" s="23" customFormat="1" x14ac:dyDescent="0.25">
      <c r="A932" s="23">
        <v>44</v>
      </c>
      <c r="B932" s="23" t="s">
        <v>839</v>
      </c>
      <c r="C932" s="23" t="s">
        <v>840</v>
      </c>
      <c r="D932" s="23">
        <v>2000</v>
      </c>
      <c r="E932" s="23">
        <v>1998</v>
      </c>
      <c r="F932" s="23" t="s">
        <v>841</v>
      </c>
      <c r="G932" s="23" t="s">
        <v>847</v>
      </c>
      <c r="H932" s="23">
        <v>45.231000000000002</v>
      </c>
      <c r="I932" s="23">
        <v>-122.756</v>
      </c>
      <c r="J932" s="23">
        <v>48.4</v>
      </c>
      <c r="N932" s="23">
        <v>1040</v>
      </c>
      <c r="O932" s="23" t="s">
        <v>176</v>
      </c>
      <c r="P932" s="23" t="s">
        <v>188</v>
      </c>
      <c r="R932" s="53" t="s">
        <v>876</v>
      </c>
      <c r="S932" s="53" t="s">
        <v>659</v>
      </c>
      <c r="T932" s="53"/>
      <c r="U932" s="23">
        <v>28</v>
      </c>
      <c r="V932" s="23">
        <v>54</v>
      </c>
      <c r="W932" s="23" t="s">
        <v>175</v>
      </c>
      <c r="AA932" s="23" t="s">
        <v>1652</v>
      </c>
      <c r="AB932" s="23" t="s">
        <v>877</v>
      </c>
      <c r="AC932" s="23" t="s">
        <v>850</v>
      </c>
      <c r="AD932" s="23" t="s">
        <v>857</v>
      </c>
      <c r="AE932" s="23" t="s">
        <v>857</v>
      </c>
      <c r="AF932" s="23" t="s">
        <v>252</v>
      </c>
      <c r="AM932" s="23" t="s">
        <v>160</v>
      </c>
      <c r="AN932" s="23">
        <v>4</v>
      </c>
      <c r="AO932" s="23">
        <v>4</v>
      </c>
      <c r="AP932" s="23" t="s">
        <v>448</v>
      </c>
      <c r="BP932" s="31"/>
      <c r="DP932" s="23">
        <v>63.47</v>
      </c>
      <c r="DQ932" s="23">
        <v>65.540000000000006</v>
      </c>
      <c r="DR932" s="23" t="s">
        <v>837</v>
      </c>
      <c r="EE932" s="23">
        <v>71.930000000000007</v>
      </c>
      <c r="EF932" s="23">
        <v>48.55</v>
      </c>
      <c r="EL932" s="31" t="s">
        <v>880</v>
      </c>
      <c r="EM932" s="31" t="s">
        <v>1036</v>
      </c>
      <c r="EN932" s="23">
        <v>44</v>
      </c>
    </row>
    <row r="933" spans="1:144" s="38" customFormat="1" x14ac:dyDescent="0.25">
      <c r="A933" s="38">
        <v>44</v>
      </c>
      <c r="B933" s="38" t="s">
        <v>839</v>
      </c>
      <c r="C933" s="38" t="s">
        <v>840</v>
      </c>
      <c r="D933" s="38">
        <v>2000</v>
      </c>
      <c r="E933" s="38">
        <v>1996</v>
      </c>
      <c r="F933" s="38" t="s">
        <v>841</v>
      </c>
      <c r="G933" s="38" t="s">
        <v>847</v>
      </c>
      <c r="H933" s="38">
        <v>45.231000000000002</v>
      </c>
      <c r="I933" s="38">
        <v>-122.756</v>
      </c>
      <c r="J933" s="38">
        <v>48.4</v>
      </c>
      <c r="N933" s="38">
        <v>1040</v>
      </c>
      <c r="O933" s="38" t="s">
        <v>176</v>
      </c>
      <c r="P933" s="38" t="s">
        <v>186</v>
      </c>
      <c r="R933" s="56" t="s">
        <v>874</v>
      </c>
      <c r="S933" s="57" t="s">
        <v>659</v>
      </c>
      <c r="T933" s="57"/>
      <c r="U933" s="38">
        <v>28</v>
      </c>
      <c r="V933" s="38">
        <v>54</v>
      </c>
      <c r="W933" s="38" t="s">
        <v>175</v>
      </c>
      <c r="AA933" s="38" t="s">
        <v>1652</v>
      </c>
      <c r="AB933" s="38" t="s">
        <v>878</v>
      </c>
      <c r="AC933" s="38" t="s">
        <v>850</v>
      </c>
      <c r="AD933" s="38" t="s">
        <v>857</v>
      </c>
      <c r="AE933" s="38" t="s">
        <v>857</v>
      </c>
      <c r="AF933" s="38" t="s">
        <v>252</v>
      </c>
      <c r="AM933" s="38" t="s">
        <v>160</v>
      </c>
      <c r="AN933" s="38">
        <v>4</v>
      </c>
      <c r="AO933" s="38">
        <v>4</v>
      </c>
      <c r="AP933" s="38" t="s">
        <v>448</v>
      </c>
      <c r="DP933" s="38">
        <v>54.72</v>
      </c>
      <c r="DQ933" s="38">
        <v>61.34</v>
      </c>
      <c r="DR933" s="38" t="s">
        <v>837</v>
      </c>
      <c r="EE933" s="38">
        <v>58.24</v>
      </c>
      <c r="EF933" s="38">
        <v>65.680000000000007</v>
      </c>
      <c r="EL933" s="31" t="s">
        <v>880</v>
      </c>
      <c r="EM933" s="31" t="s">
        <v>1036</v>
      </c>
      <c r="EN933" s="38">
        <v>44</v>
      </c>
    </row>
    <row r="934" spans="1:144" s="38" customFormat="1" x14ac:dyDescent="0.25">
      <c r="A934" s="38">
        <v>44</v>
      </c>
      <c r="B934" s="38" t="s">
        <v>839</v>
      </c>
      <c r="C934" s="38" t="s">
        <v>840</v>
      </c>
      <c r="D934" s="38">
        <v>2000</v>
      </c>
      <c r="E934" s="38">
        <v>1997</v>
      </c>
      <c r="F934" s="38" t="s">
        <v>841</v>
      </c>
      <c r="G934" s="38" t="s">
        <v>847</v>
      </c>
      <c r="H934" s="38">
        <v>45.231000000000002</v>
      </c>
      <c r="I934" s="38">
        <v>-122.756</v>
      </c>
      <c r="J934" s="38">
        <v>48.4</v>
      </c>
      <c r="N934" s="38">
        <v>1040</v>
      </c>
      <c r="O934" s="38" t="s">
        <v>176</v>
      </c>
      <c r="P934" s="38" t="s">
        <v>187</v>
      </c>
      <c r="R934" s="56" t="s">
        <v>875</v>
      </c>
      <c r="S934" s="57" t="s">
        <v>659</v>
      </c>
      <c r="T934" s="57"/>
      <c r="U934" s="38">
        <v>28</v>
      </c>
      <c r="V934" s="38">
        <v>54</v>
      </c>
      <c r="W934" s="38" t="s">
        <v>175</v>
      </c>
      <c r="AA934" s="38" t="s">
        <v>1652</v>
      </c>
      <c r="AB934" s="38" t="s">
        <v>878</v>
      </c>
      <c r="AC934" s="38" t="s">
        <v>850</v>
      </c>
      <c r="AD934" s="38" t="s">
        <v>857</v>
      </c>
      <c r="AE934" s="38" t="s">
        <v>857</v>
      </c>
      <c r="AF934" s="38" t="s">
        <v>252</v>
      </c>
      <c r="AM934" s="38" t="s">
        <v>160</v>
      </c>
      <c r="AN934" s="38">
        <v>4</v>
      </c>
      <c r="AO934" s="38">
        <v>4</v>
      </c>
      <c r="AP934" s="38" t="s">
        <v>448</v>
      </c>
      <c r="DP934" s="38">
        <v>103.23</v>
      </c>
      <c r="DQ934" s="38">
        <v>80.47</v>
      </c>
      <c r="DR934" s="38" t="s">
        <v>837</v>
      </c>
      <c r="EE934" s="38">
        <v>129.22999999999999</v>
      </c>
      <c r="EF934" s="38">
        <v>134.54</v>
      </c>
      <c r="EL934" s="31" t="s">
        <v>880</v>
      </c>
      <c r="EM934" s="31" t="s">
        <v>1036</v>
      </c>
      <c r="EN934" s="38">
        <v>44</v>
      </c>
    </row>
    <row r="935" spans="1:144" s="38" customFormat="1" x14ac:dyDescent="0.25">
      <c r="A935" s="38">
        <v>44</v>
      </c>
      <c r="B935" s="38" t="s">
        <v>839</v>
      </c>
      <c r="C935" s="38" t="s">
        <v>840</v>
      </c>
      <c r="D935" s="38">
        <v>2000</v>
      </c>
      <c r="E935" s="38">
        <v>1997</v>
      </c>
      <c r="F935" s="38" t="s">
        <v>841</v>
      </c>
      <c r="G935" s="38" t="s">
        <v>847</v>
      </c>
      <c r="H935" s="38">
        <v>45.231000000000002</v>
      </c>
      <c r="I935" s="38">
        <v>-122.756</v>
      </c>
      <c r="J935" s="38">
        <v>48.4</v>
      </c>
      <c r="N935" s="38">
        <v>1040</v>
      </c>
      <c r="O935" s="38" t="s">
        <v>176</v>
      </c>
      <c r="P935" s="38" t="s">
        <v>187</v>
      </c>
      <c r="R935" s="56" t="s">
        <v>874</v>
      </c>
      <c r="S935" s="57" t="s">
        <v>659</v>
      </c>
      <c r="T935" s="57"/>
      <c r="U935" s="38">
        <v>28</v>
      </c>
      <c r="V935" s="38">
        <v>54</v>
      </c>
      <c r="W935" s="38" t="s">
        <v>175</v>
      </c>
      <c r="AA935" s="38" t="s">
        <v>1652</v>
      </c>
      <c r="AB935" s="38" t="s">
        <v>878</v>
      </c>
      <c r="AC935" s="38" t="s">
        <v>850</v>
      </c>
      <c r="AD935" s="38" t="s">
        <v>857</v>
      </c>
      <c r="AE935" s="38" t="s">
        <v>857</v>
      </c>
      <c r="AF935" s="38" t="s">
        <v>252</v>
      </c>
      <c r="AM935" s="38" t="s">
        <v>160</v>
      </c>
      <c r="AN935" s="38">
        <v>4</v>
      </c>
      <c r="AO935" s="38">
        <v>4</v>
      </c>
      <c r="AP935" s="38" t="s">
        <v>448</v>
      </c>
      <c r="DP935" s="38">
        <v>57.78</v>
      </c>
      <c r="DQ935" s="38">
        <v>66.88</v>
      </c>
      <c r="DR935" s="38" t="s">
        <v>837</v>
      </c>
      <c r="EE935" s="38">
        <v>70.59</v>
      </c>
      <c r="EF935" s="38">
        <v>81.22</v>
      </c>
      <c r="EL935" s="31" t="s">
        <v>880</v>
      </c>
      <c r="EM935" s="31" t="s">
        <v>1036</v>
      </c>
      <c r="EN935" s="38">
        <v>44</v>
      </c>
    </row>
    <row r="936" spans="1:144" s="38" customFormat="1" x14ac:dyDescent="0.25">
      <c r="A936" s="38">
        <v>44</v>
      </c>
      <c r="B936" s="38" t="s">
        <v>839</v>
      </c>
      <c r="C936" s="38" t="s">
        <v>840</v>
      </c>
      <c r="D936" s="38">
        <v>2000</v>
      </c>
      <c r="E936" s="38">
        <v>1997</v>
      </c>
      <c r="F936" s="38" t="s">
        <v>841</v>
      </c>
      <c r="G936" s="38" t="s">
        <v>847</v>
      </c>
      <c r="H936" s="38">
        <v>45.231000000000002</v>
      </c>
      <c r="I936" s="38">
        <v>-122.756</v>
      </c>
      <c r="J936" s="38">
        <v>48.4</v>
      </c>
      <c r="N936" s="38">
        <v>1040</v>
      </c>
      <c r="O936" s="38" t="s">
        <v>176</v>
      </c>
      <c r="P936" s="38" t="s">
        <v>187</v>
      </c>
      <c r="R936" s="56" t="s">
        <v>876</v>
      </c>
      <c r="S936" s="57" t="s">
        <v>659</v>
      </c>
      <c r="T936" s="57"/>
      <c r="U936" s="38">
        <v>28</v>
      </c>
      <c r="V936" s="38">
        <v>54</v>
      </c>
      <c r="W936" s="38" t="s">
        <v>175</v>
      </c>
      <c r="AA936" s="38" t="s">
        <v>1652</v>
      </c>
      <c r="AB936" s="38" t="s">
        <v>878</v>
      </c>
      <c r="AC936" s="38" t="s">
        <v>850</v>
      </c>
      <c r="AD936" s="38" t="s">
        <v>857</v>
      </c>
      <c r="AE936" s="38" t="s">
        <v>857</v>
      </c>
      <c r="AF936" s="38" t="s">
        <v>252</v>
      </c>
      <c r="AM936" s="38" t="s">
        <v>160</v>
      </c>
      <c r="AN936" s="38">
        <v>4</v>
      </c>
      <c r="AO936" s="38">
        <v>4</v>
      </c>
      <c r="AP936" s="38" t="s">
        <v>448</v>
      </c>
      <c r="DP936" s="38">
        <v>61.58</v>
      </c>
      <c r="DQ936" s="38">
        <v>83.11</v>
      </c>
      <c r="DR936" s="38" t="s">
        <v>837</v>
      </c>
      <c r="EE936" s="38">
        <v>85.28</v>
      </c>
      <c r="EF936" s="38">
        <v>111.84</v>
      </c>
      <c r="EL936" s="31" t="s">
        <v>880</v>
      </c>
      <c r="EM936" s="31" t="s">
        <v>1036</v>
      </c>
      <c r="EN936" s="38">
        <v>44</v>
      </c>
    </row>
    <row r="937" spans="1:144" s="38" customFormat="1" x14ac:dyDescent="0.25">
      <c r="A937" s="38">
        <v>44</v>
      </c>
      <c r="B937" s="38" t="s">
        <v>839</v>
      </c>
      <c r="C937" s="38" t="s">
        <v>840</v>
      </c>
      <c r="D937" s="38">
        <v>2000</v>
      </c>
      <c r="E937" s="38">
        <v>1998</v>
      </c>
      <c r="F937" s="38" t="s">
        <v>841</v>
      </c>
      <c r="G937" s="38" t="s">
        <v>847</v>
      </c>
      <c r="H937" s="38">
        <v>45.231000000000002</v>
      </c>
      <c r="I937" s="38">
        <v>-122.756</v>
      </c>
      <c r="J937" s="38">
        <v>48.4</v>
      </c>
      <c r="N937" s="38">
        <v>1040</v>
      </c>
      <c r="O937" s="38" t="s">
        <v>176</v>
      </c>
      <c r="P937" s="38" t="s">
        <v>188</v>
      </c>
      <c r="R937" s="56" t="s">
        <v>875</v>
      </c>
      <c r="S937" s="57" t="s">
        <v>659</v>
      </c>
      <c r="T937" s="57"/>
      <c r="U937" s="38">
        <v>28</v>
      </c>
      <c r="V937" s="38">
        <v>54</v>
      </c>
      <c r="W937" s="38" t="s">
        <v>175</v>
      </c>
      <c r="AA937" s="38" t="s">
        <v>1652</v>
      </c>
      <c r="AB937" s="38" t="s">
        <v>878</v>
      </c>
      <c r="AC937" s="38" t="s">
        <v>850</v>
      </c>
      <c r="AD937" s="38" t="s">
        <v>857</v>
      </c>
      <c r="AE937" s="38" t="s">
        <v>857</v>
      </c>
      <c r="AF937" s="38" t="s">
        <v>252</v>
      </c>
      <c r="AM937" s="38" t="s">
        <v>160</v>
      </c>
      <c r="AN937" s="38">
        <v>4</v>
      </c>
      <c r="AO937" s="38">
        <v>4</v>
      </c>
      <c r="AP937" s="38" t="s">
        <v>448</v>
      </c>
      <c r="DP937" s="38">
        <v>69.11</v>
      </c>
      <c r="DQ937" s="38">
        <v>98.9</v>
      </c>
      <c r="DR937" s="38" t="s">
        <v>837</v>
      </c>
      <c r="EE937" s="38">
        <v>102.08</v>
      </c>
      <c r="EF937" s="38">
        <v>145.63999999999999</v>
      </c>
      <c r="EL937" s="31" t="s">
        <v>880</v>
      </c>
      <c r="EM937" s="31" t="s">
        <v>1036</v>
      </c>
      <c r="EN937" s="38">
        <v>44</v>
      </c>
    </row>
    <row r="938" spans="1:144" s="38" customFormat="1" x14ac:dyDescent="0.25">
      <c r="A938" s="38">
        <v>44</v>
      </c>
      <c r="B938" s="38" t="s">
        <v>839</v>
      </c>
      <c r="C938" s="38" t="s">
        <v>840</v>
      </c>
      <c r="D938" s="38">
        <v>2000</v>
      </c>
      <c r="E938" s="38">
        <v>1998</v>
      </c>
      <c r="F938" s="38" t="s">
        <v>841</v>
      </c>
      <c r="G938" s="38" t="s">
        <v>847</v>
      </c>
      <c r="H938" s="38">
        <v>45.231000000000002</v>
      </c>
      <c r="I938" s="38">
        <v>-122.756</v>
      </c>
      <c r="J938" s="38">
        <v>48.4</v>
      </c>
      <c r="N938" s="38">
        <v>1040</v>
      </c>
      <c r="O938" s="38" t="s">
        <v>176</v>
      </c>
      <c r="P938" s="38" t="s">
        <v>188</v>
      </c>
      <c r="R938" s="56" t="s">
        <v>874</v>
      </c>
      <c r="S938" s="57" t="s">
        <v>659</v>
      </c>
      <c r="T938" s="57"/>
      <c r="U938" s="38">
        <v>28</v>
      </c>
      <c r="V938" s="38">
        <v>54</v>
      </c>
      <c r="W938" s="38" t="s">
        <v>175</v>
      </c>
      <c r="AA938" s="38" t="s">
        <v>1652</v>
      </c>
      <c r="AB938" s="38" t="s">
        <v>878</v>
      </c>
      <c r="AC938" s="38" t="s">
        <v>850</v>
      </c>
      <c r="AD938" s="38" t="s">
        <v>857</v>
      </c>
      <c r="AE938" s="38" t="s">
        <v>857</v>
      </c>
      <c r="AF938" s="38" t="s">
        <v>252</v>
      </c>
      <c r="AM938" s="38" t="s">
        <v>160</v>
      </c>
      <c r="AN938" s="38">
        <v>4</v>
      </c>
      <c r="AO938" s="38">
        <v>4</v>
      </c>
      <c r="AP938" s="38" t="s">
        <v>448</v>
      </c>
      <c r="DP938" s="38">
        <v>64.63</v>
      </c>
      <c r="DQ938" s="38">
        <v>77.459999999999994</v>
      </c>
      <c r="DR938" s="38" t="s">
        <v>837</v>
      </c>
      <c r="EE938" s="38">
        <v>76.38</v>
      </c>
      <c r="EF938" s="38">
        <v>95.5</v>
      </c>
      <c r="EL938" s="31" t="s">
        <v>880</v>
      </c>
      <c r="EM938" s="31" t="s">
        <v>1036</v>
      </c>
      <c r="EN938" s="38">
        <v>44</v>
      </c>
    </row>
    <row r="939" spans="1:144" s="38" customFormat="1" x14ac:dyDescent="0.25">
      <c r="A939" s="38">
        <v>44</v>
      </c>
      <c r="B939" s="38" t="s">
        <v>839</v>
      </c>
      <c r="C939" s="38" t="s">
        <v>840</v>
      </c>
      <c r="D939" s="38">
        <v>2000</v>
      </c>
      <c r="E939" s="38">
        <v>1998</v>
      </c>
      <c r="F939" s="38" t="s">
        <v>841</v>
      </c>
      <c r="G939" s="38" t="s">
        <v>847</v>
      </c>
      <c r="H939" s="38">
        <v>45.231000000000002</v>
      </c>
      <c r="I939" s="38">
        <v>-122.756</v>
      </c>
      <c r="J939" s="38">
        <v>48.4</v>
      </c>
      <c r="N939" s="38">
        <v>1040</v>
      </c>
      <c r="O939" s="38" t="s">
        <v>176</v>
      </c>
      <c r="P939" s="38" t="s">
        <v>188</v>
      </c>
      <c r="R939" s="56" t="s">
        <v>876</v>
      </c>
      <c r="S939" s="57" t="s">
        <v>659</v>
      </c>
      <c r="T939" s="57"/>
      <c r="U939" s="38">
        <v>28</v>
      </c>
      <c r="V939" s="38">
        <v>54</v>
      </c>
      <c r="W939" s="38" t="s">
        <v>175</v>
      </c>
      <c r="AA939" s="38" t="s">
        <v>1652</v>
      </c>
      <c r="AB939" s="38" t="s">
        <v>878</v>
      </c>
      <c r="AC939" s="38" t="s">
        <v>850</v>
      </c>
      <c r="AD939" s="38" t="s">
        <v>857</v>
      </c>
      <c r="AE939" s="38" t="s">
        <v>857</v>
      </c>
      <c r="AF939" s="38" t="s">
        <v>252</v>
      </c>
      <c r="AM939" s="38" t="s">
        <v>160</v>
      </c>
      <c r="AN939" s="38">
        <v>4</v>
      </c>
      <c r="AO939" s="38">
        <v>4</v>
      </c>
      <c r="AP939" s="38" t="s">
        <v>448</v>
      </c>
      <c r="DP939" s="38">
        <v>63.47</v>
      </c>
      <c r="DQ939" s="38">
        <v>80</v>
      </c>
      <c r="DR939" s="38" t="s">
        <v>837</v>
      </c>
      <c r="EE939" s="38">
        <v>71.930000000000007</v>
      </c>
      <c r="EF939" s="38">
        <v>91.05</v>
      </c>
      <c r="EL939" s="31" t="s">
        <v>880</v>
      </c>
      <c r="EM939" s="31" t="s">
        <v>1036</v>
      </c>
      <c r="EN939" s="38">
        <v>44</v>
      </c>
    </row>
    <row r="940" spans="1:144" s="23" customFormat="1" x14ac:dyDescent="0.25">
      <c r="A940" s="23">
        <v>44</v>
      </c>
      <c r="B940" s="23" t="s">
        <v>839</v>
      </c>
      <c r="C940" s="23" t="s">
        <v>840</v>
      </c>
      <c r="D940" s="23">
        <v>2000</v>
      </c>
      <c r="E940" s="23">
        <v>1996</v>
      </c>
      <c r="F940" s="23" t="s">
        <v>841</v>
      </c>
      <c r="G940" s="23" t="s">
        <v>848</v>
      </c>
      <c r="H940" s="23">
        <v>44.94</v>
      </c>
      <c r="I940" s="23">
        <v>-122.93</v>
      </c>
      <c r="J940" s="23">
        <v>66.5</v>
      </c>
      <c r="N940" s="23">
        <v>1040</v>
      </c>
      <c r="O940" s="23" t="s">
        <v>176</v>
      </c>
      <c r="P940" s="23" t="s">
        <v>186</v>
      </c>
      <c r="R940" s="53" t="s">
        <v>874</v>
      </c>
      <c r="S940" s="53" t="s">
        <v>659</v>
      </c>
      <c r="U940" s="23">
        <v>22</v>
      </c>
      <c r="V940" s="23">
        <v>52</v>
      </c>
      <c r="W940" s="23" t="s">
        <v>175</v>
      </c>
      <c r="AA940" s="23" t="s">
        <v>1652</v>
      </c>
      <c r="AB940" s="23" t="s">
        <v>851</v>
      </c>
      <c r="AC940" s="23" t="s">
        <v>174</v>
      </c>
      <c r="AD940" s="23" t="s">
        <v>858</v>
      </c>
      <c r="AE940" s="23" t="s">
        <v>858</v>
      </c>
      <c r="AF940" s="23" t="s">
        <v>252</v>
      </c>
      <c r="AM940" s="23" t="s">
        <v>160</v>
      </c>
      <c r="AN940" s="23">
        <v>4</v>
      </c>
      <c r="AO940" s="23">
        <v>4</v>
      </c>
      <c r="AP940" s="23" t="s">
        <v>448</v>
      </c>
      <c r="BP940" s="31"/>
      <c r="DP940" s="23">
        <v>62.61</v>
      </c>
      <c r="DQ940" s="23">
        <v>109.32</v>
      </c>
      <c r="DR940" s="23" t="s">
        <v>837</v>
      </c>
      <c r="EE940" s="23">
        <v>71.44</v>
      </c>
      <c r="EF940" s="23">
        <v>113.75</v>
      </c>
      <c r="EL940" s="31" t="s">
        <v>880</v>
      </c>
      <c r="EM940" s="31" t="s">
        <v>1036</v>
      </c>
      <c r="EN940" s="23">
        <v>44</v>
      </c>
    </row>
    <row r="941" spans="1:144" s="23" customFormat="1" x14ac:dyDescent="0.25">
      <c r="A941" s="23">
        <v>44</v>
      </c>
      <c r="B941" s="23" t="s">
        <v>839</v>
      </c>
      <c r="C941" s="23" t="s">
        <v>840</v>
      </c>
      <c r="D941" s="23">
        <v>2000</v>
      </c>
      <c r="E941" s="23">
        <v>1997</v>
      </c>
      <c r="F941" s="23" t="s">
        <v>841</v>
      </c>
      <c r="G941" s="23" t="s">
        <v>848</v>
      </c>
      <c r="H941" s="23">
        <v>44.94</v>
      </c>
      <c r="I941" s="23">
        <v>-122.93</v>
      </c>
      <c r="J941" s="23">
        <v>66.5</v>
      </c>
      <c r="N941" s="23">
        <v>1040</v>
      </c>
      <c r="O941" s="23" t="s">
        <v>176</v>
      </c>
      <c r="P941" s="23" t="s">
        <v>187</v>
      </c>
      <c r="R941" s="53" t="s">
        <v>875</v>
      </c>
      <c r="S941" s="53" t="s">
        <v>659</v>
      </c>
      <c r="U941" s="23">
        <v>22</v>
      </c>
      <c r="V941" s="23">
        <v>52</v>
      </c>
      <c r="W941" s="23" t="s">
        <v>175</v>
      </c>
      <c r="AA941" s="23" t="s">
        <v>1652</v>
      </c>
      <c r="AB941" s="23" t="s">
        <v>851</v>
      </c>
      <c r="AC941" s="23" t="s">
        <v>174</v>
      </c>
      <c r="AD941" s="23" t="s">
        <v>858</v>
      </c>
      <c r="AE941" s="23" t="s">
        <v>858</v>
      </c>
      <c r="AF941" s="23" t="s">
        <v>252</v>
      </c>
      <c r="AM941" s="23" t="s">
        <v>160</v>
      </c>
      <c r="AN941" s="23">
        <v>4</v>
      </c>
      <c r="AO941" s="23">
        <v>4</v>
      </c>
      <c r="AP941" s="23" t="s">
        <v>448</v>
      </c>
      <c r="BP941" s="31"/>
      <c r="DP941" s="23">
        <v>104.33</v>
      </c>
      <c r="DQ941" s="23">
        <v>151.44999999999999</v>
      </c>
      <c r="DR941" s="23" t="s">
        <v>837</v>
      </c>
      <c r="EE941" s="23">
        <v>118.58</v>
      </c>
      <c r="EF941" s="23">
        <v>199.99</v>
      </c>
      <c r="EL941" s="31" t="s">
        <v>880</v>
      </c>
      <c r="EM941" s="31" t="s">
        <v>1036</v>
      </c>
      <c r="EN941" s="23">
        <v>44</v>
      </c>
    </row>
    <row r="942" spans="1:144" s="23" customFormat="1" x14ac:dyDescent="0.25">
      <c r="A942" s="23">
        <v>44</v>
      </c>
      <c r="B942" s="23" t="s">
        <v>839</v>
      </c>
      <c r="C942" s="23" t="s">
        <v>840</v>
      </c>
      <c r="D942" s="23">
        <v>2000</v>
      </c>
      <c r="E942" s="23">
        <v>1997</v>
      </c>
      <c r="F942" s="23" t="s">
        <v>841</v>
      </c>
      <c r="G942" s="23" t="s">
        <v>848</v>
      </c>
      <c r="H942" s="23">
        <v>44.94</v>
      </c>
      <c r="I942" s="23">
        <v>-122.93</v>
      </c>
      <c r="J942" s="23">
        <v>66.5</v>
      </c>
      <c r="N942" s="23">
        <v>1040</v>
      </c>
      <c r="O942" s="23" t="s">
        <v>176</v>
      </c>
      <c r="P942" s="23" t="s">
        <v>187</v>
      </c>
      <c r="R942" s="53" t="s">
        <v>874</v>
      </c>
      <c r="S942" s="53" t="s">
        <v>659</v>
      </c>
      <c r="U942" s="23">
        <v>22</v>
      </c>
      <c r="V942" s="23">
        <v>52</v>
      </c>
      <c r="W942" s="23" t="s">
        <v>175</v>
      </c>
      <c r="AA942" s="23" t="s">
        <v>1652</v>
      </c>
      <c r="AB942" s="23" t="s">
        <v>851</v>
      </c>
      <c r="AC942" s="23" t="s">
        <v>174</v>
      </c>
      <c r="AD942" s="23" t="s">
        <v>858</v>
      </c>
      <c r="AE942" s="23" t="s">
        <v>858</v>
      </c>
      <c r="AF942" s="23" t="s">
        <v>252</v>
      </c>
      <c r="AM942" s="23" t="s">
        <v>160</v>
      </c>
      <c r="AN942" s="23">
        <v>4</v>
      </c>
      <c r="AO942" s="23">
        <v>4</v>
      </c>
      <c r="AP942" s="23" t="s">
        <v>448</v>
      </c>
      <c r="BP942" s="31"/>
      <c r="DP942" s="23">
        <v>78.44</v>
      </c>
      <c r="DQ942" s="23">
        <v>114.91</v>
      </c>
      <c r="DR942" s="23" t="s">
        <v>837</v>
      </c>
      <c r="EE942" s="23">
        <v>125.52</v>
      </c>
      <c r="EF942" s="23">
        <v>163.59</v>
      </c>
      <c r="EL942" s="31" t="s">
        <v>880</v>
      </c>
      <c r="EM942" s="31" t="s">
        <v>1036</v>
      </c>
      <c r="EN942" s="23">
        <v>44</v>
      </c>
    </row>
    <row r="943" spans="1:144" s="23" customFormat="1" x14ac:dyDescent="0.25">
      <c r="A943" s="23">
        <v>44</v>
      </c>
      <c r="B943" s="23" t="s">
        <v>839</v>
      </c>
      <c r="C943" s="23" t="s">
        <v>840</v>
      </c>
      <c r="D943" s="23">
        <v>2000</v>
      </c>
      <c r="E943" s="23">
        <v>1997</v>
      </c>
      <c r="F943" s="23" t="s">
        <v>841</v>
      </c>
      <c r="G943" s="23" t="s">
        <v>848</v>
      </c>
      <c r="H943" s="23">
        <v>44.94</v>
      </c>
      <c r="I943" s="23">
        <v>-122.93</v>
      </c>
      <c r="J943" s="23">
        <v>66.5</v>
      </c>
      <c r="N943" s="23">
        <v>1040</v>
      </c>
      <c r="O943" s="23" t="s">
        <v>176</v>
      </c>
      <c r="P943" s="23" t="s">
        <v>187</v>
      </c>
      <c r="R943" s="53" t="s">
        <v>876</v>
      </c>
      <c r="S943" s="53" t="s">
        <v>659</v>
      </c>
      <c r="U943" s="23">
        <v>22</v>
      </c>
      <c r="V943" s="23">
        <v>52</v>
      </c>
      <c r="W943" s="23" t="s">
        <v>175</v>
      </c>
      <c r="AA943" s="23" t="s">
        <v>1652</v>
      </c>
      <c r="AB943" s="23" t="s">
        <v>851</v>
      </c>
      <c r="AC943" s="23" t="s">
        <v>174</v>
      </c>
      <c r="AD943" s="23" t="s">
        <v>858</v>
      </c>
      <c r="AE943" s="23" t="s">
        <v>858</v>
      </c>
      <c r="AF943" s="23" t="s">
        <v>252</v>
      </c>
      <c r="AM943" s="23" t="s">
        <v>160</v>
      </c>
      <c r="AN943" s="23">
        <v>4</v>
      </c>
      <c r="AO943" s="23">
        <v>4</v>
      </c>
      <c r="AP943" s="23" t="s">
        <v>448</v>
      </c>
      <c r="BP943" s="31"/>
      <c r="DP943" s="23">
        <v>106.22</v>
      </c>
      <c r="DQ943" s="23">
        <v>152.93</v>
      </c>
      <c r="DR943" s="23" t="s">
        <v>837</v>
      </c>
      <c r="EE943" s="23">
        <v>119.78</v>
      </c>
      <c r="EF943" s="23">
        <v>167.37</v>
      </c>
      <c r="EL943" s="31" t="s">
        <v>880</v>
      </c>
      <c r="EM943" s="31" t="s">
        <v>1036</v>
      </c>
      <c r="EN943" s="23">
        <v>44</v>
      </c>
    </row>
    <row r="944" spans="1:144" s="23" customFormat="1" x14ac:dyDescent="0.25">
      <c r="A944" s="23">
        <v>44</v>
      </c>
      <c r="B944" s="23" t="s">
        <v>839</v>
      </c>
      <c r="C944" s="23" t="s">
        <v>840</v>
      </c>
      <c r="D944" s="23">
        <v>2000</v>
      </c>
      <c r="E944" s="23">
        <v>1998</v>
      </c>
      <c r="F944" s="23" t="s">
        <v>841</v>
      </c>
      <c r="G944" s="23" t="s">
        <v>848</v>
      </c>
      <c r="H944" s="23">
        <v>44.94</v>
      </c>
      <c r="I944" s="23">
        <v>-122.93</v>
      </c>
      <c r="J944" s="23">
        <v>66.5</v>
      </c>
      <c r="N944" s="23">
        <v>1040</v>
      </c>
      <c r="O944" s="23" t="s">
        <v>176</v>
      </c>
      <c r="P944" s="23" t="s">
        <v>188</v>
      </c>
      <c r="R944" s="53" t="s">
        <v>875</v>
      </c>
      <c r="S944" s="53" t="s">
        <v>659</v>
      </c>
      <c r="U944" s="23">
        <v>22</v>
      </c>
      <c r="V944" s="23">
        <v>52</v>
      </c>
      <c r="W944" s="23" t="s">
        <v>175</v>
      </c>
      <c r="AA944" s="23" t="s">
        <v>1652</v>
      </c>
      <c r="AB944" s="23" t="s">
        <v>851</v>
      </c>
      <c r="AC944" s="23" t="s">
        <v>174</v>
      </c>
      <c r="AD944" s="23" t="s">
        <v>858</v>
      </c>
      <c r="AE944" s="23" t="s">
        <v>858</v>
      </c>
      <c r="AF944" s="23" t="s">
        <v>252</v>
      </c>
      <c r="AM944" s="23" t="s">
        <v>160</v>
      </c>
      <c r="AN944" s="23">
        <v>4</v>
      </c>
      <c r="AO944" s="23">
        <v>4</v>
      </c>
      <c r="AP944" s="23" t="s">
        <v>448</v>
      </c>
      <c r="BP944" s="31"/>
      <c r="DP944" s="23">
        <v>117.21</v>
      </c>
      <c r="DQ944" s="23">
        <v>170.88</v>
      </c>
      <c r="DR944" s="23" t="s">
        <v>837</v>
      </c>
      <c r="EE944" s="23">
        <v>139.41</v>
      </c>
      <c r="EF944" s="23">
        <v>232.47</v>
      </c>
      <c r="EL944" s="31" t="s">
        <v>880</v>
      </c>
      <c r="EM944" s="31" t="s">
        <v>1036</v>
      </c>
      <c r="EN944" s="23">
        <v>44</v>
      </c>
    </row>
    <row r="945" spans="1:144" s="23" customFormat="1" x14ac:dyDescent="0.25">
      <c r="A945" s="23">
        <v>44</v>
      </c>
      <c r="B945" s="23" t="s">
        <v>839</v>
      </c>
      <c r="C945" s="23" t="s">
        <v>840</v>
      </c>
      <c r="D945" s="23">
        <v>2000</v>
      </c>
      <c r="E945" s="23">
        <v>1998</v>
      </c>
      <c r="F945" s="23" t="s">
        <v>841</v>
      </c>
      <c r="G945" s="23" t="s">
        <v>848</v>
      </c>
      <c r="H945" s="23">
        <v>44.94</v>
      </c>
      <c r="I945" s="23">
        <v>-122.93</v>
      </c>
      <c r="J945" s="23">
        <v>66.5</v>
      </c>
      <c r="N945" s="23">
        <v>1040</v>
      </c>
      <c r="O945" s="23" t="s">
        <v>176</v>
      </c>
      <c r="P945" s="23" t="s">
        <v>188</v>
      </c>
      <c r="R945" s="53" t="s">
        <v>874</v>
      </c>
      <c r="S945" s="53" t="s">
        <v>659</v>
      </c>
      <c r="U945" s="23">
        <v>22</v>
      </c>
      <c r="V945" s="23">
        <v>52</v>
      </c>
      <c r="W945" s="23" t="s">
        <v>175</v>
      </c>
      <c r="AA945" s="23" t="s">
        <v>1652</v>
      </c>
      <c r="AB945" s="23" t="s">
        <v>851</v>
      </c>
      <c r="AC945" s="23" t="s">
        <v>174</v>
      </c>
      <c r="AD945" s="23" t="s">
        <v>858</v>
      </c>
      <c r="AE945" s="23" t="s">
        <v>858</v>
      </c>
      <c r="AF945" s="23" t="s">
        <v>252</v>
      </c>
      <c r="AM945" s="23" t="s">
        <v>160</v>
      </c>
      <c r="AN945" s="23">
        <v>4</v>
      </c>
      <c r="AO945" s="23">
        <v>4</v>
      </c>
      <c r="AP945" s="23" t="s">
        <v>448</v>
      </c>
      <c r="BP945" s="31"/>
      <c r="DP945" s="23">
        <v>103.61</v>
      </c>
      <c r="DQ945" s="23">
        <v>178.6</v>
      </c>
      <c r="DR945" s="23" t="s">
        <v>837</v>
      </c>
      <c r="EE945" s="23">
        <v>278.55</v>
      </c>
      <c r="EF945" s="23">
        <v>383.25</v>
      </c>
      <c r="EL945" s="31" t="s">
        <v>880</v>
      </c>
      <c r="EM945" s="31" t="s">
        <v>1036</v>
      </c>
      <c r="EN945" s="23">
        <v>44</v>
      </c>
    </row>
    <row r="946" spans="1:144" s="23" customFormat="1" x14ac:dyDescent="0.25">
      <c r="A946" s="23">
        <v>44</v>
      </c>
      <c r="B946" s="23" t="s">
        <v>839</v>
      </c>
      <c r="C946" s="23" t="s">
        <v>840</v>
      </c>
      <c r="D946" s="23">
        <v>2000</v>
      </c>
      <c r="E946" s="23">
        <v>1998</v>
      </c>
      <c r="F946" s="23" t="s">
        <v>841</v>
      </c>
      <c r="G946" s="23" t="s">
        <v>848</v>
      </c>
      <c r="H946" s="23">
        <v>44.94</v>
      </c>
      <c r="I946" s="23">
        <v>-122.93</v>
      </c>
      <c r="J946" s="23">
        <v>66.5</v>
      </c>
      <c r="N946" s="23">
        <v>1040</v>
      </c>
      <c r="O946" s="23" t="s">
        <v>176</v>
      </c>
      <c r="P946" s="23" t="s">
        <v>188</v>
      </c>
      <c r="R946" s="53" t="s">
        <v>876</v>
      </c>
      <c r="S946" s="53" t="s">
        <v>659</v>
      </c>
      <c r="U946" s="23">
        <v>22</v>
      </c>
      <c r="V946" s="23">
        <v>52</v>
      </c>
      <c r="W946" s="23" t="s">
        <v>175</v>
      </c>
      <c r="AA946" s="23" t="s">
        <v>1652</v>
      </c>
      <c r="AB946" s="23" t="s">
        <v>851</v>
      </c>
      <c r="AC946" s="23" t="s">
        <v>174</v>
      </c>
      <c r="AD946" s="23" t="s">
        <v>858</v>
      </c>
      <c r="AE946" s="23" t="s">
        <v>858</v>
      </c>
      <c r="AF946" s="23" t="s">
        <v>252</v>
      </c>
      <c r="AM946" s="23" t="s">
        <v>160</v>
      </c>
      <c r="AN946" s="23">
        <v>4</v>
      </c>
      <c r="AO946" s="23">
        <v>4</v>
      </c>
      <c r="AP946" s="23" t="s">
        <v>448</v>
      </c>
      <c r="BP946" s="31"/>
      <c r="DP946" s="23">
        <v>104.35</v>
      </c>
      <c r="DQ946" s="23">
        <v>181.39</v>
      </c>
      <c r="DR946" s="23" t="s">
        <v>837</v>
      </c>
      <c r="EE946" s="23">
        <v>136.37</v>
      </c>
      <c r="EF946" s="23">
        <v>194.53</v>
      </c>
      <c r="EL946" s="31" t="s">
        <v>880</v>
      </c>
      <c r="EM946" s="31" t="s">
        <v>1036</v>
      </c>
      <c r="EN946" s="23">
        <v>44</v>
      </c>
    </row>
    <row r="947" spans="1:144" s="26" customFormat="1" x14ac:dyDescent="0.25">
      <c r="A947" s="26">
        <v>45</v>
      </c>
      <c r="B947" s="26" t="s">
        <v>881</v>
      </c>
      <c r="C947" s="26" t="s">
        <v>882</v>
      </c>
      <c r="D947" s="26">
        <v>2005</v>
      </c>
      <c r="E947" s="26">
        <v>1994</v>
      </c>
      <c r="F947" s="26" t="s">
        <v>394</v>
      </c>
      <c r="G947" s="26" t="s">
        <v>720</v>
      </c>
      <c r="H947" s="26">
        <v>40.19</v>
      </c>
      <c r="I947" s="26">
        <v>-103.17</v>
      </c>
      <c r="J947" s="26">
        <v>1384</v>
      </c>
      <c r="P947" s="52" t="s">
        <v>186</v>
      </c>
      <c r="Q947" s="52"/>
      <c r="R947" s="52"/>
      <c r="S947" s="52" t="s">
        <v>657</v>
      </c>
      <c r="W947" s="26" t="s">
        <v>175</v>
      </c>
      <c r="AA947" s="26" t="s">
        <v>1704</v>
      </c>
      <c r="AB947" s="26" t="s">
        <v>885</v>
      </c>
      <c r="AC947" s="26" t="s">
        <v>156</v>
      </c>
      <c r="AG947" s="26" t="s">
        <v>883</v>
      </c>
      <c r="AH947" s="26" t="s">
        <v>883</v>
      </c>
      <c r="AI947" s="26" t="s">
        <v>252</v>
      </c>
      <c r="AJ947" s="26" t="s">
        <v>884</v>
      </c>
      <c r="AK947" s="26" t="s">
        <v>884</v>
      </c>
      <c r="AL947" s="26" t="s">
        <v>252</v>
      </c>
      <c r="AM947" s="26" t="s">
        <v>160</v>
      </c>
      <c r="AN947" s="26">
        <v>4</v>
      </c>
      <c r="AO947" s="26">
        <v>4</v>
      </c>
      <c r="AP947" s="26" t="s">
        <v>448</v>
      </c>
      <c r="AY947" s="26">
        <v>3979</v>
      </c>
      <c r="AZ947" s="26">
        <v>2670</v>
      </c>
      <c r="BH947" s="26">
        <f>(56+19)/2</f>
        <v>37.5</v>
      </c>
      <c r="BI947" s="26">
        <f>(35+7)/2</f>
        <v>21</v>
      </c>
      <c r="BJ947" s="26" t="s">
        <v>907</v>
      </c>
      <c r="DG947" s="26">
        <v>245</v>
      </c>
      <c r="DH947" s="26">
        <v>173</v>
      </c>
      <c r="DI947" s="26" t="s">
        <v>887</v>
      </c>
      <c r="EL947" s="26" t="s">
        <v>964</v>
      </c>
      <c r="EN947" s="26">
        <v>45</v>
      </c>
    </row>
    <row r="948" spans="1:144" s="26" customFormat="1" x14ac:dyDescent="0.25">
      <c r="A948" s="26">
        <v>45</v>
      </c>
      <c r="B948" s="26" t="s">
        <v>881</v>
      </c>
      <c r="C948" s="26" t="s">
        <v>882</v>
      </c>
      <c r="D948" s="26">
        <v>2005</v>
      </c>
      <c r="E948" s="26">
        <v>1994</v>
      </c>
      <c r="F948" s="26" t="s">
        <v>394</v>
      </c>
      <c r="G948" s="26" t="s">
        <v>720</v>
      </c>
      <c r="H948" s="26">
        <v>40.19</v>
      </c>
      <c r="I948" s="26">
        <v>-103.17</v>
      </c>
      <c r="J948" s="26">
        <v>1384</v>
      </c>
      <c r="P948" s="52" t="s">
        <v>186</v>
      </c>
      <c r="Q948" s="52"/>
      <c r="R948" s="52"/>
      <c r="S948" s="52" t="s">
        <v>657</v>
      </c>
      <c r="W948" s="26" t="s">
        <v>175</v>
      </c>
      <c r="AA948" s="26" t="s">
        <v>1704</v>
      </c>
      <c r="AB948" s="26" t="s">
        <v>886</v>
      </c>
      <c r="AC948" s="26" t="s">
        <v>156</v>
      </c>
      <c r="AG948" s="26" t="s">
        <v>883</v>
      </c>
      <c r="AH948" s="26" t="s">
        <v>883</v>
      </c>
      <c r="AI948" s="26" t="s">
        <v>252</v>
      </c>
      <c r="AJ948" s="26" t="s">
        <v>884</v>
      </c>
      <c r="AK948" s="26" t="s">
        <v>884</v>
      </c>
      <c r="AL948" s="26" t="s">
        <v>252</v>
      </c>
      <c r="AM948" s="26" t="s">
        <v>160</v>
      </c>
      <c r="AN948" s="26">
        <v>4</v>
      </c>
      <c r="AO948" s="26">
        <v>4</v>
      </c>
      <c r="AP948" s="26" t="s">
        <v>448</v>
      </c>
      <c r="AY948" s="26">
        <v>3979</v>
      </c>
      <c r="AZ948" s="26">
        <v>2663</v>
      </c>
      <c r="BH948" s="26">
        <f t="shared" ref="BH948:BH949" si="219">(56+19)/2</f>
        <v>37.5</v>
      </c>
      <c r="BI948" s="26">
        <f>(31+7)/2</f>
        <v>19</v>
      </c>
      <c r="BJ948" s="26" t="s">
        <v>907</v>
      </c>
      <c r="DG948" s="26">
        <v>245</v>
      </c>
      <c r="DH948" s="26">
        <v>188</v>
      </c>
      <c r="DI948" s="26" t="s">
        <v>887</v>
      </c>
      <c r="EL948" s="26" t="s">
        <v>964</v>
      </c>
      <c r="EN948" s="26">
        <v>45</v>
      </c>
    </row>
    <row r="949" spans="1:144" s="26" customFormat="1" x14ac:dyDescent="0.25">
      <c r="A949" s="26">
        <v>45</v>
      </c>
      <c r="B949" s="26" t="s">
        <v>881</v>
      </c>
      <c r="C949" s="26" t="s">
        <v>882</v>
      </c>
      <c r="D949" s="26">
        <v>2005</v>
      </c>
      <c r="E949" s="26">
        <v>1994</v>
      </c>
      <c r="F949" s="26" t="s">
        <v>394</v>
      </c>
      <c r="G949" s="26" t="s">
        <v>720</v>
      </c>
      <c r="H949" s="26">
        <v>40.19</v>
      </c>
      <c r="I949" s="26">
        <v>-103.17</v>
      </c>
      <c r="J949" s="26">
        <v>1384</v>
      </c>
      <c r="P949" s="52" t="s">
        <v>186</v>
      </c>
      <c r="Q949" s="52"/>
      <c r="R949" s="52"/>
      <c r="S949" s="52" t="s">
        <v>657</v>
      </c>
      <c r="W949" s="26" t="s">
        <v>175</v>
      </c>
      <c r="AA949" s="26" t="s">
        <v>1704</v>
      </c>
      <c r="AB949" s="26" t="s">
        <v>760</v>
      </c>
      <c r="AC949" s="26" t="s">
        <v>156</v>
      </c>
      <c r="AG949" s="26" t="s">
        <v>883</v>
      </c>
      <c r="AH949" s="26" t="s">
        <v>883</v>
      </c>
      <c r="AI949" s="26" t="s">
        <v>252</v>
      </c>
      <c r="AJ949" s="26" t="s">
        <v>884</v>
      </c>
      <c r="AK949" s="26" t="s">
        <v>884</v>
      </c>
      <c r="AL949" s="26" t="s">
        <v>252</v>
      </c>
      <c r="AM949" s="26" t="s">
        <v>160</v>
      </c>
      <c r="AN949" s="26">
        <v>4</v>
      </c>
      <c r="AO949" s="26">
        <v>4</v>
      </c>
      <c r="AP949" s="26" t="s">
        <v>448</v>
      </c>
      <c r="AY949" s="26">
        <v>3979</v>
      </c>
      <c r="AZ949" s="26">
        <v>2632</v>
      </c>
      <c r="BH949" s="26">
        <f t="shared" si="219"/>
        <v>37.5</v>
      </c>
      <c r="BI949" s="26">
        <f>(35+6)/2</f>
        <v>20.5</v>
      </c>
      <c r="BJ949" s="26" t="s">
        <v>907</v>
      </c>
      <c r="DG949" s="26">
        <v>245</v>
      </c>
      <c r="DH949" s="26">
        <v>172</v>
      </c>
      <c r="DI949" s="26" t="s">
        <v>887</v>
      </c>
      <c r="EL949" s="26" t="s">
        <v>964</v>
      </c>
      <c r="EN949" s="26">
        <v>45</v>
      </c>
    </row>
    <row r="950" spans="1:144" s="26" customFormat="1" x14ac:dyDescent="0.25">
      <c r="A950" s="26">
        <v>45</v>
      </c>
      <c r="B950" s="26" t="s">
        <v>881</v>
      </c>
      <c r="C950" s="26" t="s">
        <v>882</v>
      </c>
      <c r="D950" s="26">
        <v>2005</v>
      </c>
      <c r="E950" s="26">
        <v>1994</v>
      </c>
      <c r="F950" s="26" t="s">
        <v>394</v>
      </c>
      <c r="G950" s="26" t="s">
        <v>720</v>
      </c>
      <c r="H950" s="26">
        <v>40.19</v>
      </c>
      <c r="I950" s="26">
        <v>-103.17</v>
      </c>
      <c r="J950" s="26">
        <v>1384</v>
      </c>
      <c r="P950" s="52" t="s">
        <v>186</v>
      </c>
      <c r="Q950" s="52"/>
      <c r="R950" s="52"/>
      <c r="S950" s="52" t="s">
        <v>657</v>
      </c>
      <c r="W950" s="26" t="s">
        <v>175</v>
      </c>
      <c r="AA950" s="26" t="s">
        <v>1704</v>
      </c>
      <c r="AB950" s="26" t="s">
        <v>326</v>
      </c>
      <c r="AC950" s="26" t="s">
        <v>156</v>
      </c>
      <c r="AG950" s="26" t="s">
        <v>883</v>
      </c>
      <c r="AH950" s="26" t="s">
        <v>883</v>
      </c>
      <c r="AI950" s="26" t="s">
        <v>252</v>
      </c>
      <c r="AJ950" s="26" t="s">
        <v>884</v>
      </c>
      <c r="AK950" s="26" t="s">
        <v>884</v>
      </c>
      <c r="AL950" s="26" t="s">
        <v>252</v>
      </c>
      <c r="AM950" s="26" t="s">
        <v>160</v>
      </c>
      <c r="AN950" s="26">
        <v>4</v>
      </c>
      <c r="AO950" s="26">
        <v>4</v>
      </c>
      <c r="AP950" s="26" t="s">
        <v>448</v>
      </c>
      <c r="EL950" s="26" t="s">
        <v>964</v>
      </c>
      <c r="EN950" s="26">
        <v>45</v>
      </c>
    </row>
    <row r="951" spans="1:144" s="35" customFormat="1" x14ac:dyDescent="0.25">
      <c r="A951" s="35">
        <v>45</v>
      </c>
      <c r="B951" s="35" t="s">
        <v>881</v>
      </c>
      <c r="C951" s="35" t="s">
        <v>882</v>
      </c>
      <c r="D951" s="35">
        <v>2005</v>
      </c>
      <c r="E951" s="35">
        <v>1995</v>
      </c>
      <c r="F951" s="35" t="s">
        <v>394</v>
      </c>
      <c r="G951" s="35" t="s">
        <v>720</v>
      </c>
      <c r="H951" s="35">
        <v>40.19</v>
      </c>
      <c r="I951" s="35">
        <v>-103.17</v>
      </c>
      <c r="J951" s="35">
        <v>1384</v>
      </c>
      <c r="P951" s="54" t="s">
        <v>187</v>
      </c>
      <c r="Q951" s="54"/>
      <c r="R951" s="54"/>
      <c r="S951" s="54" t="s">
        <v>657</v>
      </c>
      <c r="W951" s="35" t="s">
        <v>175</v>
      </c>
      <c r="AA951" s="35" t="s">
        <v>1704</v>
      </c>
      <c r="AB951" s="35" t="s">
        <v>885</v>
      </c>
      <c r="AC951" s="35" t="s">
        <v>156</v>
      </c>
      <c r="AG951" s="35" t="s">
        <v>883</v>
      </c>
      <c r="AH951" s="35" t="s">
        <v>883</v>
      </c>
      <c r="AI951" s="35" t="s">
        <v>252</v>
      </c>
      <c r="AJ951" s="35" t="s">
        <v>884</v>
      </c>
      <c r="AK951" s="35" t="s">
        <v>884</v>
      </c>
      <c r="AL951" s="35" t="s">
        <v>252</v>
      </c>
      <c r="AM951" s="35" t="s">
        <v>160</v>
      </c>
      <c r="AN951" s="35">
        <v>4</v>
      </c>
      <c r="AO951" s="35">
        <v>4</v>
      </c>
      <c r="AP951" s="35" t="s">
        <v>448</v>
      </c>
      <c r="AY951" s="35">
        <v>6032</v>
      </c>
      <c r="AZ951" s="35">
        <v>3721</v>
      </c>
      <c r="BH951" s="35">
        <f>(23+5)/2</f>
        <v>14</v>
      </c>
      <c r="BI951" s="35">
        <f>(3+5)/2</f>
        <v>4</v>
      </c>
      <c r="BJ951" s="35" t="s">
        <v>907</v>
      </c>
      <c r="DG951" s="35">
        <v>293</v>
      </c>
      <c r="DH951" s="35">
        <v>202</v>
      </c>
      <c r="DI951" s="35" t="s">
        <v>887</v>
      </c>
      <c r="EL951" s="35" t="s">
        <v>964</v>
      </c>
      <c r="EN951" s="35">
        <v>45</v>
      </c>
    </row>
    <row r="952" spans="1:144" s="35" customFormat="1" x14ac:dyDescent="0.25">
      <c r="A952" s="35">
        <v>45</v>
      </c>
      <c r="B952" s="35" t="s">
        <v>881</v>
      </c>
      <c r="C952" s="35" t="s">
        <v>882</v>
      </c>
      <c r="D952" s="35">
        <v>2005</v>
      </c>
      <c r="E952" s="35">
        <v>1995</v>
      </c>
      <c r="F952" s="35" t="s">
        <v>394</v>
      </c>
      <c r="G952" s="35" t="s">
        <v>720</v>
      </c>
      <c r="H952" s="35">
        <v>40.19</v>
      </c>
      <c r="I952" s="35">
        <v>-103.17</v>
      </c>
      <c r="J952" s="35">
        <v>1384</v>
      </c>
      <c r="P952" s="54" t="s">
        <v>187</v>
      </c>
      <c r="Q952" s="54"/>
      <c r="R952" s="54"/>
      <c r="S952" s="54" t="s">
        <v>657</v>
      </c>
      <c r="W952" s="35" t="s">
        <v>175</v>
      </c>
      <c r="AA952" s="35" t="s">
        <v>1704</v>
      </c>
      <c r="AB952" s="35" t="s">
        <v>886</v>
      </c>
      <c r="AC952" s="35" t="s">
        <v>156</v>
      </c>
      <c r="AG952" s="35" t="s">
        <v>883</v>
      </c>
      <c r="AH952" s="35" t="s">
        <v>883</v>
      </c>
      <c r="AI952" s="35" t="s">
        <v>252</v>
      </c>
      <c r="AJ952" s="35" t="s">
        <v>884</v>
      </c>
      <c r="AK952" s="35" t="s">
        <v>884</v>
      </c>
      <c r="AL952" s="35" t="s">
        <v>252</v>
      </c>
      <c r="AM952" s="35" t="s">
        <v>160</v>
      </c>
      <c r="AN952" s="35">
        <v>4</v>
      </c>
      <c r="AO952" s="35">
        <v>4</v>
      </c>
      <c r="AP952" s="35" t="s">
        <v>448</v>
      </c>
      <c r="AY952" s="35">
        <v>6032</v>
      </c>
      <c r="AZ952" s="35">
        <v>4082</v>
      </c>
      <c r="BH952" s="35">
        <f t="shared" ref="BH952:BH953" si="220">(23+5)/2</f>
        <v>14</v>
      </c>
      <c r="BI952" s="35">
        <f>(4+5)/2</f>
        <v>4.5</v>
      </c>
      <c r="BJ952" s="35" t="s">
        <v>907</v>
      </c>
      <c r="DG952" s="35">
        <v>293</v>
      </c>
      <c r="DH952" s="35">
        <v>202</v>
      </c>
      <c r="DI952" s="35" t="s">
        <v>887</v>
      </c>
      <c r="EL952" s="35" t="s">
        <v>964</v>
      </c>
      <c r="EN952" s="35">
        <v>45</v>
      </c>
    </row>
    <row r="953" spans="1:144" s="35" customFormat="1" x14ac:dyDescent="0.25">
      <c r="A953" s="35">
        <v>45</v>
      </c>
      <c r="B953" s="35" t="s">
        <v>881</v>
      </c>
      <c r="C953" s="35" t="s">
        <v>882</v>
      </c>
      <c r="D953" s="35">
        <v>2005</v>
      </c>
      <c r="E953" s="35">
        <v>1995</v>
      </c>
      <c r="F953" s="35" t="s">
        <v>394</v>
      </c>
      <c r="G953" s="35" t="s">
        <v>720</v>
      </c>
      <c r="H953" s="35">
        <v>40.19</v>
      </c>
      <c r="I953" s="35">
        <v>-103.17</v>
      </c>
      <c r="J953" s="35">
        <v>1384</v>
      </c>
      <c r="P953" s="54" t="s">
        <v>187</v>
      </c>
      <c r="Q953" s="54"/>
      <c r="R953" s="54"/>
      <c r="S953" s="54" t="s">
        <v>657</v>
      </c>
      <c r="W953" s="35" t="s">
        <v>175</v>
      </c>
      <c r="AA953" s="35" t="s">
        <v>1704</v>
      </c>
      <c r="AB953" s="35" t="s">
        <v>760</v>
      </c>
      <c r="AC953" s="35" t="s">
        <v>156</v>
      </c>
      <c r="AG953" s="35" t="s">
        <v>883</v>
      </c>
      <c r="AH953" s="35" t="s">
        <v>883</v>
      </c>
      <c r="AI953" s="35" t="s">
        <v>252</v>
      </c>
      <c r="AJ953" s="35" t="s">
        <v>884</v>
      </c>
      <c r="AK953" s="35" t="s">
        <v>884</v>
      </c>
      <c r="AL953" s="35" t="s">
        <v>252</v>
      </c>
      <c r="AM953" s="35" t="s">
        <v>160</v>
      </c>
      <c r="AN953" s="35">
        <v>4</v>
      </c>
      <c r="AO953" s="35">
        <v>4</v>
      </c>
      <c r="AP953" s="35" t="s">
        <v>448</v>
      </c>
      <c r="AY953" s="35">
        <v>6032</v>
      </c>
      <c r="AZ953" s="35">
        <v>2632</v>
      </c>
      <c r="BH953" s="35">
        <f t="shared" si="220"/>
        <v>14</v>
      </c>
      <c r="BI953" s="35">
        <f>(2+5)/2</f>
        <v>3.5</v>
      </c>
      <c r="BJ953" s="35" t="s">
        <v>907</v>
      </c>
      <c r="DG953" s="35">
        <v>293</v>
      </c>
      <c r="DH953" s="35">
        <v>205</v>
      </c>
      <c r="DI953" s="35" t="s">
        <v>887</v>
      </c>
      <c r="EL953" s="35" t="s">
        <v>964</v>
      </c>
      <c r="EN953" s="35">
        <v>45</v>
      </c>
    </row>
    <row r="954" spans="1:144" s="35" customFormat="1" x14ac:dyDescent="0.25">
      <c r="A954" s="35">
        <v>45</v>
      </c>
      <c r="B954" s="35" t="s">
        <v>881</v>
      </c>
      <c r="C954" s="35" t="s">
        <v>882</v>
      </c>
      <c r="D954" s="35">
        <v>2005</v>
      </c>
      <c r="E954" s="35">
        <v>1995</v>
      </c>
      <c r="F954" s="35" t="s">
        <v>394</v>
      </c>
      <c r="G954" s="35" t="s">
        <v>720</v>
      </c>
      <c r="H954" s="35">
        <v>40.19</v>
      </c>
      <c r="I954" s="35">
        <v>-103.17</v>
      </c>
      <c r="J954" s="35">
        <v>1384</v>
      </c>
      <c r="P954" s="54" t="s">
        <v>187</v>
      </c>
      <c r="Q954" s="54"/>
      <c r="R954" s="54"/>
      <c r="S954" s="54" t="s">
        <v>657</v>
      </c>
      <c r="W954" s="35" t="s">
        <v>175</v>
      </c>
      <c r="AA954" s="35" t="s">
        <v>1704</v>
      </c>
      <c r="AB954" s="35" t="s">
        <v>326</v>
      </c>
      <c r="AC954" s="35" t="s">
        <v>156</v>
      </c>
      <c r="AG954" s="35" t="s">
        <v>883</v>
      </c>
      <c r="AH954" s="35" t="s">
        <v>883</v>
      </c>
      <c r="AI954" s="35" t="s">
        <v>252</v>
      </c>
      <c r="AJ954" s="35" t="s">
        <v>884</v>
      </c>
      <c r="AK954" s="35" t="s">
        <v>884</v>
      </c>
      <c r="AL954" s="35" t="s">
        <v>252</v>
      </c>
      <c r="AM954" s="35" t="s">
        <v>160</v>
      </c>
      <c r="AN954" s="35">
        <v>4</v>
      </c>
      <c r="AO954" s="35">
        <v>4</v>
      </c>
      <c r="AP954" s="35" t="s">
        <v>448</v>
      </c>
      <c r="EL954" s="35" t="s">
        <v>964</v>
      </c>
      <c r="EN954" s="35">
        <v>45</v>
      </c>
    </row>
    <row r="955" spans="1:144" s="26" customFormat="1" x14ac:dyDescent="0.25">
      <c r="A955" s="26">
        <v>45</v>
      </c>
      <c r="B955" s="26" t="s">
        <v>881</v>
      </c>
      <c r="C955" s="26" t="s">
        <v>882</v>
      </c>
      <c r="D955" s="26">
        <v>2005</v>
      </c>
      <c r="E955" s="26">
        <v>1996</v>
      </c>
      <c r="F955" s="26" t="s">
        <v>394</v>
      </c>
      <c r="G955" s="26" t="s">
        <v>720</v>
      </c>
      <c r="H955" s="26">
        <v>40.19</v>
      </c>
      <c r="I955" s="26">
        <v>-103.17</v>
      </c>
      <c r="J955" s="26">
        <v>1384</v>
      </c>
      <c r="P955" s="52" t="s">
        <v>188</v>
      </c>
      <c r="Q955" s="52"/>
      <c r="R955" s="52"/>
      <c r="S955" s="52" t="s">
        <v>657</v>
      </c>
      <c r="W955" s="26" t="s">
        <v>175</v>
      </c>
      <c r="AA955" s="26" t="s">
        <v>1704</v>
      </c>
      <c r="AB955" s="26" t="s">
        <v>885</v>
      </c>
      <c r="AC955" s="26" t="s">
        <v>156</v>
      </c>
      <c r="AG955" s="26" t="s">
        <v>883</v>
      </c>
      <c r="AH955" s="26" t="s">
        <v>883</v>
      </c>
      <c r="AI955" s="26" t="s">
        <v>252</v>
      </c>
      <c r="AJ955" s="26" t="s">
        <v>884</v>
      </c>
      <c r="AK955" s="26" t="s">
        <v>884</v>
      </c>
      <c r="AL955" s="26" t="s">
        <v>252</v>
      </c>
      <c r="AM955" s="26" t="s">
        <v>160</v>
      </c>
      <c r="AN955" s="26">
        <v>4</v>
      </c>
      <c r="AO955" s="26">
        <v>4</v>
      </c>
      <c r="AP955" s="26" t="s">
        <v>448</v>
      </c>
      <c r="AY955" s="26">
        <v>4149</v>
      </c>
      <c r="AZ955" s="26">
        <v>2948</v>
      </c>
      <c r="BH955" s="26">
        <f>(60+14)/2</f>
        <v>37</v>
      </c>
      <c r="BI955" s="26">
        <f>(51+11)/2</f>
        <v>31</v>
      </c>
      <c r="BJ955" s="26" t="s">
        <v>907</v>
      </c>
      <c r="DG955" s="26">
        <v>349</v>
      </c>
      <c r="DH955" s="26">
        <v>239</v>
      </c>
      <c r="DI955" s="26" t="s">
        <v>887</v>
      </c>
      <c r="EL955" s="26" t="s">
        <v>964</v>
      </c>
      <c r="EN955" s="26">
        <v>45</v>
      </c>
    </row>
    <row r="956" spans="1:144" s="26" customFormat="1" x14ac:dyDescent="0.25">
      <c r="A956" s="26">
        <v>45</v>
      </c>
      <c r="B956" s="26" t="s">
        <v>881</v>
      </c>
      <c r="C956" s="26" t="s">
        <v>882</v>
      </c>
      <c r="D956" s="26">
        <v>2005</v>
      </c>
      <c r="E956" s="26">
        <v>1996</v>
      </c>
      <c r="F956" s="26" t="s">
        <v>394</v>
      </c>
      <c r="G956" s="26" t="s">
        <v>720</v>
      </c>
      <c r="H956" s="26">
        <v>40.19</v>
      </c>
      <c r="I956" s="26">
        <v>-103.17</v>
      </c>
      <c r="J956" s="26">
        <v>1384</v>
      </c>
      <c r="P956" s="52" t="s">
        <v>188</v>
      </c>
      <c r="Q956" s="52"/>
      <c r="R956" s="52"/>
      <c r="S956" s="52" t="s">
        <v>657</v>
      </c>
      <c r="W956" s="26" t="s">
        <v>175</v>
      </c>
      <c r="AA956" s="26" t="s">
        <v>1704</v>
      </c>
      <c r="AB956" s="26" t="s">
        <v>886</v>
      </c>
      <c r="AC956" s="26" t="s">
        <v>156</v>
      </c>
      <c r="AG956" s="26" t="s">
        <v>883</v>
      </c>
      <c r="AH956" s="26" t="s">
        <v>883</v>
      </c>
      <c r="AI956" s="26" t="s">
        <v>252</v>
      </c>
      <c r="AJ956" s="26" t="s">
        <v>884</v>
      </c>
      <c r="AK956" s="26" t="s">
        <v>884</v>
      </c>
      <c r="AL956" s="26" t="s">
        <v>252</v>
      </c>
      <c r="AM956" s="26" t="s">
        <v>160</v>
      </c>
      <c r="AN956" s="26">
        <v>4</v>
      </c>
      <c r="AO956" s="26">
        <v>4</v>
      </c>
      <c r="AP956" s="26" t="s">
        <v>448</v>
      </c>
      <c r="AY956" s="26">
        <v>4149</v>
      </c>
      <c r="AZ956" s="26">
        <v>3164</v>
      </c>
      <c r="BH956" s="26">
        <f t="shared" ref="BH956:BH957" si="221">(60+14)/2</f>
        <v>37</v>
      </c>
      <c r="BI956" s="26">
        <f>(43+11)/2</f>
        <v>27</v>
      </c>
      <c r="BJ956" s="26" t="s">
        <v>907</v>
      </c>
      <c r="DG956" s="26">
        <v>349</v>
      </c>
      <c r="DH956" s="26">
        <v>261</v>
      </c>
      <c r="DI956" s="26" t="s">
        <v>887</v>
      </c>
      <c r="EL956" s="26" t="s">
        <v>964</v>
      </c>
      <c r="EN956" s="26">
        <v>45</v>
      </c>
    </row>
    <row r="957" spans="1:144" s="26" customFormat="1" x14ac:dyDescent="0.25">
      <c r="A957" s="26">
        <v>45</v>
      </c>
      <c r="B957" s="26" t="s">
        <v>881</v>
      </c>
      <c r="C957" s="26" t="s">
        <v>882</v>
      </c>
      <c r="D957" s="26">
        <v>2005</v>
      </c>
      <c r="E957" s="26">
        <v>1996</v>
      </c>
      <c r="F957" s="26" t="s">
        <v>394</v>
      </c>
      <c r="G957" s="26" t="s">
        <v>720</v>
      </c>
      <c r="H957" s="26">
        <v>40.19</v>
      </c>
      <c r="I957" s="26">
        <v>-103.17</v>
      </c>
      <c r="J957" s="26">
        <v>1384</v>
      </c>
      <c r="P957" s="52" t="s">
        <v>188</v>
      </c>
      <c r="Q957" s="52"/>
      <c r="R957" s="52"/>
      <c r="S957" s="52" t="s">
        <v>657</v>
      </c>
      <c r="W957" s="26" t="s">
        <v>175</v>
      </c>
      <c r="AA957" s="26" t="s">
        <v>1704</v>
      </c>
      <c r="AB957" s="26" t="s">
        <v>760</v>
      </c>
      <c r="AC957" s="26" t="s">
        <v>156</v>
      </c>
      <c r="AG957" s="26" t="s">
        <v>883</v>
      </c>
      <c r="AH957" s="26" t="s">
        <v>883</v>
      </c>
      <c r="AI957" s="26" t="s">
        <v>252</v>
      </c>
      <c r="AJ957" s="26" t="s">
        <v>884</v>
      </c>
      <c r="AK957" s="26" t="s">
        <v>884</v>
      </c>
      <c r="AL957" s="26" t="s">
        <v>252</v>
      </c>
      <c r="AM957" s="26" t="s">
        <v>160</v>
      </c>
      <c r="AN957" s="26">
        <v>4</v>
      </c>
      <c r="AO957" s="26">
        <v>4</v>
      </c>
      <c r="AP957" s="26" t="s">
        <v>448</v>
      </c>
      <c r="AY957" s="26">
        <v>4149</v>
      </c>
      <c r="AZ957" s="26">
        <v>2749</v>
      </c>
      <c r="BH957" s="26">
        <f t="shared" si="221"/>
        <v>37</v>
      </c>
      <c r="BI957" s="26">
        <f>(42+10)/2</f>
        <v>26</v>
      </c>
      <c r="BJ957" s="26" t="s">
        <v>907</v>
      </c>
      <c r="DG957" s="26">
        <v>349</v>
      </c>
      <c r="DH957" s="26">
        <v>251</v>
      </c>
      <c r="DI957" s="26" t="s">
        <v>887</v>
      </c>
      <c r="EL957" s="26" t="s">
        <v>964</v>
      </c>
      <c r="EN957" s="26">
        <v>45</v>
      </c>
    </row>
    <row r="958" spans="1:144" s="26" customFormat="1" x14ac:dyDescent="0.25">
      <c r="A958" s="26">
        <v>45</v>
      </c>
      <c r="B958" s="26" t="s">
        <v>881</v>
      </c>
      <c r="C958" s="26" t="s">
        <v>882</v>
      </c>
      <c r="D958" s="26">
        <v>2005</v>
      </c>
      <c r="E958" s="26">
        <v>1996</v>
      </c>
      <c r="F958" s="26" t="s">
        <v>394</v>
      </c>
      <c r="G958" s="26" t="s">
        <v>720</v>
      </c>
      <c r="H958" s="26">
        <v>40.19</v>
      </c>
      <c r="I958" s="26">
        <v>-103.17</v>
      </c>
      <c r="J958" s="26">
        <v>1384</v>
      </c>
      <c r="P958" s="52" t="s">
        <v>188</v>
      </c>
      <c r="Q958" s="52"/>
      <c r="R958" s="52"/>
      <c r="S958" s="52" t="s">
        <v>657</v>
      </c>
      <c r="W958" s="26" t="s">
        <v>175</v>
      </c>
      <c r="AA958" s="26" t="s">
        <v>1704</v>
      </c>
      <c r="AB958" s="26" t="s">
        <v>326</v>
      </c>
      <c r="AC958" s="26" t="s">
        <v>156</v>
      </c>
      <c r="AG958" s="26" t="s">
        <v>883</v>
      </c>
      <c r="AH958" s="26" t="s">
        <v>883</v>
      </c>
      <c r="AI958" s="26" t="s">
        <v>252</v>
      </c>
      <c r="AJ958" s="26" t="s">
        <v>884</v>
      </c>
      <c r="AK958" s="26" t="s">
        <v>884</v>
      </c>
      <c r="AL958" s="26" t="s">
        <v>252</v>
      </c>
      <c r="AM958" s="26" t="s">
        <v>160</v>
      </c>
      <c r="AN958" s="26">
        <v>4</v>
      </c>
      <c r="AO958" s="26">
        <v>4</v>
      </c>
      <c r="AP958" s="26" t="s">
        <v>448</v>
      </c>
      <c r="EL958" s="26" t="s">
        <v>964</v>
      </c>
      <c r="EN958" s="26">
        <v>45</v>
      </c>
    </row>
    <row r="959" spans="1:144" s="35" customFormat="1" x14ac:dyDescent="0.25">
      <c r="A959" s="35">
        <v>45</v>
      </c>
      <c r="B959" s="35" t="s">
        <v>881</v>
      </c>
      <c r="C959" s="35" t="s">
        <v>882</v>
      </c>
      <c r="D959" s="35">
        <v>2005</v>
      </c>
      <c r="E959" s="35">
        <v>1997</v>
      </c>
      <c r="F959" s="35" t="s">
        <v>394</v>
      </c>
      <c r="G959" s="35" t="s">
        <v>720</v>
      </c>
      <c r="H959" s="35">
        <v>40.19</v>
      </c>
      <c r="I959" s="35">
        <v>-103.17</v>
      </c>
      <c r="J959" s="35">
        <v>1384</v>
      </c>
      <c r="P959" s="54" t="s">
        <v>189</v>
      </c>
      <c r="Q959" s="54"/>
      <c r="R959" s="54"/>
      <c r="S959" s="54" t="s">
        <v>657</v>
      </c>
      <c r="W959" s="35" t="s">
        <v>175</v>
      </c>
      <c r="AA959" s="35" t="s">
        <v>1704</v>
      </c>
      <c r="AB959" s="35" t="s">
        <v>885</v>
      </c>
      <c r="AC959" s="35" t="s">
        <v>156</v>
      </c>
      <c r="AG959" s="35" t="s">
        <v>883</v>
      </c>
      <c r="AH959" s="35" t="s">
        <v>883</v>
      </c>
      <c r="AI959" s="35" t="s">
        <v>252</v>
      </c>
      <c r="AJ959" s="35" t="s">
        <v>884</v>
      </c>
      <c r="AK959" s="35" t="s">
        <v>884</v>
      </c>
      <c r="AL959" s="35" t="s">
        <v>252</v>
      </c>
      <c r="AM959" s="35" t="s">
        <v>160</v>
      </c>
      <c r="AN959" s="35">
        <v>4</v>
      </c>
      <c r="AO959" s="35">
        <v>4</v>
      </c>
      <c r="AP959" s="35" t="s">
        <v>448</v>
      </c>
      <c r="AY959" s="35">
        <v>2453</v>
      </c>
      <c r="AZ959" s="35">
        <v>1917</v>
      </c>
      <c r="BH959" s="35">
        <f>(64+19)/2</f>
        <v>41.5</v>
      </c>
      <c r="BI959" s="35">
        <f>(64+9)/2</f>
        <v>36.5</v>
      </c>
      <c r="BJ959" s="35" t="s">
        <v>907</v>
      </c>
      <c r="DG959" s="35">
        <v>288</v>
      </c>
      <c r="DH959" s="35">
        <v>219</v>
      </c>
      <c r="DI959" s="35" t="s">
        <v>887</v>
      </c>
      <c r="EL959" s="35" t="s">
        <v>964</v>
      </c>
      <c r="EN959" s="35">
        <v>45</v>
      </c>
    </row>
    <row r="960" spans="1:144" s="35" customFormat="1" x14ac:dyDescent="0.25">
      <c r="A960" s="35">
        <v>45</v>
      </c>
      <c r="B960" s="35" t="s">
        <v>881</v>
      </c>
      <c r="C960" s="35" t="s">
        <v>882</v>
      </c>
      <c r="D960" s="35">
        <v>2005</v>
      </c>
      <c r="E960" s="35">
        <v>1997</v>
      </c>
      <c r="F960" s="35" t="s">
        <v>394</v>
      </c>
      <c r="G960" s="35" t="s">
        <v>720</v>
      </c>
      <c r="H960" s="35">
        <v>40.19</v>
      </c>
      <c r="I960" s="35">
        <v>-103.17</v>
      </c>
      <c r="J960" s="35">
        <v>1384</v>
      </c>
      <c r="P960" s="54" t="s">
        <v>189</v>
      </c>
      <c r="Q960" s="54"/>
      <c r="R960" s="54"/>
      <c r="S960" s="54" t="s">
        <v>657</v>
      </c>
      <c r="W960" s="35" t="s">
        <v>175</v>
      </c>
      <c r="AA960" s="35" t="s">
        <v>1704</v>
      </c>
      <c r="AB960" s="35" t="s">
        <v>886</v>
      </c>
      <c r="AC960" s="35" t="s">
        <v>156</v>
      </c>
      <c r="AG960" s="35" t="s">
        <v>883</v>
      </c>
      <c r="AH960" s="35" t="s">
        <v>883</v>
      </c>
      <c r="AI960" s="35" t="s">
        <v>252</v>
      </c>
      <c r="AJ960" s="35" t="s">
        <v>884</v>
      </c>
      <c r="AK960" s="35" t="s">
        <v>884</v>
      </c>
      <c r="AL960" s="35" t="s">
        <v>252</v>
      </c>
      <c r="AM960" s="35" t="s">
        <v>160</v>
      </c>
      <c r="AN960" s="35">
        <v>4</v>
      </c>
      <c r="AO960" s="35">
        <v>4</v>
      </c>
      <c r="AP960" s="35" t="s">
        <v>448</v>
      </c>
      <c r="AY960" s="35">
        <v>2453</v>
      </c>
      <c r="AZ960" s="35">
        <v>2024</v>
      </c>
      <c r="BH960" s="35">
        <f t="shared" ref="BH960:BH962" si="222">(64+19)/2</f>
        <v>41.5</v>
      </c>
      <c r="BI960" s="35">
        <f>(45+9)/2</f>
        <v>27</v>
      </c>
      <c r="BJ960" s="35" t="s">
        <v>907</v>
      </c>
      <c r="DG960" s="35">
        <v>288</v>
      </c>
      <c r="DH960" s="35">
        <v>207</v>
      </c>
      <c r="DI960" s="35" t="s">
        <v>887</v>
      </c>
      <c r="EL960" s="35" t="s">
        <v>964</v>
      </c>
      <c r="EN960" s="35">
        <v>45</v>
      </c>
    </row>
    <row r="961" spans="1:144" s="35" customFormat="1" x14ac:dyDescent="0.25">
      <c r="A961" s="35">
        <v>45</v>
      </c>
      <c r="B961" s="35" t="s">
        <v>881</v>
      </c>
      <c r="C961" s="35" t="s">
        <v>882</v>
      </c>
      <c r="D961" s="35">
        <v>2005</v>
      </c>
      <c r="E961" s="35">
        <v>1997</v>
      </c>
      <c r="F961" s="35" t="s">
        <v>394</v>
      </c>
      <c r="G961" s="35" t="s">
        <v>720</v>
      </c>
      <c r="H961" s="35">
        <v>40.19</v>
      </c>
      <c r="I961" s="35">
        <v>-103.17</v>
      </c>
      <c r="J961" s="35">
        <v>1384</v>
      </c>
      <c r="P961" s="54" t="s">
        <v>189</v>
      </c>
      <c r="Q961" s="54"/>
      <c r="R961" s="54"/>
      <c r="S961" s="54" t="s">
        <v>657</v>
      </c>
      <c r="W961" s="35" t="s">
        <v>175</v>
      </c>
      <c r="AA961" s="35" t="s">
        <v>1704</v>
      </c>
      <c r="AB961" s="35" t="s">
        <v>760</v>
      </c>
      <c r="AC961" s="35" t="s">
        <v>156</v>
      </c>
      <c r="AG961" s="35" t="s">
        <v>883</v>
      </c>
      <c r="AH961" s="35" t="s">
        <v>883</v>
      </c>
      <c r="AI961" s="35" t="s">
        <v>252</v>
      </c>
      <c r="AJ961" s="35" t="s">
        <v>884</v>
      </c>
      <c r="AK961" s="35" t="s">
        <v>884</v>
      </c>
      <c r="AL961" s="35" t="s">
        <v>252</v>
      </c>
      <c r="AM961" s="35" t="s">
        <v>160</v>
      </c>
      <c r="AN961" s="35">
        <v>4</v>
      </c>
      <c r="AO961" s="35">
        <v>4</v>
      </c>
      <c r="AP961" s="35" t="s">
        <v>448</v>
      </c>
      <c r="EL961" s="35" t="s">
        <v>964</v>
      </c>
      <c r="EN961" s="35">
        <v>45</v>
      </c>
    </row>
    <row r="962" spans="1:144" s="35" customFormat="1" x14ac:dyDescent="0.25">
      <c r="A962" s="35">
        <v>45</v>
      </c>
      <c r="B962" s="35" t="s">
        <v>881</v>
      </c>
      <c r="C962" s="35" t="s">
        <v>882</v>
      </c>
      <c r="D962" s="35">
        <v>2005</v>
      </c>
      <c r="E962" s="35">
        <v>1997</v>
      </c>
      <c r="F962" s="35" t="s">
        <v>394</v>
      </c>
      <c r="G962" s="35" t="s">
        <v>720</v>
      </c>
      <c r="H962" s="35">
        <v>40.19</v>
      </c>
      <c r="I962" s="35">
        <v>-103.17</v>
      </c>
      <c r="J962" s="35">
        <v>1384</v>
      </c>
      <c r="P962" s="54" t="s">
        <v>189</v>
      </c>
      <c r="Q962" s="54"/>
      <c r="R962" s="54"/>
      <c r="S962" s="54" t="s">
        <v>657</v>
      </c>
      <c r="W962" s="35" t="s">
        <v>175</v>
      </c>
      <c r="AA962" s="35" t="s">
        <v>1704</v>
      </c>
      <c r="AB962" s="35" t="s">
        <v>326</v>
      </c>
      <c r="AC962" s="35" t="s">
        <v>156</v>
      </c>
      <c r="AG962" s="35" t="s">
        <v>883</v>
      </c>
      <c r="AH962" s="35" t="s">
        <v>883</v>
      </c>
      <c r="AI962" s="35" t="s">
        <v>252</v>
      </c>
      <c r="AJ962" s="35" t="s">
        <v>884</v>
      </c>
      <c r="AK962" s="35" t="s">
        <v>884</v>
      </c>
      <c r="AL962" s="35" t="s">
        <v>252</v>
      </c>
      <c r="AM962" s="35" t="s">
        <v>160</v>
      </c>
      <c r="AN962" s="35">
        <v>4</v>
      </c>
      <c r="AO962" s="35">
        <v>4</v>
      </c>
      <c r="AP962" s="35" t="s">
        <v>448</v>
      </c>
      <c r="AY962" s="35">
        <v>2453</v>
      </c>
      <c r="AZ962" s="35">
        <v>1857</v>
      </c>
      <c r="BH962" s="35">
        <f t="shared" si="222"/>
        <v>41.5</v>
      </c>
      <c r="BI962" s="35">
        <f>(58+10)/2</f>
        <v>34</v>
      </c>
      <c r="BJ962" s="35" t="s">
        <v>907</v>
      </c>
      <c r="DG962" s="35">
        <v>288</v>
      </c>
      <c r="DH962" s="35">
        <v>205</v>
      </c>
      <c r="DI962" s="35" t="s">
        <v>887</v>
      </c>
      <c r="EL962" s="35" t="s">
        <v>964</v>
      </c>
      <c r="EN962" s="35">
        <v>45</v>
      </c>
    </row>
    <row r="963" spans="1:144" s="26" customFormat="1" x14ac:dyDescent="0.25">
      <c r="A963" s="26">
        <v>45</v>
      </c>
      <c r="B963" s="26" t="s">
        <v>881</v>
      </c>
      <c r="C963" s="26" t="s">
        <v>882</v>
      </c>
      <c r="D963" s="26">
        <v>2005</v>
      </c>
      <c r="E963" s="26">
        <v>1998</v>
      </c>
      <c r="F963" s="26" t="s">
        <v>394</v>
      </c>
      <c r="G963" s="26" t="s">
        <v>720</v>
      </c>
      <c r="H963" s="26">
        <v>40.19</v>
      </c>
      <c r="I963" s="26">
        <v>-103.17</v>
      </c>
      <c r="J963" s="26">
        <v>1384</v>
      </c>
      <c r="P963" s="52" t="s">
        <v>190</v>
      </c>
      <c r="Q963" s="52"/>
      <c r="R963" s="52"/>
      <c r="S963" s="52" t="s">
        <v>657</v>
      </c>
      <c r="W963" s="26" t="s">
        <v>175</v>
      </c>
      <c r="AA963" s="26" t="s">
        <v>1704</v>
      </c>
      <c r="AB963" s="26" t="s">
        <v>885</v>
      </c>
      <c r="AC963" s="26" t="s">
        <v>156</v>
      </c>
      <c r="AG963" s="26" t="s">
        <v>883</v>
      </c>
      <c r="AH963" s="26" t="s">
        <v>883</v>
      </c>
      <c r="AI963" s="26" t="s">
        <v>252</v>
      </c>
      <c r="AJ963" s="26" t="s">
        <v>884</v>
      </c>
      <c r="AK963" s="26" t="s">
        <v>884</v>
      </c>
      <c r="AL963" s="26" t="s">
        <v>252</v>
      </c>
      <c r="AM963" s="26" t="s">
        <v>160</v>
      </c>
      <c r="AN963" s="26">
        <v>4</v>
      </c>
      <c r="AO963" s="26">
        <v>4</v>
      </c>
      <c r="AP963" s="26" t="s">
        <v>448</v>
      </c>
      <c r="AY963" s="26">
        <v>4470</v>
      </c>
      <c r="AZ963" s="26">
        <v>2327</v>
      </c>
      <c r="BH963" s="26">
        <f>(25+10)/2</f>
        <v>17.5</v>
      </c>
      <c r="BI963" s="26">
        <f>(34+10)/2</f>
        <v>22</v>
      </c>
      <c r="BJ963" s="26" t="s">
        <v>907</v>
      </c>
      <c r="DG963" s="26">
        <v>283</v>
      </c>
      <c r="DH963" s="26">
        <v>158</v>
      </c>
      <c r="DI963" s="26" t="s">
        <v>887</v>
      </c>
      <c r="EL963" s="26" t="s">
        <v>964</v>
      </c>
      <c r="EN963" s="26">
        <v>45</v>
      </c>
    </row>
    <row r="964" spans="1:144" s="26" customFormat="1" x14ac:dyDescent="0.25">
      <c r="A964" s="26">
        <v>45</v>
      </c>
      <c r="B964" s="26" t="s">
        <v>881</v>
      </c>
      <c r="C964" s="26" t="s">
        <v>882</v>
      </c>
      <c r="D964" s="26">
        <v>2005</v>
      </c>
      <c r="E964" s="26">
        <v>1998</v>
      </c>
      <c r="F964" s="26" t="s">
        <v>394</v>
      </c>
      <c r="G964" s="26" t="s">
        <v>720</v>
      </c>
      <c r="H964" s="26">
        <v>40.19</v>
      </c>
      <c r="I964" s="26">
        <v>-103.17</v>
      </c>
      <c r="J964" s="26">
        <v>1384</v>
      </c>
      <c r="P964" s="52" t="s">
        <v>190</v>
      </c>
      <c r="Q964" s="52"/>
      <c r="R964" s="52"/>
      <c r="S964" s="52" t="s">
        <v>657</v>
      </c>
      <c r="W964" s="26" t="s">
        <v>175</v>
      </c>
      <c r="AA964" s="26" t="s">
        <v>1704</v>
      </c>
      <c r="AB964" s="26" t="s">
        <v>886</v>
      </c>
      <c r="AC964" s="26" t="s">
        <v>156</v>
      </c>
      <c r="AG964" s="26" t="s">
        <v>883</v>
      </c>
      <c r="AH964" s="26" t="s">
        <v>883</v>
      </c>
      <c r="AI964" s="26" t="s">
        <v>252</v>
      </c>
      <c r="AJ964" s="26" t="s">
        <v>884</v>
      </c>
      <c r="AK964" s="26" t="s">
        <v>884</v>
      </c>
      <c r="AL964" s="26" t="s">
        <v>252</v>
      </c>
      <c r="AM964" s="26" t="s">
        <v>160</v>
      </c>
      <c r="AN964" s="26">
        <v>4</v>
      </c>
      <c r="AO964" s="26">
        <v>4</v>
      </c>
      <c r="AP964" s="26" t="s">
        <v>448</v>
      </c>
      <c r="AY964" s="26">
        <v>4470</v>
      </c>
      <c r="AZ964" s="26">
        <v>2269</v>
      </c>
      <c r="BH964" s="26">
        <f t="shared" ref="BH964:BH966" si="223">(25+10)/2</f>
        <v>17.5</v>
      </c>
      <c r="BI964" s="26">
        <f>(24+11)/2</f>
        <v>17.5</v>
      </c>
      <c r="BJ964" s="26" t="s">
        <v>907</v>
      </c>
      <c r="DG964" s="26">
        <v>283</v>
      </c>
      <c r="DH964" s="26">
        <v>216</v>
      </c>
      <c r="DI964" s="26" t="s">
        <v>887</v>
      </c>
      <c r="EL964" s="26" t="s">
        <v>964</v>
      </c>
      <c r="EN964" s="26">
        <v>45</v>
      </c>
    </row>
    <row r="965" spans="1:144" s="26" customFormat="1" x14ac:dyDescent="0.25">
      <c r="A965" s="26">
        <v>45</v>
      </c>
      <c r="B965" s="26" t="s">
        <v>881</v>
      </c>
      <c r="C965" s="26" t="s">
        <v>882</v>
      </c>
      <c r="D965" s="26">
        <v>2005</v>
      </c>
      <c r="E965" s="26">
        <v>1998</v>
      </c>
      <c r="F965" s="26" t="s">
        <v>394</v>
      </c>
      <c r="G965" s="26" t="s">
        <v>720</v>
      </c>
      <c r="H965" s="26">
        <v>40.19</v>
      </c>
      <c r="I965" s="26">
        <v>-103.17</v>
      </c>
      <c r="J965" s="26">
        <v>1384</v>
      </c>
      <c r="P965" s="52" t="s">
        <v>190</v>
      </c>
      <c r="Q965" s="52"/>
      <c r="R965" s="52"/>
      <c r="S965" s="52" t="s">
        <v>657</v>
      </c>
      <c r="W965" s="26" t="s">
        <v>175</v>
      </c>
      <c r="AA965" s="26" t="s">
        <v>1704</v>
      </c>
      <c r="AB965" s="26" t="s">
        <v>760</v>
      </c>
      <c r="AC965" s="26" t="s">
        <v>156</v>
      </c>
      <c r="AG965" s="26" t="s">
        <v>883</v>
      </c>
      <c r="AH965" s="26" t="s">
        <v>883</v>
      </c>
      <c r="AI965" s="26" t="s">
        <v>252</v>
      </c>
      <c r="AJ965" s="26" t="s">
        <v>884</v>
      </c>
      <c r="AK965" s="26" t="s">
        <v>884</v>
      </c>
      <c r="AL965" s="26" t="s">
        <v>252</v>
      </c>
      <c r="AM965" s="26" t="s">
        <v>160</v>
      </c>
      <c r="AN965" s="26">
        <v>4</v>
      </c>
      <c r="AO965" s="26">
        <v>4</v>
      </c>
      <c r="AP965" s="26" t="s">
        <v>448</v>
      </c>
      <c r="EL965" s="26" t="s">
        <v>964</v>
      </c>
      <c r="EN965" s="26">
        <v>45</v>
      </c>
    </row>
    <row r="966" spans="1:144" s="26" customFormat="1" x14ac:dyDescent="0.25">
      <c r="A966" s="26">
        <v>45</v>
      </c>
      <c r="B966" s="26" t="s">
        <v>881</v>
      </c>
      <c r="C966" s="26" t="s">
        <v>882</v>
      </c>
      <c r="D966" s="26">
        <v>2005</v>
      </c>
      <c r="E966" s="26">
        <v>1998</v>
      </c>
      <c r="F966" s="26" t="s">
        <v>394</v>
      </c>
      <c r="G966" s="26" t="s">
        <v>720</v>
      </c>
      <c r="H966" s="26">
        <v>40.19</v>
      </c>
      <c r="I966" s="26">
        <v>-103.17</v>
      </c>
      <c r="J966" s="26">
        <v>1384</v>
      </c>
      <c r="P966" s="52" t="s">
        <v>190</v>
      </c>
      <c r="Q966" s="52"/>
      <c r="R966" s="52"/>
      <c r="S966" s="52" t="s">
        <v>657</v>
      </c>
      <c r="W966" s="26" t="s">
        <v>175</v>
      </c>
      <c r="AA966" s="26" t="s">
        <v>1704</v>
      </c>
      <c r="AB966" s="26" t="s">
        <v>326</v>
      </c>
      <c r="AC966" s="26" t="s">
        <v>156</v>
      </c>
      <c r="AG966" s="26" t="s">
        <v>883</v>
      </c>
      <c r="AH966" s="26" t="s">
        <v>883</v>
      </c>
      <c r="AI966" s="26" t="s">
        <v>252</v>
      </c>
      <c r="AJ966" s="26" t="s">
        <v>884</v>
      </c>
      <c r="AK966" s="26" t="s">
        <v>884</v>
      </c>
      <c r="AL966" s="26" t="s">
        <v>252</v>
      </c>
      <c r="AM966" s="26" t="s">
        <v>160</v>
      </c>
      <c r="AN966" s="26">
        <v>4</v>
      </c>
      <c r="AO966" s="26">
        <v>4</v>
      </c>
      <c r="AP966" s="26" t="s">
        <v>448</v>
      </c>
      <c r="AY966" s="26">
        <v>4470</v>
      </c>
      <c r="AZ966" s="26">
        <v>2293</v>
      </c>
      <c r="BH966" s="26">
        <f t="shared" si="223"/>
        <v>17.5</v>
      </c>
      <c r="BI966" s="26">
        <f>(32+11)/2</f>
        <v>21.5</v>
      </c>
      <c r="BJ966" s="26" t="s">
        <v>907</v>
      </c>
      <c r="DG966" s="26">
        <v>283</v>
      </c>
      <c r="DH966" s="26">
        <v>165</v>
      </c>
      <c r="DI966" s="26" t="s">
        <v>887</v>
      </c>
      <c r="EL966" s="26" t="s">
        <v>964</v>
      </c>
      <c r="EN966" s="26">
        <v>45</v>
      </c>
    </row>
    <row r="967" spans="1:144" s="35" customFormat="1" x14ac:dyDescent="0.25">
      <c r="A967" s="35">
        <v>45</v>
      </c>
      <c r="B967" s="35" t="s">
        <v>881</v>
      </c>
      <c r="C967" s="35" t="s">
        <v>882</v>
      </c>
      <c r="D967" s="35">
        <v>2005</v>
      </c>
      <c r="E967" s="35">
        <v>1999</v>
      </c>
      <c r="F967" s="35" t="s">
        <v>394</v>
      </c>
      <c r="G967" s="35" t="s">
        <v>720</v>
      </c>
      <c r="H967" s="35">
        <v>40.19</v>
      </c>
      <c r="I967" s="35">
        <v>-103.17</v>
      </c>
      <c r="J967" s="35">
        <v>1384</v>
      </c>
      <c r="P967" s="54" t="s">
        <v>207</v>
      </c>
      <c r="Q967" s="54"/>
      <c r="R967" s="54"/>
      <c r="S967" s="54" t="s">
        <v>657</v>
      </c>
      <c r="W967" s="35" t="s">
        <v>175</v>
      </c>
      <c r="AA967" s="35" t="s">
        <v>1704</v>
      </c>
      <c r="AB967" s="35" t="s">
        <v>885</v>
      </c>
      <c r="AC967" s="35" t="s">
        <v>156</v>
      </c>
      <c r="AG967" s="35" t="s">
        <v>883</v>
      </c>
      <c r="AH967" s="35" t="s">
        <v>883</v>
      </c>
      <c r="AI967" s="35" t="s">
        <v>252</v>
      </c>
      <c r="AJ967" s="35" t="s">
        <v>884</v>
      </c>
      <c r="AK967" s="35" t="s">
        <v>884</v>
      </c>
      <c r="AL967" s="35" t="s">
        <v>252</v>
      </c>
      <c r="AM967" s="35" t="s">
        <v>160</v>
      </c>
      <c r="AN967" s="35">
        <v>4</v>
      </c>
      <c r="AO967" s="35">
        <v>4</v>
      </c>
      <c r="AP967" s="35" t="s">
        <v>448</v>
      </c>
      <c r="AY967" s="35">
        <v>2455</v>
      </c>
      <c r="AZ967" s="35">
        <v>2007</v>
      </c>
      <c r="BH967" s="35">
        <f>(59+14)/2</f>
        <v>36.5</v>
      </c>
      <c r="BI967" s="35">
        <f>(76+13)/2</f>
        <v>44.5</v>
      </c>
      <c r="BJ967" s="35" t="s">
        <v>907</v>
      </c>
      <c r="DG967" s="35">
        <v>455</v>
      </c>
      <c r="DH967" s="35">
        <v>379</v>
      </c>
      <c r="DI967" s="35" t="s">
        <v>887</v>
      </c>
      <c r="EL967" s="35" t="s">
        <v>964</v>
      </c>
      <c r="EN967" s="35">
        <v>45</v>
      </c>
    </row>
    <row r="968" spans="1:144" s="35" customFormat="1" x14ac:dyDescent="0.25">
      <c r="A968" s="35">
        <v>45</v>
      </c>
      <c r="B968" s="35" t="s">
        <v>881</v>
      </c>
      <c r="C968" s="35" t="s">
        <v>882</v>
      </c>
      <c r="D968" s="35">
        <v>2005</v>
      </c>
      <c r="E968" s="35">
        <v>1999</v>
      </c>
      <c r="F968" s="35" t="s">
        <v>394</v>
      </c>
      <c r="G968" s="35" t="s">
        <v>720</v>
      </c>
      <c r="H968" s="35">
        <v>40.19</v>
      </c>
      <c r="I968" s="35">
        <v>-103.17</v>
      </c>
      <c r="J968" s="35">
        <v>1384</v>
      </c>
      <c r="P968" s="54" t="s">
        <v>207</v>
      </c>
      <c r="Q968" s="54"/>
      <c r="R968" s="54"/>
      <c r="S968" s="54" t="s">
        <v>657</v>
      </c>
      <c r="W968" s="35" t="s">
        <v>175</v>
      </c>
      <c r="AA968" s="35" t="s">
        <v>1704</v>
      </c>
      <c r="AB968" s="35" t="s">
        <v>886</v>
      </c>
      <c r="AC968" s="35" t="s">
        <v>156</v>
      </c>
      <c r="AG968" s="35" t="s">
        <v>883</v>
      </c>
      <c r="AH968" s="35" t="s">
        <v>883</v>
      </c>
      <c r="AI968" s="35" t="s">
        <v>252</v>
      </c>
      <c r="AJ968" s="35" t="s">
        <v>884</v>
      </c>
      <c r="AK968" s="35" t="s">
        <v>884</v>
      </c>
      <c r="AL968" s="35" t="s">
        <v>252</v>
      </c>
      <c r="AM968" s="35" t="s">
        <v>160</v>
      </c>
      <c r="AN968" s="35">
        <v>4</v>
      </c>
      <c r="AO968" s="35">
        <v>4</v>
      </c>
      <c r="AP968" s="35" t="s">
        <v>448</v>
      </c>
      <c r="AY968" s="35">
        <v>2455</v>
      </c>
      <c r="AZ968" s="35">
        <v>1875</v>
      </c>
      <c r="BH968" s="35">
        <f t="shared" ref="BH968:BH970" si="224">(59+14)/2</f>
        <v>36.5</v>
      </c>
      <c r="BI968" s="35">
        <f>(59+14)/2</f>
        <v>36.5</v>
      </c>
      <c r="BJ968" s="35" t="s">
        <v>907</v>
      </c>
      <c r="DG968" s="35">
        <v>455</v>
      </c>
      <c r="DH968" s="35">
        <v>380</v>
      </c>
      <c r="DI968" s="35" t="s">
        <v>887</v>
      </c>
      <c r="EL968" s="35" t="s">
        <v>964</v>
      </c>
      <c r="EN968" s="35">
        <v>45</v>
      </c>
    </row>
    <row r="969" spans="1:144" s="35" customFormat="1" x14ac:dyDescent="0.25">
      <c r="A969" s="35">
        <v>45</v>
      </c>
      <c r="B969" s="35" t="s">
        <v>881</v>
      </c>
      <c r="C969" s="35" t="s">
        <v>882</v>
      </c>
      <c r="D969" s="35">
        <v>2005</v>
      </c>
      <c r="E969" s="35">
        <v>1999</v>
      </c>
      <c r="F969" s="35" t="s">
        <v>394</v>
      </c>
      <c r="G969" s="35" t="s">
        <v>720</v>
      </c>
      <c r="H969" s="35">
        <v>40.19</v>
      </c>
      <c r="I969" s="35">
        <v>-103.17</v>
      </c>
      <c r="J969" s="35">
        <v>1384</v>
      </c>
      <c r="P969" s="54" t="s">
        <v>207</v>
      </c>
      <c r="Q969" s="54"/>
      <c r="R969" s="54"/>
      <c r="S969" s="54" t="s">
        <v>657</v>
      </c>
      <c r="W969" s="35" t="s">
        <v>175</v>
      </c>
      <c r="AA969" s="35" t="s">
        <v>1704</v>
      </c>
      <c r="AB969" s="35" t="s">
        <v>760</v>
      </c>
      <c r="AC969" s="35" t="s">
        <v>156</v>
      </c>
      <c r="AG969" s="35" t="s">
        <v>883</v>
      </c>
      <c r="AH969" s="35" t="s">
        <v>883</v>
      </c>
      <c r="AI969" s="35" t="s">
        <v>252</v>
      </c>
      <c r="AJ969" s="35" t="s">
        <v>884</v>
      </c>
      <c r="AK969" s="35" t="s">
        <v>884</v>
      </c>
      <c r="AL969" s="35" t="s">
        <v>252</v>
      </c>
      <c r="AM969" s="35" t="s">
        <v>160</v>
      </c>
      <c r="AN969" s="35">
        <v>4</v>
      </c>
      <c r="AO969" s="35">
        <v>4</v>
      </c>
      <c r="AP969" s="35" t="s">
        <v>448</v>
      </c>
      <c r="EL969" s="35" t="s">
        <v>964</v>
      </c>
      <c r="EN969" s="35">
        <v>45</v>
      </c>
    </row>
    <row r="970" spans="1:144" s="35" customFormat="1" x14ac:dyDescent="0.25">
      <c r="A970" s="35">
        <v>45</v>
      </c>
      <c r="B970" s="35" t="s">
        <v>881</v>
      </c>
      <c r="C970" s="35" t="s">
        <v>882</v>
      </c>
      <c r="D970" s="35">
        <v>2005</v>
      </c>
      <c r="E970" s="35">
        <v>1999</v>
      </c>
      <c r="F970" s="35" t="s">
        <v>394</v>
      </c>
      <c r="G970" s="35" t="s">
        <v>720</v>
      </c>
      <c r="H970" s="35">
        <v>40.19</v>
      </c>
      <c r="I970" s="35">
        <v>-103.17</v>
      </c>
      <c r="J970" s="35">
        <v>1384</v>
      </c>
      <c r="P970" s="54" t="s">
        <v>207</v>
      </c>
      <c r="Q970" s="54"/>
      <c r="R970" s="54"/>
      <c r="S970" s="54" t="s">
        <v>657</v>
      </c>
      <c r="W970" s="35" t="s">
        <v>175</v>
      </c>
      <c r="AA970" s="35" t="s">
        <v>1704</v>
      </c>
      <c r="AB970" s="35" t="s">
        <v>326</v>
      </c>
      <c r="AC970" s="35" t="s">
        <v>156</v>
      </c>
      <c r="AG970" s="35" t="s">
        <v>883</v>
      </c>
      <c r="AH970" s="35" t="s">
        <v>883</v>
      </c>
      <c r="AI970" s="35" t="s">
        <v>252</v>
      </c>
      <c r="AJ970" s="35" t="s">
        <v>884</v>
      </c>
      <c r="AK970" s="35" t="s">
        <v>884</v>
      </c>
      <c r="AL970" s="35" t="s">
        <v>252</v>
      </c>
      <c r="AM970" s="35" t="s">
        <v>160</v>
      </c>
      <c r="AN970" s="35">
        <v>4</v>
      </c>
      <c r="AO970" s="35">
        <v>4</v>
      </c>
      <c r="AP970" s="35" t="s">
        <v>448</v>
      </c>
      <c r="AY970" s="35">
        <v>2455</v>
      </c>
      <c r="AZ970" s="35">
        <v>1786</v>
      </c>
      <c r="BH970" s="35">
        <f t="shared" si="224"/>
        <v>36.5</v>
      </c>
      <c r="BI970" s="35">
        <f>(71+14)/2</f>
        <v>42.5</v>
      </c>
      <c r="BJ970" s="35" t="s">
        <v>907</v>
      </c>
      <c r="DG970" s="35">
        <v>455</v>
      </c>
      <c r="DH970" s="35">
        <v>375</v>
      </c>
      <c r="DI970" s="35" t="s">
        <v>887</v>
      </c>
      <c r="EL970" s="35" t="s">
        <v>964</v>
      </c>
      <c r="EN970" s="35">
        <v>45</v>
      </c>
    </row>
    <row r="971" spans="1:144" s="38" customFormat="1" x14ac:dyDescent="0.25">
      <c r="A971" s="38">
        <v>46</v>
      </c>
      <c r="B971" s="38" t="s">
        <v>889</v>
      </c>
      <c r="C971" s="38" t="s">
        <v>888</v>
      </c>
      <c r="D971" s="38">
        <v>2013</v>
      </c>
      <c r="E971" s="38">
        <v>2009</v>
      </c>
      <c r="F971" s="38" t="s">
        <v>439</v>
      </c>
      <c r="G971" s="38" t="s">
        <v>890</v>
      </c>
      <c r="H971" s="38">
        <f>47+55/60</f>
        <v>47.916666666666664</v>
      </c>
      <c r="I971" s="38">
        <f>-109-55/60</f>
        <v>-109.91666666666667</v>
      </c>
      <c r="J971" s="38">
        <v>888</v>
      </c>
      <c r="P971" s="57" t="s">
        <v>186</v>
      </c>
      <c r="Q971" s="57"/>
      <c r="R971" s="57" t="s">
        <v>905</v>
      </c>
      <c r="S971" s="57" t="s">
        <v>668</v>
      </c>
      <c r="W971" s="38" t="s">
        <v>710</v>
      </c>
      <c r="X971" s="38">
        <v>6.1</v>
      </c>
      <c r="Y971" s="38">
        <v>1.1000000000000001</v>
      </c>
      <c r="AA971" s="38" t="s">
        <v>1705</v>
      </c>
      <c r="AB971" s="38" t="s">
        <v>896</v>
      </c>
      <c r="AC971" s="38" t="s">
        <v>1738</v>
      </c>
      <c r="AH971" s="38" t="s">
        <v>217</v>
      </c>
      <c r="AJ971" s="38">
        <v>0</v>
      </c>
      <c r="AK971" s="38">
        <v>0</v>
      </c>
      <c r="AL971" s="38" t="s">
        <v>252</v>
      </c>
      <c r="AM971" s="38" t="s">
        <v>160</v>
      </c>
      <c r="AN971" s="38">
        <v>6</v>
      </c>
      <c r="AO971" s="38">
        <v>6</v>
      </c>
      <c r="AP971" s="38" t="s">
        <v>184</v>
      </c>
      <c r="AR971" s="38">
        <f>1.07*1000</f>
        <v>1070</v>
      </c>
      <c r="AS971" s="38">
        <f>AR971/44.2</f>
        <v>24.20814479638009</v>
      </c>
      <c r="AT971" s="67" t="s">
        <v>898</v>
      </c>
      <c r="AY971" s="38">
        <v>4760</v>
      </c>
      <c r="AZ971" s="38">
        <v>4250</v>
      </c>
      <c r="BH971" s="38">
        <f>16</f>
        <v>16</v>
      </c>
      <c r="BI971" s="38">
        <f>10.6</f>
        <v>10.6</v>
      </c>
      <c r="BJ971" s="38" t="s">
        <v>908</v>
      </c>
      <c r="BK971" s="38">
        <v>23</v>
      </c>
      <c r="BL971" s="38">
        <v>21</v>
      </c>
      <c r="BN971" s="38">
        <v>340</v>
      </c>
      <c r="BO971" s="38">
        <v>433</v>
      </c>
      <c r="CX971" s="38">
        <f>0.86</f>
        <v>0.86</v>
      </c>
      <c r="CY971" s="38">
        <f>1.37</f>
        <v>1.37</v>
      </c>
      <c r="CZ971" s="38" t="s">
        <v>999</v>
      </c>
      <c r="DD971" s="38">
        <f>77/3</f>
        <v>25.666666666666668</v>
      </c>
      <c r="DE971" s="38">
        <f>51/3</f>
        <v>17</v>
      </c>
      <c r="DF971" s="38" t="s">
        <v>938</v>
      </c>
      <c r="DV971" s="38">
        <v>15</v>
      </c>
      <c r="DW971" s="38">
        <v>5</v>
      </c>
      <c r="EL971" s="38" t="s">
        <v>910</v>
      </c>
      <c r="EM971" s="38" t="s">
        <v>909</v>
      </c>
      <c r="EN971" s="38">
        <v>46</v>
      </c>
    </row>
    <row r="972" spans="1:144" s="38" customFormat="1" x14ac:dyDescent="0.25">
      <c r="A972" s="38">
        <v>46</v>
      </c>
      <c r="B972" s="38" t="s">
        <v>889</v>
      </c>
      <c r="C972" s="38" t="s">
        <v>888</v>
      </c>
      <c r="D972" s="38">
        <v>2013</v>
      </c>
      <c r="E972" s="38">
        <v>2009</v>
      </c>
      <c r="F972" s="38" t="s">
        <v>439</v>
      </c>
      <c r="G972" s="38" t="s">
        <v>891</v>
      </c>
      <c r="H972" s="38">
        <f>48+18/60</f>
        <v>48.3</v>
      </c>
      <c r="I972" s="38">
        <f>-110-6/60</f>
        <v>-110.1</v>
      </c>
      <c r="J972" s="38">
        <v>833</v>
      </c>
      <c r="P972" s="57" t="s">
        <v>186</v>
      </c>
      <c r="Q972" s="57"/>
      <c r="R972" s="57" t="s">
        <v>905</v>
      </c>
      <c r="S972" s="57" t="s">
        <v>668</v>
      </c>
      <c r="W972" s="38" t="s">
        <v>182</v>
      </c>
      <c r="X972" s="38">
        <v>6.9</v>
      </c>
      <c r="Y972" s="38">
        <v>0.87</v>
      </c>
      <c r="AA972" s="38" t="s">
        <v>1705</v>
      </c>
      <c r="AB972" s="38" t="s">
        <v>897</v>
      </c>
      <c r="AC972" s="38" t="s">
        <v>1738</v>
      </c>
      <c r="AH972" s="38" t="s">
        <v>217</v>
      </c>
      <c r="AJ972" s="38">
        <v>0</v>
      </c>
      <c r="AK972" s="38">
        <v>0</v>
      </c>
      <c r="AL972" s="38" t="s">
        <v>252</v>
      </c>
      <c r="AM972" s="38" t="s">
        <v>160</v>
      </c>
      <c r="AN972" s="38">
        <v>8</v>
      </c>
      <c r="AO972" s="38">
        <v>8</v>
      </c>
      <c r="AP972" s="38" t="s">
        <v>184</v>
      </c>
      <c r="AR972" s="38">
        <v>730</v>
      </c>
      <c r="AS972" s="38">
        <f>AR972/19.3</f>
        <v>37.823834196891191</v>
      </c>
      <c r="AT972" s="67" t="s">
        <v>899</v>
      </c>
      <c r="AY972" s="38">
        <v>4480</v>
      </c>
      <c r="AZ972" s="38">
        <v>4430</v>
      </c>
      <c r="BH972" s="38">
        <f>10.1</f>
        <v>10.1</v>
      </c>
      <c r="BI972" s="38">
        <f>7.8</f>
        <v>7.8</v>
      </c>
      <c r="BJ972" s="38" t="s">
        <v>908</v>
      </c>
      <c r="BK972" s="38">
        <v>19</v>
      </c>
      <c r="BL972" s="38">
        <v>25</v>
      </c>
      <c r="BN972" s="38">
        <v>422</v>
      </c>
      <c r="BO972" s="38">
        <v>403</v>
      </c>
      <c r="CX972" s="38">
        <f>0.69</f>
        <v>0.69</v>
      </c>
      <c r="CY972" s="38">
        <f>0.77</f>
        <v>0.77</v>
      </c>
      <c r="CZ972" s="38" t="s">
        <v>999</v>
      </c>
      <c r="DD972" s="38">
        <f>63/3</f>
        <v>21</v>
      </c>
      <c r="DE972" s="38">
        <f>41/3</f>
        <v>13.666666666666666</v>
      </c>
      <c r="DF972" s="38" t="s">
        <v>938</v>
      </c>
      <c r="DV972" s="38">
        <v>12</v>
      </c>
      <c r="DW972" s="38">
        <v>13</v>
      </c>
      <c r="EL972" s="38" t="s">
        <v>910</v>
      </c>
      <c r="EM972" s="38" t="s">
        <v>909</v>
      </c>
      <c r="EN972" s="38">
        <v>46</v>
      </c>
    </row>
    <row r="973" spans="1:144" s="38" customFormat="1" x14ac:dyDescent="0.25">
      <c r="A973" s="38">
        <v>46</v>
      </c>
      <c r="B973" s="38" t="s">
        <v>889</v>
      </c>
      <c r="C973" s="38" t="s">
        <v>888</v>
      </c>
      <c r="D973" s="38">
        <v>2013</v>
      </c>
      <c r="E973" s="38">
        <v>2009</v>
      </c>
      <c r="F973" s="38" t="s">
        <v>439</v>
      </c>
      <c r="G973" s="38" t="s">
        <v>892</v>
      </c>
      <c r="H973" s="38">
        <f>48+45/60</f>
        <v>48.75</v>
      </c>
      <c r="I973" s="38">
        <f>-110-52/60</f>
        <v>-110.86666666666666</v>
      </c>
      <c r="J973" s="38">
        <v>1059</v>
      </c>
      <c r="P973" s="57" t="s">
        <v>186</v>
      </c>
      <c r="Q973" s="57"/>
      <c r="R973" s="57" t="s">
        <v>905</v>
      </c>
      <c r="S973" s="57" t="s">
        <v>668</v>
      </c>
      <c r="W973" s="38" t="s">
        <v>895</v>
      </c>
      <c r="X973" s="38">
        <v>7.6</v>
      </c>
      <c r="Y973" s="38">
        <v>1.28</v>
      </c>
      <c r="AA973" s="38" t="s">
        <v>1705</v>
      </c>
      <c r="AB973" s="38" t="s">
        <v>896</v>
      </c>
      <c r="AC973" s="38" t="s">
        <v>1738</v>
      </c>
      <c r="AH973" s="38" t="s">
        <v>217</v>
      </c>
      <c r="AJ973" s="38">
        <v>0</v>
      </c>
      <c r="AK973" s="38">
        <v>0</v>
      </c>
      <c r="AL973" s="38" t="s">
        <v>252</v>
      </c>
      <c r="AM973" s="38" t="s">
        <v>160</v>
      </c>
      <c r="AN973" s="38">
        <v>12</v>
      </c>
      <c r="AO973" s="38">
        <v>12</v>
      </c>
      <c r="AP973" s="38" t="s">
        <v>184</v>
      </c>
      <c r="AR973" s="38">
        <f>1.02*1000</f>
        <v>1020</v>
      </c>
      <c r="AS973" s="38">
        <f>AR973/37.8</f>
        <v>26.984126984126988</v>
      </c>
      <c r="AT973" s="67" t="s">
        <v>900</v>
      </c>
      <c r="AY973" s="38">
        <v>4050</v>
      </c>
      <c r="AZ973" s="38">
        <v>3920</v>
      </c>
      <c r="BH973" s="38">
        <f>11.2</f>
        <v>11.2</v>
      </c>
      <c r="BI973" s="38">
        <f>15.7</f>
        <v>15.7</v>
      </c>
      <c r="BJ973" s="38" t="s">
        <v>908</v>
      </c>
      <c r="BK973" s="38">
        <v>16</v>
      </c>
      <c r="BL973" s="38">
        <v>19</v>
      </c>
      <c r="BN973" s="38">
        <v>319</v>
      </c>
      <c r="BO973" s="38">
        <v>451</v>
      </c>
      <c r="CX973" s="38">
        <f>0.74</f>
        <v>0.74</v>
      </c>
      <c r="CY973" s="38">
        <f>0.87</f>
        <v>0.87</v>
      </c>
      <c r="CZ973" s="38" t="s">
        <v>999</v>
      </c>
      <c r="DD973" s="38">
        <f>79/3</f>
        <v>26.333333333333332</v>
      </c>
      <c r="DE973" s="38">
        <f>55/3</f>
        <v>18.333333333333332</v>
      </c>
      <c r="DF973" s="38" t="s">
        <v>938</v>
      </c>
      <c r="DV973" s="38">
        <v>5</v>
      </c>
      <c r="DW973" s="38">
        <v>17</v>
      </c>
      <c r="EL973" s="38" t="s">
        <v>910</v>
      </c>
      <c r="EM973" s="38" t="s">
        <v>909</v>
      </c>
      <c r="EN973" s="38">
        <v>46</v>
      </c>
    </row>
    <row r="974" spans="1:144" s="38" customFormat="1" x14ac:dyDescent="0.25">
      <c r="A974" s="38">
        <v>46</v>
      </c>
      <c r="B974" s="38" t="s">
        <v>889</v>
      </c>
      <c r="C974" s="38" t="s">
        <v>888</v>
      </c>
      <c r="D974" s="38">
        <v>2013</v>
      </c>
      <c r="E974" s="38">
        <v>2009</v>
      </c>
      <c r="F974" s="38" t="s">
        <v>439</v>
      </c>
      <c r="G974" s="38" t="s">
        <v>893</v>
      </c>
      <c r="H974" s="38">
        <f>48+48/60</f>
        <v>48.8</v>
      </c>
      <c r="I974" s="38">
        <f>-111-38.5/60</f>
        <v>-111.64166666666667</v>
      </c>
      <c r="J974" s="38">
        <v>1102</v>
      </c>
      <c r="P974" s="57" t="s">
        <v>186</v>
      </c>
      <c r="Q974" s="57"/>
      <c r="R974" s="57" t="s">
        <v>905</v>
      </c>
      <c r="S974" s="57" t="s">
        <v>668</v>
      </c>
      <c r="W974" s="38" t="s">
        <v>182</v>
      </c>
      <c r="X974" s="38">
        <v>6.9</v>
      </c>
      <c r="Y974" s="38">
        <v>1.22</v>
      </c>
      <c r="AA974" s="38" t="s">
        <v>1705</v>
      </c>
      <c r="AB974" s="38" t="s">
        <v>896</v>
      </c>
      <c r="AC974" s="38" t="s">
        <v>1739</v>
      </c>
      <c r="AH974" s="38" t="s">
        <v>217</v>
      </c>
      <c r="AJ974" s="38">
        <v>0</v>
      </c>
      <c r="AK974" s="38">
        <v>0</v>
      </c>
      <c r="AL974" s="38" t="s">
        <v>252</v>
      </c>
      <c r="AM974" s="38" t="s">
        <v>160</v>
      </c>
      <c r="AN974" s="38">
        <v>8</v>
      </c>
      <c r="AO974" s="38">
        <v>8</v>
      </c>
      <c r="AP974" s="38" t="s">
        <v>184</v>
      </c>
      <c r="AR974" s="38">
        <v>1090</v>
      </c>
      <c r="AS974" s="38">
        <f>AR974/28.4</f>
        <v>38.380281690140848</v>
      </c>
      <c r="AT974" s="67" t="s">
        <v>901</v>
      </c>
      <c r="AY974" s="38">
        <v>4830</v>
      </c>
      <c r="AZ974" s="38">
        <v>4360</v>
      </c>
      <c r="BH974" s="38">
        <f>37</f>
        <v>37</v>
      </c>
      <c r="BI974" s="38">
        <f>16.8</f>
        <v>16.8</v>
      </c>
      <c r="BJ974" s="38" t="s">
        <v>908</v>
      </c>
      <c r="BK974" s="38">
        <v>12</v>
      </c>
      <c r="BL974" s="38">
        <v>11</v>
      </c>
      <c r="BN974" s="38">
        <v>599</v>
      </c>
      <c r="BO974" s="38">
        <v>519</v>
      </c>
      <c r="CX974" s="38">
        <f>0.83</f>
        <v>0.83</v>
      </c>
      <c r="CY974" s="38">
        <f>1.05</f>
        <v>1.05</v>
      </c>
      <c r="CZ974" s="38" t="s">
        <v>999</v>
      </c>
      <c r="DD974" s="38">
        <f>76/3</f>
        <v>25.333333333333332</v>
      </c>
      <c r="DE974" s="38">
        <f>47/3</f>
        <v>15.666666666666666</v>
      </c>
      <c r="DF974" s="38" t="s">
        <v>938</v>
      </c>
      <c r="DV974" s="38">
        <v>12</v>
      </c>
      <c r="DW974" s="38">
        <v>46</v>
      </c>
      <c r="EL974" s="38" t="s">
        <v>910</v>
      </c>
      <c r="EM974" s="38" t="s">
        <v>909</v>
      </c>
      <c r="EN974" s="38">
        <v>46</v>
      </c>
    </row>
    <row r="975" spans="1:144" s="38" customFormat="1" x14ac:dyDescent="0.25">
      <c r="A975" s="38">
        <v>46</v>
      </c>
      <c r="B975" s="38" t="s">
        <v>889</v>
      </c>
      <c r="C975" s="38" t="s">
        <v>888</v>
      </c>
      <c r="D975" s="38">
        <v>2013</v>
      </c>
      <c r="E975" s="38">
        <v>2009</v>
      </c>
      <c r="F975" s="38" t="s">
        <v>439</v>
      </c>
      <c r="G975" s="38" t="s">
        <v>894</v>
      </c>
      <c r="H975" s="38">
        <f>48+48/60</f>
        <v>48.8</v>
      </c>
      <c r="I975" s="38">
        <f>-111-31/60</f>
        <v>-111.51666666666667</v>
      </c>
      <c r="J975" s="38">
        <v>1090</v>
      </c>
      <c r="P975" s="57" t="s">
        <v>186</v>
      </c>
      <c r="Q975" s="57"/>
      <c r="R975" s="57" t="s">
        <v>905</v>
      </c>
      <c r="S975" s="57" t="s">
        <v>668</v>
      </c>
      <c r="W975" s="38" t="s">
        <v>710</v>
      </c>
      <c r="X975" s="38">
        <v>7.8</v>
      </c>
      <c r="Y975" s="38">
        <v>1.1000000000000001</v>
      </c>
      <c r="AA975" s="38" t="s">
        <v>1705</v>
      </c>
      <c r="AB975" s="38" t="s">
        <v>760</v>
      </c>
      <c r="AC975" s="38" t="s">
        <v>1739</v>
      </c>
      <c r="AH975" s="38" t="s">
        <v>217</v>
      </c>
      <c r="AJ975" s="38">
        <v>0</v>
      </c>
      <c r="AK975" s="38">
        <v>0</v>
      </c>
      <c r="AL975" s="38" t="s">
        <v>252</v>
      </c>
      <c r="AM975" s="38" t="s">
        <v>160</v>
      </c>
      <c r="AN975" s="38">
        <v>8</v>
      </c>
      <c r="AO975" s="38">
        <v>8</v>
      </c>
      <c r="AP975" s="38" t="s">
        <v>184</v>
      </c>
      <c r="AR975" s="38">
        <v>550</v>
      </c>
      <c r="AS975" s="38">
        <f>AR975/14.5</f>
        <v>37.931034482758619</v>
      </c>
      <c r="AT975" s="67" t="s">
        <v>902</v>
      </c>
      <c r="AY975" s="38">
        <v>1690</v>
      </c>
      <c r="AZ975" s="38">
        <v>1510</v>
      </c>
      <c r="BH975" s="38">
        <f>12.3</f>
        <v>12.3</v>
      </c>
      <c r="BI975" s="38">
        <f>11.2</f>
        <v>11.2</v>
      </c>
      <c r="BJ975" s="38" t="s">
        <v>908</v>
      </c>
      <c r="BK975" s="38">
        <v>9</v>
      </c>
      <c r="BL975" s="38">
        <v>8</v>
      </c>
      <c r="BN975" s="38">
        <v>355</v>
      </c>
      <c r="BO975" s="38">
        <v>507</v>
      </c>
      <c r="CX975" s="38">
        <f>1.07</f>
        <v>1.07</v>
      </c>
      <c r="CY975" s="38">
        <f>1.32</f>
        <v>1.32</v>
      </c>
      <c r="CZ975" s="38" t="s">
        <v>999</v>
      </c>
      <c r="DD975" s="38">
        <f>75/3</f>
        <v>25</v>
      </c>
      <c r="DE975" s="38">
        <f>52/3</f>
        <v>17.333333333333332</v>
      </c>
      <c r="DF975" s="38" t="s">
        <v>938</v>
      </c>
      <c r="DV975" s="38">
        <v>7</v>
      </c>
      <c r="DW975" s="38">
        <v>23</v>
      </c>
      <c r="EL975" s="38" t="s">
        <v>910</v>
      </c>
      <c r="EM975" s="38" t="s">
        <v>909</v>
      </c>
      <c r="EN975" s="38">
        <v>46</v>
      </c>
    </row>
    <row r="976" spans="1:144" s="31" customFormat="1" x14ac:dyDescent="0.25">
      <c r="A976" s="31">
        <v>46</v>
      </c>
      <c r="B976" s="31" t="s">
        <v>889</v>
      </c>
      <c r="C976" s="31" t="s">
        <v>888</v>
      </c>
      <c r="D976" s="31">
        <v>2013</v>
      </c>
      <c r="E976" s="31">
        <v>2009</v>
      </c>
      <c r="F976" s="31" t="s">
        <v>439</v>
      </c>
      <c r="G976" s="31" t="s">
        <v>890</v>
      </c>
      <c r="H976" s="31">
        <f>47+55/60</f>
        <v>47.916666666666664</v>
      </c>
      <c r="I976" s="31">
        <f>-109-55/60</f>
        <v>-109.91666666666667</v>
      </c>
      <c r="J976" s="31">
        <v>888</v>
      </c>
      <c r="P976" s="56" t="s">
        <v>186</v>
      </c>
      <c r="Q976" s="56"/>
      <c r="R976" s="56" t="s">
        <v>905</v>
      </c>
      <c r="S976" s="56" t="s">
        <v>903</v>
      </c>
      <c r="W976" s="31" t="s">
        <v>710</v>
      </c>
      <c r="X976" s="31">
        <v>6.1</v>
      </c>
      <c r="Y976" s="31">
        <v>1.1000000000000001</v>
      </c>
      <c r="AA976" s="31" t="s">
        <v>1705</v>
      </c>
      <c r="AB976" s="31" t="s">
        <v>896</v>
      </c>
      <c r="AC976" s="31" t="s">
        <v>1738</v>
      </c>
      <c r="AH976" s="31" t="s">
        <v>217</v>
      </c>
      <c r="AJ976" s="31">
        <v>0</v>
      </c>
      <c r="AK976" s="31">
        <v>0</v>
      </c>
      <c r="AL976" s="31" t="s">
        <v>252</v>
      </c>
      <c r="AM976" s="31" t="s">
        <v>160</v>
      </c>
      <c r="AN976" s="31">
        <v>6</v>
      </c>
      <c r="AO976" s="31">
        <v>6</v>
      </c>
      <c r="AP976" s="31" t="s">
        <v>184</v>
      </c>
      <c r="AR976" s="31">
        <f>1.07*1000</f>
        <v>1070</v>
      </c>
      <c r="AS976" s="31">
        <f>AR976/44.2</f>
        <v>24.20814479638009</v>
      </c>
      <c r="AT976" s="68" t="s">
        <v>898</v>
      </c>
      <c r="BH976" s="31">
        <f>10</f>
        <v>10</v>
      </c>
      <c r="BI976" s="31">
        <f>3</f>
        <v>3</v>
      </c>
      <c r="BJ976" s="31" t="s">
        <v>908</v>
      </c>
      <c r="DD976" s="31">
        <f>65/3</f>
        <v>21.666666666666668</v>
      </c>
      <c r="DE976" s="31">
        <f>54/3</f>
        <v>18</v>
      </c>
      <c r="DF976" s="31" t="s">
        <v>938</v>
      </c>
      <c r="EL976" s="31" t="s">
        <v>910</v>
      </c>
      <c r="EM976" s="31" t="s">
        <v>909</v>
      </c>
      <c r="EN976" s="31">
        <v>46</v>
      </c>
    </row>
    <row r="977" spans="1:144" s="31" customFormat="1" x14ac:dyDescent="0.25">
      <c r="A977" s="31">
        <v>46</v>
      </c>
      <c r="B977" s="31" t="s">
        <v>889</v>
      </c>
      <c r="C977" s="31" t="s">
        <v>888</v>
      </c>
      <c r="D977" s="31">
        <v>2013</v>
      </c>
      <c r="E977" s="31">
        <v>2009</v>
      </c>
      <c r="F977" s="31" t="s">
        <v>439</v>
      </c>
      <c r="G977" s="31" t="s">
        <v>891</v>
      </c>
      <c r="H977" s="31">
        <f>48+18/60</f>
        <v>48.3</v>
      </c>
      <c r="I977" s="31">
        <f>-110-6/60</f>
        <v>-110.1</v>
      </c>
      <c r="J977" s="31">
        <v>833</v>
      </c>
      <c r="P977" s="56" t="s">
        <v>186</v>
      </c>
      <c r="Q977" s="56"/>
      <c r="R977" s="56" t="s">
        <v>905</v>
      </c>
      <c r="S977" s="56" t="s">
        <v>903</v>
      </c>
      <c r="W977" s="31" t="s">
        <v>182</v>
      </c>
      <c r="X977" s="31">
        <v>6.9</v>
      </c>
      <c r="Y977" s="31">
        <v>0.87</v>
      </c>
      <c r="AA977" s="31" t="s">
        <v>1705</v>
      </c>
      <c r="AB977" s="31" t="s">
        <v>897</v>
      </c>
      <c r="AC977" s="31" t="s">
        <v>1738</v>
      </c>
      <c r="AH977" s="31" t="s">
        <v>217</v>
      </c>
      <c r="AJ977" s="31">
        <v>0</v>
      </c>
      <c r="AK977" s="31">
        <v>0</v>
      </c>
      <c r="AL977" s="31" t="s">
        <v>252</v>
      </c>
      <c r="AM977" s="31" t="s">
        <v>160</v>
      </c>
      <c r="AN977" s="31">
        <v>8</v>
      </c>
      <c r="AO977" s="31">
        <v>8</v>
      </c>
      <c r="AP977" s="31" t="s">
        <v>184</v>
      </c>
      <c r="AR977" s="31">
        <v>730</v>
      </c>
      <c r="AS977" s="31">
        <f>AR977/19.3</f>
        <v>37.823834196891191</v>
      </c>
      <c r="AT977" s="68" t="s">
        <v>899</v>
      </c>
      <c r="BH977" s="31">
        <f>4</f>
        <v>4</v>
      </c>
      <c r="BI977" s="31">
        <f>3</f>
        <v>3</v>
      </c>
      <c r="BJ977" s="31" t="s">
        <v>908</v>
      </c>
      <c r="DD977" s="31">
        <f>48/3</f>
        <v>16</v>
      </c>
      <c r="DE977" s="31">
        <f>41/3</f>
        <v>13.666666666666666</v>
      </c>
      <c r="DF977" s="31" t="s">
        <v>938</v>
      </c>
      <c r="EL977" s="31" t="s">
        <v>910</v>
      </c>
      <c r="EM977" s="31" t="s">
        <v>909</v>
      </c>
      <c r="EN977" s="31">
        <v>46</v>
      </c>
    </row>
    <row r="978" spans="1:144" s="31" customFormat="1" x14ac:dyDescent="0.25">
      <c r="A978" s="31">
        <v>46</v>
      </c>
      <c r="B978" s="31" t="s">
        <v>889</v>
      </c>
      <c r="C978" s="31" t="s">
        <v>888</v>
      </c>
      <c r="D978" s="31">
        <v>2013</v>
      </c>
      <c r="E978" s="31">
        <v>2009</v>
      </c>
      <c r="F978" s="31" t="s">
        <v>439</v>
      </c>
      <c r="G978" s="31" t="s">
        <v>892</v>
      </c>
      <c r="H978" s="31">
        <f>48+45/60</f>
        <v>48.75</v>
      </c>
      <c r="I978" s="31">
        <f>-110-52/60</f>
        <v>-110.86666666666666</v>
      </c>
      <c r="J978" s="31">
        <v>1059</v>
      </c>
      <c r="P978" s="56" t="s">
        <v>186</v>
      </c>
      <c r="Q978" s="56"/>
      <c r="R978" s="56" t="s">
        <v>905</v>
      </c>
      <c r="S978" s="56" t="s">
        <v>903</v>
      </c>
      <c r="W978" s="31" t="s">
        <v>895</v>
      </c>
      <c r="X978" s="31">
        <v>7.6</v>
      </c>
      <c r="Y978" s="31">
        <v>1.28</v>
      </c>
      <c r="AA978" s="31" t="s">
        <v>1705</v>
      </c>
      <c r="AB978" s="31" t="s">
        <v>896</v>
      </c>
      <c r="AC978" s="31" t="s">
        <v>1738</v>
      </c>
      <c r="AH978" s="31" t="s">
        <v>217</v>
      </c>
      <c r="AJ978" s="31">
        <v>0</v>
      </c>
      <c r="AK978" s="31">
        <v>0</v>
      </c>
      <c r="AL978" s="31" t="s">
        <v>252</v>
      </c>
      <c r="AM978" s="31" t="s">
        <v>160</v>
      </c>
      <c r="AN978" s="31">
        <v>12</v>
      </c>
      <c r="AO978" s="31">
        <v>12</v>
      </c>
      <c r="AP978" s="31" t="s">
        <v>184</v>
      </c>
      <c r="AR978" s="31">
        <f>1.02*1000</f>
        <v>1020</v>
      </c>
      <c r="AS978" s="31">
        <f>AR978/37.8</f>
        <v>26.984126984126988</v>
      </c>
      <c r="AT978" s="68" t="s">
        <v>900</v>
      </c>
      <c r="BH978" s="31">
        <f>20</f>
        <v>20</v>
      </c>
      <c r="BI978" s="31">
        <f>5</f>
        <v>5</v>
      </c>
      <c r="BJ978" s="31" t="s">
        <v>908</v>
      </c>
      <c r="DD978" s="31">
        <f>77/3</f>
        <v>25.666666666666668</v>
      </c>
      <c r="DE978" s="31">
        <f>68/3</f>
        <v>22.666666666666668</v>
      </c>
      <c r="DF978" s="31" t="s">
        <v>938</v>
      </c>
      <c r="EL978" s="31" t="s">
        <v>910</v>
      </c>
      <c r="EM978" s="31" t="s">
        <v>909</v>
      </c>
      <c r="EN978" s="31">
        <v>46</v>
      </c>
    </row>
    <row r="979" spans="1:144" s="31" customFormat="1" x14ac:dyDescent="0.25">
      <c r="A979" s="31">
        <v>46</v>
      </c>
      <c r="B979" s="31" t="s">
        <v>889</v>
      </c>
      <c r="C979" s="31" t="s">
        <v>888</v>
      </c>
      <c r="D979" s="31">
        <v>2013</v>
      </c>
      <c r="E979" s="31">
        <v>2009</v>
      </c>
      <c r="F979" s="31" t="s">
        <v>439</v>
      </c>
      <c r="G979" s="31" t="s">
        <v>893</v>
      </c>
      <c r="H979" s="31">
        <f>48+48/60</f>
        <v>48.8</v>
      </c>
      <c r="I979" s="31">
        <f>-111-38.5/60</f>
        <v>-111.64166666666667</v>
      </c>
      <c r="J979" s="31">
        <v>1102</v>
      </c>
      <c r="P979" s="56" t="s">
        <v>186</v>
      </c>
      <c r="Q979" s="56"/>
      <c r="R979" s="56" t="s">
        <v>905</v>
      </c>
      <c r="S979" s="56" t="s">
        <v>903</v>
      </c>
      <c r="W979" s="31" t="s">
        <v>182</v>
      </c>
      <c r="X979" s="31">
        <v>6.9</v>
      </c>
      <c r="Y979" s="31">
        <v>1.22</v>
      </c>
      <c r="AA979" s="31" t="s">
        <v>1705</v>
      </c>
      <c r="AB979" s="31" t="s">
        <v>896</v>
      </c>
      <c r="AC979" s="31" t="s">
        <v>1739</v>
      </c>
      <c r="AH979" s="31" t="s">
        <v>217</v>
      </c>
      <c r="AJ979" s="31">
        <v>0</v>
      </c>
      <c r="AK979" s="31">
        <v>0</v>
      </c>
      <c r="AL979" s="31" t="s">
        <v>252</v>
      </c>
      <c r="AM979" s="31" t="s">
        <v>160</v>
      </c>
      <c r="AN979" s="31">
        <v>8</v>
      </c>
      <c r="AO979" s="31">
        <v>8</v>
      </c>
      <c r="AP979" s="31" t="s">
        <v>184</v>
      </c>
      <c r="AR979" s="31">
        <v>1090</v>
      </c>
      <c r="AS979" s="31">
        <f>AR979/28.4</f>
        <v>38.380281690140848</v>
      </c>
      <c r="AT979" s="68" t="s">
        <v>901</v>
      </c>
      <c r="BH979" s="31">
        <f>17</f>
        <v>17</v>
      </c>
      <c r="BI979" s="31">
        <f>8</f>
        <v>8</v>
      </c>
      <c r="BJ979" s="31" t="s">
        <v>908</v>
      </c>
      <c r="DD979" s="31">
        <f>52/3</f>
        <v>17.333333333333332</v>
      </c>
      <c r="DE979" s="31">
        <f>37/3</f>
        <v>12.333333333333334</v>
      </c>
      <c r="DF979" s="31" t="s">
        <v>938</v>
      </c>
      <c r="EL979" s="31" t="s">
        <v>910</v>
      </c>
      <c r="EM979" s="31" t="s">
        <v>909</v>
      </c>
      <c r="EN979" s="31">
        <v>46</v>
      </c>
    </row>
    <row r="980" spans="1:144" s="31" customFormat="1" x14ac:dyDescent="0.25">
      <c r="A980" s="31">
        <v>46</v>
      </c>
      <c r="B980" s="31" t="s">
        <v>889</v>
      </c>
      <c r="C980" s="31" t="s">
        <v>888</v>
      </c>
      <c r="D980" s="31">
        <v>2013</v>
      </c>
      <c r="E980" s="31">
        <v>2009</v>
      </c>
      <c r="F980" s="31" t="s">
        <v>439</v>
      </c>
      <c r="G980" s="31" t="s">
        <v>894</v>
      </c>
      <c r="H980" s="31">
        <f>48+48/60</f>
        <v>48.8</v>
      </c>
      <c r="I980" s="31">
        <f>-111-31/60</f>
        <v>-111.51666666666667</v>
      </c>
      <c r="J980" s="31">
        <v>1090</v>
      </c>
      <c r="P980" s="56" t="s">
        <v>186</v>
      </c>
      <c r="Q980" s="56"/>
      <c r="R980" s="56" t="s">
        <v>905</v>
      </c>
      <c r="S980" s="56" t="s">
        <v>903</v>
      </c>
      <c r="W980" s="31" t="s">
        <v>710</v>
      </c>
      <c r="X980" s="31">
        <v>7.8</v>
      </c>
      <c r="Y980" s="31">
        <v>1.1000000000000001</v>
      </c>
      <c r="AA980" s="31" t="s">
        <v>1705</v>
      </c>
      <c r="AB980" s="31" t="s">
        <v>760</v>
      </c>
      <c r="AC980" s="31" t="s">
        <v>1739</v>
      </c>
      <c r="AH980" s="31" t="s">
        <v>217</v>
      </c>
      <c r="AJ980" s="31">
        <v>0</v>
      </c>
      <c r="AK980" s="31">
        <v>0</v>
      </c>
      <c r="AL980" s="31" t="s">
        <v>252</v>
      </c>
      <c r="AM980" s="31" t="s">
        <v>160</v>
      </c>
      <c r="AN980" s="31">
        <v>8</v>
      </c>
      <c r="AO980" s="31">
        <v>8</v>
      </c>
      <c r="AP980" s="31" t="s">
        <v>184</v>
      </c>
      <c r="AR980" s="31">
        <v>550</v>
      </c>
      <c r="AS980" s="31">
        <f>AR980/14.5</f>
        <v>37.931034482758619</v>
      </c>
      <c r="AT980" s="68" t="s">
        <v>902</v>
      </c>
      <c r="BH980" s="31">
        <f>2</f>
        <v>2</v>
      </c>
      <c r="BI980" s="31">
        <v>1</v>
      </c>
      <c r="BJ980" s="31" t="s">
        <v>908</v>
      </c>
      <c r="DD980" s="31">
        <f>64/3</f>
        <v>21.333333333333332</v>
      </c>
      <c r="DE980" s="31">
        <f>41/3</f>
        <v>13.666666666666666</v>
      </c>
      <c r="DF980" s="31" t="s">
        <v>938</v>
      </c>
      <c r="EL980" s="31" t="s">
        <v>910</v>
      </c>
      <c r="EM980" s="31" t="s">
        <v>909</v>
      </c>
      <c r="EN980" s="31">
        <v>46</v>
      </c>
    </row>
    <row r="981" spans="1:144" s="38" customFormat="1" x14ac:dyDescent="0.25">
      <c r="A981" s="38">
        <v>46</v>
      </c>
      <c r="B981" s="38" t="s">
        <v>889</v>
      </c>
      <c r="C981" s="38" t="s">
        <v>888</v>
      </c>
      <c r="D981" s="38">
        <v>2013</v>
      </c>
      <c r="E981" s="38">
        <v>2009</v>
      </c>
      <c r="F981" s="38" t="s">
        <v>439</v>
      </c>
      <c r="G981" s="38" t="s">
        <v>890</v>
      </c>
      <c r="H981" s="38">
        <f>47+55/60</f>
        <v>47.916666666666664</v>
      </c>
      <c r="I981" s="38">
        <f>-109-55/60</f>
        <v>-109.91666666666667</v>
      </c>
      <c r="J981" s="38">
        <v>888</v>
      </c>
      <c r="P981" s="57" t="s">
        <v>186</v>
      </c>
      <c r="Q981" s="57"/>
      <c r="R981" s="57" t="s">
        <v>905</v>
      </c>
      <c r="S981" s="57" t="s">
        <v>904</v>
      </c>
      <c r="W981" s="38" t="s">
        <v>710</v>
      </c>
      <c r="X981" s="38">
        <v>6.1</v>
      </c>
      <c r="Y981" s="38">
        <v>1.1000000000000001</v>
      </c>
      <c r="AA981" s="38" t="s">
        <v>1705</v>
      </c>
      <c r="AB981" s="38" t="s">
        <v>896</v>
      </c>
      <c r="AC981" s="38" t="s">
        <v>1738</v>
      </c>
      <c r="AH981" s="38" t="s">
        <v>217</v>
      </c>
      <c r="AJ981" s="38">
        <v>0</v>
      </c>
      <c r="AK981" s="38">
        <v>0</v>
      </c>
      <c r="AL981" s="38" t="s">
        <v>252</v>
      </c>
      <c r="AM981" s="38" t="s">
        <v>160</v>
      </c>
      <c r="AN981" s="38">
        <v>6</v>
      </c>
      <c r="AO981" s="38">
        <v>6</v>
      </c>
      <c r="AP981" s="38" t="s">
        <v>184</v>
      </c>
      <c r="AR981" s="38">
        <f>1.07*1000</f>
        <v>1070</v>
      </c>
      <c r="AS981" s="38">
        <f>AR981/44.2</f>
        <v>24.20814479638009</v>
      </c>
      <c r="AT981" s="67" t="s">
        <v>898</v>
      </c>
      <c r="BH981" s="38">
        <v>9</v>
      </c>
      <c r="BI981" s="38">
        <v>4</v>
      </c>
      <c r="BJ981" s="38" t="s">
        <v>908</v>
      </c>
      <c r="DD981" s="38">
        <f>54/3</f>
        <v>18</v>
      </c>
      <c r="DE981" s="38">
        <f>53/3</f>
        <v>17.666666666666668</v>
      </c>
      <c r="DF981" s="38" t="s">
        <v>938</v>
      </c>
      <c r="EL981" s="38" t="s">
        <v>910</v>
      </c>
      <c r="EM981" s="38" t="s">
        <v>909</v>
      </c>
      <c r="EN981" s="38">
        <v>46</v>
      </c>
    </row>
    <row r="982" spans="1:144" s="38" customFormat="1" x14ac:dyDescent="0.25">
      <c r="A982" s="38">
        <v>46</v>
      </c>
      <c r="B982" s="38" t="s">
        <v>889</v>
      </c>
      <c r="C982" s="38" t="s">
        <v>888</v>
      </c>
      <c r="D982" s="38">
        <v>2013</v>
      </c>
      <c r="E982" s="38">
        <v>2009</v>
      </c>
      <c r="F982" s="38" t="s">
        <v>439</v>
      </c>
      <c r="G982" s="38" t="s">
        <v>891</v>
      </c>
      <c r="H982" s="38">
        <f>48+18/60</f>
        <v>48.3</v>
      </c>
      <c r="I982" s="38">
        <f>-110-6/60</f>
        <v>-110.1</v>
      </c>
      <c r="J982" s="38">
        <v>833</v>
      </c>
      <c r="P982" s="57" t="s">
        <v>186</v>
      </c>
      <c r="Q982" s="57"/>
      <c r="R982" s="57" t="s">
        <v>905</v>
      </c>
      <c r="S982" s="57" t="s">
        <v>904</v>
      </c>
      <c r="W982" s="38" t="s">
        <v>182</v>
      </c>
      <c r="X982" s="38">
        <v>6.9</v>
      </c>
      <c r="Y982" s="38">
        <v>0.87</v>
      </c>
      <c r="AA982" s="38" t="s">
        <v>1705</v>
      </c>
      <c r="AB982" s="38" t="s">
        <v>897</v>
      </c>
      <c r="AC982" s="38" t="s">
        <v>1738</v>
      </c>
      <c r="AH982" s="38" t="s">
        <v>217</v>
      </c>
      <c r="AJ982" s="38">
        <v>0</v>
      </c>
      <c r="AK982" s="38">
        <v>0</v>
      </c>
      <c r="AL982" s="38" t="s">
        <v>252</v>
      </c>
      <c r="AM982" s="38" t="s">
        <v>160</v>
      </c>
      <c r="AN982" s="38">
        <v>8</v>
      </c>
      <c r="AO982" s="38">
        <v>8</v>
      </c>
      <c r="AP982" s="38" t="s">
        <v>184</v>
      </c>
      <c r="AR982" s="38">
        <v>730</v>
      </c>
      <c r="AS982" s="38">
        <f>AR982/19.3</f>
        <v>37.823834196891191</v>
      </c>
      <c r="AT982" s="67" t="s">
        <v>899</v>
      </c>
      <c r="BH982" s="38">
        <v>14</v>
      </c>
      <c r="BI982" s="38">
        <v>13</v>
      </c>
      <c r="BJ982" s="38" t="s">
        <v>908</v>
      </c>
      <c r="DD982" s="38">
        <f>44/3</f>
        <v>14.666666666666666</v>
      </c>
      <c r="DE982" s="38">
        <f>40/3</f>
        <v>13.333333333333334</v>
      </c>
      <c r="DF982" s="38" t="s">
        <v>938</v>
      </c>
      <c r="EL982" s="38" t="s">
        <v>910</v>
      </c>
      <c r="EM982" s="38" t="s">
        <v>909</v>
      </c>
      <c r="EN982" s="38">
        <v>46</v>
      </c>
    </row>
    <row r="983" spans="1:144" s="38" customFormat="1" x14ac:dyDescent="0.25">
      <c r="A983" s="38">
        <v>46</v>
      </c>
      <c r="B983" s="38" t="s">
        <v>889</v>
      </c>
      <c r="C983" s="38" t="s">
        <v>888</v>
      </c>
      <c r="D983" s="38">
        <v>2013</v>
      </c>
      <c r="E983" s="38">
        <v>2009</v>
      </c>
      <c r="F983" s="38" t="s">
        <v>439</v>
      </c>
      <c r="G983" s="38" t="s">
        <v>892</v>
      </c>
      <c r="H983" s="38">
        <f>48+45/60</f>
        <v>48.75</v>
      </c>
      <c r="I983" s="38">
        <f>-110-52/60</f>
        <v>-110.86666666666666</v>
      </c>
      <c r="J983" s="38">
        <v>1059</v>
      </c>
      <c r="P983" s="57" t="s">
        <v>186</v>
      </c>
      <c r="Q983" s="57"/>
      <c r="R983" s="57" t="s">
        <v>905</v>
      </c>
      <c r="S983" s="57" t="s">
        <v>904</v>
      </c>
      <c r="W983" s="38" t="s">
        <v>895</v>
      </c>
      <c r="X983" s="38">
        <v>7.6</v>
      </c>
      <c r="Y983" s="38">
        <v>1.28</v>
      </c>
      <c r="AA983" s="38" t="s">
        <v>1705</v>
      </c>
      <c r="AB983" s="38" t="s">
        <v>896</v>
      </c>
      <c r="AC983" s="38" t="s">
        <v>1738</v>
      </c>
      <c r="AH983" s="38" t="s">
        <v>217</v>
      </c>
      <c r="AJ983" s="38">
        <v>0</v>
      </c>
      <c r="AK983" s="38">
        <v>0</v>
      </c>
      <c r="AL983" s="38" t="s">
        <v>252</v>
      </c>
      <c r="AM983" s="38" t="s">
        <v>160</v>
      </c>
      <c r="AN983" s="38">
        <v>12</v>
      </c>
      <c r="AO983" s="38">
        <v>12</v>
      </c>
      <c r="AP983" s="38" t="s">
        <v>184</v>
      </c>
      <c r="AR983" s="38">
        <f>1.02*1000</f>
        <v>1020</v>
      </c>
      <c r="AS983" s="38">
        <f>AR983/37.8</f>
        <v>26.984126984126988</v>
      </c>
      <c r="AT983" s="67" t="s">
        <v>900</v>
      </c>
      <c r="BH983" s="38">
        <v>39</v>
      </c>
      <c r="BI983" s="38">
        <v>24</v>
      </c>
      <c r="BJ983" s="38" t="s">
        <v>908</v>
      </c>
      <c r="DD983" s="38">
        <f>74/3</f>
        <v>24.666666666666668</v>
      </c>
      <c r="DE983" s="38">
        <f>72/3</f>
        <v>24</v>
      </c>
      <c r="DF983" s="38" t="s">
        <v>938</v>
      </c>
      <c r="EL983" s="38" t="s">
        <v>910</v>
      </c>
      <c r="EM983" s="38" t="s">
        <v>909</v>
      </c>
      <c r="EN983" s="38">
        <v>46</v>
      </c>
    </row>
    <row r="984" spans="1:144" s="38" customFormat="1" x14ac:dyDescent="0.25">
      <c r="A984" s="38">
        <v>46</v>
      </c>
      <c r="B984" s="38" t="s">
        <v>889</v>
      </c>
      <c r="C984" s="38" t="s">
        <v>888</v>
      </c>
      <c r="D984" s="38">
        <v>2013</v>
      </c>
      <c r="E984" s="38">
        <v>2009</v>
      </c>
      <c r="F984" s="38" t="s">
        <v>439</v>
      </c>
      <c r="G984" s="38" t="s">
        <v>893</v>
      </c>
      <c r="H984" s="38">
        <f>48+48/60</f>
        <v>48.8</v>
      </c>
      <c r="I984" s="38">
        <f>-111-38.5/60</f>
        <v>-111.64166666666667</v>
      </c>
      <c r="J984" s="38">
        <v>1102</v>
      </c>
      <c r="P984" s="57" t="s">
        <v>186</v>
      </c>
      <c r="Q984" s="57"/>
      <c r="R984" s="57" t="s">
        <v>905</v>
      </c>
      <c r="S984" s="57" t="s">
        <v>904</v>
      </c>
      <c r="W984" s="38" t="s">
        <v>182</v>
      </c>
      <c r="X984" s="38">
        <v>6.9</v>
      </c>
      <c r="Y984" s="38">
        <v>1.22</v>
      </c>
      <c r="AA984" s="38" t="s">
        <v>1705</v>
      </c>
      <c r="AB984" s="38" t="s">
        <v>896</v>
      </c>
      <c r="AC984" s="38" t="s">
        <v>1739</v>
      </c>
      <c r="AH984" s="38" t="s">
        <v>217</v>
      </c>
      <c r="AJ984" s="38">
        <v>0</v>
      </c>
      <c r="AK984" s="38">
        <v>0</v>
      </c>
      <c r="AL984" s="38" t="s">
        <v>252</v>
      </c>
      <c r="AM984" s="38" t="s">
        <v>160</v>
      </c>
      <c r="AN984" s="38">
        <v>8</v>
      </c>
      <c r="AO984" s="38">
        <v>8</v>
      </c>
      <c r="AP984" s="38" t="s">
        <v>184</v>
      </c>
      <c r="AR984" s="38">
        <v>1090</v>
      </c>
      <c r="AS984" s="38">
        <f>AR984/28.4</f>
        <v>38.380281690140848</v>
      </c>
      <c r="AT984" s="67" t="s">
        <v>901</v>
      </c>
      <c r="BH984" s="38">
        <v>15</v>
      </c>
      <c r="BI984" s="38">
        <v>13</v>
      </c>
      <c r="BJ984" s="38" t="s">
        <v>908</v>
      </c>
      <c r="DD984" s="38">
        <f>44/3</f>
        <v>14.666666666666666</v>
      </c>
      <c r="DE984" s="38">
        <f>36/3</f>
        <v>12</v>
      </c>
      <c r="DF984" s="38" t="s">
        <v>938</v>
      </c>
      <c r="EL984" s="38" t="s">
        <v>910</v>
      </c>
      <c r="EM984" s="38" t="s">
        <v>909</v>
      </c>
      <c r="EN984" s="38">
        <v>46</v>
      </c>
    </row>
    <row r="985" spans="1:144" s="38" customFormat="1" x14ac:dyDescent="0.25">
      <c r="A985" s="38">
        <v>46</v>
      </c>
      <c r="B985" s="38" t="s">
        <v>889</v>
      </c>
      <c r="C985" s="38" t="s">
        <v>888</v>
      </c>
      <c r="D985" s="38">
        <v>2013</v>
      </c>
      <c r="E985" s="38">
        <v>2009</v>
      </c>
      <c r="F985" s="38" t="s">
        <v>439</v>
      </c>
      <c r="G985" s="38" t="s">
        <v>894</v>
      </c>
      <c r="H985" s="38">
        <f>48+48/60</f>
        <v>48.8</v>
      </c>
      <c r="I985" s="38">
        <f>-111-31/60</f>
        <v>-111.51666666666667</v>
      </c>
      <c r="J985" s="38">
        <v>1090</v>
      </c>
      <c r="P985" s="57" t="s">
        <v>186</v>
      </c>
      <c r="Q985" s="57"/>
      <c r="R985" s="57" t="s">
        <v>905</v>
      </c>
      <c r="S985" s="57" t="s">
        <v>904</v>
      </c>
      <c r="W985" s="38" t="s">
        <v>710</v>
      </c>
      <c r="X985" s="38">
        <v>7.8</v>
      </c>
      <c r="Y985" s="38">
        <v>1.1000000000000001</v>
      </c>
      <c r="AA985" s="38" t="s">
        <v>1705</v>
      </c>
      <c r="AB985" s="38" t="s">
        <v>760</v>
      </c>
      <c r="AC985" s="38" t="s">
        <v>1739</v>
      </c>
      <c r="AH985" s="38" t="s">
        <v>217</v>
      </c>
      <c r="AJ985" s="38">
        <v>0</v>
      </c>
      <c r="AK985" s="38">
        <v>0</v>
      </c>
      <c r="AL985" s="38" t="s">
        <v>252</v>
      </c>
      <c r="AM985" s="38" t="s">
        <v>160</v>
      </c>
      <c r="AN985" s="38">
        <v>8</v>
      </c>
      <c r="AO985" s="38">
        <v>8</v>
      </c>
      <c r="AP985" s="38" t="s">
        <v>184</v>
      </c>
      <c r="AR985" s="38">
        <v>550</v>
      </c>
      <c r="AS985" s="38">
        <f>AR985/14.5</f>
        <v>37.931034482758619</v>
      </c>
      <c r="AT985" s="67" t="s">
        <v>902</v>
      </c>
      <c r="BH985" s="38">
        <v>2</v>
      </c>
      <c r="BI985" s="38">
        <v>2</v>
      </c>
      <c r="BJ985" s="38" t="s">
        <v>908</v>
      </c>
      <c r="DD985" s="38">
        <f>61/3</f>
        <v>20.333333333333332</v>
      </c>
      <c r="DE985" s="38">
        <f>49/3</f>
        <v>16.333333333333332</v>
      </c>
      <c r="DF985" s="38" t="s">
        <v>938</v>
      </c>
      <c r="EL985" s="38" t="s">
        <v>910</v>
      </c>
      <c r="EM985" s="38" t="s">
        <v>909</v>
      </c>
      <c r="EN985" s="38">
        <v>46</v>
      </c>
    </row>
    <row r="986" spans="1:144" s="69" customFormat="1" x14ac:dyDescent="0.25">
      <c r="A986" s="69">
        <v>46</v>
      </c>
      <c r="B986" s="69" t="s">
        <v>889</v>
      </c>
      <c r="C986" s="69" t="s">
        <v>888</v>
      </c>
      <c r="D986" s="69">
        <v>2013</v>
      </c>
      <c r="E986" s="69">
        <v>2009</v>
      </c>
      <c r="F986" s="69" t="s">
        <v>439</v>
      </c>
      <c r="G986" s="69" t="s">
        <v>890</v>
      </c>
      <c r="H986" s="69">
        <f>47+55/60</f>
        <v>47.916666666666664</v>
      </c>
      <c r="I986" s="69">
        <f>-109-55/60</f>
        <v>-109.91666666666667</v>
      </c>
      <c r="J986" s="69">
        <v>888</v>
      </c>
      <c r="P986" s="70" t="s">
        <v>186</v>
      </c>
      <c r="Q986" s="70"/>
      <c r="R986" s="70" t="s">
        <v>906</v>
      </c>
      <c r="S986" s="70" t="s">
        <v>668</v>
      </c>
      <c r="W986" s="69" t="s">
        <v>710</v>
      </c>
      <c r="X986" s="69">
        <v>6.1</v>
      </c>
      <c r="Y986" s="69">
        <v>1.1000000000000001</v>
      </c>
      <c r="AA986" s="69" t="s">
        <v>1705</v>
      </c>
      <c r="AB986" s="69" t="s">
        <v>896</v>
      </c>
      <c r="AC986" s="69" t="s">
        <v>1738</v>
      </c>
      <c r="AH986" s="69" t="s">
        <v>217</v>
      </c>
      <c r="AJ986" s="69">
        <v>0</v>
      </c>
      <c r="AK986" s="69">
        <v>0</v>
      </c>
      <c r="AL986" s="69" t="s">
        <v>252</v>
      </c>
      <c r="AM986" s="69" t="s">
        <v>160</v>
      </c>
      <c r="AN986" s="69">
        <v>6</v>
      </c>
      <c r="AO986" s="69">
        <v>6</v>
      </c>
      <c r="AP986" s="69" t="s">
        <v>184</v>
      </c>
      <c r="AR986" s="69">
        <f>1.07*1000</f>
        <v>1070</v>
      </c>
      <c r="AS986" s="69">
        <f>AR986/44.2</f>
        <v>24.20814479638009</v>
      </c>
      <c r="AT986" s="71" t="s">
        <v>898</v>
      </c>
      <c r="BH986" s="69">
        <v>47</v>
      </c>
      <c r="BI986" s="69">
        <v>26</v>
      </c>
      <c r="BJ986" s="38" t="s">
        <v>908</v>
      </c>
      <c r="DD986" s="69">
        <f>64/3</f>
        <v>21.333333333333332</v>
      </c>
      <c r="DE986" s="69">
        <f>68/3</f>
        <v>22.666666666666668</v>
      </c>
      <c r="DF986" s="38" t="s">
        <v>938</v>
      </c>
      <c r="EL986" s="38" t="s">
        <v>910</v>
      </c>
      <c r="EM986" s="31" t="s">
        <v>909</v>
      </c>
      <c r="EN986" s="69">
        <v>46</v>
      </c>
    </row>
    <row r="987" spans="1:144" s="69" customFormat="1" x14ac:dyDescent="0.25">
      <c r="A987" s="69">
        <v>46</v>
      </c>
      <c r="B987" s="69" t="s">
        <v>889</v>
      </c>
      <c r="C987" s="69" t="s">
        <v>888</v>
      </c>
      <c r="D987" s="69">
        <v>2013</v>
      </c>
      <c r="E987" s="69">
        <v>2009</v>
      </c>
      <c r="F987" s="69" t="s">
        <v>439</v>
      </c>
      <c r="G987" s="69" t="s">
        <v>891</v>
      </c>
      <c r="H987" s="69">
        <f>48+18/60</f>
        <v>48.3</v>
      </c>
      <c r="I987" s="69">
        <f>-110-6/60</f>
        <v>-110.1</v>
      </c>
      <c r="J987" s="69">
        <v>833</v>
      </c>
      <c r="P987" s="70" t="s">
        <v>186</v>
      </c>
      <c r="Q987" s="70"/>
      <c r="R987" s="70" t="s">
        <v>906</v>
      </c>
      <c r="S987" s="70" t="s">
        <v>668</v>
      </c>
      <c r="W987" s="69" t="s">
        <v>182</v>
      </c>
      <c r="X987" s="69">
        <v>6.9</v>
      </c>
      <c r="Y987" s="69">
        <v>0.87</v>
      </c>
      <c r="AA987" s="69" t="s">
        <v>1705</v>
      </c>
      <c r="AB987" s="69" t="s">
        <v>897</v>
      </c>
      <c r="AC987" s="69" t="s">
        <v>1738</v>
      </c>
      <c r="AH987" s="69" t="s">
        <v>217</v>
      </c>
      <c r="AJ987" s="69">
        <v>0</v>
      </c>
      <c r="AK987" s="69">
        <v>0</v>
      </c>
      <c r="AL987" s="69" t="s">
        <v>252</v>
      </c>
      <c r="AM987" s="69" t="s">
        <v>160</v>
      </c>
      <c r="AN987" s="69">
        <v>8</v>
      </c>
      <c r="AO987" s="69">
        <v>8</v>
      </c>
      <c r="AP987" s="69" t="s">
        <v>184</v>
      </c>
      <c r="AR987" s="69">
        <v>730</v>
      </c>
      <c r="AS987" s="69">
        <f>AR987/19.3</f>
        <v>37.823834196891191</v>
      </c>
      <c r="AT987" s="71" t="s">
        <v>899</v>
      </c>
      <c r="BH987" s="69">
        <v>29</v>
      </c>
      <c r="BI987" s="69">
        <v>15</v>
      </c>
      <c r="BJ987" s="38" t="s">
        <v>908</v>
      </c>
      <c r="DD987" s="69">
        <f>56/3</f>
        <v>18.666666666666668</v>
      </c>
      <c r="DE987" s="69">
        <f>36/3</f>
        <v>12</v>
      </c>
      <c r="DF987" s="38" t="s">
        <v>938</v>
      </c>
      <c r="EL987" s="38" t="s">
        <v>910</v>
      </c>
      <c r="EM987" s="31" t="s">
        <v>909</v>
      </c>
      <c r="EN987" s="69">
        <v>46</v>
      </c>
    </row>
    <row r="988" spans="1:144" s="69" customFormat="1" x14ac:dyDescent="0.25">
      <c r="A988" s="69">
        <v>46</v>
      </c>
      <c r="B988" s="69" t="s">
        <v>889</v>
      </c>
      <c r="C988" s="69" t="s">
        <v>888</v>
      </c>
      <c r="D988" s="69">
        <v>2013</v>
      </c>
      <c r="E988" s="69">
        <v>2009</v>
      </c>
      <c r="F988" s="69" t="s">
        <v>439</v>
      </c>
      <c r="G988" s="69" t="s">
        <v>892</v>
      </c>
      <c r="H988" s="69">
        <f>48+45/60</f>
        <v>48.75</v>
      </c>
      <c r="I988" s="69">
        <f>-110-52/60</f>
        <v>-110.86666666666666</v>
      </c>
      <c r="J988" s="69">
        <v>1059</v>
      </c>
      <c r="P988" s="70" t="s">
        <v>186</v>
      </c>
      <c r="Q988" s="70"/>
      <c r="R988" s="70" t="s">
        <v>906</v>
      </c>
      <c r="S988" s="70" t="s">
        <v>668</v>
      </c>
      <c r="W988" s="69" t="s">
        <v>895</v>
      </c>
      <c r="X988" s="69">
        <v>7.6</v>
      </c>
      <c r="Y988" s="69">
        <v>1.28</v>
      </c>
      <c r="AA988" s="69" t="s">
        <v>1705</v>
      </c>
      <c r="AB988" s="69" t="s">
        <v>896</v>
      </c>
      <c r="AC988" s="69" t="s">
        <v>1738</v>
      </c>
      <c r="AH988" s="69" t="s">
        <v>217</v>
      </c>
      <c r="AJ988" s="69">
        <v>0</v>
      </c>
      <c r="AK988" s="69">
        <v>0</v>
      </c>
      <c r="AL988" s="69" t="s">
        <v>252</v>
      </c>
      <c r="AM988" s="69" t="s">
        <v>160</v>
      </c>
      <c r="AN988" s="69">
        <v>12</v>
      </c>
      <c r="AO988" s="69">
        <v>12</v>
      </c>
      <c r="AP988" s="69" t="s">
        <v>184</v>
      </c>
      <c r="AR988" s="69">
        <f>1.02*1000</f>
        <v>1020</v>
      </c>
      <c r="AS988" s="69">
        <f>AR988/37.8</f>
        <v>26.984126984126988</v>
      </c>
      <c r="AT988" s="71" t="s">
        <v>900</v>
      </c>
      <c r="BH988" s="69">
        <v>24</v>
      </c>
      <c r="BI988" s="69">
        <v>19</v>
      </c>
      <c r="BJ988" s="38" t="s">
        <v>908</v>
      </c>
      <c r="DD988" s="69">
        <f>64/3</f>
        <v>21.333333333333332</v>
      </c>
      <c r="DE988" s="69">
        <f>45/3</f>
        <v>15</v>
      </c>
      <c r="DF988" s="38" t="s">
        <v>938</v>
      </c>
      <c r="EL988" s="38" t="s">
        <v>910</v>
      </c>
      <c r="EM988" s="31" t="s">
        <v>909</v>
      </c>
      <c r="EN988" s="69">
        <v>46</v>
      </c>
    </row>
    <row r="989" spans="1:144" s="69" customFormat="1" x14ac:dyDescent="0.25">
      <c r="A989" s="69">
        <v>46</v>
      </c>
      <c r="B989" s="69" t="s">
        <v>889</v>
      </c>
      <c r="C989" s="69" t="s">
        <v>888</v>
      </c>
      <c r="D989" s="69">
        <v>2013</v>
      </c>
      <c r="E989" s="69">
        <v>2009</v>
      </c>
      <c r="F989" s="69" t="s">
        <v>439</v>
      </c>
      <c r="G989" s="69" t="s">
        <v>893</v>
      </c>
      <c r="H989" s="69">
        <f>48+48/60</f>
        <v>48.8</v>
      </c>
      <c r="I989" s="69">
        <f>-111-38.5/60</f>
        <v>-111.64166666666667</v>
      </c>
      <c r="J989" s="69">
        <v>1102</v>
      </c>
      <c r="P989" s="70" t="s">
        <v>186</v>
      </c>
      <c r="Q989" s="70"/>
      <c r="R989" s="70" t="s">
        <v>906</v>
      </c>
      <c r="S989" s="70" t="s">
        <v>668</v>
      </c>
      <c r="W989" s="69" t="s">
        <v>182</v>
      </c>
      <c r="X989" s="69">
        <v>6.9</v>
      </c>
      <c r="Y989" s="69">
        <v>1.22</v>
      </c>
      <c r="AA989" s="69" t="s">
        <v>1705</v>
      </c>
      <c r="AB989" s="69" t="s">
        <v>896</v>
      </c>
      <c r="AC989" s="69" t="s">
        <v>1739</v>
      </c>
      <c r="AH989" s="69" t="s">
        <v>217</v>
      </c>
      <c r="AJ989" s="69">
        <v>0</v>
      </c>
      <c r="AK989" s="69">
        <v>0</v>
      </c>
      <c r="AL989" s="69" t="s">
        <v>252</v>
      </c>
      <c r="AM989" s="69" t="s">
        <v>160</v>
      </c>
      <c r="AN989" s="69">
        <v>8</v>
      </c>
      <c r="AO989" s="69">
        <v>8</v>
      </c>
      <c r="AP989" s="69" t="s">
        <v>184</v>
      </c>
      <c r="AR989" s="69">
        <v>1090</v>
      </c>
      <c r="AS989" s="69">
        <f>AR989/28.4</f>
        <v>38.380281690140848</v>
      </c>
      <c r="AT989" s="71" t="s">
        <v>901</v>
      </c>
      <c r="BH989" s="69">
        <v>54</v>
      </c>
      <c r="BI989" s="69">
        <v>23</v>
      </c>
      <c r="BJ989" s="38" t="s">
        <v>908</v>
      </c>
      <c r="DD989" s="69">
        <f>80/3</f>
        <v>26.666666666666668</v>
      </c>
      <c r="DE989" s="69">
        <f>72/3</f>
        <v>24</v>
      </c>
      <c r="DF989" s="38" t="s">
        <v>938</v>
      </c>
      <c r="EL989" s="38" t="s">
        <v>910</v>
      </c>
      <c r="EM989" s="31" t="s">
        <v>909</v>
      </c>
      <c r="EN989" s="69">
        <v>46</v>
      </c>
    </row>
    <row r="990" spans="1:144" s="69" customFormat="1" x14ac:dyDescent="0.25">
      <c r="A990" s="69">
        <v>46</v>
      </c>
      <c r="B990" s="69" t="s">
        <v>889</v>
      </c>
      <c r="C990" s="69" t="s">
        <v>888</v>
      </c>
      <c r="D990" s="69">
        <v>2013</v>
      </c>
      <c r="E990" s="69">
        <v>2009</v>
      </c>
      <c r="F990" s="69" t="s">
        <v>439</v>
      </c>
      <c r="G990" s="69" t="s">
        <v>894</v>
      </c>
      <c r="H990" s="69">
        <f>48+48/60</f>
        <v>48.8</v>
      </c>
      <c r="I990" s="69">
        <f>-111-31/60</f>
        <v>-111.51666666666667</v>
      </c>
      <c r="J990" s="69">
        <v>1090</v>
      </c>
      <c r="P990" s="70" t="s">
        <v>186</v>
      </c>
      <c r="Q990" s="70"/>
      <c r="R990" s="70" t="s">
        <v>906</v>
      </c>
      <c r="S990" s="70" t="s">
        <v>668</v>
      </c>
      <c r="W990" s="69" t="s">
        <v>710</v>
      </c>
      <c r="X990" s="69">
        <v>7.8</v>
      </c>
      <c r="Y990" s="69">
        <v>1.1000000000000001</v>
      </c>
      <c r="AA990" s="69" t="s">
        <v>1705</v>
      </c>
      <c r="AB990" s="69" t="s">
        <v>760</v>
      </c>
      <c r="AC990" s="69" t="s">
        <v>1739</v>
      </c>
      <c r="AH990" s="69" t="s">
        <v>217</v>
      </c>
      <c r="AJ990" s="69">
        <v>0</v>
      </c>
      <c r="AK990" s="69">
        <v>0</v>
      </c>
      <c r="AL990" s="69" t="s">
        <v>252</v>
      </c>
      <c r="AM990" s="69" t="s">
        <v>160</v>
      </c>
      <c r="AN990" s="69">
        <v>8</v>
      </c>
      <c r="AO990" s="69">
        <v>8</v>
      </c>
      <c r="AP990" s="69" t="s">
        <v>184</v>
      </c>
      <c r="AR990" s="69">
        <v>550</v>
      </c>
      <c r="AS990" s="69">
        <f>AR990/14.5</f>
        <v>37.931034482758619</v>
      </c>
      <c r="AT990" s="71" t="s">
        <v>902</v>
      </c>
      <c r="BH990" s="69">
        <v>16</v>
      </c>
      <c r="BI990" s="69">
        <v>10</v>
      </c>
      <c r="BJ990" s="38" t="s">
        <v>908</v>
      </c>
      <c r="DD990" s="69">
        <f>83/3</f>
        <v>27.666666666666668</v>
      </c>
      <c r="DE990" s="69">
        <f>73/3</f>
        <v>24.333333333333332</v>
      </c>
      <c r="DF990" s="38" t="s">
        <v>938</v>
      </c>
      <c r="EL990" s="38" t="s">
        <v>910</v>
      </c>
      <c r="EM990" s="31" t="s">
        <v>909</v>
      </c>
      <c r="EN990" s="69">
        <v>46</v>
      </c>
    </row>
    <row r="991" spans="1:144" s="72" customFormat="1" x14ac:dyDescent="0.25">
      <c r="A991" s="72">
        <v>46</v>
      </c>
      <c r="B991" s="72" t="s">
        <v>889</v>
      </c>
      <c r="C991" s="72" t="s">
        <v>888</v>
      </c>
      <c r="D991" s="72">
        <v>2013</v>
      </c>
      <c r="E991" s="72">
        <v>2009</v>
      </c>
      <c r="F991" s="72" t="s">
        <v>439</v>
      </c>
      <c r="G991" s="72" t="s">
        <v>890</v>
      </c>
      <c r="H991" s="72">
        <f>47+55/60</f>
        <v>47.916666666666664</v>
      </c>
      <c r="I991" s="72">
        <f>-109-55/60</f>
        <v>-109.91666666666667</v>
      </c>
      <c r="J991" s="72">
        <v>888</v>
      </c>
      <c r="P991" s="73" t="s">
        <v>186</v>
      </c>
      <c r="Q991" s="73"/>
      <c r="R991" s="73" t="s">
        <v>906</v>
      </c>
      <c r="S991" s="73" t="s">
        <v>903</v>
      </c>
      <c r="W991" s="72" t="s">
        <v>710</v>
      </c>
      <c r="X991" s="72">
        <v>6.1</v>
      </c>
      <c r="Y991" s="72">
        <v>1.1000000000000001</v>
      </c>
      <c r="AA991" s="72" t="s">
        <v>1705</v>
      </c>
      <c r="AB991" s="72" t="s">
        <v>896</v>
      </c>
      <c r="AC991" s="72" t="s">
        <v>1738</v>
      </c>
      <c r="AH991" s="72" t="s">
        <v>217</v>
      </c>
      <c r="AJ991" s="72">
        <v>0</v>
      </c>
      <c r="AK991" s="72">
        <v>0</v>
      </c>
      <c r="AL991" s="72" t="s">
        <v>252</v>
      </c>
      <c r="AM991" s="72" t="s">
        <v>160</v>
      </c>
      <c r="AN991" s="72">
        <v>6</v>
      </c>
      <c r="AO991" s="72">
        <v>6</v>
      </c>
      <c r="AP991" s="72" t="s">
        <v>184</v>
      </c>
      <c r="AR991" s="72">
        <f>1.07*1000</f>
        <v>1070</v>
      </c>
      <c r="AS991" s="72">
        <f>AR991/44.2</f>
        <v>24.20814479638009</v>
      </c>
      <c r="AT991" s="74" t="s">
        <v>898</v>
      </c>
      <c r="BH991" s="72">
        <v>20</v>
      </c>
      <c r="BI991" s="72">
        <v>14</v>
      </c>
      <c r="BJ991" s="72" t="s">
        <v>908</v>
      </c>
      <c r="DD991" s="72">
        <f>67/3</f>
        <v>22.333333333333332</v>
      </c>
      <c r="DE991" s="72">
        <f>68/3</f>
        <v>22.666666666666668</v>
      </c>
      <c r="DF991" s="72" t="s">
        <v>938</v>
      </c>
      <c r="EL991" s="72" t="s">
        <v>910</v>
      </c>
      <c r="EM991" s="38" t="s">
        <v>909</v>
      </c>
      <c r="EN991" s="72">
        <v>46</v>
      </c>
    </row>
    <row r="992" spans="1:144" s="72" customFormat="1" x14ac:dyDescent="0.25">
      <c r="A992" s="72">
        <v>46</v>
      </c>
      <c r="B992" s="72" t="s">
        <v>889</v>
      </c>
      <c r="C992" s="72" t="s">
        <v>888</v>
      </c>
      <c r="D992" s="72">
        <v>2013</v>
      </c>
      <c r="E992" s="72">
        <v>2009</v>
      </c>
      <c r="F992" s="72" t="s">
        <v>439</v>
      </c>
      <c r="G992" s="72" t="s">
        <v>891</v>
      </c>
      <c r="H992" s="72">
        <f>48+18/60</f>
        <v>48.3</v>
      </c>
      <c r="I992" s="72">
        <f>-110-6/60</f>
        <v>-110.1</v>
      </c>
      <c r="J992" s="72">
        <v>833</v>
      </c>
      <c r="P992" s="73" t="s">
        <v>186</v>
      </c>
      <c r="Q992" s="73"/>
      <c r="R992" s="73" t="s">
        <v>906</v>
      </c>
      <c r="S992" s="73" t="s">
        <v>903</v>
      </c>
      <c r="W992" s="72" t="s">
        <v>182</v>
      </c>
      <c r="X992" s="72">
        <v>6.9</v>
      </c>
      <c r="Y992" s="72">
        <v>0.87</v>
      </c>
      <c r="AA992" s="72" t="s">
        <v>1705</v>
      </c>
      <c r="AB992" s="72" t="s">
        <v>897</v>
      </c>
      <c r="AC992" s="72" t="s">
        <v>1738</v>
      </c>
      <c r="AH992" s="72" t="s">
        <v>217</v>
      </c>
      <c r="AJ992" s="72">
        <v>0</v>
      </c>
      <c r="AK992" s="72">
        <v>0</v>
      </c>
      <c r="AL992" s="72" t="s">
        <v>252</v>
      </c>
      <c r="AM992" s="72" t="s">
        <v>160</v>
      </c>
      <c r="AN992" s="72">
        <v>8</v>
      </c>
      <c r="AO992" s="72">
        <v>8</v>
      </c>
      <c r="AP992" s="72" t="s">
        <v>184</v>
      </c>
      <c r="AR992" s="72">
        <v>730</v>
      </c>
      <c r="AS992" s="72">
        <f>AR992/19.3</f>
        <v>37.823834196891191</v>
      </c>
      <c r="AT992" s="74" t="s">
        <v>899</v>
      </c>
      <c r="BH992" s="72">
        <v>7</v>
      </c>
      <c r="BI992" s="72">
        <v>5</v>
      </c>
      <c r="BJ992" s="72" t="s">
        <v>908</v>
      </c>
      <c r="DD992" s="72">
        <f>54/3</f>
        <v>18</v>
      </c>
      <c r="DE992" s="72">
        <f>39/3</f>
        <v>13</v>
      </c>
      <c r="DF992" s="72" t="s">
        <v>938</v>
      </c>
      <c r="EL992" s="72" t="s">
        <v>910</v>
      </c>
      <c r="EM992" s="38" t="s">
        <v>909</v>
      </c>
      <c r="EN992" s="72">
        <v>46</v>
      </c>
    </row>
    <row r="993" spans="1:144" s="72" customFormat="1" x14ac:dyDescent="0.25">
      <c r="A993" s="72">
        <v>46</v>
      </c>
      <c r="B993" s="72" t="s">
        <v>889</v>
      </c>
      <c r="C993" s="72" t="s">
        <v>888</v>
      </c>
      <c r="D993" s="72">
        <v>2013</v>
      </c>
      <c r="E993" s="72">
        <v>2009</v>
      </c>
      <c r="F993" s="72" t="s">
        <v>439</v>
      </c>
      <c r="G993" s="72" t="s">
        <v>892</v>
      </c>
      <c r="H993" s="72">
        <f>48+45/60</f>
        <v>48.75</v>
      </c>
      <c r="I993" s="72">
        <f>-110-52/60</f>
        <v>-110.86666666666666</v>
      </c>
      <c r="J993" s="72">
        <v>1059</v>
      </c>
      <c r="P993" s="73" t="s">
        <v>186</v>
      </c>
      <c r="Q993" s="73"/>
      <c r="R993" s="73" t="s">
        <v>906</v>
      </c>
      <c r="S993" s="73" t="s">
        <v>903</v>
      </c>
      <c r="W993" s="72" t="s">
        <v>895</v>
      </c>
      <c r="X993" s="72">
        <v>7.6</v>
      </c>
      <c r="Y993" s="72">
        <v>1.28</v>
      </c>
      <c r="AA993" s="72" t="s">
        <v>1705</v>
      </c>
      <c r="AB993" s="72" t="s">
        <v>896</v>
      </c>
      <c r="AC993" s="72" t="s">
        <v>1738</v>
      </c>
      <c r="AH993" s="72" t="s">
        <v>217</v>
      </c>
      <c r="AJ993" s="72">
        <v>0</v>
      </c>
      <c r="AK993" s="72">
        <v>0</v>
      </c>
      <c r="AL993" s="72" t="s">
        <v>252</v>
      </c>
      <c r="AM993" s="72" t="s">
        <v>160</v>
      </c>
      <c r="AN993" s="72">
        <v>12</v>
      </c>
      <c r="AO993" s="72">
        <v>12</v>
      </c>
      <c r="AP993" s="72" t="s">
        <v>184</v>
      </c>
      <c r="AR993" s="72">
        <f>1.02*1000</f>
        <v>1020</v>
      </c>
      <c r="AS993" s="72">
        <f>AR993/37.8</f>
        <v>26.984126984126988</v>
      </c>
      <c r="AT993" s="74" t="s">
        <v>900</v>
      </c>
      <c r="BH993" s="72">
        <v>11</v>
      </c>
      <c r="BI993" s="72">
        <v>7</v>
      </c>
      <c r="BJ993" s="72" t="s">
        <v>908</v>
      </c>
      <c r="DD993" s="72">
        <f>74/3</f>
        <v>24.666666666666668</v>
      </c>
      <c r="DE993" s="72">
        <f>61/3</f>
        <v>20.333333333333332</v>
      </c>
      <c r="DF993" s="72" t="s">
        <v>938</v>
      </c>
      <c r="EL993" s="72" t="s">
        <v>910</v>
      </c>
      <c r="EM993" s="38" t="s">
        <v>909</v>
      </c>
      <c r="EN993" s="72">
        <v>46</v>
      </c>
    </row>
    <row r="994" spans="1:144" s="72" customFormat="1" x14ac:dyDescent="0.25">
      <c r="A994" s="72">
        <v>46</v>
      </c>
      <c r="B994" s="72" t="s">
        <v>889</v>
      </c>
      <c r="C994" s="72" t="s">
        <v>888</v>
      </c>
      <c r="D994" s="72">
        <v>2013</v>
      </c>
      <c r="E994" s="72">
        <v>2009</v>
      </c>
      <c r="F994" s="72" t="s">
        <v>439</v>
      </c>
      <c r="G994" s="72" t="s">
        <v>893</v>
      </c>
      <c r="H994" s="72">
        <f>48+48/60</f>
        <v>48.8</v>
      </c>
      <c r="I994" s="72">
        <f>-111-38.5/60</f>
        <v>-111.64166666666667</v>
      </c>
      <c r="J994" s="72">
        <v>1102</v>
      </c>
      <c r="P994" s="73" t="s">
        <v>186</v>
      </c>
      <c r="Q994" s="73"/>
      <c r="R994" s="73" t="s">
        <v>906</v>
      </c>
      <c r="S994" s="73" t="s">
        <v>903</v>
      </c>
      <c r="W994" s="72" t="s">
        <v>182</v>
      </c>
      <c r="X994" s="72">
        <v>6.9</v>
      </c>
      <c r="Y994" s="72">
        <v>1.22</v>
      </c>
      <c r="AA994" s="72" t="s">
        <v>1705</v>
      </c>
      <c r="AB994" s="72" t="s">
        <v>896</v>
      </c>
      <c r="AC994" s="72" t="s">
        <v>1739</v>
      </c>
      <c r="AH994" s="72" t="s">
        <v>217</v>
      </c>
      <c r="AJ994" s="72">
        <v>0</v>
      </c>
      <c r="AK994" s="72">
        <v>0</v>
      </c>
      <c r="AL994" s="72" t="s">
        <v>252</v>
      </c>
      <c r="AM994" s="72" t="s">
        <v>160</v>
      </c>
      <c r="AN994" s="72">
        <v>8</v>
      </c>
      <c r="AO994" s="72">
        <v>8</v>
      </c>
      <c r="AP994" s="72" t="s">
        <v>184</v>
      </c>
      <c r="AR994" s="72">
        <v>1090</v>
      </c>
      <c r="AS994" s="72">
        <f>AR994/28.4</f>
        <v>38.380281690140848</v>
      </c>
      <c r="AT994" s="74" t="s">
        <v>901</v>
      </c>
      <c r="BH994" s="72">
        <v>24</v>
      </c>
      <c r="BI994" s="72">
        <v>7</v>
      </c>
      <c r="BJ994" s="72" t="s">
        <v>908</v>
      </c>
      <c r="DD994" s="72">
        <f>58/3</f>
        <v>19.333333333333332</v>
      </c>
      <c r="DE994" s="72">
        <f>41/3</f>
        <v>13.666666666666666</v>
      </c>
      <c r="DF994" s="72" t="s">
        <v>938</v>
      </c>
      <c r="EL994" s="72" t="s">
        <v>910</v>
      </c>
      <c r="EM994" s="38" t="s">
        <v>909</v>
      </c>
      <c r="EN994" s="72">
        <v>46</v>
      </c>
    </row>
    <row r="995" spans="1:144" s="72" customFormat="1" x14ac:dyDescent="0.25">
      <c r="A995" s="72">
        <v>46</v>
      </c>
      <c r="B995" s="72" t="s">
        <v>889</v>
      </c>
      <c r="C995" s="72" t="s">
        <v>888</v>
      </c>
      <c r="D995" s="72">
        <v>2013</v>
      </c>
      <c r="E995" s="72">
        <v>2009</v>
      </c>
      <c r="F995" s="72" t="s">
        <v>439</v>
      </c>
      <c r="G995" s="72" t="s">
        <v>894</v>
      </c>
      <c r="H995" s="72">
        <f>48+48/60</f>
        <v>48.8</v>
      </c>
      <c r="I995" s="72">
        <f>-111-31/60</f>
        <v>-111.51666666666667</v>
      </c>
      <c r="J995" s="72">
        <v>1090</v>
      </c>
      <c r="P995" s="73" t="s">
        <v>186</v>
      </c>
      <c r="Q995" s="73"/>
      <c r="R995" s="73" t="s">
        <v>906</v>
      </c>
      <c r="S995" s="73" t="s">
        <v>903</v>
      </c>
      <c r="W995" s="72" t="s">
        <v>710</v>
      </c>
      <c r="X995" s="72">
        <v>7.8</v>
      </c>
      <c r="Y995" s="72">
        <v>1.1000000000000001</v>
      </c>
      <c r="AA995" s="72" t="s">
        <v>1705</v>
      </c>
      <c r="AB995" s="72" t="s">
        <v>760</v>
      </c>
      <c r="AC995" s="72" t="s">
        <v>1739</v>
      </c>
      <c r="AH995" s="72" t="s">
        <v>217</v>
      </c>
      <c r="AJ995" s="72">
        <v>0</v>
      </c>
      <c r="AK995" s="72">
        <v>0</v>
      </c>
      <c r="AL995" s="72" t="s">
        <v>252</v>
      </c>
      <c r="AM995" s="72" t="s">
        <v>160</v>
      </c>
      <c r="AN995" s="72">
        <v>8</v>
      </c>
      <c r="AO995" s="72">
        <v>8</v>
      </c>
      <c r="AP995" s="72" t="s">
        <v>184</v>
      </c>
      <c r="AR995" s="72">
        <v>550</v>
      </c>
      <c r="AS995" s="72">
        <f>AR995/14.5</f>
        <v>37.931034482758619</v>
      </c>
      <c r="AT995" s="74" t="s">
        <v>902</v>
      </c>
      <c r="BH995" s="72">
        <v>6</v>
      </c>
      <c r="BI995" s="72">
        <v>4</v>
      </c>
      <c r="BJ995" s="72" t="s">
        <v>908</v>
      </c>
      <c r="DD995" s="72">
        <f>72/3</f>
        <v>24</v>
      </c>
      <c r="DE995" s="72">
        <f>54/3</f>
        <v>18</v>
      </c>
      <c r="DF995" s="72" t="s">
        <v>938</v>
      </c>
      <c r="EL995" s="72" t="s">
        <v>910</v>
      </c>
      <c r="EM995" s="38" t="s">
        <v>909</v>
      </c>
      <c r="EN995" s="72">
        <v>46</v>
      </c>
    </row>
    <row r="996" spans="1:144" s="69" customFormat="1" x14ac:dyDescent="0.25">
      <c r="A996" s="69">
        <v>46</v>
      </c>
      <c r="B996" s="69" t="s">
        <v>889</v>
      </c>
      <c r="C996" s="69" t="s">
        <v>888</v>
      </c>
      <c r="D996" s="69">
        <v>2013</v>
      </c>
      <c r="E996" s="69">
        <v>2009</v>
      </c>
      <c r="F996" s="69" t="s">
        <v>439</v>
      </c>
      <c r="G996" s="69" t="s">
        <v>890</v>
      </c>
      <c r="H996" s="69">
        <f>47+55/60</f>
        <v>47.916666666666664</v>
      </c>
      <c r="I996" s="69">
        <f>-109-55/60</f>
        <v>-109.91666666666667</v>
      </c>
      <c r="J996" s="69">
        <v>888</v>
      </c>
      <c r="P996" s="70" t="s">
        <v>186</v>
      </c>
      <c r="Q996" s="70"/>
      <c r="R996" s="70" t="s">
        <v>906</v>
      </c>
      <c r="S996" s="70" t="s">
        <v>904</v>
      </c>
      <c r="W996" s="69" t="s">
        <v>710</v>
      </c>
      <c r="X996" s="69">
        <v>6.1</v>
      </c>
      <c r="Y996" s="69">
        <v>1.1000000000000001</v>
      </c>
      <c r="AA996" s="69" t="s">
        <v>1705</v>
      </c>
      <c r="AB996" s="69" t="s">
        <v>896</v>
      </c>
      <c r="AC996" s="69" t="s">
        <v>1738</v>
      </c>
      <c r="AH996" s="69" t="s">
        <v>217</v>
      </c>
      <c r="AJ996" s="69">
        <v>0</v>
      </c>
      <c r="AK996" s="69">
        <v>0</v>
      </c>
      <c r="AL996" s="69" t="s">
        <v>252</v>
      </c>
      <c r="AM996" s="69" t="s">
        <v>160</v>
      </c>
      <c r="AN996" s="69">
        <v>6</v>
      </c>
      <c r="AO996" s="69">
        <v>6</v>
      </c>
      <c r="AP996" s="69" t="s">
        <v>184</v>
      </c>
      <c r="AR996" s="69">
        <f>1.07*1000</f>
        <v>1070</v>
      </c>
      <c r="AS996" s="69">
        <f>AR996/44.2</f>
        <v>24.20814479638009</v>
      </c>
      <c r="AT996" s="71" t="s">
        <v>898</v>
      </c>
      <c r="BH996" s="69">
        <v>10</v>
      </c>
      <c r="BI996" s="69">
        <v>7</v>
      </c>
      <c r="BJ996" s="69" t="s">
        <v>908</v>
      </c>
      <c r="DD996" s="69">
        <f>62/3</f>
        <v>20.666666666666668</v>
      </c>
      <c r="DE996" s="69">
        <f>63/3</f>
        <v>21</v>
      </c>
      <c r="DF996" s="38" t="s">
        <v>938</v>
      </c>
      <c r="EL996" s="69" t="s">
        <v>910</v>
      </c>
      <c r="EM996" s="31" t="s">
        <v>909</v>
      </c>
      <c r="EN996" s="69">
        <v>46</v>
      </c>
    </row>
    <row r="997" spans="1:144" s="69" customFormat="1" x14ac:dyDescent="0.25">
      <c r="A997" s="69">
        <v>46</v>
      </c>
      <c r="B997" s="69" t="s">
        <v>889</v>
      </c>
      <c r="C997" s="69" t="s">
        <v>888</v>
      </c>
      <c r="D997" s="69">
        <v>2013</v>
      </c>
      <c r="E997" s="69">
        <v>2009</v>
      </c>
      <c r="F997" s="69" t="s">
        <v>439</v>
      </c>
      <c r="G997" s="69" t="s">
        <v>891</v>
      </c>
      <c r="H997" s="69">
        <f>48+18/60</f>
        <v>48.3</v>
      </c>
      <c r="I997" s="69">
        <f>-110-6/60</f>
        <v>-110.1</v>
      </c>
      <c r="J997" s="69">
        <v>833</v>
      </c>
      <c r="P997" s="70" t="s">
        <v>186</v>
      </c>
      <c r="Q997" s="70"/>
      <c r="R997" s="70" t="s">
        <v>906</v>
      </c>
      <c r="S997" s="70" t="s">
        <v>904</v>
      </c>
      <c r="W997" s="69" t="s">
        <v>182</v>
      </c>
      <c r="X997" s="69">
        <v>6.9</v>
      </c>
      <c r="Y997" s="69">
        <v>0.87</v>
      </c>
      <c r="AA997" s="69" t="s">
        <v>1705</v>
      </c>
      <c r="AB997" s="69" t="s">
        <v>897</v>
      </c>
      <c r="AC997" s="69" t="s">
        <v>1738</v>
      </c>
      <c r="AH997" s="69" t="s">
        <v>217</v>
      </c>
      <c r="AJ997" s="69">
        <v>0</v>
      </c>
      <c r="AK997" s="69">
        <v>0</v>
      </c>
      <c r="AL997" s="69" t="s">
        <v>252</v>
      </c>
      <c r="AM997" s="69" t="s">
        <v>160</v>
      </c>
      <c r="AN997" s="69">
        <v>8</v>
      </c>
      <c r="AO997" s="69">
        <v>8</v>
      </c>
      <c r="AP997" s="69" t="s">
        <v>184</v>
      </c>
      <c r="AR997" s="69">
        <v>730</v>
      </c>
      <c r="AS997" s="69">
        <f>AR997/19.3</f>
        <v>37.823834196891191</v>
      </c>
      <c r="AT997" s="71" t="s">
        <v>899</v>
      </c>
      <c r="BH997" s="69">
        <v>24</v>
      </c>
      <c r="BI997" s="69">
        <v>18</v>
      </c>
      <c r="BJ997" s="69" t="s">
        <v>908</v>
      </c>
      <c r="DD997" s="69">
        <f>49/3</f>
        <v>16.333333333333332</v>
      </c>
      <c r="DE997" s="69">
        <f>46/3</f>
        <v>15.333333333333334</v>
      </c>
      <c r="DF997" s="38" t="s">
        <v>938</v>
      </c>
      <c r="EL997" s="69" t="s">
        <v>910</v>
      </c>
      <c r="EM997" s="31" t="s">
        <v>909</v>
      </c>
      <c r="EN997" s="69">
        <v>46</v>
      </c>
    </row>
    <row r="998" spans="1:144" s="69" customFormat="1" x14ac:dyDescent="0.25">
      <c r="A998" s="69">
        <v>46</v>
      </c>
      <c r="B998" s="69" t="s">
        <v>889</v>
      </c>
      <c r="C998" s="69" t="s">
        <v>888</v>
      </c>
      <c r="D998" s="69">
        <v>2013</v>
      </c>
      <c r="E998" s="69">
        <v>2009</v>
      </c>
      <c r="F998" s="69" t="s">
        <v>439</v>
      </c>
      <c r="G998" s="69" t="s">
        <v>892</v>
      </c>
      <c r="H998" s="69">
        <f>48+45/60</f>
        <v>48.75</v>
      </c>
      <c r="I998" s="69">
        <f>-110-52/60</f>
        <v>-110.86666666666666</v>
      </c>
      <c r="J998" s="69">
        <v>1059</v>
      </c>
      <c r="P998" s="70" t="s">
        <v>186</v>
      </c>
      <c r="Q998" s="70"/>
      <c r="R998" s="70" t="s">
        <v>906</v>
      </c>
      <c r="S998" s="70" t="s">
        <v>904</v>
      </c>
      <c r="W998" s="69" t="s">
        <v>895</v>
      </c>
      <c r="X998" s="69">
        <v>7.6</v>
      </c>
      <c r="Y998" s="69">
        <v>1.28</v>
      </c>
      <c r="AA998" s="69" t="s">
        <v>1705</v>
      </c>
      <c r="AB998" s="69" t="s">
        <v>896</v>
      </c>
      <c r="AC998" s="69" t="s">
        <v>1738</v>
      </c>
      <c r="AH998" s="69" t="s">
        <v>217</v>
      </c>
      <c r="AJ998" s="69">
        <v>0</v>
      </c>
      <c r="AK998" s="69">
        <v>0</v>
      </c>
      <c r="AL998" s="69" t="s">
        <v>252</v>
      </c>
      <c r="AM998" s="69" t="s">
        <v>160</v>
      </c>
      <c r="AN998" s="69">
        <v>12</v>
      </c>
      <c r="AO998" s="69">
        <v>12</v>
      </c>
      <c r="AP998" s="69" t="s">
        <v>184</v>
      </c>
      <c r="AR998" s="69">
        <f>1.02*1000</f>
        <v>1020</v>
      </c>
      <c r="AS998" s="69">
        <f>AR998/37.8</f>
        <v>26.984126984126988</v>
      </c>
      <c r="AT998" s="71" t="s">
        <v>900</v>
      </c>
      <c r="BH998" s="69">
        <v>29</v>
      </c>
      <c r="BI998" s="69">
        <v>13</v>
      </c>
      <c r="BJ998" s="69" t="s">
        <v>908</v>
      </c>
      <c r="DD998" s="69">
        <f>72/3</f>
        <v>24</v>
      </c>
      <c r="DE998" s="69">
        <f>64/3</f>
        <v>21.333333333333332</v>
      </c>
      <c r="DF998" s="38" t="s">
        <v>938</v>
      </c>
      <c r="EL998" s="69" t="s">
        <v>910</v>
      </c>
      <c r="EM998" s="31" t="s">
        <v>909</v>
      </c>
      <c r="EN998" s="69">
        <v>46</v>
      </c>
    </row>
    <row r="999" spans="1:144" s="69" customFormat="1" x14ac:dyDescent="0.25">
      <c r="A999" s="69">
        <v>46</v>
      </c>
      <c r="B999" s="69" t="s">
        <v>889</v>
      </c>
      <c r="C999" s="69" t="s">
        <v>888</v>
      </c>
      <c r="D999" s="69">
        <v>2013</v>
      </c>
      <c r="E999" s="69">
        <v>2009</v>
      </c>
      <c r="F999" s="69" t="s">
        <v>439</v>
      </c>
      <c r="G999" s="69" t="s">
        <v>893</v>
      </c>
      <c r="H999" s="69">
        <f>48+48/60</f>
        <v>48.8</v>
      </c>
      <c r="I999" s="69">
        <f>-111-38.5/60</f>
        <v>-111.64166666666667</v>
      </c>
      <c r="J999" s="69">
        <v>1102</v>
      </c>
      <c r="P999" s="70" t="s">
        <v>186</v>
      </c>
      <c r="Q999" s="70"/>
      <c r="R999" s="70" t="s">
        <v>906</v>
      </c>
      <c r="S999" s="70" t="s">
        <v>904</v>
      </c>
      <c r="W999" s="69" t="s">
        <v>182</v>
      </c>
      <c r="X999" s="69">
        <v>6.9</v>
      </c>
      <c r="Y999" s="69">
        <v>1.22</v>
      </c>
      <c r="AA999" s="69" t="s">
        <v>1705</v>
      </c>
      <c r="AB999" s="69" t="s">
        <v>896</v>
      </c>
      <c r="AC999" s="69" t="s">
        <v>1739</v>
      </c>
      <c r="AH999" s="69" t="s">
        <v>217</v>
      </c>
      <c r="AJ999" s="69">
        <v>0</v>
      </c>
      <c r="AK999" s="69">
        <v>0</v>
      </c>
      <c r="AL999" s="69" t="s">
        <v>252</v>
      </c>
      <c r="AM999" s="69" t="s">
        <v>160</v>
      </c>
      <c r="AN999" s="69">
        <v>8</v>
      </c>
      <c r="AO999" s="69">
        <v>8</v>
      </c>
      <c r="AP999" s="69" t="s">
        <v>184</v>
      </c>
      <c r="AR999" s="69">
        <v>1090</v>
      </c>
      <c r="AS999" s="69">
        <f>AR999/28.4</f>
        <v>38.380281690140848</v>
      </c>
      <c r="AT999" s="71" t="s">
        <v>901</v>
      </c>
      <c r="BH999" s="69">
        <v>15</v>
      </c>
      <c r="BI999" s="69">
        <v>11</v>
      </c>
      <c r="BJ999" s="69" t="s">
        <v>908</v>
      </c>
      <c r="DD999" s="69">
        <f>50/3</f>
        <v>16.666666666666668</v>
      </c>
      <c r="DE999" s="69">
        <f>38/3</f>
        <v>12.666666666666666</v>
      </c>
      <c r="DF999" s="38" t="s">
        <v>938</v>
      </c>
      <c r="EL999" s="69" t="s">
        <v>910</v>
      </c>
      <c r="EM999" s="31" t="s">
        <v>909</v>
      </c>
      <c r="EN999" s="69">
        <v>46</v>
      </c>
    </row>
    <row r="1000" spans="1:144" s="69" customFormat="1" x14ac:dyDescent="0.25">
      <c r="A1000" s="69">
        <v>46</v>
      </c>
      <c r="B1000" s="69" t="s">
        <v>889</v>
      </c>
      <c r="C1000" s="69" t="s">
        <v>888</v>
      </c>
      <c r="D1000" s="69">
        <v>2013</v>
      </c>
      <c r="E1000" s="69">
        <v>2009</v>
      </c>
      <c r="F1000" s="69" t="s">
        <v>439</v>
      </c>
      <c r="G1000" s="69" t="s">
        <v>894</v>
      </c>
      <c r="H1000" s="69">
        <f>48+48/60</f>
        <v>48.8</v>
      </c>
      <c r="I1000" s="69">
        <f>-111-31/60</f>
        <v>-111.51666666666667</v>
      </c>
      <c r="J1000" s="69">
        <v>1090</v>
      </c>
      <c r="P1000" s="70" t="s">
        <v>186</v>
      </c>
      <c r="Q1000" s="70"/>
      <c r="R1000" s="70" t="s">
        <v>906</v>
      </c>
      <c r="S1000" s="70" t="s">
        <v>904</v>
      </c>
      <c r="W1000" s="69" t="s">
        <v>710</v>
      </c>
      <c r="X1000" s="69">
        <v>7.8</v>
      </c>
      <c r="Y1000" s="69">
        <v>1.1000000000000001</v>
      </c>
      <c r="AA1000" s="69" t="s">
        <v>1705</v>
      </c>
      <c r="AB1000" s="69" t="s">
        <v>760</v>
      </c>
      <c r="AC1000" s="69" t="s">
        <v>1739</v>
      </c>
      <c r="AH1000" s="69" t="s">
        <v>217</v>
      </c>
      <c r="AJ1000" s="69">
        <v>0</v>
      </c>
      <c r="AK1000" s="69">
        <v>0</v>
      </c>
      <c r="AL1000" s="69" t="s">
        <v>252</v>
      </c>
      <c r="AM1000" s="69" t="s">
        <v>160</v>
      </c>
      <c r="AN1000" s="69">
        <v>8</v>
      </c>
      <c r="AO1000" s="69">
        <v>8</v>
      </c>
      <c r="AP1000" s="69" t="s">
        <v>184</v>
      </c>
      <c r="AR1000" s="69">
        <v>550</v>
      </c>
      <c r="AS1000" s="69">
        <f>AR1000/14.5</f>
        <v>37.931034482758619</v>
      </c>
      <c r="AT1000" s="71" t="s">
        <v>902</v>
      </c>
      <c r="BH1000" s="69">
        <v>2</v>
      </c>
      <c r="BI1000" s="69">
        <v>3</v>
      </c>
      <c r="BJ1000" s="69" t="s">
        <v>908</v>
      </c>
      <c r="DD1000" s="69">
        <f>62/3</f>
        <v>20.666666666666668</v>
      </c>
      <c r="DE1000" s="69">
        <f>55/3</f>
        <v>18.333333333333332</v>
      </c>
      <c r="DF1000" s="38" t="s">
        <v>938</v>
      </c>
      <c r="EL1000" s="69" t="s">
        <v>910</v>
      </c>
      <c r="EM1000" s="31" t="s">
        <v>909</v>
      </c>
      <c r="EN1000" s="69">
        <v>46</v>
      </c>
    </row>
    <row r="1001" spans="1:144" s="26" customFormat="1" x14ac:dyDescent="0.25">
      <c r="A1001" s="26">
        <v>47</v>
      </c>
      <c r="B1001" s="26" t="s">
        <v>911</v>
      </c>
      <c r="C1001" s="26" t="s">
        <v>912</v>
      </c>
      <c r="D1001" s="26">
        <v>2014</v>
      </c>
      <c r="E1001" s="26">
        <v>2012</v>
      </c>
      <c r="F1001" s="26" t="s">
        <v>913</v>
      </c>
      <c r="G1001" s="26" t="s">
        <v>723</v>
      </c>
      <c r="H1001" s="26">
        <v>44.31</v>
      </c>
      <c r="I1001" s="75">
        <v>-96.798000000000002</v>
      </c>
      <c r="J1001" s="26">
        <v>495.3</v>
      </c>
      <c r="P1001" s="52" t="s">
        <v>186</v>
      </c>
      <c r="Q1001" s="52"/>
      <c r="R1001" s="52" t="s">
        <v>306</v>
      </c>
      <c r="S1001" s="52" t="s">
        <v>671</v>
      </c>
      <c r="T1001" s="26">
        <v>1.4</v>
      </c>
      <c r="W1001" s="26" t="s">
        <v>752</v>
      </c>
      <c r="X1001" s="26">
        <v>6.3</v>
      </c>
      <c r="Y1001" s="26">
        <v>2.71</v>
      </c>
      <c r="AB1001" s="26" t="s">
        <v>760</v>
      </c>
      <c r="AC1001" s="26" t="s">
        <v>174</v>
      </c>
      <c r="AD1001" s="26" t="s">
        <v>914</v>
      </c>
      <c r="AE1001" s="26" t="s">
        <v>914</v>
      </c>
      <c r="AF1001" s="26" t="s">
        <v>252</v>
      </c>
      <c r="AM1001" s="26" t="s">
        <v>222</v>
      </c>
      <c r="AN1001" s="26">
        <v>3</v>
      </c>
      <c r="AO1001" s="26">
        <v>3</v>
      </c>
      <c r="AP1001" s="26" t="s">
        <v>184</v>
      </c>
      <c r="AU1001" s="26" t="s">
        <v>915</v>
      </c>
      <c r="BE1001" s="26">
        <f>(11.2+15.6+18+13.2+10.5+10.2)/6/10</f>
        <v>1.3116666666666668</v>
      </c>
      <c r="BF1001" s="26">
        <f>(17.8+18.6+21.1+16.3+13.1+10.1)/6/10</f>
        <v>1.6166666666666667</v>
      </c>
      <c r="CC1001" s="26">
        <f>442/10</f>
        <v>44.2</v>
      </c>
      <c r="CD1001" s="26">
        <f>(493)/10</f>
        <v>49.3</v>
      </c>
      <c r="CE1001" s="26" t="s">
        <v>1500</v>
      </c>
      <c r="CR1001" s="26">
        <f>(32+53)/10</f>
        <v>8.5</v>
      </c>
      <c r="CS1001" s="26">
        <f>(45+30)/10</f>
        <v>7.5</v>
      </c>
      <c r="CT1001" s="26" t="s">
        <v>1499</v>
      </c>
      <c r="EN1001" s="26">
        <v>47</v>
      </c>
    </row>
    <row r="1002" spans="1:144" s="26" customFormat="1" x14ac:dyDescent="0.25">
      <c r="A1002" s="26">
        <v>47</v>
      </c>
      <c r="B1002" s="26" t="s">
        <v>911</v>
      </c>
      <c r="C1002" s="26" t="s">
        <v>912</v>
      </c>
      <c r="D1002" s="26">
        <v>2014</v>
      </c>
      <c r="E1002" s="26">
        <v>2012</v>
      </c>
      <c r="F1002" s="26" t="s">
        <v>913</v>
      </c>
      <c r="G1002" s="26" t="s">
        <v>723</v>
      </c>
      <c r="H1002" s="26">
        <v>44.31</v>
      </c>
      <c r="I1002" s="75">
        <v>-96.798000000000002</v>
      </c>
      <c r="J1002" s="26">
        <v>495.3</v>
      </c>
      <c r="P1002" s="52" t="s">
        <v>186</v>
      </c>
      <c r="Q1002" s="52"/>
      <c r="R1002" s="52" t="s">
        <v>306</v>
      </c>
      <c r="S1002" s="52" t="s">
        <v>671</v>
      </c>
      <c r="T1002" s="26">
        <v>1.4</v>
      </c>
      <c r="W1002" s="26" t="s">
        <v>752</v>
      </c>
      <c r="X1002" s="26">
        <v>6.3</v>
      </c>
      <c r="Y1002" s="26">
        <v>2.71</v>
      </c>
      <c r="AB1002" s="26" t="s">
        <v>760</v>
      </c>
      <c r="AC1002" s="26" t="s">
        <v>174</v>
      </c>
      <c r="AD1002" s="26" t="s">
        <v>914</v>
      </c>
      <c r="AE1002" s="26" t="s">
        <v>914</v>
      </c>
      <c r="AF1002" s="26" t="s">
        <v>252</v>
      </c>
      <c r="AM1002" s="26" t="s">
        <v>222</v>
      </c>
      <c r="AN1002" s="26">
        <v>3</v>
      </c>
      <c r="AO1002" s="26">
        <v>3</v>
      </c>
      <c r="AP1002" s="26" t="s">
        <v>184</v>
      </c>
      <c r="AU1002" s="26" t="s">
        <v>916</v>
      </c>
      <c r="BE1002" s="26">
        <f>(10.8+11.9+13.6+9.7+8.5+8.2)/6/10</f>
        <v>1.0450000000000002</v>
      </c>
      <c r="BF1002" s="26">
        <f>(8.7+10.2+13.2+9+7.7+7.8)/6/10</f>
        <v>0.94333333333333313</v>
      </c>
      <c r="CC1002" s="26">
        <f>(385)/10</f>
        <v>38.5</v>
      </c>
      <c r="CD1002" s="26">
        <f>(300)/10</f>
        <v>30</v>
      </c>
      <c r="CE1002" s="26" t="s">
        <v>1500</v>
      </c>
      <c r="CR1002" s="26">
        <f>(84+47)/10</f>
        <v>13.1</v>
      </c>
      <c r="CS1002" s="26">
        <f>(100+65)/10</f>
        <v>16.5</v>
      </c>
      <c r="CT1002" s="26" t="s">
        <v>1499</v>
      </c>
      <c r="EN1002" s="26">
        <v>47</v>
      </c>
    </row>
    <row r="1003" spans="1:144" s="26" customFormat="1" x14ac:dyDescent="0.25">
      <c r="A1003" s="26">
        <v>47</v>
      </c>
      <c r="B1003" s="26" t="s">
        <v>911</v>
      </c>
      <c r="C1003" s="26" t="s">
        <v>912</v>
      </c>
      <c r="D1003" s="26">
        <v>2014</v>
      </c>
      <c r="E1003" s="26">
        <v>2012</v>
      </c>
      <c r="F1003" s="26" t="s">
        <v>913</v>
      </c>
      <c r="G1003" s="26" t="s">
        <v>723</v>
      </c>
      <c r="H1003" s="26">
        <v>44.31</v>
      </c>
      <c r="I1003" s="75">
        <v>-96.798000000000002</v>
      </c>
      <c r="J1003" s="26">
        <v>495.3</v>
      </c>
      <c r="P1003" s="52" t="s">
        <v>186</v>
      </c>
      <c r="Q1003" s="52"/>
      <c r="R1003" s="52" t="s">
        <v>306</v>
      </c>
      <c r="S1003" s="52" t="s">
        <v>671</v>
      </c>
      <c r="T1003" s="26">
        <v>1.4</v>
      </c>
      <c r="W1003" s="26" t="s">
        <v>752</v>
      </c>
      <c r="X1003" s="26">
        <v>6.3</v>
      </c>
      <c r="Y1003" s="26">
        <v>2.71</v>
      </c>
      <c r="AB1003" s="26" t="s">
        <v>760</v>
      </c>
      <c r="AC1003" s="26" t="s">
        <v>174</v>
      </c>
      <c r="AD1003" s="26" t="s">
        <v>914</v>
      </c>
      <c r="AE1003" s="26" t="s">
        <v>914</v>
      </c>
      <c r="AF1003" s="26" t="s">
        <v>252</v>
      </c>
      <c r="AM1003" s="26" t="s">
        <v>222</v>
      </c>
      <c r="AN1003" s="26">
        <v>3</v>
      </c>
      <c r="AO1003" s="26">
        <v>3</v>
      </c>
      <c r="AP1003" s="26" t="s">
        <v>184</v>
      </c>
      <c r="AU1003" s="26" t="s">
        <v>917</v>
      </c>
      <c r="BE1003" s="26">
        <f>(8.5+10.1+12.7+9.3+7.1+5.8)/6/10</f>
        <v>0.89166666666666661</v>
      </c>
      <c r="BF1003" s="26">
        <f>(8.5+11.3+13.5+10.3+8.6+7.9)/6/10</f>
        <v>1.0016666666666665</v>
      </c>
      <c r="CC1003" s="26">
        <f>(291)/10</f>
        <v>29.1</v>
      </c>
      <c r="CD1003" s="26">
        <f>(388)/10</f>
        <v>38.799999999999997</v>
      </c>
      <c r="CE1003" s="26" t="s">
        <v>1500</v>
      </c>
      <c r="CR1003" s="26">
        <f>(193+115)/10</f>
        <v>30.8</v>
      </c>
      <c r="CS1003" s="26">
        <f>(99+61)/10</f>
        <v>16</v>
      </c>
      <c r="CT1003" s="26" t="s">
        <v>1499</v>
      </c>
      <c r="EN1003" s="26">
        <v>47</v>
      </c>
    </row>
    <row r="1004" spans="1:144" s="31" customFormat="1" x14ac:dyDescent="0.25">
      <c r="A1004" s="31">
        <v>48</v>
      </c>
      <c r="B1004" s="31" t="s">
        <v>918</v>
      </c>
      <c r="C1004" s="31" t="s">
        <v>919</v>
      </c>
      <c r="D1004" s="31">
        <v>2016</v>
      </c>
      <c r="E1004" s="31">
        <v>2014</v>
      </c>
      <c r="F1004" s="31" t="s">
        <v>920</v>
      </c>
      <c r="G1004" s="31" t="s">
        <v>921</v>
      </c>
      <c r="H1004" s="31">
        <f t="shared" ref="H1004:H1019" si="225">42+5/60</f>
        <v>42.083333333333336</v>
      </c>
      <c r="I1004" s="31">
        <f t="shared" ref="I1004:I1019" si="226">-86-21/60</f>
        <v>-86.35</v>
      </c>
      <c r="J1004" s="31">
        <v>213.2</v>
      </c>
      <c r="P1004" s="56" t="s">
        <v>186</v>
      </c>
      <c r="Q1004" s="56"/>
      <c r="R1004" s="56"/>
      <c r="S1004" s="56" t="s">
        <v>922</v>
      </c>
      <c r="W1004" s="31" t="s">
        <v>923</v>
      </c>
      <c r="AA1004" s="31" t="s">
        <v>1706</v>
      </c>
      <c r="AB1004" s="31" t="s">
        <v>173</v>
      </c>
      <c r="AC1004" s="31" t="s">
        <v>1731</v>
      </c>
      <c r="AG1004" s="31" t="s">
        <v>926</v>
      </c>
      <c r="AH1004" s="31" t="s">
        <v>926</v>
      </c>
      <c r="AI1004" s="31" t="s">
        <v>252</v>
      </c>
      <c r="AJ1004" s="31" t="s">
        <v>924</v>
      </c>
      <c r="AK1004" s="31" t="s">
        <v>924</v>
      </c>
      <c r="AL1004" s="31" t="s">
        <v>252</v>
      </c>
      <c r="AM1004" s="31" t="s">
        <v>222</v>
      </c>
      <c r="AN1004" s="31">
        <v>6</v>
      </c>
      <c r="AO1004" s="31">
        <v>6</v>
      </c>
      <c r="AP1004" s="31" t="s">
        <v>448</v>
      </c>
      <c r="AT1004" s="31" t="s">
        <v>925</v>
      </c>
      <c r="AU1004" s="31" t="s">
        <v>928</v>
      </c>
      <c r="DP1004" s="31">
        <f>(1.3+1.9+4.7)/3</f>
        <v>2.6333333333333333</v>
      </c>
      <c r="DQ1004" s="31">
        <f>(1.03+1.026+2.54)/3</f>
        <v>1.532</v>
      </c>
      <c r="DR1004" s="31" t="s">
        <v>936</v>
      </c>
      <c r="EL1004" s="31" t="s">
        <v>965</v>
      </c>
      <c r="EN1004" s="31">
        <v>48</v>
      </c>
    </row>
    <row r="1005" spans="1:144" s="31" customFormat="1" x14ac:dyDescent="0.25">
      <c r="A1005" s="31">
        <v>48</v>
      </c>
      <c r="B1005" s="31" t="s">
        <v>918</v>
      </c>
      <c r="C1005" s="31" t="s">
        <v>919</v>
      </c>
      <c r="D1005" s="31">
        <v>2016</v>
      </c>
      <c r="E1005" s="31">
        <v>2014</v>
      </c>
      <c r="F1005" s="31" t="s">
        <v>920</v>
      </c>
      <c r="G1005" s="31" t="s">
        <v>921</v>
      </c>
      <c r="H1005" s="31">
        <f t="shared" si="225"/>
        <v>42.083333333333336</v>
      </c>
      <c r="I1005" s="31">
        <f t="shared" si="226"/>
        <v>-86.35</v>
      </c>
      <c r="J1005" s="31">
        <v>213.2</v>
      </c>
      <c r="P1005" s="56" t="s">
        <v>186</v>
      </c>
      <c r="Q1005" s="56"/>
      <c r="R1005" s="56"/>
      <c r="S1005" s="56" t="s">
        <v>922</v>
      </c>
      <c r="W1005" s="31" t="s">
        <v>923</v>
      </c>
      <c r="AA1005" s="31" t="s">
        <v>1706</v>
      </c>
      <c r="AB1005" s="31" t="s">
        <v>173</v>
      </c>
      <c r="AC1005" s="31" t="s">
        <v>1731</v>
      </c>
      <c r="AG1005" s="31" t="s">
        <v>927</v>
      </c>
      <c r="AH1005" s="31" t="s">
        <v>927</v>
      </c>
      <c r="AI1005" s="31" t="s">
        <v>252</v>
      </c>
      <c r="AJ1005" s="31" t="s">
        <v>924</v>
      </c>
      <c r="AK1005" s="31" t="s">
        <v>924</v>
      </c>
      <c r="AL1005" s="31" t="s">
        <v>252</v>
      </c>
      <c r="AM1005" s="31" t="s">
        <v>222</v>
      </c>
      <c r="AN1005" s="31">
        <v>6</v>
      </c>
      <c r="AO1005" s="31">
        <v>6</v>
      </c>
      <c r="AP1005" s="31" t="s">
        <v>448</v>
      </c>
      <c r="AT1005" s="31" t="s">
        <v>925</v>
      </c>
      <c r="AU1005" s="31" t="s">
        <v>928</v>
      </c>
      <c r="DP1005" s="31">
        <f>(1.92+2.38+5.5)/3</f>
        <v>3.2666666666666671</v>
      </c>
      <c r="DQ1005" s="31">
        <f>(2.58+1.69+3.03)/3</f>
        <v>2.4333333333333331</v>
      </c>
      <c r="DR1005" s="31" t="s">
        <v>936</v>
      </c>
      <c r="EL1005" s="31" t="s">
        <v>965</v>
      </c>
      <c r="EN1005" s="31">
        <v>48</v>
      </c>
    </row>
    <row r="1006" spans="1:144" s="38" customFormat="1" x14ac:dyDescent="0.25">
      <c r="A1006" s="38">
        <v>48</v>
      </c>
      <c r="B1006" s="38" t="s">
        <v>918</v>
      </c>
      <c r="C1006" s="38" t="s">
        <v>919</v>
      </c>
      <c r="D1006" s="38">
        <v>2016</v>
      </c>
      <c r="E1006" s="38">
        <v>2014</v>
      </c>
      <c r="F1006" s="38" t="s">
        <v>920</v>
      </c>
      <c r="G1006" s="38" t="s">
        <v>921</v>
      </c>
      <c r="H1006" s="38">
        <f t="shared" si="225"/>
        <v>42.083333333333336</v>
      </c>
      <c r="I1006" s="38">
        <f t="shared" si="226"/>
        <v>-86.35</v>
      </c>
      <c r="J1006" s="38">
        <v>213.2</v>
      </c>
      <c r="P1006" s="57" t="s">
        <v>186</v>
      </c>
      <c r="Q1006" s="57"/>
      <c r="R1006" s="57"/>
      <c r="S1006" s="57" t="s">
        <v>922</v>
      </c>
      <c r="W1006" s="38" t="s">
        <v>923</v>
      </c>
      <c r="AA1006" s="38" t="s">
        <v>1706</v>
      </c>
      <c r="AB1006" s="38" t="s">
        <v>173</v>
      </c>
      <c r="AC1006" s="38" t="s">
        <v>1731</v>
      </c>
      <c r="AG1006" s="38" t="s">
        <v>926</v>
      </c>
      <c r="AH1006" s="38" t="s">
        <v>926</v>
      </c>
      <c r="AI1006" s="38" t="s">
        <v>252</v>
      </c>
      <c r="AJ1006" s="38" t="s">
        <v>924</v>
      </c>
      <c r="AK1006" s="38" t="s">
        <v>924</v>
      </c>
      <c r="AL1006" s="38" t="s">
        <v>252</v>
      </c>
      <c r="AM1006" s="38" t="s">
        <v>222</v>
      </c>
      <c r="AN1006" s="38">
        <v>6</v>
      </c>
      <c r="AO1006" s="38">
        <v>6</v>
      </c>
      <c r="AP1006" s="38" t="s">
        <v>448</v>
      </c>
      <c r="AT1006" s="38" t="s">
        <v>925</v>
      </c>
      <c r="AU1006" s="38" t="s">
        <v>929</v>
      </c>
      <c r="DP1006" s="38">
        <f>(0.6+1.19+3.93)/3</f>
        <v>1.906666666666667</v>
      </c>
      <c r="DQ1006" s="38">
        <f>(0.3+0.46+1.27)/3</f>
        <v>0.67666666666666675</v>
      </c>
      <c r="DR1006" s="38" t="s">
        <v>936</v>
      </c>
      <c r="EL1006" s="38" t="s">
        <v>965</v>
      </c>
      <c r="EN1006" s="38">
        <v>48</v>
      </c>
    </row>
    <row r="1007" spans="1:144" s="38" customFormat="1" x14ac:dyDescent="0.25">
      <c r="A1007" s="38">
        <v>48</v>
      </c>
      <c r="B1007" s="38" t="s">
        <v>918</v>
      </c>
      <c r="C1007" s="38" t="s">
        <v>919</v>
      </c>
      <c r="D1007" s="38">
        <v>2016</v>
      </c>
      <c r="E1007" s="38">
        <v>2014</v>
      </c>
      <c r="F1007" s="38" t="s">
        <v>920</v>
      </c>
      <c r="G1007" s="38" t="s">
        <v>921</v>
      </c>
      <c r="H1007" s="38">
        <f t="shared" si="225"/>
        <v>42.083333333333336</v>
      </c>
      <c r="I1007" s="38">
        <f t="shared" si="226"/>
        <v>-86.35</v>
      </c>
      <c r="J1007" s="38">
        <v>213.2</v>
      </c>
      <c r="P1007" s="57" t="s">
        <v>186</v>
      </c>
      <c r="Q1007" s="57"/>
      <c r="R1007" s="57"/>
      <c r="S1007" s="57" t="s">
        <v>922</v>
      </c>
      <c r="W1007" s="38" t="s">
        <v>923</v>
      </c>
      <c r="AA1007" s="38" t="s">
        <v>1706</v>
      </c>
      <c r="AB1007" s="38" t="s">
        <v>173</v>
      </c>
      <c r="AC1007" s="38" t="s">
        <v>1731</v>
      </c>
      <c r="AG1007" s="38" t="s">
        <v>927</v>
      </c>
      <c r="AH1007" s="38" t="s">
        <v>927</v>
      </c>
      <c r="AI1007" s="38" t="s">
        <v>252</v>
      </c>
      <c r="AJ1007" s="38" t="s">
        <v>924</v>
      </c>
      <c r="AK1007" s="38" t="s">
        <v>924</v>
      </c>
      <c r="AL1007" s="38" t="s">
        <v>252</v>
      </c>
      <c r="AM1007" s="38" t="s">
        <v>222</v>
      </c>
      <c r="AN1007" s="38">
        <v>6</v>
      </c>
      <c r="AO1007" s="38">
        <v>6</v>
      </c>
      <c r="AP1007" s="38" t="s">
        <v>448</v>
      </c>
      <c r="AT1007" s="38" t="s">
        <v>925</v>
      </c>
      <c r="AU1007" s="38" t="s">
        <v>929</v>
      </c>
      <c r="DP1007" s="38">
        <f>(0.55+1.16+3.96)/3</f>
        <v>1.89</v>
      </c>
      <c r="DQ1007" s="38">
        <f>(0.48+0.48+2.75)/3</f>
        <v>1.2366666666666666</v>
      </c>
      <c r="DR1007" s="38" t="s">
        <v>936</v>
      </c>
      <c r="EL1007" s="38" t="s">
        <v>965</v>
      </c>
      <c r="EN1007" s="38">
        <v>48</v>
      </c>
    </row>
    <row r="1008" spans="1:144" s="31" customFormat="1" x14ac:dyDescent="0.25">
      <c r="A1008" s="31">
        <v>48</v>
      </c>
      <c r="B1008" s="31" t="s">
        <v>918</v>
      </c>
      <c r="C1008" s="31" t="s">
        <v>919</v>
      </c>
      <c r="D1008" s="31">
        <v>2016</v>
      </c>
      <c r="E1008" s="31">
        <v>2014</v>
      </c>
      <c r="F1008" s="31" t="s">
        <v>920</v>
      </c>
      <c r="G1008" s="31" t="s">
        <v>921</v>
      </c>
      <c r="H1008" s="31">
        <f t="shared" si="225"/>
        <v>42.083333333333336</v>
      </c>
      <c r="I1008" s="31">
        <f t="shared" si="226"/>
        <v>-86.35</v>
      </c>
      <c r="J1008" s="31">
        <v>213.2</v>
      </c>
      <c r="P1008" s="56" t="s">
        <v>186</v>
      </c>
      <c r="Q1008" s="56"/>
      <c r="R1008" s="56"/>
      <c r="S1008" s="56" t="s">
        <v>922</v>
      </c>
      <c r="W1008" s="31" t="s">
        <v>923</v>
      </c>
      <c r="AA1008" s="31" t="s">
        <v>1706</v>
      </c>
      <c r="AB1008" s="31" t="s">
        <v>173</v>
      </c>
      <c r="AC1008" s="31" t="s">
        <v>1731</v>
      </c>
      <c r="AG1008" s="31" t="s">
        <v>926</v>
      </c>
      <c r="AH1008" s="31" t="s">
        <v>926</v>
      </c>
      <c r="AI1008" s="31" t="s">
        <v>252</v>
      </c>
      <c r="AJ1008" s="31" t="s">
        <v>924</v>
      </c>
      <c r="AK1008" s="31" t="s">
        <v>924</v>
      </c>
      <c r="AL1008" s="31" t="s">
        <v>252</v>
      </c>
      <c r="AM1008" s="31" t="s">
        <v>222</v>
      </c>
      <c r="AN1008" s="31">
        <v>6</v>
      </c>
      <c r="AO1008" s="31">
        <v>6</v>
      </c>
      <c r="AP1008" s="31" t="s">
        <v>448</v>
      </c>
      <c r="AT1008" s="31" t="s">
        <v>925</v>
      </c>
      <c r="AU1008" s="31" t="s">
        <v>930</v>
      </c>
      <c r="DP1008" s="31">
        <f>(4.54+9.44+4.55)/3</f>
        <v>6.1766666666666667</v>
      </c>
      <c r="DQ1008" s="31">
        <f>(5.5+7.12+8.54)/3</f>
        <v>7.0533333333333337</v>
      </c>
      <c r="DR1008" s="31" t="s">
        <v>936</v>
      </c>
      <c r="EL1008" s="31" t="s">
        <v>965</v>
      </c>
      <c r="EN1008" s="31">
        <v>48</v>
      </c>
    </row>
    <row r="1009" spans="1:144" s="31" customFormat="1" x14ac:dyDescent="0.25">
      <c r="A1009" s="31">
        <v>48</v>
      </c>
      <c r="B1009" s="31" t="s">
        <v>918</v>
      </c>
      <c r="C1009" s="31" t="s">
        <v>919</v>
      </c>
      <c r="D1009" s="31">
        <v>2016</v>
      </c>
      <c r="E1009" s="31">
        <v>2014</v>
      </c>
      <c r="F1009" s="31" t="s">
        <v>920</v>
      </c>
      <c r="G1009" s="31" t="s">
        <v>921</v>
      </c>
      <c r="H1009" s="31">
        <f t="shared" si="225"/>
        <v>42.083333333333336</v>
      </c>
      <c r="I1009" s="31">
        <f t="shared" si="226"/>
        <v>-86.35</v>
      </c>
      <c r="J1009" s="31">
        <v>213.2</v>
      </c>
      <c r="P1009" s="56" t="s">
        <v>186</v>
      </c>
      <c r="Q1009" s="56"/>
      <c r="R1009" s="56"/>
      <c r="S1009" s="56" t="s">
        <v>922</v>
      </c>
      <c r="W1009" s="31" t="s">
        <v>923</v>
      </c>
      <c r="AA1009" s="31" t="s">
        <v>1706</v>
      </c>
      <c r="AB1009" s="31" t="s">
        <v>173</v>
      </c>
      <c r="AC1009" s="31" t="s">
        <v>1731</v>
      </c>
      <c r="AG1009" s="31" t="s">
        <v>927</v>
      </c>
      <c r="AH1009" s="31" t="s">
        <v>927</v>
      </c>
      <c r="AI1009" s="31" t="s">
        <v>252</v>
      </c>
      <c r="AJ1009" s="31" t="s">
        <v>924</v>
      </c>
      <c r="AK1009" s="31" t="s">
        <v>924</v>
      </c>
      <c r="AL1009" s="31" t="s">
        <v>252</v>
      </c>
      <c r="AM1009" s="31" t="s">
        <v>222</v>
      </c>
      <c r="AN1009" s="31">
        <v>6</v>
      </c>
      <c r="AO1009" s="31">
        <v>6</v>
      </c>
      <c r="AP1009" s="31" t="s">
        <v>448</v>
      </c>
      <c r="AT1009" s="31" t="s">
        <v>925</v>
      </c>
      <c r="AU1009" s="31" t="s">
        <v>930</v>
      </c>
      <c r="DP1009" s="31">
        <f>(7.52+10.35+5.91)/3</f>
        <v>7.9266666666666659</v>
      </c>
      <c r="DQ1009" s="31">
        <f>(4.49+10.45+3.49)/3</f>
        <v>6.1433333333333335</v>
      </c>
      <c r="DR1009" s="31" t="s">
        <v>936</v>
      </c>
      <c r="EL1009" s="31" t="s">
        <v>965</v>
      </c>
      <c r="EN1009" s="31">
        <v>48</v>
      </c>
    </row>
    <row r="1010" spans="1:144" s="38" customFormat="1" x14ac:dyDescent="0.25">
      <c r="A1010" s="38">
        <v>48</v>
      </c>
      <c r="B1010" s="38" t="s">
        <v>918</v>
      </c>
      <c r="C1010" s="38" t="s">
        <v>919</v>
      </c>
      <c r="D1010" s="38">
        <v>2016</v>
      </c>
      <c r="E1010" s="38">
        <v>2014</v>
      </c>
      <c r="F1010" s="38" t="s">
        <v>920</v>
      </c>
      <c r="G1010" s="38" t="s">
        <v>921</v>
      </c>
      <c r="H1010" s="38">
        <f t="shared" si="225"/>
        <v>42.083333333333336</v>
      </c>
      <c r="I1010" s="38">
        <f t="shared" si="226"/>
        <v>-86.35</v>
      </c>
      <c r="J1010" s="38">
        <v>213.2</v>
      </c>
      <c r="P1010" s="57" t="s">
        <v>186</v>
      </c>
      <c r="Q1010" s="57"/>
      <c r="R1010" s="57"/>
      <c r="S1010" s="57" t="s">
        <v>922</v>
      </c>
      <c r="W1010" s="38" t="s">
        <v>923</v>
      </c>
      <c r="AA1010" s="38" t="s">
        <v>1706</v>
      </c>
      <c r="AB1010" s="38" t="s">
        <v>173</v>
      </c>
      <c r="AC1010" s="38" t="s">
        <v>1731</v>
      </c>
      <c r="AG1010" s="38" t="s">
        <v>926</v>
      </c>
      <c r="AH1010" s="38" t="s">
        <v>926</v>
      </c>
      <c r="AI1010" s="38" t="s">
        <v>252</v>
      </c>
      <c r="AJ1010" s="38" t="s">
        <v>924</v>
      </c>
      <c r="AK1010" s="38" t="s">
        <v>924</v>
      </c>
      <c r="AL1010" s="38" t="s">
        <v>252</v>
      </c>
      <c r="AM1010" s="38" t="s">
        <v>222</v>
      </c>
      <c r="AN1010" s="38">
        <v>6</v>
      </c>
      <c r="AO1010" s="38">
        <v>6</v>
      </c>
      <c r="AP1010" s="38" t="s">
        <v>448</v>
      </c>
      <c r="AT1010" s="38" t="s">
        <v>925</v>
      </c>
      <c r="AU1010" s="38" t="s">
        <v>931</v>
      </c>
      <c r="DP1010" s="38">
        <f>(1.1+1.93+0.55)/3</f>
        <v>1.1933333333333334</v>
      </c>
      <c r="DQ1010" s="38">
        <f>(2.2+1.55+1.03)/3</f>
        <v>1.5933333333333335</v>
      </c>
      <c r="DR1010" s="38" t="s">
        <v>936</v>
      </c>
      <c r="EL1010" s="38" t="s">
        <v>965</v>
      </c>
      <c r="EN1010" s="38">
        <v>48</v>
      </c>
    </row>
    <row r="1011" spans="1:144" s="38" customFormat="1" x14ac:dyDescent="0.25">
      <c r="A1011" s="38">
        <v>48</v>
      </c>
      <c r="B1011" s="38" t="s">
        <v>918</v>
      </c>
      <c r="C1011" s="38" t="s">
        <v>919</v>
      </c>
      <c r="D1011" s="38">
        <v>2016</v>
      </c>
      <c r="E1011" s="38">
        <v>2014</v>
      </c>
      <c r="F1011" s="38" t="s">
        <v>920</v>
      </c>
      <c r="G1011" s="38" t="s">
        <v>921</v>
      </c>
      <c r="H1011" s="38">
        <f t="shared" si="225"/>
        <v>42.083333333333336</v>
      </c>
      <c r="I1011" s="38">
        <f t="shared" si="226"/>
        <v>-86.35</v>
      </c>
      <c r="J1011" s="38">
        <v>213.2</v>
      </c>
      <c r="P1011" s="57" t="s">
        <v>186</v>
      </c>
      <c r="Q1011" s="57"/>
      <c r="R1011" s="57"/>
      <c r="S1011" s="57" t="s">
        <v>922</v>
      </c>
      <c r="W1011" s="38" t="s">
        <v>923</v>
      </c>
      <c r="AA1011" s="38" t="s">
        <v>1706</v>
      </c>
      <c r="AB1011" s="38" t="s">
        <v>173</v>
      </c>
      <c r="AC1011" s="38" t="s">
        <v>1731</v>
      </c>
      <c r="AG1011" s="38" t="s">
        <v>927</v>
      </c>
      <c r="AH1011" s="38" t="s">
        <v>927</v>
      </c>
      <c r="AI1011" s="38" t="s">
        <v>252</v>
      </c>
      <c r="AJ1011" s="38" t="s">
        <v>924</v>
      </c>
      <c r="AK1011" s="38" t="s">
        <v>924</v>
      </c>
      <c r="AL1011" s="38" t="s">
        <v>252</v>
      </c>
      <c r="AM1011" s="38" t="s">
        <v>222</v>
      </c>
      <c r="AN1011" s="38">
        <v>6</v>
      </c>
      <c r="AO1011" s="38">
        <v>6</v>
      </c>
      <c r="AP1011" s="38" t="s">
        <v>448</v>
      </c>
      <c r="AT1011" s="38" t="s">
        <v>925</v>
      </c>
      <c r="AU1011" s="38" t="s">
        <v>931</v>
      </c>
      <c r="DP1011" s="38">
        <f>(1.1+1.19+0.67)/3</f>
        <v>0.98666666666666669</v>
      </c>
      <c r="DQ1011" s="38">
        <f>(1.21+0.93+0.9)/3</f>
        <v>1.0133333333333334</v>
      </c>
      <c r="DR1011" s="38" t="s">
        <v>936</v>
      </c>
      <c r="EL1011" s="38" t="s">
        <v>965</v>
      </c>
      <c r="EN1011" s="38">
        <v>48</v>
      </c>
    </row>
    <row r="1012" spans="1:144" s="76" customFormat="1" x14ac:dyDescent="0.25">
      <c r="A1012" s="76">
        <v>48</v>
      </c>
      <c r="B1012" s="76" t="s">
        <v>918</v>
      </c>
      <c r="C1012" s="76" t="s">
        <v>919</v>
      </c>
      <c r="D1012" s="76">
        <v>2016</v>
      </c>
      <c r="E1012" s="76">
        <v>2015</v>
      </c>
      <c r="F1012" s="76" t="s">
        <v>920</v>
      </c>
      <c r="G1012" s="76" t="s">
        <v>921</v>
      </c>
      <c r="H1012" s="76">
        <f t="shared" si="225"/>
        <v>42.083333333333336</v>
      </c>
      <c r="I1012" s="76">
        <f t="shared" si="226"/>
        <v>-86.35</v>
      </c>
      <c r="J1012" s="76">
        <v>213.2</v>
      </c>
      <c r="P1012" s="77" t="s">
        <v>187</v>
      </c>
      <c r="Q1012" s="77"/>
      <c r="R1012" s="77"/>
      <c r="S1012" s="77" t="s">
        <v>922</v>
      </c>
      <c r="W1012" s="76" t="s">
        <v>923</v>
      </c>
      <c r="AA1012" s="31" t="s">
        <v>1706</v>
      </c>
      <c r="AB1012" s="76" t="s">
        <v>173</v>
      </c>
      <c r="AC1012" s="76" t="s">
        <v>1731</v>
      </c>
      <c r="AG1012" s="76" t="s">
        <v>926</v>
      </c>
      <c r="AH1012" s="76" t="s">
        <v>926</v>
      </c>
      <c r="AI1012" s="76" t="s">
        <v>252</v>
      </c>
      <c r="AJ1012" s="76" t="s">
        <v>924</v>
      </c>
      <c r="AK1012" s="76" t="s">
        <v>924</v>
      </c>
      <c r="AL1012" s="76" t="s">
        <v>252</v>
      </c>
      <c r="AM1012" s="76" t="s">
        <v>222</v>
      </c>
      <c r="AN1012" s="76">
        <v>6</v>
      </c>
      <c r="AO1012" s="76">
        <v>6</v>
      </c>
      <c r="AP1012" s="76" t="s">
        <v>448</v>
      </c>
      <c r="AT1012" s="76" t="s">
        <v>925</v>
      </c>
      <c r="AU1012" s="76" t="s">
        <v>932</v>
      </c>
      <c r="DP1012" s="76">
        <f>(1.19+2.25+4.6)/3</f>
        <v>2.6799999999999997</v>
      </c>
      <c r="DQ1012" s="76">
        <f>(0.81+3.51+6.17)/3</f>
        <v>3.4966666666666666</v>
      </c>
      <c r="DR1012" s="31" t="s">
        <v>936</v>
      </c>
      <c r="EL1012" s="31" t="s">
        <v>965</v>
      </c>
      <c r="EN1012" s="76">
        <v>48</v>
      </c>
    </row>
    <row r="1013" spans="1:144" s="76" customFormat="1" x14ac:dyDescent="0.25">
      <c r="A1013" s="76">
        <v>48</v>
      </c>
      <c r="B1013" s="76" t="s">
        <v>918</v>
      </c>
      <c r="C1013" s="76" t="s">
        <v>919</v>
      </c>
      <c r="D1013" s="76">
        <v>2016</v>
      </c>
      <c r="E1013" s="76">
        <v>2015</v>
      </c>
      <c r="F1013" s="76" t="s">
        <v>920</v>
      </c>
      <c r="G1013" s="76" t="s">
        <v>921</v>
      </c>
      <c r="H1013" s="76">
        <f t="shared" si="225"/>
        <v>42.083333333333336</v>
      </c>
      <c r="I1013" s="76">
        <f t="shared" si="226"/>
        <v>-86.35</v>
      </c>
      <c r="J1013" s="76">
        <v>213.2</v>
      </c>
      <c r="P1013" s="77" t="s">
        <v>187</v>
      </c>
      <c r="Q1013" s="77"/>
      <c r="R1013" s="77"/>
      <c r="S1013" s="77" t="s">
        <v>922</v>
      </c>
      <c r="W1013" s="76" t="s">
        <v>923</v>
      </c>
      <c r="AA1013" s="31" t="s">
        <v>1706</v>
      </c>
      <c r="AB1013" s="76" t="s">
        <v>173</v>
      </c>
      <c r="AC1013" s="76" t="s">
        <v>1731</v>
      </c>
      <c r="AG1013" s="76" t="s">
        <v>927</v>
      </c>
      <c r="AH1013" s="76" t="s">
        <v>927</v>
      </c>
      <c r="AI1013" s="76" t="s">
        <v>252</v>
      </c>
      <c r="AJ1013" s="76" t="s">
        <v>924</v>
      </c>
      <c r="AK1013" s="76" t="s">
        <v>924</v>
      </c>
      <c r="AL1013" s="76" t="s">
        <v>252</v>
      </c>
      <c r="AM1013" s="76" t="s">
        <v>222</v>
      </c>
      <c r="AN1013" s="76">
        <v>6</v>
      </c>
      <c r="AO1013" s="76">
        <v>6</v>
      </c>
      <c r="AP1013" s="76" t="s">
        <v>448</v>
      </c>
      <c r="AT1013" s="76" t="s">
        <v>925</v>
      </c>
      <c r="AU1013" s="76" t="s">
        <v>932</v>
      </c>
      <c r="DP1013" s="76">
        <f>(3.81+2.16+5.86)/3</f>
        <v>3.9433333333333338</v>
      </c>
      <c r="DQ1013" s="76">
        <f>(3.86+3.28+5.63)/3</f>
        <v>4.2566666666666668</v>
      </c>
      <c r="DR1013" s="31" t="s">
        <v>936</v>
      </c>
      <c r="EL1013" s="31" t="s">
        <v>965</v>
      </c>
      <c r="EN1013" s="76">
        <v>48</v>
      </c>
    </row>
    <row r="1014" spans="1:144" s="78" customFormat="1" x14ac:dyDescent="0.25">
      <c r="A1014" s="78">
        <v>48</v>
      </c>
      <c r="B1014" s="78" t="s">
        <v>918</v>
      </c>
      <c r="C1014" s="78" t="s">
        <v>919</v>
      </c>
      <c r="D1014" s="78">
        <v>2016</v>
      </c>
      <c r="E1014" s="78">
        <v>2015</v>
      </c>
      <c r="F1014" s="78" t="s">
        <v>920</v>
      </c>
      <c r="G1014" s="78" t="s">
        <v>921</v>
      </c>
      <c r="H1014" s="78">
        <f t="shared" si="225"/>
        <v>42.083333333333336</v>
      </c>
      <c r="I1014" s="78">
        <f t="shared" si="226"/>
        <v>-86.35</v>
      </c>
      <c r="J1014" s="78">
        <v>213.2</v>
      </c>
      <c r="P1014" s="79" t="s">
        <v>187</v>
      </c>
      <c r="Q1014" s="79"/>
      <c r="R1014" s="79"/>
      <c r="S1014" s="79" t="s">
        <v>922</v>
      </c>
      <c r="W1014" s="78" t="s">
        <v>923</v>
      </c>
      <c r="AA1014" s="38" t="s">
        <v>1706</v>
      </c>
      <c r="AB1014" s="78" t="s">
        <v>173</v>
      </c>
      <c r="AC1014" s="78" t="s">
        <v>1731</v>
      </c>
      <c r="AG1014" s="78" t="s">
        <v>926</v>
      </c>
      <c r="AH1014" s="78" t="s">
        <v>926</v>
      </c>
      <c r="AI1014" s="78" t="s">
        <v>252</v>
      </c>
      <c r="AJ1014" s="78" t="s">
        <v>924</v>
      </c>
      <c r="AK1014" s="78" t="s">
        <v>924</v>
      </c>
      <c r="AL1014" s="78" t="s">
        <v>252</v>
      </c>
      <c r="AM1014" s="78" t="s">
        <v>222</v>
      </c>
      <c r="AN1014" s="78">
        <v>6</v>
      </c>
      <c r="AO1014" s="78">
        <v>6</v>
      </c>
      <c r="AP1014" s="78" t="s">
        <v>448</v>
      </c>
      <c r="AT1014" s="78" t="s">
        <v>925</v>
      </c>
      <c r="AU1014" s="78" t="s">
        <v>933</v>
      </c>
      <c r="DP1014" s="78">
        <f>(0.08+1.55+3.77)/3</f>
        <v>1.8</v>
      </c>
      <c r="DQ1014" s="78">
        <f>(0.27+3.04+5.56)/3</f>
        <v>2.9566666666666666</v>
      </c>
      <c r="DR1014" s="38" t="s">
        <v>936</v>
      </c>
      <c r="EL1014" s="38" t="s">
        <v>965</v>
      </c>
      <c r="EN1014" s="78">
        <v>48</v>
      </c>
    </row>
    <row r="1015" spans="1:144" s="78" customFormat="1" x14ac:dyDescent="0.25">
      <c r="A1015" s="78">
        <v>48</v>
      </c>
      <c r="B1015" s="78" t="s">
        <v>918</v>
      </c>
      <c r="C1015" s="78" t="s">
        <v>919</v>
      </c>
      <c r="D1015" s="78">
        <v>2016</v>
      </c>
      <c r="E1015" s="78">
        <v>2015</v>
      </c>
      <c r="F1015" s="78" t="s">
        <v>920</v>
      </c>
      <c r="G1015" s="78" t="s">
        <v>921</v>
      </c>
      <c r="H1015" s="78">
        <f t="shared" si="225"/>
        <v>42.083333333333336</v>
      </c>
      <c r="I1015" s="78">
        <f t="shared" si="226"/>
        <v>-86.35</v>
      </c>
      <c r="J1015" s="78">
        <v>213.2</v>
      </c>
      <c r="P1015" s="79" t="s">
        <v>187</v>
      </c>
      <c r="Q1015" s="79"/>
      <c r="R1015" s="79"/>
      <c r="S1015" s="79" t="s">
        <v>922</v>
      </c>
      <c r="W1015" s="78" t="s">
        <v>923</v>
      </c>
      <c r="AA1015" s="38" t="s">
        <v>1706</v>
      </c>
      <c r="AB1015" s="78" t="s">
        <v>173</v>
      </c>
      <c r="AC1015" s="78" t="s">
        <v>1731</v>
      </c>
      <c r="AG1015" s="78" t="s">
        <v>927</v>
      </c>
      <c r="AH1015" s="78" t="s">
        <v>927</v>
      </c>
      <c r="AI1015" s="78" t="s">
        <v>252</v>
      </c>
      <c r="AJ1015" s="78" t="s">
        <v>924</v>
      </c>
      <c r="AK1015" s="78" t="s">
        <v>924</v>
      </c>
      <c r="AL1015" s="78" t="s">
        <v>252</v>
      </c>
      <c r="AM1015" s="78" t="s">
        <v>222</v>
      </c>
      <c r="AN1015" s="78">
        <v>6</v>
      </c>
      <c r="AO1015" s="78">
        <v>6</v>
      </c>
      <c r="AP1015" s="78" t="s">
        <v>448</v>
      </c>
      <c r="AT1015" s="78" t="s">
        <v>925</v>
      </c>
      <c r="AU1015" s="78" t="s">
        <v>933</v>
      </c>
      <c r="DP1015" s="78">
        <f>(0.06+1.6+3.82)/3</f>
        <v>1.8266666666666669</v>
      </c>
      <c r="DQ1015" s="78">
        <f>(0.37+1.78+4.98)/3</f>
        <v>2.3766666666666669</v>
      </c>
      <c r="DR1015" s="38" t="s">
        <v>936</v>
      </c>
      <c r="EL1015" s="38" t="s">
        <v>965</v>
      </c>
      <c r="EN1015" s="78">
        <v>48</v>
      </c>
    </row>
    <row r="1016" spans="1:144" s="76" customFormat="1" x14ac:dyDescent="0.25">
      <c r="A1016" s="76">
        <v>48</v>
      </c>
      <c r="B1016" s="76" t="s">
        <v>918</v>
      </c>
      <c r="C1016" s="76" t="s">
        <v>919</v>
      </c>
      <c r="D1016" s="76">
        <v>2016</v>
      </c>
      <c r="E1016" s="76">
        <v>2015</v>
      </c>
      <c r="F1016" s="76" t="s">
        <v>920</v>
      </c>
      <c r="G1016" s="76" t="s">
        <v>921</v>
      </c>
      <c r="H1016" s="76">
        <f t="shared" si="225"/>
        <v>42.083333333333336</v>
      </c>
      <c r="I1016" s="76">
        <f t="shared" si="226"/>
        <v>-86.35</v>
      </c>
      <c r="J1016" s="76">
        <v>213.2</v>
      </c>
      <c r="P1016" s="77" t="s">
        <v>187</v>
      </c>
      <c r="Q1016" s="77"/>
      <c r="R1016" s="77"/>
      <c r="S1016" s="77" t="s">
        <v>922</v>
      </c>
      <c r="W1016" s="76" t="s">
        <v>923</v>
      </c>
      <c r="AA1016" s="31" t="s">
        <v>1706</v>
      </c>
      <c r="AB1016" s="76" t="s">
        <v>173</v>
      </c>
      <c r="AC1016" s="76" t="s">
        <v>1731</v>
      </c>
      <c r="AG1016" s="76" t="s">
        <v>926</v>
      </c>
      <c r="AH1016" s="76" t="s">
        <v>926</v>
      </c>
      <c r="AI1016" s="76" t="s">
        <v>252</v>
      </c>
      <c r="AJ1016" s="76" t="s">
        <v>924</v>
      </c>
      <c r="AK1016" s="76" t="s">
        <v>924</v>
      </c>
      <c r="AL1016" s="76" t="s">
        <v>252</v>
      </c>
      <c r="AM1016" s="76" t="s">
        <v>222</v>
      </c>
      <c r="AN1016" s="76">
        <v>6</v>
      </c>
      <c r="AO1016" s="76">
        <v>6</v>
      </c>
      <c r="AP1016" s="76" t="s">
        <v>448</v>
      </c>
      <c r="AT1016" s="76" t="s">
        <v>925</v>
      </c>
      <c r="AU1016" s="76" t="s">
        <v>934</v>
      </c>
      <c r="DP1016" s="76">
        <f>(1.98+2.59+1.28)/3</f>
        <v>1.9500000000000002</v>
      </c>
      <c r="DQ1016" s="76">
        <f>(6.37+4.61+1.99)/3</f>
        <v>4.3233333333333333</v>
      </c>
      <c r="DR1016" s="31" t="s">
        <v>936</v>
      </c>
      <c r="EL1016" s="31" t="s">
        <v>965</v>
      </c>
      <c r="EN1016" s="76">
        <v>48</v>
      </c>
    </row>
    <row r="1017" spans="1:144" s="76" customFormat="1" x14ac:dyDescent="0.25">
      <c r="A1017" s="76">
        <v>48</v>
      </c>
      <c r="B1017" s="76" t="s">
        <v>918</v>
      </c>
      <c r="C1017" s="76" t="s">
        <v>919</v>
      </c>
      <c r="D1017" s="76">
        <v>2016</v>
      </c>
      <c r="E1017" s="76">
        <v>2015</v>
      </c>
      <c r="F1017" s="76" t="s">
        <v>920</v>
      </c>
      <c r="G1017" s="76" t="s">
        <v>921</v>
      </c>
      <c r="H1017" s="76">
        <f t="shared" si="225"/>
        <v>42.083333333333336</v>
      </c>
      <c r="I1017" s="76">
        <f t="shared" si="226"/>
        <v>-86.35</v>
      </c>
      <c r="J1017" s="76">
        <v>213.2</v>
      </c>
      <c r="P1017" s="77" t="s">
        <v>187</v>
      </c>
      <c r="Q1017" s="77"/>
      <c r="R1017" s="77"/>
      <c r="S1017" s="77" t="s">
        <v>922</v>
      </c>
      <c r="W1017" s="76" t="s">
        <v>923</v>
      </c>
      <c r="AA1017" s="31" t="s">
        <v>1706</v>
      </c>
      <c r="AB1017" s="76" t="s">
        <v>173</v>
      </c>
      <c r="AC1017" s="76" t="s">
        <v>1731</v>
      </c>
      <c r="AG1017" s="76" t="s">
        <v>927</v>
      </c>
      <c r="AH1017" s="76" t="s">
        <v>927</v>
      </c>
      <c r="AI1017" s="76" t="s">
        <v>252</v>
      </c>
      <c r="AJ1017" s="76" t="s">
        <v>924</v>
      </c>
      <c r="AK1017" s="76" t="s">
        <v>924</v>
      </c>
      <c r="AL1017" s="76" t="s">
        <v>252</v>
      </c>
      <c r="AM1017" s="76" t="s">
        <v>222</v>
      </c>
      <c r="AN1017" s="76">
        <v>6</v>
      </c>
      <c r="AO1017" s="76">
        <v>6</v>
      </c>
      <c r="AP1017" s="76" t="s">
        <v>448</v>
      </c>
      <c r="AT1017" s="76" t="s">
        <v>925</v>
      </c>
      <c r="AU1017" s="76" t="s">
        <v>934</v>
      </c>
      <c r="DP1017" s="76">
        <f>(1.58+3.45+2.39)/3</f>
        <v>2.4733333333333332</v>
      </c>
      <c r="DQ1017" s="76">
        <f>(2.69+3.1+2.09)/3</f>
        <v>2.6266666666666665</v>
      </c>
      <c r="DR1017" s="31" t="s">
        <v>936</v>
      </c>
      <c r="EL1017" s="31" t="s">
        <v>965</v>
      </c>
      <c r="EN1017" s="76">
        <v>48</v>
      </c>
    </row>
    <row r="1018" spans="1:144" s="78" customFormat="1" x14ac:dyDescent="0.25">
      <c r="A1018" s="78">
        <v>48</v>
      </c>
      <c r="B1018" s="78" t="s">
        <v>918</v>
      </c>
      <c r="C1018" s="78" t="s">
        <v>919</v>
      </c>
      <c r="D1018" s="78">
        <v>2016</v>
      </c>
      <c r="E1018" s="78">
        <v>2015</v>
      </c>
      <c r="F1018" s="78" t="s">
        <v>920</v>
      </c>
      <c r="G1018" s="78" t="s">
        <v>921</v>
      </c>
      <c r="H1018" s="78">
        <f t="shared" si="225"/>
        <v>42.083333333333336</v>
      </c>
      <c r="I1018" s="78">
        <f t="shared" si="226"/>
        <v>-86.35</v>
      </c>
      <c r="J1018" s="78">
        <v>213.2</v>
      </c>
      <c r="P1018" s="79" t="s">
        <v>187</v>
      </c>
      <c r="Q1018" s="79"/>
      <c r="R1018" s="79"/>
      <c r="S1018" s="79" t="s">
        <v>922</v>
      </c>
      <c r="W1018" s="78" t="s">
        <v>923</v>
      </c>
      <c r="AA1018" s="38" t="s">
        <v>1706</v>
      </c>
      <c r="AB1018" s="78" t="s">
        <v>173</v>
      </c>
      <c r="AC1018" s="78" t="s">
        <v>1731</v>
      </c>
      <c r="AG1018" s="78" t="s">
        <v>926</v>
      </c>
      <c r="AH1018" s="78" t="s">
        <v>926</v>
      </c>
      <c r="AI1018" s="78" t="s">
        <v>252</v>
      </c>
      <c r="AJ1018" s="78" t="s">
        <v>924</v>
      </c>
      <c r="AK1018" s="78" t="s">
        <v>924</v>
      </c>
      <c r="AL1018" s="78" t="s">
        <v>252</v>
      </c>
      <c r="AM1018" s="78" t="s">
        <v>222</v>
      </c>
      <c r="AN1018" s="78">
        <v>6</v>
      </c>
      <c r="AO1018" s="78">
        <v>6</v>
      </c>
      <c r="AP1018" s="78" t="s">
        <v>448</v>
      </c>
      <c r="AT1018" s="78" t="s">
        <v>925</v>
      </c>
      <c r="AU1018" s="78" t="s">
        <v>935</v>
      </c>
      <c r="DP1018" s="78">
        <f>(0.88+17.1+4.5)/3</f>
        <v>7.4933333333333332</v>
      </c>
      <c r="DQ1018" s="78">
        <f>(4.56+26.3+3.02)/3</f>
        <v>11.293333333333335</v>
      </c>
      <c r="DR1018" s="38" t="s">
        <v>936</v>
      </c>
      <c r="EL1018" s="38" t="s">
        <v>965</v>
      </c>
      <c r="EN1018" s="78">
        <v>48</v>
      </c>
    </row>
    <row r="1019" spans="1:144" s="78" customFormat="1" x14ac:dyDescent="0.25">
      <c r="A1019" s="78">
        <v>48</v>
      </c>
      <c r="B1019" s="78" t="s">
        <v>918</v>
      </c>
      <c r="C1019" s="78" t="s">
        <v>919</v>
      </c>
      <c r="D1019" s="78">
        <v>2016</v>
      </c>
      <c r="E1019" s="78">
        <v>2015</v>
      </c>
      <c r="F1019" s="78" t="s">
        <v>920</v>
      </c>
      <c r="G1019" s="78" t="s">
        <v>921</v>
      </c>
      <c r="H1019" s="78">
        <f t="shared" si="225"/>
        <v>42.083333333333336</v>
      </c>
      <c r="I1019" s="78">
        <f t="shared" si="226"/>
        <v>-86.35</v>
      </c>
      <c r="J1019" s="78">
        <v>213.2</v>
      </c>
      <c r="P1019" s="79" t="s">
        <v>187</v>
      </c>
      <c r="Q1019" s="79"/>
      <c r="R1019" s="79"/>
      <c r="S1019" s="79" t="s">
        <v>922</v>
      </c>
      <c r="W1019" s="78" t="s">
        <v>923</v>
      </c>
      <c r="AA1019" s="38" t="s">
        <v>1706</v>
      </c>
      <c r="AB1019" s="78" t="s">
        <v>173</v>
      </c>
      <c r="AC1019" s="78" t="s">
        <v>1731</v>
      </c>
      <c r="AG1019" s="78" t="s">
        <v>927</v>
      </c>
      <c r="AH1019" s="78" t="s">
        <v>927</v>
      </c>
      <c r="AI1019" s="78" t="s">
        <v>252</v>
      </c>
      <c r="AJ1019" s="78" t="s">
        <v>924</v>
      </c>
      <c r="AK1019" s="78" t="s">
        <v>924</v>
      </c>
      <c r="AL1019" s="78" t="s">
        <v>252</v>
      </c>
      <c r="AM1019" s="78" t="s">
        <v>222</v>
      </c>
      <c r="AN1019" s="78">
        <v>6</v>
      </c>
      <c r="AO1019" s="78">
        <v>6</v>
      </c>
      <c r="AP1019" s="78" t="s">
        <v>448</v>
      </c>
      <c r="AT1019" s="78" t="s">
        <v>925</v>
      </c>
      <c r="AU1019" s="78" t="s">
        <v>935</v>
      </c>
      <c r="DP1019" s="78">
        <f>(0.76+14.87+2.66)/3</f>
        <v>6.0966666666666667</v>
      </c>
      <c r="DQ1019" s="78">
        <f>(0.62+17.69+4)/3</f>
        <v>7.4366666666666674</v>
      </c>
      <c r="DR1019" s="38" t="s">
        <v>936</v>
      </c>
      <c r="EL1019" s="38" t="s">
        <v>965</v>
      </c>
      <c r="EN1019" s="78">
        <v>48</v>
      </c>
    </row>
    <row r="1020" spans="1:144" s="26" customFormat="1" x14ac:dyDescent="0.25">
      <c r="A1020" s="26">
        <v>49</v>
      </c>
      <c r="B1020" s="26" t="s">
        <v>966</v>
      </c>
      <c r="C1020" s="26" t="s">
        <v>967</v>
      </c>
      <c r="D1020" s="26">
        <v>2000</v>
      </c>
      <c r="E1020" s="26">
        <v>1995</v>
      </c>
      <c r="F1020" s="26" t="s">
        <v>968</v>
      </c>
      <c r="G1020" s="26" t="s">
        <v>977</v>
      </c>
      <c r="H1020" s="26">
        <v>34.69</v>
      </c>
      <c r="I1020" s="26">
        <v>-86.88</v>
      </c>
      <c r="J1020" s="26">
        <v>181</v>
      </c>
      <c r="P1020" s="52" t="s">
        <v>186</v>
      </c>
      <c r="Q1020" s="52"/>
      <c r="R1020" s="52"/>
      <c r="S1020" s="52" t="s">
        <v>668</v>
      </c>
      <c r="W1020" s="26" t="s">
        <v>175</v>
      </c>
      <c r="AA1020" s="26" t="s">
        <v>1707</v>
      </c>
      <c r="AB1020" s="26" t="s">
        <v>173</v>
      </c>
      <c r="AC1020" s="26" t="s">
        <v>788</v>
      </c>
      <c r="AG1020" s="26" t="s">
        <v>969</v>
      </c>
      <c r="AH1020" s="26" t="s">
        <v>969</v>
      </c>
      <c r="AI1020" s="26" t="s">
        <v>252</v>
      </c>
      <c r="AM1020" s="26" t="s">
        <v>222</v>
      </c>
      <c r="AP1020" s="26" t="s">
        <v>184</v>
      </c>
      <c r="AY1020" s="26">
        <v>1590</v>
      </c>
      <c r="AZ1020" s="26">
        <v>1510</v>
      </c>
      <c r="CI1020" s="26">
        <v>0.56999999999999995</v>
      </c>
      <c r="CJ1020" s="26">
        <v>0.92</v>
      </c>
      <c r="CK1020" s="26" t="s">
        <v>1155</v>
      </c>
      <c r="EL1020" s="26" t="s">
        <v>973</v>
      </c>
      <c r="EN1020" s="26">
        <v>49</v>
      </c>
    </row>
    <row r="1021" spans="1:144" s="26" customFormat="1" x14ac:dyDescent="0.25">
      <c r="A1021" s="26">
        <v>49</v>
      </c>
      <c r="B1021" s="26" t="s">
        <v>966</v>
      </c>
      <c r="C1021" s="26" t="s">
        <v>967</v>
      </c>
      <c r="D1021" s="26">
        <v>2000</v>
      </c>
      <c r="E1021" s="26">
        <v>1995</v>
      </c>
      <c r="F1021" s="26" t="s">
        <v>968</v>
      </c>
      <c r="G1021" s="26" t="s">
        <v>977</v>
      </c>
      <c r="H1021" s="26">
        <v>34.69</v>
      </c>
      <c r="I1021" s="26">
        <v>-86.88</v>
      </c>
      <c r="J1021" s="26">
        <v>181</v>
      </c>
      <c r="P1021" s="52" t="s">
        <v>186</v>
      </c>
      <c r="Q1021" s="52"/>
      <c r="R1021" s="52"/>
      <c r="S1021" s="52" t="s">
        <v>668</v>
      </c>
      <c r="W1021" s="26" t="s">
        <v>175</v>
      </c>
      <c r="AA1021" s="26" t="s">
        <v>1707</v>
      </c>
      <c r="AB1021" s="26" t="s">
        <v>173</v>
      </c>
      <c r="AC1021" s="26" t="s">
        <v>788</v>
      </c>
      <c r="AG1021" s="26" t="s">
        <v>970</v>
      </c>
      <c r="AH1021" s="26" t="s">
        <v>970</v>
      </c>
      <c r="AI1021" s="26" t="s">
        <v>252</v>
      </c>
      <c r="AM1021" s="26" t="s">
        <v>222</v>
      </c>
      <c r="AP1021" s="26" t="s">
        <v>184</v>
      </c>
      <c r="AY1021" s="26">
        <v>1530</v>
      </c>
      <c r="AZ1021" s="26">
        <v>1440</v>
      </c>
      <c r="CI1021" s="26">
        <v>0.69</v>
      </c>
      <c r="CJ1021" s="26">
        <v>0.77</v>
      </c>
      <c r="CK1021" s="26" t="s">
        <v>1155</v>
      </c>
      <c r="EL1021" s="26" t="s">
        <v>973</v>
      </c>
      <c r="EN1021" s="26">
        <v>49</v>
      </c>
    </row>
    <row r="1022" spans="1:144" s="26" customFormat="1" x14ac:dyDescent="0.25">
      <c r="A1022" s="26">
        <v>49</v>
      </c>
      <c r="B1022" s="26" t="s">
        <v>966</v>
      </c>
      <c r="C1022" s="26" t="s">
        <v>967</v>
      </c>
      <c r="D1022" s="26">
        <v>2000</v>
      </c>
      <c r="E1022" s="26">
        <v>1995</v>
      </c>
      <c r="F1022" s="26" t="s">
        <v>968</v>
      </c>
      <c r="G1022" s="26" t="s">
        <v>977</v>
      </c>
      <c r="H1022" s="26">
        <v>34.69</v>
      </c>
      <c r="I1022" s="26">
        <v>-86.88</v>
      </c>
      <c r="J1022" s="26">
        <v>181</v>
      </c>
      <c r="P1022" s="52" t="s">
        <v>186</v>
      </c>
      <c r="Q1022" s="52"/>
      <c r="R1022" s="52"/>
      <c r="S1022" s="52" t="s">
        <v>668</v>
      </c>
      <c r="W1022" s="26" t="s">
        <v>175</v>
      </c>
      <c r="AA1022" s="26" t="s">
        <v>1707</v>
      </c>
      <c r="AB1022" s="26" t="s">
        <v>173</v>
      </c>
      <c r="AC1022" s="26" t="s">
        <v>788</v>
      </c>
      <c r="AG1022" s="26" t="s">
        <v>971</v>
      </c>
      <c r="AH1022" s="26" t="s">
        <v>971</v>
      </c>
      <c r="AI1022" s="26" t="s">
        <v>252</v>
      </c>
      <c r="AM1022" s="26" t="s">
        <v>222</v>
      </c>
      <c r="AP1022" s="26" t="s">
        <v>184</v>
      </c>
      <c r="AY1022" s="26">
        <v>1510</v>
      </c>
      <c r="AZ1022" s="26">
        <v>1230</v>
      </c>
      <c r="EL1022" s="26" t="s">
        <v>973</v>
      </c>
      <c r="EN1022" s="26">
        <v>49</v>
      </c>
    </row>
    <row r="1023" spans="1:144" s="26" customFormat="1" x14ac:dyDescent="0.25">
      <c r="A1023" s="26">
        <v>49</v>
      </c>
      <c r="B1023" s="26" t="s">
        <v>966</v>
      </c>
      <c r="C1023" s="26" t="s">
        <v>967</v>
      </c>
      <c r="D1023" s="26">
        <v>2000</v>
      </c>
      <c r="E1023" s="26">
        <v>1995</v>
      </c>
      <c r="F1023" s="26" t="s">
        <v>968</v>
      </c>
      <c r="G1023" s="26" t="s">
        <v>977</v>
      </c>
      <c r="H1023" s="26">
        <v>34.69</v>
      </c>
      <c r="I1023" s="26">
        <v>-86.88</v>
      </c>
      <c r="J1023" s="26">
        <v>181</v>
      </c>
      <c r="P1023" s="52" t="s">
        <v>186</v>
      </c>
      <c r="Q1023" s="52"/>
      <c r="R1023" s="52"/>
      <c r="S1023" s="52" t="s">
        <v>668</v>
      </c>
      <c r="W1023" s="26" t="s">
        <v>175</v>
      </c>
      <c r="AA1023" s="26" t="s">
        <v>1707</v>
      </c>
      <c r="AB1023" s="26" t="s">
        <v>173</v>
      </c>
      <c r="AC1023" s="26" t="s">
        <v>788</v>
      </c>
      <c r="AG1023" s="26" t="s">
        <v>972</v>
      </c>
      <c r="AH1023" s="26" t="s">
        <v>972</v>
      </c>
      <c r="AI1023" s="26" t="s">
        <v>252</v>
      </c>
      <c r="AM1023" s="26" t="s">
        <v>222</v>
      </c>
      <c r="AP1023" s="26" t="s">
        <v>184</v>
      </c>
      <c r="AY1023" s="26">
        <v>1420</v>
      </c>
      <c r="AZ1023" s="26">
        <v>1280</v>
      </c>
      <c r="EL1023" s="26" t="s">
        <v>973</v>
      </c>
      <c r="EN1023" s="26">
        <v>49</v>
      </c>
    </row>
    <row r="1024" spans="1:144" s="26" customFormat="1" x14ac:dyDescent="0.25">
      <c r="A1024" s="26">
        <v>49</v>
      </c>
      <c r="B1024" s="26" t="s">
        <v>966</v>
      </c>
      <c r="C1024" s="26" t="s">
        <v>967</v>
      </c>
      <c r="D1024" s="26">
        <v>2000</v>
      </c>
      <c r="E1024" s="26">
        <v>1995</v>
      </c>
      <c r="F1024" s="26" t="s">
        <v>968</v>
      </c>
      <c r="G1024" s="26" t="s">
        <v>977</v>
      </c>
      <c r="H1024" s="26">
        <v>34.69</v>
      </c>
      <c r="I1024" s="26">
        <v>-86.88</v>
      </c>
      <c r="J1024" s="26">
        <v>181</v>
      </c>
      <c r="P1024" s="52" t="s">
        <v>186</v>
      </c>
      <c r="Q1024" s="52"/>
      <c r="R1024" s="52"/>
      <c r="S1024" s="52" t="s">
        <v>668</v>
      </c>
      <c r="W1024" s="26" t="s">
        <v>175</v>
      </c>
      <c r="AA1024" s="26" t="s">
        <v>1707</v>
      </c>
      <c r="AB1024" s="26" t="s">
        <v>173</v>
      </c>
      <c r="AC1024" s="26" t="s">
        <v>788</v>
      </c>
      <c r="AG1024" s="26" t="s">
        <v>217</v>
      </c>
      <c r="AH1024" s="26" t="s">
        <v>217</v>
      </c>
      <c r="AI1024" s="26" t="s">
        <v>252</v>
      </c>
      <c r="AM1024" s="26" t="s">
        <v>222</v>
      </c>
      <c r="AP1024" s="26" t="s">
        <v>184</v>
      </c>
      <c r="AY1024" s="26">
        <v>1500</v>
      </c>
      <c r="AZ1024" s="26">
        <v>1320</v>
      </c>
      <c r="CI1024" s="26">
        <v>1.57</v>
      </c>
      <c r="CJ1024" s="26">
        <v>1.47</v>
      </c>
      <c r="CK1024" s="26" t="s">
        <v>1155</v>
      </c>
      <c r="EL1024" s="26" t="s">
        <v>973</v>
      </c>
      <c r="EN1024" s="26">
        <v>49</v>
      </c>
    </row>
    <row r="1025" spans="1:144" s="26" customFormat="1" x14ac:dyDescent="0.25">
      <c r="A1025" s="26">
        <v>49</v>
      </c>
      <c r="B1025" s="26" t="s">
        <v>966</v>
      </c>
      <c r="C1025" s="26" t="s">
        <v>967</v>
      </c>
      <c r="D1025" s="26">
        <v>2000</v>
      </c>
      <c r="E1025" s="26">
        <v>1995</v>
      </c>
      <c r="F1025" s="26" t="s">
        <v>968</v>
      </c>
      <c r="G1025" s="26" t="s">
        <v>977</v>
      </c>
      <c r="H1025" s="26">
        <v>34.69</v>
      </c>
      <c r="I1025" s="26">
        <v>-86.88</v>
      </c>
      <c r="J1025" s="26">
        <v>181</v>
      </c>
      <c r="P1025" s="52" t="s">
        <v>186</v>
      </c>
      <c r="Q1025" s="52"/>
      <c r="R1025" s="52"/>
      <c r="S1025" s="52" t="s">
        <v>668</v>
      </c>
      <c r="W1025" s="26" t="s">
        <v>175</v>
      </c>
      <c r="AA1025" s="26" t="s">
        <v>1707</v>
      </c>
      <c r="AB1025" s="26" t="s">
        <v>173</v>
      </c>
      <c r="AC1025" s="26" t="s">
        <v>788</v>
      </c>
      <c r="AG1025" s="26" t="s">
        <v>312</v>
      </c>
      <c r="AH1025" s="26" t="s">
        <v>217</v>
      </c>
      <c r="AI1025" s="26" t="s">
        <v>693</v>
      </c>
      <c r="AM1025" s="26" t="s">
        <v>222</v>
      </c>
      <c r="AP1025" s="26" t="s">
        <v>184</v>
      </c>
      <c r="AY1025" s="26">
        <v>1750</v>
      </c>
      <c r="AZ1025" s="26">
        <v>1320</v>
      </c>
      <c r="CI1025" s="26">
        <v>1.01</v>
      </c>
      <c r="CJ1025" s="26">
        <v>1.47</v>
      </c>
      <c r="CK1025" s="26" t="s">
        <v>1155</v>
      </c>
      <c r="EL1025" s="26" t="s">
        <v>973</v>
      </c>
      <c r="EN1025" s="26">
        <v>49</v>
      </c>
    </row>
    <row r="1026" spans="1:144" s="35" customFormat="1" x14ac:dyDescent="0.25">
      <c r="A1026" s="35">
        <v>49</v>
      </c>
      <c r="B1026" s="35" t="s">
        <v>966</v>
      </c>
      <c r="C1026" s="35" t="s">
        <v>967</v>
      </c>
      <c r="D1026" s="35">
        <v>2000</v>
      </c>
      <c r="E1026" s="35">
        <v>1996</v>
      </c>
      <c r="F1026" s="35" t="s">
        <v>968</v>
      </c>
      <c r="G1026" s="35" t="s">
        <v>977</v>
      </c>
      <c r="H1026" s="35">
        <v>34.69</v>
      </c>
      <c r="I1026" s="35">
        <v>-86.88</v>
      </c>
      <c r="J1026" s="35">
        <v>181</v>
      </c>
      <c r="P1026" s="54" t="s">
        <v>187</v>
      </c>
      <c r="Q1026" s="54"/>
      <c r="R1026" s="54"/>
      <c r="S1026" s="54" t="s">
        <v>668</v>
      </c>
      <c r="W1026" s="35" t="s">
        <v>175</v>
      </c>
      <c r="AA1026" s="35" t="s">
        <v>1707</v>
      </c>
      <c r="AB1026" s="35" t="s">
        <v>173</v>
      </c>
      <c r="AC1026" s="35" t="s">
        <v>788</v>
      </c>
      <c r="AG1026" s="35" t="s">
        <v>969</v>
      </c>
      <c r="AH1026" s="35" t="s">
        <v>969</v>
      </c>
      <c r="AI1026" s="35" t="s">
        <v>252</v>
      </c>
      <c r="AM1026" s="35" t="s">
        <v>222</v>
      </c>
      <c r="AP1026" s="35" t="s">
        <v>184</v>
      </c>
      <c r="AY1026" s="35">
        <v>3930</v>
      </c>
      <c r="AZ1026" s="35">
        <v>4150</v>
      </c>
      <c r="CI1026" s="35">
        <v>0.11</v>
      </c>
      <c r="CJ1026" s="35">
        <v>0.64</v>
      </c>
      <c r="CK1026" s="35" t="s">
        <v>1155</v>
      </c>
      <c r="EL1026" s="35" t="s">
        <v>973</v>
      </c>
      <c r="EN1026" s="35">
        <v>49</v>
      </c>
    </row>
    <row r="1027" spans="1:144" s="35" customFormat="1" x14ac:dyDescent="0.25">
      <c r="A1027" s="35">
        <v>49</v>
      </c>
      <c r="B1027" s="35" t="s">
        <v>966</v>
      </c>
      <c r="C1027" s="35" t="s">
        <v>967</v>
      </c>
      <c r="D1027" s="35">
        <v>2000</v>
      </c>
      <c r="E1027" s="35">
        <v>1996</v>
      </c>
      <c r="F1027" s="35" t="s">
        <v>968</v>
      </c>
      <c r="G1027" s="35" t="s">
        <v>977</v>
      </c>
      <c r="H1027" s="35">
        <v>34.69</v>
      </c>
      <c r="I1027" s="35">
        <v>-86.88</v>
      </c>
      <c r="J1027" s="35">
        <v>181</v>
      </c>
      <c r="P1027" s="54" t="s">
        <v>187</v>
      </c>
      <c r="Q1027" s="54"/>
      <c r="R1027" s="54"/>
      <c r="S1027" s="54" t="s">
        <v>668</v>
      </c>
      <c r="W1027" s="35" t="s">
        <v>175</v>
      </c>
      <c r="AA1027" s="35" t="s">
        <v>1707</v>
      </c>
      <c r="AB1027" s="35" t="s">
        <v>173</v>
      </c>
      <c r="AC1027" s="35" t="s">
        <v>788</v>
      </c>
      <c r="AG1027" s="35" t="s">
        <v>970</v>
      </c>
      <c r="AH1027" s="35" t="s">
        <v>970</v>
      </c>
      <c r="AI1027" s="35" t="s">
        <v>252</v>
      </c>
      <c r="AM1027" s="35" t="s">
        <v>222</v>
      </c>
      <c r="AP1027" s="35" t="s">
        <v>184</v>
      </c>
      <c r="AY1027" s="35">
        <v>3900</v>
      </c>
      <c r="AZ1027" s="35">
        <v>4000</v>
      </c>
      <c r="CI1027" s="35">
        <v>0.13</v>
      </c>
      <c r="CJ1027" s="35">
        <v>0.19</v>
      </c>
      <c r="CK1027" s="35" t="s">
        <v>1155</v>
      </c>
      <c r="EL1027" s="35" t="s">
        <v>973</v>
      </c>
      <c r="EN1027" s="35">
        <v>49</v>
      </c>
    </row>
    <row r="1028" spans="1:144" s="35" customFormat="1" x14ac:dyDescent="0.25">
      <c r="A1028" s="35">
        <v>49</v>
      </c>
      <c r="B1028" s="35" t="s">
        <v>966</v>
      </c>
      <c r="C1028" s="35" t="s">
        <v>967</v>
      </c>
      <c r="D1028" s="35">
        <v>2000</v>
      </c>
      <c r="E1028" s="35">
        <v>1996</v>
      </c>
      <c r="F1028" s="35" t="s">
        <v>968</v>
      </c>
      <c r="G1028" s="35" t="s">
        <v>977</v>
      </c>
      <c r="H1028" s="35">
        <v>34.69</v>
      </c>
      <c r="I1028" s="35">
        <v>-86.88</v>
      </c>
      <c r="J1028" s="35">
        <v>181</v>
      </c>
      <c r="P1028" s="54" t="s">
        <v>187</v>
      </c>
      <c r="Q1028" s="54"/>
      <c r="R1028" s="54"/>
      <c r="S1028" s="54" t="s">
        <v>668</v>
      </c>
      <c r="W1028" s="35" t="s">
        <v>175</v>
      </c>
      <c r="AA1028" s="35" t="s">
        <v>1707</v>
      </c>
      <c r="AB1028" s="35" t="s">
        <v>173</v>
      </c>
      <c r="AC1028" s="35" t="s">
        <v>788</v>
      </c>
      <c r="AG1028" s="35" t="s">
        <v>971</v>
      </c>
      <c r="AH1028" s="35" t="s">
        <v>971</v>
      </c>
      <c r="AI1028" s="35" t="s">
        <v>252</v>
      </c>
      <c r="AM1028" s="35" t="s">
        <v>222</v>
      </c>
      <c r="AP1028" s="35" t="s">
        <v>184</v>
      </c>
      <c r="AY1028" s="35">
        <v>3630</v>
      </c>
      <c r="AZ1028" s="35">
        <v>4130</v>
      </c>
      <c r="EL1028" s="35" t="s">
        <v>973</v>
      </c>
      <c r="EN1028" s="35">
        <v>49</v>
      </c>
    </row>
    <row r="1029" spans="1:144" s="35" customFormat="1" x14ac:dyDescent="0.25">
      <c r="A1029" s="35">
        <v>49</v>
      </c>
      <c r="B1029" s="35" t="s">
        <v>966</v>
      </c>
      <c r="C1029" s="35" t="s">
        <v>967</v>
      </c>
      <c r="D1029" s="35">
        <v>2000</v>
      </c>
      <c r="E1029" s="35">
        <v>1996</v>
      </c>
      <c r="F1029" s="35" t="s">
        <v>968</v>
      </c>
      <c r="G1029" s="35" t="s">
        <v>977</v>
      </c>
      <c r="H1029" s="35">
        <v>34.69</v>
      </c>
      <c r="I1029" s="35">
        <v>-86.88</v>
      </c>
      <c r="J1029" s="35">
        <v>181</v>
      </c>
      <c r="P1029" s="54" t="s">
        <v>187</v>
      </c>
      <c r="Q1029" s="54"/>
      <c r="R1029" s="54"/>
      <c r="S1029" s="54" t="s">
        <v>668</v>
      </c>
      <c r="W1029" s="35" t="s">
        <v>175</v>
      </c>
      <c r="AA1029" s="35" t="s">
        <v>1707</v>
      </c>
      <c r="AB1029" s="35" t="s">
        <v>173</v>
      </c>
      <c r="AC1029" s="35" t="s">
        <v>788</v>
      </c>
      <c r="AG1029" s="35" t="s">
        <v>972</v>
      </c>
      <c r="AH1029" s="35" t="s">
        <v>972</v>
      </c>
      <c r="AI1029" s="35" t="s">
        <v>252</v>
      </c>
      <c r="AM1029" s="35" t="s">
        <v>222</v>
      </c>
      <c r="AP1029" s="35" t="s">
        <v>184</v>
      </c>
      <c r="AY1029" s="35">
        <v>3820</v>
      </c>
      <c r="AZ1029" s="35">
        <v>4090</v>
      </c>
      <c r="EL1029" s="35" t="s">
        <v>973</v>
      </c>
      <c r="EN1029" s="35">
        <v>49</v>
      </c>
    </row>
    <row r="1030" spans="1:144" s="35" customFormat="1" x14ac:dyDescent="0.25">
      <c r="A1030" s="35">
        <v>49</v>
      </c>
      <c r="B1030" s="35" t="s">
        <v>966</v>
      </c>
      <c r="C1030" s="35" t="s">
        <v>967</v>
      </c>
      <c r="D1030" s="35">
        <v>2000</v>
      </c>
      <c r="E1030" s="35">
        <v>1996</v>
      </c>
      <c r="F1030" s="35" t="s">
        <v>968</v>
      </c>
      <c r="G1030" s="35" t="s">
        <v>977</v>
      </c>
      <c r="H1030" s="35">
        <v>34.69</v>
      </c>
      <c r="I1030" s="35">
        <v>-86.88</v>
      </c>
      <c r="J1030" s="35">
        <v>181</v>
      </c>
      <c r="P1030" s="54" t="s">
        <v>187</v>
      </c>
      <c r="Q1030" s="54"/>
      <c r="R1030" s="54"/>
      <c r="S1030" s="54" t="s">
        <v>668</v>
      </c>
      <c r="W1030" s="35" t="s">
        <v>175</v>
      </c>
      <c r="AA1030" s="35" t="s">
        <v>1707</v>
      </c>
      <c r="AB1030" s="35" t="s">
        <v>173</v>
      </c>
      <c r="AC1030" s="35" t="s">
        <v>788</v>
      </c>
      <c r="AG1030" s="35" t="s">
        <v>217</v>
      </c>
      <c r="AH1030" s="35" t="s">
        <v>217</v>
      </c>
      <c r="AI1030" s="35" t="s">
        <v>252</v>
      </c>
      <c r="AM1030" s="35" t="s">
        <v>222</v>
      </c>
      <c r="AP1030" s="35" t="s">
        <v>184</v>
      </c>
      <c r="AY1030" s="35">
        <v>3730</v>
      </c>
      <c r="AZ1030" s="35">
        <v>3960</v>
      </c>
      <c r="CI1030" s="35">
        <v>1.59</v>
      </c>
      <c r="CJ1030" s="35">
        <v>1.46</v>
      </c>
      <c r="CK1030" s="35" t="s">
        <v>1155</v>
      </c>
      <c r="EL1030" s="35" t="s">
        <v>973</v>
      </c>
      <c r="EN1030" s="35">
        <v>49</v>
      </c>
    </row>
    <row r="1031" spans="1:144" s="35" customFormat="1" x14ac:dyDescent="0.25">
      <c r="A1031" s="35">
        <v>49</v>
      </c>
      <c r="B1031" s="35" t="s">
        <v>966</v>
      </c>
      <c r="C1031" s="35" t="s">
        <v>967</v>
      </c>
      <c r="D1031" s="35">
        <v>2000</v>
      </c>
      <c r="E1031" s="35">
        <v>1996</v>
      </c>
      <c r="F1031" s="35" t="s">
        <v>968</v>
      </c>
      <c r="G1031" s="35" t="s">
        <v>977</v>
      </c>
      <c r="H1031" s="35">
        <v>34.69</v>
      </c>
      <c r="I1031" s="35">
        <v>-86.88</v>
      </c>
      <c r="J1031" s="35">
        <v>181</v>
      </c>
      <c r="P1031" s="54" t="s">
        <v>187</v>
      </c>
      <c r="Q1031" s="54"/>
      <c r="R1031" s="54"/>
      <c r="S1031" s="54" t="s">
        <v>668</v>
      </c>
      <c r="W1031" s="35" t="s">
        <v>175</v>
      </c>
      <c r="AA1031" s="35" t="s">
        <v>1707</v>
      </c>
      <c r="AB1031" s="35" t="s">
        <v>173</v>
      </c>
      <c r="AC1031" s="35" t="s">
        <v>788</v>
      </c>
      <c r="AG1031" s="35" t="s">
        <v>312</v>
      </c>
      <c r="AH1031" s="35" t="s">
        <v>217</v>
      </c>
      <c r="AI1031" s="35" t="s">
        <v>693</v>
      </c>
      <c r="AM1031" s="35" t="s">
        <v>222</v>
      </c>
      <c r="AP1031" s="35" t="s">
        <v>184</v>
      </c>
      <c r="AY1031" s="35">
        <v>3740</v>
      </c>
      <c r="AZ1031" s="35">
        <v>3960</v>
      </c>
      <c r="CI1031" s="35">
        <v>1.01</v>
      </c>
      <c r="CJ1031" s="35">
        <v>1.46</v>
      </c>
      <c r="CK1031" s="35" t="s">
        <v>1155</v>
      </c>
      <c r="EL1031" s="35" t="s">
        <v>973</v>
      </c>
      <c r="EN1031" s="35">
        <v>49</v>
      </c>
    </row>
    <row r="1032" spans="1:144" s="42" customFormat="1" x14ac:dyDescent="0.25">
      <c r="A1032" s="26">
        <v>49</v>
      </c>
      <c r="B1032" s="26" t="s">
        <v>966</v>
      </c>
      <c r="C1032" s="26" t="s">
        <v>967</v>
      </c>
      <c r="D1032" s="26">
        <v>2000</v>
      </c>
      <c r="E1032" s="26">
        <v>1997</v>
      </c>
      <c r="F1032" s="26" t="s">
        <v>968</v>
      </c>
      <c r="G1032" s="26" t="s">
        <v>977</v>
      </c>
      <c r="H1032" s="26">
        <v>34.69</v>
      </c>
      <c r="I1032" s="26">
        <v>-86.88</v>
      </c>
      <c r="J1032" s="26">
        <v>181</v>
      </c>
      <c r="K1032" s="26"/>
      <c r="L1032" s="26"/>
      <c r="M1032" s="26"/>
      <c r="N1032" s="26"/>
      <c r="O1032" s="26"/>
      <c r="P1032" s="52" t="s">
        <v>188</v>
      </c>
      <c r="Q1032" s="52"/>
      <c r="R1032" s="52"/>
      <c r="S1032" s="52" t="s">
        <v>668</v>
      </c>
      <c r="T1032" s="26"/>
      <c r="U1032" s="26"/>
      <c r="V1032" s="26"/>
      <c r="W1032" s="26" t="s">
        <v>175</v>
      </c>
      <c r="X1032" s="26"/>
      <c r="Y1032" s="26"/>
      <c r="Z1032" s="26"/>
      <c r="AA1032" s="26" t="s">
        <v>1707</v>
      </c>
      <c r="AB1032" s="26" t="s">
        <v>173</v>
      </c>
      <c r="AC1032" s="26" t="s">
        <v>788</v>
      </c>
      <c r="AD1032" s="26"/>
      <c r="AE1032" s="26"/>
      <c r="AF1032" s="26"/>
      <c r="AG1032" s="26" t="s">
        <v>969</v>
      </c>
      <c r="AH1032" s="26" t="s">
        <v>969</v>
      </c>
      <c r="AI1032" s="26" t="s">
        <v>252</v>
      </c>
      <c r="AJ1032" s="26"/>
      <c r="AK1032" s="26"/>
      <c r="AL1032" s="26"/>
      <c r="AM1032" s="26" t="s">
        <v>222</v>
      </c>
      <c r="AN1032" s="26"/>
      <c r="AO1032" s="26"/>
      <c r="AP1032" s="26" t="s">
        <v>184</v>
      </c>
      <c r="AQ1032" s="26"/>
      <c r="AR1032" s="26"/>
      <c r="AS1032" s="26"/>
      <c r="AT1032" s="26"/>
      <c r="AY1032" s="42">
        <v>2660</v>
      </c>
      <c r="AZ1032" s="42">
        <v>2790</v>
      </c>
      <c r="CI1032" s="42">
        <v>0.62</v>
      </c>
      <c r="CJ1032" s="42">
        <v>0.95</v>
      </c>
      <c r="CK1032" s="26" t="s">
        <v>1155</v>
      </c>
      <c r="DP1032" s="47"/>
      <c r="DR1032" s="47"/>
      <c r="EL1032" s="26" t="s">
        <v>973</v>
      </c>
      <c r="EN1032" s="26">
        <v>49</v>
      </c>
    </row>
    <row r="1033" spans="1:144" s="42" customFormat="1" x14ac:dyDescent="0.25">
      <c r="A1033" s="26">
        <v>49</v>
      </c>
      <c r="B1033" s="26" t="s">
        <v>966</v>
      </c>
      <c r="C1033" s="26" t="s">
        <v>967</v>
      </c>
      <c r="D1033" s="26">
        <v>2000</v>
      </c>
      <c r="E1033" s="26">
        <v>1997</v>
      </c>
      <c r="F1033" s="26" t="s">
        <v>968</v>
      </c>
      <c r="G1033" s="26" t="s">
        <v>977</v>
      </c>
      <c r="H1033" s="26">
        <v>34.69</v>
      </c>
      <c r="I1033" s="26">
        <v>-86.88</v>
      </c>
      <c r="J1033" s="26">
        <v>181</v>
      </c>
      <c r="K1033" s="26"/>
      <c r="L1033" s="26"/>
      <c r="M1033" s="26"/>
      <c r="N1033" s="26"/>
      <c r="O1033" s="26"/>
      <c r="P1033" s="52" t="s">
        <v>188</v>
      </c>
      <c r="Q1033" s="52"/>
      <c r="R1033" s="52"/>
      <c r="S1033" s="52" t="s">
        <v>668</v>
      </c>
      <c r="T1033" s="26"/>
      <c r="U1033" s="26"/>
      <c r="V1033" s="26"/>
      <c r="W1033" s="26" t="s">
        <v>175</v>
      </c>
      <c r="X1033" s="26"/>
      <c r="Y1033" s="26"/>
      <c r="Z1033" s="26"/>
      <c r="AA1033" s="26" t="s">
        <v>1707</v>
      </c>
      <c r="AB1033" s="26" t="s">
        <v>173</v>
      </c>
      <c r="AC1033" s="26" t="s">
        <v>788</v>
      </c>
      <c r="AD1033" s="26"/>
      <c r="AE1033" s="26"/>
      <c r="AF1033" s="26"/>
      <c r="AG1033" s="26" t="s">
        <v>970</v>
      </c>
      <c r="AH1033" s="26" t="s">
        <v>970</v>
      </c>
      <c r="AI1033" s="26" t="s">
        <v>252</v>
      </c>
      <c r="AJ1033" s="26"/>
      <c r="AK1033" s="26"/>
      <c r="AL1033" s="26"/>
      <c r="AM1033" s="26" t="s">
        <v>222</v>
      </c>
      <c r="AN1033" s="26"/>
      <c r="AO1033" s="26"/>
      <c r="AP1033" s="26" t="s">
        <v>184</v>
      </c>
      <c r="AQ1033" s="26"/>
      <c r="AR1033" s="26"/>
      <c r="AS1033" s="26"/>
      <c r="AT1033" s="26"/>
      <c r="AY1033" s="42">
        <v>2420</v>
      </c>
      <c r="AZ1033" s="42">
        <v>2750</v>
      </c>
      <c r="CI1033" s="42">
        <v>0.52</v>
      </c>
      <c r="CJ1033" s="42">
        <v>0.7</v>
      </c>
      <c r="CK1033" s="26" t="s">
        <v>1155</v>
      </c>
      <c r="DP1033" s="47"/>
      <c r="DR1033" s="47"/>
      <c r="EL1033" s="26" t="s">
        <v>973</v>
      </c>
      <c r="EN1033" s="26">
        <v>49</v>
      </c>
    </row>
    <row r="1034" spans="1:144" s="42" customFormat="1" x14ac:dyDescent="0.25">
      <c r="A1034" s="26">
        <v>49</v>
      </c>
      <c r="B1034" s="26" t="s">
        <v>966</v>
      </c>
      <c r="C1034" s="26" t="s">
        <v>967</v>
      </c>
      <c r="D1034" s="26">
        <v>2000</v>
      </c>
      <c r="E1034" s="26">
        <v>1997</v>
      </c>
      <c r="F1034" s="26" t="s">
        <v>968</v>
      </c>
      <c r="G1034" s="26" t="s">
        <v>977</v>
      </c>
      <c r="H1034" s="26">
        <v>34.69</v>
      </c>
      <c r="I1034" s="26">
        <v>-86.88</v>
      </c>
      <c r="J1034" s="26">
        <v>181</v>
      </c>
      <c r="K1034" s="26"/>
      <c r="L1034" s="26"/>
      <c r="M1034" s="26"/>
      <c r="N1034" s="26"/>
      <c r="O1034" s="26"/>
      <c r="P1034" s="52" t="s">
        <v>188</v>
      </c>
      <c r="Q1034" s="52"/>
      <c r="R1034" s="52"/>
      <c r="S1034" s="52" t="s">
        <v>668</v>
      </c>
      <c r="T1034" s="26"/>
      <c r="U1034" s="26"/>
      <c r="V1034" s="26"/>
      <c r="W1034" s="26" t="s">
        <v>175</v>
      </c>
      <c r="X1034" s="26"/>
      <c r="Y1034" s="26"/>
      <c r="Z1034" s="26"/>
      <c r="AA1034" s="26" t="s">
        <v>1707</v>
      </c>
      <c r="AB1034" s="26" t="s">
        <v>173</v>
      </c>
      <c r="AC1034" s="26" t="s">
        <v>788</v>
      </c>
      <c r="AD1034" s="26"/>
      <c r="AE1034" s="26"/>
      <c r="AF1034" s="26"/>
      <c r="AG1034" s="26" t="s">
        <v>971</v>
      </c>
      <c r="AH1034" s="26" t="s">
        <v>971</v>
      </c>
      <c r="AI1034" s="26" t="s">
        <v>252</v>
      </c>
      <c r="AJ1034" s="26"/>
      <c r="AK1034" s="26"/>
      <c r="AL1034" s="26"/>
      <c r="AM1034" s="26" t="s">
        <v>222</v>
      </c>
      <c r="AN1034" s="26"/>
      <c r="AO1034" s="26"/>
      <c r="AP1034" s="26" t="s">
        <v>184</v>
      </c>
      <c r="AQ1034" s="26"/>
      <c r="AR1034" s="26"/>
      <c r="AS1034" s="26"/>
      <c r="AT1034" s="26"/>
      <c r="AY1034" s="42">
        <v>2710</v>
      </c>
      <c r="AZ1034" s="42">
        <v>3360</v>
      </c>
      <c r="CK1034" s="26"/>
      <c r="DP1034" s="47"/>
      <c r="DR1034" s="47"/>
      <c r="EL1034" s="26" t="s">
        <v>973</v>
      </c>
      <c r="EN1034" s="26">
        <v>49</v>
      </c>
    </row>
    <row r="1035" spans="1:144" s="42" customFormat="1" x14ac:dyDescent="0.25">
      <c r="A1035" s="26">
        <v>49</v>
      </c>
      <c r="B1035" s="26" t="s">
        <v>966</v>
      </c>
      <c r="C1035" s="26" t="s">
        <v>967</v>
      </c>
      <c r="D1035" s="26">
        <v>2000</v>
      </c>
      <c r="E1035" s="26">
        <v>1997</v>
      </c>
      <c r="F1035" s="26" t="s">
        <v>968</v>
      </c>
      <c r="G1035" s="26" t="s">
        <v>977</v>
      </c>
      <c r="H1035" s="26">
        <v>34.69</v>
      </c>
      <c r="I1035" s="26">
        <v>-86.88</v>
      </c>
      <c r="J1035" s="26">
        <v>181</v>
      </c>
      <c r="K1035" s="26"/>
      <c r="L1035" s="26"/>
      <c r="M1035" s="26"/>
      <c r="N1035" s="26"/>
      <c r="O1035" s="26"/>
      <c r="P1035" s="52" t="s">
        <v>188</v>
      </c>
      <c r="Q1035" s="52"/>
      <c r="R1035" s="52"/>
      <c r="S1035" s="52" t="s">
        <v>668</v>
      </c>
      <c r="T1035" s="26"/>
      <c r="U1035" s="26"/>
      <c r="V1035" s="26"/>
      <c r="W1035" s="26" t="s">
        <v>175</v>
      </c>
      <c r="X1035" s="26"/>
      <c r="Y1035" s="26"/>
      <c r="Z1035" s="26"/>
      <c r="AA1035" s="26" t="s">
        <v>1707</v>
      </c>
      <c r="AB1035" s="26" t="s">
        <v>173</v>
      </c>
      <c r="AC1035" s="26" t="s">
        <v>788</v>
      </c>
      <c r="AD1035" s="26"/>
      <c r="AE1035" s="26"/>
      <c r="AF1035" s="26"/>
      <c r="AG1035" s="26" t="s">
        <v>972</v>
      </c>
      <c r="AH1035" s="26" t="s">
        <v>972</v>
      </c>
      <c r="AI1035" s="26" t="s">
        <v>252</v>
      </c>
      <c r="AJ1035" s="26"/>
      <c r="AK1035" s="26"/>
      <c r="AL1035" s="26"/>
      <c r="AM1035" s="26" t="s">
        <v>222</v>
      </c>
      <c r="AN1035" s="26"/>
      <c r="AO1035" s="26"/>
      <c r="AP1035" s="26" t="s">
        <v>184</v>
      </c>
      <c r="AQ1035" s="26"/>
      <c r="AR1035" s="26"/>
      <c r="AS1035" s="26"/>
      <c r="AT1035" s="26"/>
      <c r="AY1035" s="42">
        <v>2680</v>
      </c>
      <c r="AZ1035" s="42">
        <v>3010</v>
      </c>
      <c r="CK1035" s="26"/>
      <c r="DP1035" s="47"/>
      <c r="DR1035" s="47"/>
      <c r="EL1035" s="26" t="s">
        <v>973</v>
      </c>
      <c r="EN1035" s="26">
        <v>49</v>
      </c>
    </row>
    <row r="1036" spans="1:144" s="42" customFormat="1" x14ac:dyDescent="0.25">
      <c r="A1036" s="26">
        <v>49</v>
      </c>
      <c r="B1036" s="26" t="s">
        <v>966</v>
      </c>
      <c r="C1036" s="26" t="s">
        <v>967</v>
      </c>
      <c r="D1036" s="26">
        <v>2000</v>
      </c>
      <c r="E1036" s="26">
        <v>1997</v>
      </c>
      <c r="F1036" s="26" t="s">
        <v>968</v>
      </c>
      <c r="G1036" s="26" t="s">
        <v>977</v>
      </c>
      <c r="H1036" s="26">
        <v>34.69</v>
      </c>
      <c r="I1036" s="26">
        <v>-86.88</v>
      </c>
      <c r="J1036" s="26">
        <v>181</v>
      </c>
      <c r="K1036" s="26"/>
      <c r="L1036" s="26"/>
      <c r="M1036" s="26"/>
      <c r="N1036" s="26"/>
      <c r="O1036" s="26"/>
      <c r="P1036" s="52" t="s">
        <v>188</v>
      </c>
      <c r="Q1036" s="52"/>
      <c r="R1036" s="52"/>
      <c r="S1036" s="52" t="s">
        <v>668</v>
      </c>
      <c r="T1036" s="26"/>
      <c r="U1036" s="26"/>
      <c r="V1036" s="26"/>
      <c r="W1036" s="26" t="s">
        <v>175</v>
      </c>
      <c r="X1036" s="26"/>
      <c r="Y1036" s="26"/>
      <c r="Z1036" s="26"/>
      <c r="AA1036" s="26" t="s">
        <v>1707</v>
      </c>
      <c r="AB1036" s="26" t="s">
        <v>173</v>
      </c>
      <c r="AC1036" s="26" t="s">
        <v>788</v>
      </c>
      <c r="AD1036" s="26"/>
      <c r="AE1036" s="26"/>
      <c r="AF1036" s="26"/>
      <c r="AG1036" s="26" t="s">
        <v>217</v>
      </c>
      <c r="AH1036" s="26" t="s">
        <v>217</v>
      </c>
      <c r="AI1036" s="26" t="s">
        <v>252</v>
      </c>
      <c r="AJ1036" s="26"/>
      <c r="AK1036" s="26"/>
      <c r="AL1036" s="26"/>
      <c r="AM1036" s="26" t="s">
        <v>222</v>
      </c>
      <c r="AN1036" s="26"/>
      <c r="AO1036" s="26"/>
      <c r="AP1036" s="26" t="s">
        <v>184</v>
      </c>
      <c r="AQ1036" s="26"/>
      <c r="AR1036" s="26"/>
      <c r="AS1036" s="26"/>
      <c r="AT1036" s="26"/>
      <c r="AY1036" s="42">
        <v>2880</v>
      </c>
      <c r="AZ1036" s="42">
        <v>3180</v>
      </c>
      <c r="CI1036" s="42">
        <v>1.47</v>
      </c>
      <c r="CJ1036" s="42">
        <v>1.53</v>
      </c>
      <c r="CK1036" s="26" t="s">
        <v>1155</v>
      </c>
      <c r="DP1036" s="47"/>
      <c r="DR1036" s="47"/>
      <c r="EL1036" s="26" t="s">
        <v>973</v>
      </c>
      <c r="EN1036" s="26">
        <v>49</v>
      </c>
    </row>
    <row r="1037" spans="1:144" s="42" customFormat="1" x14ac:dyDescent="0.25">
      <c r="A1037" s="26">
        <v>49</v>
      </c>
      <c r="B1037" s="26" t="s">
        <v>966</v>
      </c>
      <c r="C1037" s="26" t="s">
        <v>967</v>
      </c>
      <c r="D1037" s="26">
        <v>2000</v>
      </c>
      <c r="E1037" s="26">
        <v>1997</v>
      </c>
      <c r="F1037" s="26" t="s">
        <v>968</v>
      </c>
      <c r="G1037" s="26" t="s">
        <v>977</v>
      </c>
      <c r="H1037" s="26">
        <v>34.69</v>
      </c>
      <c r="I1037" s="26">
        <v>-86.88</v>
      </c>
      <c r="J1037" s="26">
        <v>181</v>
      </c>
      <c r="K1037" s="26"/>
      <c r="L1037" s="26"/>
      <c r="M1037" s="26"/>
      <c r="N1037" s="26"/>
      <c r="O1037" s="26"/>
      <c r="P1037" s="52" t="s">
        <v>188</v>
      </c>
      <c r="Q1037" s="52"/>
      <c r="R1037" s="52"/>
      <c r="S1037" s="52" t="s">
        <v>668</v>
      </c>
      <c r="T1037" s="26"/>
      <c r="U1037" s="26"/>
      <c r="V1037" s="26"/>
      <c r="W1037" s="26" t="s">
        <v>175</v>
      </c>
      <c r="X1037" s="26"/>
      <c r="Y1037" s="26"/>
      <c r="Z1037" s="26"/>
      <c r="AA1037" s="26" t="s">
        <v>1707</v>
      </c>
      <c r="AB1037" s="26" t="s">
        <v>173</v>
      </c>
      <c r="AC1037" s="26" t="s">
        <v>788</v>
      </c>
      <c r="AD1037" s="26"/>
      <c r="AE1037" s="26"/>
      <c r="AF1037" s="26"/>
      <c r="AG1037" s="26" t="s">
        <v>312</v>
      </c>
      <c r="AH1037" s="26" t="s">
        <v>217</v>
      </c>
      <c r="AI1037" s="26" t="s">
        <v>693</v>
      </c>
      <c r="AJ1037" s="26"/>
      <c r="AK1037" s="26"/>
      <c r="AL1037" s="26"/>
      <c r="AM1037" s="26" t="s">
        <v>222</v>
      </c>
      <c r="AN1037" s="26"/>
      <c r="AO1037" s="26"/>
      <c r="AP1037" s="26" t="s">
        <v>184</v>
      </c>
      <c r="AQ1037" s="26"/>
      <c r="AR1037" s="26"/>
      <c r="AS1037" s="26"/>
      <c r="AT1037" s="26"/>
      <c r="AY1037" s="42">
        <v>3160</v>
      </c>
      <c r="AZ1037" s="42">
        <v>3180</v>
      </c>
      <c r="CI1037" s="42">
        <v>0.96</v>
      </c>
      <c r="CJ1037" s="42">
        <v>1.53</v>
      </c>
      <c r="CK1037" s="26" t="s">
        <v>1155</v>
      </c>
      <c r="DP1037" s="47"/>
      <c r="DR1037" s="47"/>
      <c r="EL1037" s="26" t="s">
        <v>973</v>
      </c>
      <c r="EN1037" s="26">
        <v>49</v>
      </c>
    </row>
    <row r="1038" spans="1:144" s="35" customFormat="1" x14ac:dyDescent="0.25">
      <c r="A1038" s="35">
        <v>49</v>
      </c>
      <c r="B1038" s="35" t="s">
        <v>966</v>
      </c>
      <c r="C1038" s="35" t="s">
        <v>967</v>
      </c>
      <c r="D1038" s="35">
        <v>2000</v>
      </c>
      <c r="E1038" s="35">
        <v>1998</v>
      </c>
      <c r="F1038" s="35" t="s">
        <v>968</v>
      </c>
      <c r="G1038" s="35" t="s">
        <v>977</v>
      </c>
      <c r="H1038" s="35">
        <v>34.69</v>
      </c>
      <c r="I1038" s="35">
        <v>-86.88</v>
      </c>
      <c r="J1038" s="35">
        <v>181</v>
      </c>
      <c r="P1038" s="54" t="s">
        <v>189</v>
      </c>
      <c r="Q1038" s="54"/>
      <c r="R1038" s="54"/>
      <c r="S1038" s="54" t="s">
        <v>668</v>
      </c>
      <c r="W1038" s="35" t="s">
        <v>175</v>
      </c>
      <c r="AA1038" s="35" t="s">
        <v>1707</v>
      </c>
      <c r="AB1038" s="35" t="s">
        <v>173</v>
      </c>
      <c r="AC1038" s="35" t="s">
        <v>788</v>
      </c>
      <c r="AG1038" s="35" t="s">
        <v>969</v>
      </c>
      <c r="AH1038" s="35" t="s">
        <v>969</v>
      </c>
      <c r="AI1038" s="35" t="s">
        <v>252</v>
      </c>
      <c r="AM1038" s="35" t="s">
        <v>222</v>
      </c>
      <c r="AP1038" s="35" t="s">
        <v>184</v>
      </c>
      <c r="AY1038" s="35">
        <v>2510</v>
      </c>
      <c r="AZ1038" s="35">
        <v>2870</v>
      </c>
      <c r="CI1038" s="35">
        <v>0.73</v>
      </c>
      <c r="CJ1038" s="35">
        <v>0.48</v>
      </c>
      <c r="CK1038" s="35" t="s">
        <v>1155</v>
      </c>
      <c r="EL1038" s="35" t="s">
        <v>973</v>
      </c>
      <c r="EN1038" s="35">
        <v>49</v>
      </c>
    </row>
    <row r="1039" spans="1:144" s="35" customFormat="1" x14ac:dyDescent="0.25">
      <c r="A1039" s="35">
        <v>49</v>
      </c>
      <c r="B1039" s="35" t="s">
        <v>966</v>
      </c>
      <c r="C1039" s="35" t="s">
        <v>967</v>
      </c>
      <c r="D1039" s="35">
        <v>2000</v>
      </c>
      <c r="E1039" s="35">
        <v>1998</v>
      </c>
      <c r="F1039" s="35" t="s">
        <v>968</v>
      </c>
      <c r="G1039" s="35" t="s">
        <v>977</v>
      </c>
      <c r="H1039" s="35">
        <v>34.69</v>
      </c>
      <c r="I1039" s="35">
        <v>-86.88</v>
      </c>
      <c r="J1039" s="35">
        <v>181</v>
      </c>
      <c r="P1039" s="54" t="s">
        <v>189</v>
      </c>
      <c r="Q1039" s="54"/>
      <c r="R1039" s="54"/>
      <c r="S1039" s="54" t="s">
        <v>668</v>
      </c>
      <c r="W1039" s="35" t="s">
        <v>175</v>
      </c>
      <c r="AA1039" s="35" t="s">
        <v>1707</v>
      </c>
      <c r="AB1039" s="35" t="s">
        <v>173</v>
      </c>
      <c r="AC1039" s="35" t="s">
        <v>788</v>
      </c>
      <c r="AG1039" s="35" t="s">
        <v>970</v>
      </c>
      <c r="AH1039" s="35" t="s">
        <v>970</v>
      </c>
      <c r="AI1039" s="35" t="s">
        <v>252</v>
      </c>
      <c r="AM1039" s="35" t="s">
        <v>222</v>
      </c>
      <c r="AP1039" s="35" t="s">
        <v>184</v>
      </c>
      <c r="AY1039" s="35">
        <v>2240</v>
      </c>
      <c r="AZ1039" s="35">
        <v>2640</v>
      </c>
      <c r="CI1039" s="35">
        <v>0.56999999999999995</v>
      </c>
      <c r="CJ1039" s="35">
        <v>0.56999999999999995</v>
      </c>
      <c r="CK1039" s="35" t="s">
        <v>1155</v>
      </c>
      <c r="EL1039" s="35" t="s">
        <v>973</v>
      </c>
      <c r="EN1039" s="35">
        <v>49</v>
      </c>
    </row>
    <row r="1040" spans="1:144" s="35" customFormat="1" x14ac:dyDescent="0.25">
      <c r="A1040" s="35">
        <v>49</v>
      </c>
      <c r="B1040" s="35" t="s">
        <v>966</v>
      </c>
      <c r="C1040" s="35" t="s">
        <v>967</v>
      </c>
      <c r="D1040" s="35">
        <v>2000</v>
      </c>
      <c r="E1040" s="35">
        <v>1998</v>
      </c>
      <c r="F1040" s="35" t="s">
        <v>968</v>
      </c>
      <c r="G1040" s="35" t="s">
        <v>977</v>
      </c>
      <c r="H1040" s="35">
        <v>34.69</v>
      </c>
      <c r="I1040" s="35">
        <v>-86.88</v>
      </c>
      <c r="J1040" s="35">
        <v>181</v>
      </c>
      <c r="P1040" s="54" t="s">
        <v>189</v>
      </c>
      <c r="Q1040" s="54"/>
      <c r="R1040" s="54"/>
      <c r="S1040" s="54" t="s">
        <v>668</v>
      </c>
      <c r="W1040" s="35" t="s">
        <v>175</v>
      </c>
      <c r="AA1040" s="35" t="s">
        <v>1707</v>
      </c>
      <c r="AB1040" s="35" t="s">
        <v>173</v>
      </c>
      <c r="AC1040" s="35" t="s">
        <v>788</v>
      </c>
      <c r="AG1040" s="35" t="s">
        <v>971</v>
      </c>
      <c r="AH1040" s="35" t="s">
        <v>971</v>
      </c>
      <c r="AI1040" s="35" t="s">
        <v>252</v>
      </c>
      <c r="AM1040" s="35" t="s">
        <v>222</v>
      </c>
      <c r="AP1040" s="35" t="s">
        <v>184</v>
      </c>
      <c r="AY1040" s="35">
        <v>2410</v>
      </c>
      <c r="AZ1040" s="35">
        <v>2830</v>
      </c>
      <c r="EL1040" s="35" t="s">
        <v>973</v>
      </c>
      <c r="EN1040" s="35">
        <v>49</v>
      </c>
    </row>
    <row r="1041" spans="1:144" s="35" customFormat="1" x14ac:dyDescent="0.25">
      <c r="A1041" s="35">
        <v>49</v>
      </c>
      <c r="B1041" s="35" t="s">
        <v>966</v>
      </c>
      <c r="C1041" s="35" t="s">
        <v>967</v>
      </c>
      <c r="D1041" s="35">
        <v>2000</v>
      </c>
      <c r="E1041" s="35">
        <v>1998</v>
      </c>
      <c r="F1041" s="35" t="s">
        <v>968</v>
      </c>
      <c r="G1041" s="35" t="s">
        <v>977</v>
      </c>
      <c r="H1041" s="35">
        <v>34.69</v>
      </c>
      <c r="I1041" s="35">
        <v>-86.88</v>
      </c>
      <c r="J1041" s="35">
        <v>181</v>
      </c>
      <c r="P1041" s="54" t="s">
        <v>189</v>
      </c>
      <c r="Q1041" s="54"/>
      <c r="R1041" s="54"/>
      <c r="S1041" s="54" t="s">
        <v>668</v>
      </c>
      <c r="W1041" s="35" t="s">
        <v>175</v>
      </c>
      <c r="AA1041" s="35" t="s">
        <v>1707</v>
      </c>
      <c r="AB1041" s="35" t="s">
        <v>173</v>
      </c>
      <c r="AC1041" s="35" t="s">
        <v>788</v>
      </c>
      <c r="AG1041" s="35" t="s">
        <v>972</v>
      </c>
      <c r="AH1041" s="35" t="s">
        <v>972</v>
      </c>
      <c r="AI1041" s="35" t="s">
        <v>252</v>
      </c>
      <c r="AM1041" s="35" t="s">
        <v>222</v>
      </c>
      <c r="AP1041" s="35" t="s">
        <v>184</v>
      </c>
      <c r="AY1041" s="35">
        <v>2370</v>
      </c>
      <c r="AZ1041" s="35">
        <v>2780</v>
      </c>
      <c r="EL1041" s="35" t="s">
        <v>973</v>
      </c>
      <c r="EN1041" s="35">
        <v>49</v>
      </c>
    </row>
    <row r="1042" spans="1:144" s="35" customFormat="1" x14ac:dyDescent="0.25">
      <c r="A1042" s="35">
        <v>49</v>
      </c>
      <c r="B1042" s="35" t="s">
        <v>966</v>
      </c>
      <c r="C1042" s="35" t="s">
        <v>967</v>
      </c>
      <c r="D1042" s="35">
        <v>2000</v>
      </c>
      <c r="E1042" s="35">
        <v>1998</v>
      </c>
      <c r="F1042" s="35" t="s">
        <v>968</v>
      </c>
      <c r="G1042" s="35" t="s">
        <v>977</v>
      </c>
      <c r="H1042" s="35">
        <v>34.69</v>
      </c>
      <c r="I1042" s="35">
        <v>-86.88</v>
      </c>
      <c r="J1042" s="35">
        <v>181</v>
      </c>
      <c r="P1042" s="54" t="s">
        <v>189</v>
      </c>
      <c r="Q1042" s="54"/>
      <c r="R1042" s="54"/>
      <c r="S1042" s="54" t="s">
        <v>668</v>
      </c>
      <c r="W1042" s="35" t="s">
        <v>175</v>
      </c>
      <c r="AA1042" s="35" t="s">
        <v>1707</v>
      </c>
      <c r="AB1042" s="35" t="s">
        <v>173</v>
      </c>
      <c r="AC1042" s="35" t="s">
        <v>788</v>
      </c>
      <c r="AG1042" s="35" t="s">
        <v>217</v>
      </c>
      <c r="AH1042" s="35" t="s">
        <v>217</v>
      </c>
      <c r="AI1042" s="35" t="s">
        <v>252</v>
      </c>
      <c r="AM1042" s="35" t="s">
        <v>222</v>
      </c>
      <c r="AP1042" s="35" t="s">
        <v>184</v>
      </c>
      <c r="AY1042" s="35">
        <v>2620</v>
      </c>
      <c r="AZ1042" s="35">
        <v>2830</v>
      </c>
      <c r="CI1042" s="35">
        <v>1.49</v>
      </c>
      <c r="CJ1042" s="35">
        <v>1.55</v>
      </c>
      <c r="CK1042" s="35" t="s">
        <v>1155</v>
      </c>
      <c r="EL1042" s="35" t="s">
        <v>973</v>
      </c>
      <c r="EN1042" s="35">
        <v>49</v>
      </c>
    </row>
    <row r="1043" spans="1:144" s="35" customFormat="1" x14ac:dyDescent="0.25">
      <c r="A1043" s="35">
        <v>49</v>
      </c>
      <c r="B1043" s="35" t="s">
        <v>966</v>
      </c>
      <c r="C1043" s="35" t="s">
        <v>967</v>
      </c>
      <c r="D1043" s="35">
        <v>2000</v>
      </c>
      <c r="E1043" s="35">
        <v>1998</v>
      </c>
      <c r="F1043" s="35" t="s">
        <v>968</v>
      </c>
      <c r="G1043" s="35" t="s">
        <v>977</v>
      </c>
      <c r="H1043" s="35">
        <v>34.69</v>
      </c>
      <c r="I1043" s="35">
        <v>-86.88</v>
      </c>
      <c r="J1043" s="35">
        <v>181</v>
      </c>
      <c r="P1043" s="54" t="s">
        <v>189</v>
      </c>
      <c r="Q1043" s="54"/>
      <c r="R1043" s="54"/>
      <c r="S1043" s="54" t="s">
        <v>668</v>
      </c>
      <c r="W1043" s="35" t="s">
        <v>175</v>
      </c>
      <c r="AA1043" s="35" t="s">
        <v>1707</v>
      </c>
      <c r="AB1043" s="35" t="s">
        <v>173</v>
      </c>
      <c r="AC1043" s="35" t="s">
        <v>788</v>
      </c>
      <c r="AG1043" s="35" t="s">
        <v>312</v>
      </c>
      <c r="AH1043" s="35" t="s">
        <v>217</v>
      </c>
      <c r="AI1043" s="35" t="s">
        <v>693</v>
      </c>
      <c r="AM1043" s="35" t="s">
        <v>222</v>
      </c>
      <c r="AP1043" s="35" t="s">
        <v>184</v>
      </c>
      <c r="AY1043" s="35">
        <v>2480</v>
      </c>
      <c r="AZ1043" s="35">
        <v>2830</v>
      </c>
      <c r="CI1043" s="35">
        <v>1.01</v>
      </c>
      <c r="CJ1043" s="35">
        <v>1.55</v>
      </c>
      <c r="CK1043" s="35" t="s">
        <v>1155</v>
      </c>
      <c r="EL1043" s="35" t="s">
        <v>973</v>
      </c>
      <c r="EN1043" s="35">
        <v>49</v>
      </c>
    </row>
    <row r="1044" spans="1:144" s="5" customFormat="1" x14ac:dyDescent="0.25">
      <c r="A1044" s="5">
        <v>50</v>
      </c>
      <c r="B1044" s="5" t="s">
        <v>974</v>
      </c>
      <c r="C1044" s="5" t="s">
        <v>975</v>
      </c>
      <c r="D1044" s="5">
        <v>2000</v>
      </c>
      <c r="E1044" s="5">
        <v>1995</v>
      </c>
      <c r="F1044" s="5" t="s">
        <v>976</v>
      </c>
      <c r="H1044" s="5">
        <v>41.84</v>
      </c>
      <c r="I1044" s="5">
        <v>-85.68</v>
      </c>
      <c r="J1044" s="5">
        <v>244</v>
      </c>
      <c r="P1044" s="62" t="s">
        <v>186</v>
      </c>
      <c r="Q1044" s="62"/>
      <c r="R1044" s="62"/>
      <c r="S1044" s="62" t="s">
        <v>771</v>
      </c>
      <c r="W1044" s="5" t="s">
        <v>321</v>
      </c>
      <c r="AA1044" s="5" t="s">
        <v>1708</v>
      </c>
      <c r="AB1044" s="5" t="s">
        <v>173</v>
      </c>
      <c r="AC1044" s="5" t="s">
        <v>174</v>
      </c>
      <c r="AJ1044" s="5" t="s">
        <v>978</v>
      </c>
      <c r="AK1044" s="5" t="s">
        <v>978</v>
      </c>
      <c r="AL1044" s="5" t="s">
        <v>252</v>
      </c>
      <c r="AM1044" s="5" t="s">
        <v>222</v>
      </c>
      <c r="AT1044" s="64"/>
      <c r="AU1044" s="5" t="s">
        <v>980</v>
      </c>
      <c r="AY1044" s="5">
        <v>1308</v>
      </c>
      <c r="AZ1044" s="5">
        <v>1188</v>
      </c>
      <c r="BH1044" s="5">
        <v>3.66</v>
      </c>
      <c r="BI1044" s="5">
        <v>1.62</v>
      </c>
      <c r="BJ1044" s="5" t="s">
        <v>982</v>
      </c>
      <c r="CU1044" s="5">
        <v>92.38</v>
      </c>
      <c r="CV1044" s="5">
        <v>66.83</v>
      </c>
      <c r="CW1044" s="5" t="s">
        <v>989</v>
      </c>
      <c r="DP1044" s="46"/>
      <c r="DR1044" s="46"/>
      <c r="EL1044" s="5" t="s">
        <v>981</v>
      </c>
      <c r="EN1044" s="5">
        <v>50</v>
      </c>
    </row>
    <row r="1045" spans="1:144" s="5" customFormat="1" x14ac:dyDescent="0.25">
      <c r="A1045" s="5">
        <v>50</v>
      </c>
      <c r="B1045" s="5" t="s">
        <v>974</v>
      </c>
      <c r="C1045" s="5" t="s">
        <v>975</v>
      </c>
      <c r="D1045" s="5">
        <v>2000</v>
      </c>
      <c r="E1045" s="5">
        <v>1995</v>
      </c>
      <c r="F1045" s="5" t="s">
        <v>976</v>
      </c>
      <c r="H1045" s="5">
        <v>41.84</v>
      </c>
      <c r="I1045" s="5">
        <v>-85.68</v>
      </c>
      <c r="J1045" s="5">
        <v>244</v>
      </c>
      <c r="P1045" s="62" t="s">
        <v>186</v>
      </c>
      <c r="Q1045" s="62"/>
      <c r="R1045" s="62"/>
      <c r="S1045" s="62" t="s">
        <v>771</v>
      </c>
      <c r="W1045" s="5" t="s">
        <v>321</v>
      </c>
      <c r="AA1045" s="5" t="s">
        <v>1708</v>
      </c>
      <c r="AB1045" s="5" t="s">
        <v>173</v>
      </c>
      <c r="AC1045" s="5" t="s">
        <v>174</v>
      </c>
      <c r="AJ1045" s="5" t="s">
        <v>979</v>
      </c>
      <c r="AK1045" s="5" t="s">
        <v>979</v>
      </c>
      <c r="AL1045" s="5" t="s">
        <v>252</v>
      </c>
      <c r="AM1045" s="5" t="s">
        <v>222</v>
      </c>
      <c r="AT1045" s="64"/>
      <c r="AU1045" s="5" t="s">
        <v>980</v>
      </c>
      <c r="AY1045" s="5">
        <v>1167</v>
      </c>
      <c r="AZ1045" s="5">
        <v>1156</v>
      </c>
      <c r="BH1045" s="5">
        <v>2.5299999999999998</v>
      </c>
      <c r="BI1045" s="5">
        <v>2.78</v>
      </c>
      <c r="BJ1045" s="5" t="s">
        <v>982</v>
      </c>
      <c r="DP1045" s="46"/>
      <c r="DR1045" s="46"/>
      <c r="EL1045" s="5" t="s">
        <v>981</v>
      </c>
      <c r="EN1045" s="5">
        <v>50</v>
      </c>
    </row>
    <row r="1046" spans="1:144" s="31" customFormat="1" x14ac:dyDescent="0.25">
      <c r="A1046" s="31">
        <v>50</v>
      </c>
      <c r="B1046" s="31" t="s">
        <v>974</v>
      </c>
      <c r="C1046" s="31" t="s">
        <v>975</v>
      </c>
      <c r="D1046" s="31">
        <v>2000</v>
      </c>
      <c r="E1046" s="31">
        <v>1996</v>
      </c>
      <c r="F1046" s="31" t="s">
        <v>976</v>
      </c>
      <c r="H1046" s="31">
        <v>41.84</v>
      </c>
      <c r="I1046" s="31">
        <v>-85.68</v>
      </c>
      <c r="J1046" s="31">
        <v>244</v>
      </c>
      <c r="P1046" s="56" t="s">
        <v>187</v>
      </c>
      <c r="Q1046" s="56"/>
      <c r="R1046" s="56"/>
      <c r="S1046" s="56" t="s">
        <v>771</v>
      </c>
      <c r="W1046" s="31" t="s">
        <v>321</v>
      </c>
      <c r="AA1046" s="31" t="s">
        <v>1708</v>
      </c>
      <c r="AB1046" s="31" t="s">
        <v>173</v>
      </c>
      <c r="AC1046" s="31" t="s">
        <v>174</v>
      </c>
      <c r="AJ1046" s="31" t="s">
        <v>978</v>
      </c>
      <c r="AK1046" s="31" t="s">
        <v>978</v>
      </c>
      <c r="AL1046" s="31" t="s">
        <v>252</v>
      </c>
      <c r="AM1046" s="31" t="s">
        <v>222</v>
      </c>
      <c r="AR1046" s="31">
        <v>754</v>
      </c>
      <c r="AS1046" s="31">
        <f>AR1046/20</f>
        <v>37.700000000000003</v>
      </c>
      <c r="AU1046" s="5" t="s">
        <v>980</v>
      </c>
      <c r="AY1046" s="31">
        <v>5047</v>
      </c>
      <c r="AZ1046" s="31">
        <v>5328</v>
      </c>
      <c r="BH1046" s="31">
        <v>2.71</v>
      </c>
      <c r="BI1046" s="31">
        <v>3.21</v>
      </c>
      <c r="BJ1046" s="31" t="s">
        <v>982</v>
      </c>
      <c r="CU1046" s="31">
        <v>55.75</v>
      </c>
      <c r="CV1046" s="31">
        <v>15.9</v>
      </c>
      <c r="CW1046" s="31" t="s">
        <v>989</v>
      </c>
      <c r="EL1046" s="5" t="s">
        <v>981</v>
      </c>
      <c r="EN1046" s="31">
        <v>50</v>
      </c>
    </row>
    <row r="1047" spans="1:144" s="31" customFormat="1" x14ac:dyDescent="0.25">
      <c r="A1047" s="31">
        <v>50</v>
      </c>
      <c r="B1047" s="31" t="s">
        <v>974</v>
      </c>
      <c r="C1047" s="31" t="s">
        <v>975</v>
      </c>
      <c r="D1047" s="31">
        <v>2000</v>
      </c>
      <c r="E1047" s="31">
        <v>1996</v>
      </c>
      <c r="F1047" s="31" t="s">
        <v>976</v>
      </c>
      <c r="H1047" s="31">
        <v>41.84</v>
      </c>
      <c r="I1047" s="31">
        <v>-85.68</v>
      </c>
      <c r="J1047" s="31">
        <v>244</v>
      </c>
      <c r="P1047" s="56" t="s">
        <v>187</v>
      </c>
      <c r="Q1047" s="56"/>
      <c r="R1047" s="56"/>
      <c r="S1047" s="56" t="s">
        <v>771</v>
      </c>
      <c r="W1047" s="31" t="s">
        <v>321</v>
      </c>
      <c r="AA1047" s="31" t="s">
        <v>1708</v>
      </c>
      <c r="AB1047" s="31" t="s">
        <v>173</v>
      </c>
      <c r="AC1047" s="31" t="s">
        <v>174</v>
      </c>
      <c r="AJ1047" s="31" t="s">
        <v>979</v>
      </c>
      <c r="AK1047" s="31" t="s">
        <v>979</v>
      </c>
      <c r="AL1047" s="31" t="s">
        <v>252</v>
      </c>
      <c r="AM1047" s="31" t="s">
        <v>222</v>
      </c>
      <c r="AR1047" s="31">
        <v>1763</v>
      </c>
      <c r="AS1047" s="31">
        <f>AR1047/45.4</f>
        <v>38.832599118942731</v>
      </c>
      <c r="AU1047" s="5" t="s">
        <v>980</v>
      </c>
      <c r="AY1047" s="31">
        <v>6211</v>
      </c>
      <c r="AZ1047" s="31">
        <v>5632</v>
      </c>
      <c r="BH1047" s="31">
        <v>4.6100000000000003</v>
      </c>
      <c r="BI1047" s="31">
        <v>3.06</v>
      </c>
      <c r="BJ1047" s="31" t="s">
        <v>982</v>
      </c>
      <c r="EL1047" s="5" t="s">
        <v>981</v>
      </c>
      <c r="EN1047" s="31">
        <v>50</v>
      </c>
    </row>
    <row r="1048" spans="1:144" s="5" customFormat="1" x14ac:dyDescent="0.25">
      <c r="A1048" s="5">
        <v>50</v>
      </c>
      <c r="B1048" s="5" t="s">
        <v>974</v>
      </c>
      <c r="C1048" s="5" t="s">
        <v>975</v>
      </c>
      <c r="D1048" s="5">
        <v>2000</v>
      </c>
      <c r="E1048" s="5">
        <v>1997</v>
      </c>
      <c r="F1048" s="5" t="s">
        <v>976</v>
      </c>
      <c r="H1048" s="5">
        <v>41.84</v>
      </c>
      <c r="I1048" s="5">
        <v>-85.68</v>
      </c>
      <c r="J1048" s="5">
        <v>244</v>
      </c>
      <c r="P1048" s="62" t="s">
        <v>188</v>
      </c>
      <c r="Q1048" s="62"/>
      <c r="R1048" s="62"/>
      <c r="S1048" s="62" t="s">
        <v>771</v>
      </c>
      <c r="W1048" s="5" t="s">
        <v>321</v>
      </c>
      <c r="AA1048" s="5" t="s">
        <v>1708</v>
      </c>
      <c r="AB1048" s="5" t="s">
        <v>173</v>
      </c>
      <c r="AC1048" s="5" t="s">
        <v>174</v>
      </c>
      <c r="AJ1048" s="5" t="s">
        <v>978</v>
      </c>
      <c r="AK1048" s="5" t="s">
        <v>978</v>
      </c>
      <c r="AL1048" s="5" t="s">
        <v>252</v>
      </c>
      <c r="AM1048" s="5" t="s">
        <v>222</v>
      </c>
      <c r="AR1048" s="5">
        <v>1173</v>
      </c>
      <c r="AS1048" s="5">
        <f>AR1048/40</f>
        <v>29.324999999999999</v>
      </c>
      <c r="AT1048" s="64"/>
      <c r="AU1048" s="5" t="s">
        <v>980</v>
      </c>
      <c r="AY1048" s="5">
        <v>2928</v>
      </c>
      <c r="AZ1048" s="5">
        <v>3002</v>
      </c>
      <c r="BH1048" s="5">
        <v>2.93</v>
      </c>
      <c r="BI1048" s="5">
        <v>3.59</v>
      </c>
      <c r="BJ1048" s="5" t="s">
        <v>982</v>
      </c>
      <c r="CU1048" s="5">
        <v>80.08</v>
      </c>
      <c r="CV1048" s="5">
        <v>25.81</v>
      </c>
      <c r="CW1048" s="5" t="s">
        <v>989</v>
      </c>
      <c r="DP1048" s="46"/>
      <c r="DR1048" s="46"/>
      <c r="EL1048" s="5" t="s">
        <v>981</v>
      </c>
      <c r="EN1048" s="5">
        <v>50</v>
      </c>
    </row>
    <row r="1049" spans="1:144" s="5" customFormat="1" x14ac:dyDescent="0.25">
      <c r="A1049" s="5">
        <v>50</v>
      </c>
      <c r="B1049" s="5" t="s">
        <v>974</v>
      </c>
      <c r="C1049" s="5" t="s">
        <v>975</v>
      </c>
      <c r="D1049" s="5">
        <v>2000</v>
      </c>
      <c r="E1049" s="5">
        <v>1997</v>
      </c>
      <c r="F1049" s="5" t="s">
        <v>976</v>
      </c>
      <c r="H1049" s="5">
        <v>41.84</v>
      </c>
      <c r="I1049" s="5">
        <v>-85.68</v>
      </c>
      <c r="J1049" s="5">
        <v>244</v>
      </c>
      <c r="P1049" s="62" t="s">
        <v>188</v>
      </c>
      <c r="Q1049" s="62"/>
      <c r="R1049" s="62"/>
      <c r="S1049" s="62" t="s">
        <v>771</v>
      </c>
      <c r="W1049" s="5" t="s">
        <v>321</v>
      </c>
      <c r="AA1049" s="5" t="s">
        <v>1708</v>
      </c>
      <c r="AB1049" s="5" t="s">
        <v>173</v>
      </c>
      <c r="AC1049" s="5" t="s">
        <v>174</v>
      </c>
      <c r="AJ1049" s="5" t="s">
        <v>979</v>
      </c>
      <c r="AK1049" s="5" t="s">
        <v>979</v>
      </c>
      <c r="AL1049" s="5" t="s">
        <v>252</v>
      </c>
      <c r="AM1049" s="5" t="s">
        <v>222</v>
      </c>
      <c r="AR1049" s="5">
        <v>2010</v>
      </c>
      <c r="AS1049" s="5">
        <f>AR1049/56</f>
        <v>35.892857142857146</v>
      </c>
      <c r="AT1049" s="64"/>
      <c r="AU1049" s="5" t="s">
        <v>980</v>
      </c>
      <c r="AY1049" s="5">
        <v>3407</v>
      </c>
      <c r="AZ1049" s="5">
        <v>3622</v>
      </c>
      <c r="BH1049" s="5">
        <v>3.27</v>
      </c>
      <c r="BI1049" s="5">
        <v>2.96</v>
      </c>
      <c r="BJ1049" s="5" t="s">
        <v>982</v>
      </c>
      <c r="DP1049" s="46"/>
      <c r="DR1049" s="46"/>
      <c r="EL1049" s="5" t="s">
        <v>981</v>
      </c>
      <c r="EN1049" s="5">
        <v>50</v>
      </c>
    </row>
    <row r="1050" spans="1:144" s="5" customFormat="1" x14ac:dyDescent="0.25">
      <c r="A1050" s="5">
        <v>50</v>
      </c>
      <c r="B1050" s="5" t="s">
        <v>974</v>
      </c>
      <c r="C1050" s="5" t="s">
        <v>975</v>
      </c>
      <c r="D1050" s="5">
        <v>2000</v>
      </c>
      <c r="E1050" s="5">
        <v>1995</v>
      </c>
      <c r="F1050" s="5" t="s">
        <v>976</v>
      </c>
      <c r="H1050" s="5">
        <v>41.84</v>
      </c>
      <c r="I1050" s="5">
        <v>-85.68</v>
      </c>
      <c r="J1050" s="5">
        <v>244</v>
      </c>
      <c r="P1050" s="62" t="s">
        <v>186</v>
      </c>
      <c r="Q1050" s="62"/>
      <c r="R1050" s="62"/>
      <c r="S1050" s="62" t="s">
        <v>986</v>
      </c>
      <c r="W1050" s="5" t="s">
        <v>321</v>
      </c>
      <c r="AA1050" s="5" t="s">
        <v>1708</v>
      </c>
      <c r="AB1050" s="5" t="s">
        <v>173</v>
      </c>
      <c r="AC1050" s="5" t="s">
        <v>174</v>
      </c>
      <c r="AJ1050" s="5" t="s">
        <v>978</v>
      </c>
      <c r="AK1050" s="5" t="s">
        <v>978</v>
      </c>
      <c r="AL1050" s="5" t="s">
        <v>252</v>
      </c>
      <c r="AM1050" s="5" t="s">
        <v>222</v>
      </c>
      <c r="AT1050" s="64"/>
      <c r="AU1050" s="5" t="s">
        <v>983</v>
      </c>
      <c r="BH1050" s="5">
        <v>4.5</v>
      </c>
      <c r="BI1050" s="5">
        <v>2.27</v>
      </c>
      <c r="BJ1050" s="5" t="s">
        <v>982</v>
      </c>
      <c r="DP1050" s="46"/>
      <c r="DR1050" s="46"/>
      <c r="EL1050" s="5" t="s">
        <v>981</v>
      </c>
      <c r="EN1050" s="5">
        <v>50</v>
      </c>
    </row>
    <row r="1051" spans="1:144" s="5" customFormat="1" x14ac:dyDescent="0.25">
      <c r="A1051" s="5">
        <v>50</v>
      </c>
      <c r="B1051" s="5" t="s">
        <v>974</v>
      </c>
      <c r="C1051" s="5" t="s">
        <v>975</v>
      </c>
      <c r="D1051" s="5">
        <v>2000</v>
      </c>
      <c r="E1051" s="5">
        <v>1995</v>
      </c>
      <c r="F1051" s="5" t="s">
        <v>976</v>
      </c>
      <c r="H1051" s="5">
        <v>41.84</v>
      </c>
      <c r="I1051" s="5">
        <v>-85.68</v>
      </c>
      <c r="J1051" s="5">
        <v>244</v>
      </c>
      <c r="P1051" s="62" t="s">
        <v>186</v>
      </c>
      <c r="Q1051" s="62"/>
      <c r="R1051" s="62"/>
      <c r="S1051" s="62" t="s">
        <v>986</v>
      </c>
      <c r="W1051" s="5" t="s">
        <v>321</v>
      </c>
      <c r="AA1051" s="5" t="s">
        <v>1708</v>
      </c>
      <c r="AB1051" s="5" t="s">
        <v>173</v>
      </c>
      <c r="AC1051" s="5" t="s">
        <v>174</v>
      </c>
      <c r="AJ1051" s="5" t="s">
        <v>979</v>
      </c>
      <c r="AK1051" s="5" t="s">
        <v>979</v>
      </c>
      <c r="AL1051" s="5" t="s">
        <v>252</v>
      </c>
      <c r="AM1051" s="5" t="s">
        <v>222</v>
      </c>
      <c r="AT1051" s="64"/>
      <c r="AU1051" s="5" t="s">
        <v>983</v>
      </c>
      <c r="BH1051" s="5">
        <v>8.07</v>
      </c>
      <c r="BI1051" s="5">
        <v>7</v>
      </c>
      <c r="BJ1051" s="5" t="s">
        <v>982</v>
      </c>
      <c r="DP1051" s="46"/>
      <c r="DR1051" s="46"/>
      <c r="EL1051" s="5" t="s">
        <v>981</v>
      </c>
      <c r="EN1051" s="5">
        <v>50</v>
      </c>
    </row>
    <row r="1052" spans="1:144" s="31" customFormat="1" x14ac:dyDescent="0.25">
      <c r="A1052" s="31">
        <v>50</v>
      </c>
      <c r="B1052" s="31" t="s">
        <v>974</v>
      </c>
      <c r="C1052" s="31" t="s">
        <v>975</v>
      </c>
      <c r="D1052" s="31">
        <v>2000</v>
      </c>
      <c r="E1052" s="31">
        <v>1996</v>
      </c>
      <c r="F1052" s="31" t="s">
        <v>976</v>
      </c>
      <c r="H1052" s="31">
        <v>41.84</v>
      </c>
      <c r="I1052" s="31">
        <v>-85.68</v>
      </c>
      <c r="J1052" s="31">
        <v>244</v>
      </c>
      <c r="P1052" s="56" t="s">
        <v>187</v>
      </c>
      <c r="Q1052" s="56"/>
      <c r="R1052" s="56"/>
      <c r="S1052" s="56" t="s">
        <v>986</v>
      </c>
      <c r="W1052" s="31" t="s">
        <v>321</v>
      </c>
      <c r="AA1052" s="31" t="s">
        <v>1708</v>
      </c>
      <c r="AB1052" s="31" t="s">
        <v>173</v>
      </c>
      <c r="AC1052" s="31" t="s">
        <v>174</v>
      </c>
      <c r="AJ1052" s="31" t="s">
        <v>978</v>
      </c>
      <c r="AK1052" s="31" t="s">
        <v>978</v>
      </c>
      <c r="AL1052" s="31" t="s">
        <v>252</v>
      </c>
      <c r="AM1052" s="31" t="s">
        <v>222</v>
      </c>
      <c r="AR1052" s="31">
        <v>754</v>
      </c>
      <c r="AS1052" s="31">
        <f>AR1052/20</f>
        <v>37.700000000000003</v>
      </c>
      <c r="AU1052" s="31" t="s">
        <v>983</v>
      </c>
      <c r="BH1052" s="31">
        <v>1.27</v>
      </c>
      <c r="BI1052" s="31">
        <v>2.19</v>
      </c>
      <c r="BJ1052" s="31" t="s">
        <v>982</v>
      </c>
      <c r="EL1052" s="5" t="s">
        <v>981</v>
      </c>
      <c r="EN1052" s="31">
        <v>50</v>
      </c>
    </row>
    <row r="1053" spans="1:144" s="31" customFormat="1" x14ac:dyDescent="0.25">
      <c r="A1053" s="31">
        <v>50</v>
      </c>
      <c r="B1053" s="31" t="s">
        <v>974</v>
      </c>
      <c r="C1053" s="31" t="s">
        <v>975</v>
      </c>
      <c r="D1053" s="31">
        <v>2000</v>
      </c>
      <c r="E1053" s="31">
        <v>1996</v>
      </c>
      <c r="F1053" s="31" t="s">
        <v>976</v>
      </c>
      <c r="H1053" s="31">
        <v>41.84</v>
      </c>
      <c r="I1053" s="31">
        <v>-85.68</v>
      </c>
      <c r="J1053" s="31">
        <v>244</v>
      </c>
      <c r="P1053" s="56" t="s">
        <v>187</v>
      </c>
      <c r="Q1053" s="56"/>
      <c r="R1053" s="56"/>
      <c r="S1053" s="56" t="s">
        <v>986</v>
      </c>
      <c r="W1053" s="31" t="s">
        <v>321</v>
      </c>
      <c r="AA1053" s="31" t="s">
        <v>1708</v>
      </c>
      <c r="AB1053" s="31" t="s">
        <v>173</v>
      </c>
      <c r="AC1053" s="31" t="s">
        <v>174</v>
      </c>
      <c r="AJ1053" s="31" t="s">
        <v>979</v>
      </c>
      <c r="AK1053" s="31" t="s">
        <v>979</v>
      </c>
      <c r="AL1053" s="31" t="s">
        <v>252</v>
      </c>
      <c r="AM1053" s="31" t="s">
        <v>222</v>
      </c>
      <c r="AR1053" s="31">
        <v>1763</v>
      </c>
      <c r="AS1053" s="31">
        <f>AR1053/45.4</f>
        <v>38.832599118942731</v>
      </c>
      <c r="AU1053" s="31" t="s">
        <v>983</v>
      </c>
      <c r="BH1053" s="31">
        <v>2.0299999999999998</v>
      </c>
      <c r="BI1053" s="31">
        <v>1.62</v>
      </c>
      <c r="BJ1053" s="31" t="s">
        <v>982</v>
      </c>
      <c r="EL1053" s="5" t="s">
        <v>981</v>
      </c>
      <c r="EN1053" s="31">
        <v>50</v>
      </c>
    </row>
    <row r="1054" spans="1:144" s="5" customFormat="1" x14ac:dyDescent="0.25">
      <c r="A1054" s="5">
        <v>50</v>
      </c>
      <c r="B1054" s="5" t="s">
        <v>974</v>
      </c>
      <c r="C1054" s="5" t="s">
        <v>975</v>
      </c>
      <c r="D1054" s="5">
        <v>2000</v>
      </c>
      <c r="E1054" s="5">
        <v>1997</v>
      </c>
      <c r="F1054" s="5" t="s">
        <v>976</v>
      </c>
      <c r="H1054" s="5">
        <v>41.84</v>
      </c>
      <c r="I1054" s="5">
        <v>-85.68</v>
      </c>
      <c r="J1054" s="5">
        <v>244</v>
      </c>
      <c r="P1054" s="62" t="s">
        <v>188</v>
      </c>
      <c r="Q1054" s="62"/>
      <c r="R1054" s="62"/>
      <c r="S1054" s="62" t="s">
        <v>986</v>
      </c>
      <c r="W1054" s="5" t="s">
        <v>321</v>
      </c>
      <c r="AA1054" s="5" t="s">
        <v>1708</v>
      </c>
      <c r="AB1054" s="5" t="s">
        <v>173</v>
      </c>
      <c r="AC1054" s="5" t="s">
        <v>174</v>
      </c>
      <c r="AJ1054" s="5" t="s">
        <v>978</v>
      </c>
      <c r="AK1054" s="5" t="s">
        <v>978</v>
      </c>
      <c r="AL1054" s="5" t="s">
        <v>252</v>
      </c>
      <c r="AM1054" s="5" t="s">
        <v>222</v>
      </c>
      <c r="AR1054" s="5">
        <v>1173</v>
      </c>
      <c r="AS1054" s="5">
        <f>AR1054/40</f>
        <v>29.324999999999999</v>
      </c>
      <c r="AT1054" s="64"/>
      <c r="AU1054" s="5" t="s">
        <v>983</v>
      </c>
      <c r="BH1054" s="5">
        <v>2.06</v>
      </c>
      <c r="BI1054" s="5">
        <v>2.31</v>
      </c>
      <c r="BJ1054" s="5" t="s">
        <v>982</v>
      </c>
      <c r="DP1054" s="46"/>
      <c r="DR1054" s="46"/>
      <c r="EL1054" s="5" t="s">
        <v>981</v>
      </c>
      <c r="EN1054" s="5">
        <v>50</v>
      </c>
    </row>
    <row r="1055" spans="1:144" s="5" customFormat="1" x14ac:dyDescent="0.25">
      <c r="A1055" s="5">
        <v>50</v>
      </c>
      <c r="B1055" s="5" t="s">
        <v>974</v>
      </c>
      <c r="C1055" s="5" t="s">
        <v>975</v>
      </c>
      <c r="D1055" s="5">
        <v>2000</v>
      </c>
      <c r="E1055" s="5">
        <v>1997</v>
      </c>
      <c r="F1055" s="5" t="s">
        <v>976</v>
      </c>
      <c r="H1055" s="5">
        <v>41.84</v>
      </c>
      <c r="I1055" s="5">
        <v>-85.68</v>
      </c>
      <c r="J1055" s="5">
        <v>244</v>
      </c>
      <c r="P1055" s="62" t="s">
        <v>188</v>
      </c>
      <c r="Q1055" s="62"/>
      <c r="R1055" s="62"/>
      <c r="S1055" s="62" t="s">
        <v>986</v>
      </c>
      <c r="W1055" s="5" t="s">
        <v>321</v>
      </c>
      <c r="AA1055" s="5" t="s">
        <v>1708</v>
      </c>
      <c r="AB1055" s="5" t="s">
        <v>173</v>
      </c>
      <c r="AC1055" s="5" t="s">
        <v>174</v>
      </c>
      <c r="AJ1055" s="5" t="s">
        <v>979</v>
      </c>
      <c r="AK1055" s="5" t="s">
        <v>979</v>
      </c>
      <c r="AL1055" s="5" t="s">
        <v>252</v>
      </c>
      <c r="AM1055" s="5" t="s">
        <v>222</v>
      </c>
      <c r="AR1055" s="5">
        <v>2010</v>
      </c>
      <c r="AS1055" s="5">
        <f>AR1055/56</f>
        <v>35.892857142857146</v>
      </c>
      <c r="AT1055" s="64"/>
      <c r="AU1055" s="5" t="s">
        <v>983</v>
      </c>
      <c r="BH1055" s="5">
        <v>2.3199999999999998</v>
      </c>
      <c r="BI1055" s="5">
        <v>2.82</v>
      </c>
      <c r="BJ1055" s="5" t="s">
        <v>982</v>
      </c>
      <c r="DP1055" s="46"/>
      <c r="DR1055" s="46"/>
      <c r="EL1055" s="5" t="s">
        <v>981</v>
      </c>
      <c r="EN1055" s="5">
        <v>50</v>
      </c>
    </row>
    <row r="1056" spans="1:144" s="5" customFormat="1" x14ac:dyDescent="0.25">
      <c r="A1056" s="5">
        <v>50</v>
      </c>
      <c r="B1056" s="5" t="s">
        <v>974</v>
      </c>
      <c r="C1056" s="5" t="s">
        <v>975</v>
      </c>
      <c r="D1056" s="5">
        <v>2000</v>
      </c>
      <c r="E1056" s="5">
        <v>1995</v>
      </c>
      <c r="F1056" s="5" t="s">
        <v>976</v>
      </c>
      <c r="H1056" s="5">
        <v>41.84</v>
      </c>
      <c r="I1056" s="5">
        <v>-85.68</v>
      </c>
      <c r="J1056" s="5">
        <v>244</v>
      </c>
      <c r="P1056" s="62" t="s">
        <v>186</v>
      </c>
      <c r="Q1056" s="62"/>
      <c r="R1056" s="62"/>
      <c r="S1056" s="62" t="s">
        <v>987</v>
      </c>
      <c r="W1056" s="5" t="s">
        <v>321</v>
      </c>
      <c r="AA1056" s="5" t="s">
        <v>1708</v>
      </c>
      <c r="AB1056" s="5" t="s">
        <v>173</v>
      </c>
      <c r="AC1056" s="5" t="s">
        <v>174</v>
      </c>
      <c r="AJ1056" s="5" t="s">
        <v>978</v>
      </c>
      <c r="AK1056" s="5" t="s">
        <v>978</v>
      </c>
      <c r="AL1056" s="5" t="s">
        <v>252</v>
      </c>
      <c r="AM1056" s="5" t="s">
        <v>222</v>
      </c>
      <c r="AT1056" s="64"/>
      <c r="AU1056" s="5" t="s">
        <v>984</v>
      </c>
      <c r="BH1056" s="5">
        <v>4.45</v>
      </c>
      <c r="BI1056" s="5">
        <v>2.08</v>
      </c>
      <c r="BJ1056" s="5" t="s">
        <v>982</v>
      </c>
      <c r="DP1056" s="46"/>
      <c r="DR1056" s="46"/>
      <c r="EL1056" s="5" t="s">
        <v>981</v>
      </c>
      <c r="EN1056" s="5">
        <v>50</v>
      </c>
    </row>
    <row r="1057" spans="1:144" s="5" customFormat="1" x14ac:dyDescent="0.25">
      <c r="A1057" s="5">
        <v>50</v>
      </c>
      <c r="B1057" s="5" t="s">
        <v>974</v>
      </c>
      <c r="C1057" s="5" t="s">
        <v>975</v>
      </c>
      <c r="D1057" s="5">
        <v>2000</v>
      </c>
      <c r="E1057" s="5">
        <v>1995</v>
      </c>
      <c r="F1057" s="5" t="s">
        <v>976</v>
      </c>
      <c r="H1057" s="5">
        <v>41.84</v>
      </c>
      <c r="I1057" s="5">
        <v>-85.68</v>
      </c>
      <c r="J1057" s="5">
        <v>244</v>
      </c>
      <c r="P1057" s="62" t="s">
        <v>186</v>
      </c>
      <c r="Q1057" s="62"/>
      <c r="R1057" s="62"/>
      <c r="S1057" s="62" t="s">
        <v>987</v>
      </c>
      <c r="W1057" s="5" t="s">
        <v>321</v>
      </c>
      <c r="AA1057" s="5" t="s">
        <v>1708</v>
      </c>
      <c r="AB1057" s="5" t="s">
        <v>173</v>
      </c>
      <c r="AC1057" s="5" t="s">
        <v>174</v>
      </c>
      <c r="AJ1057" s="5" t="s">
        <v>979</v>
      </c>
      <c r="AK1057" s="5" t="s">
        <v>979</v>
      </c>
      <c r="AL1057" s="5" t="s">
        <v>252</v>
      </c>
      <c r="AM1057" s="5" t="s">
        <v>222</v>
      </c>
      <c r="AT1057" s="64"/>
      <c r="AU1057" s="5" t="s">
        <v>984</v>
      </c>
      <c r="BH1057" s="5">
        <v>19.559999999999999</v>
      </c>
      <c r="BI1057" s="5">
        <v>13.24</v>
      </c>
      <c r="BJ1057" s="5" t="s">
        <v>982</v>
      </c>
      <c r="DP1057" s="46"/>
      <c r="DR1057" s="46"/>
      <c r="EL1057" s="5" t="s">
        <v>981</v>
      </c>
      <c r="EN1057" s="5">
        <v>50</v>
      </c>
    </row>
    <row r="1058" spans="1:144" s="31" customFormat="1" x14ac:dyDescent="0.25">
      <c r="A1058" s="31">
        <v>50</v>
      </c>
      <c r="B1058" s="31" t="s">
        <v>974</v>
      </c>
      <c r="C1058" s="31" t="s">
        <v>975</v>
      </c>
      <c r="D1058" s="31">
        <v>2000</v>
      </c>
      <c r="E1058" s="31">
        <v>1996</v>
      </c>
      <c r="F1058" s="31" t="s">
        <v>976</v>
      </c>
      <c r="H1058" s="31">
        <v>41.84</v>
      </c>
      <c r="I1058" s="31">
        <v>-85.68</v>
      </c>
      <c r="J1058" s="31">
        <v>244</v>
      </c>
      <c r="P1058" s="56" t="s">
        <v>187</v>
      </c>
      <c r="Q1058" s="56"/>
      <c r="R1058" s="56"/>
      <c r="S1058" s="56" t="s">
        <v>987</v>
      </c>
      <c r="W1058" s="31" t="s">
        <v>321</v>
      </c>
      <c r="AA1058" s="31" t="s">
        <v>1708</v>
      </c>
      <c r="AB1058" s="31" t="s">
        <v>173</v>
      </c>
      <c r="AC1058" s="31" t="s">
        <v>174</v>
      </c>
      <c r="AJ1058" s="31" t="s">
        <v>978</v>
      </c>
      <c r="AK1058" s="31" t="s">
        <v>978</v>
      </c>
      <c r="AL1058" s="31" t="s">
        <v>252</v>
      </c>
      <c r="AM1058" s="31" t="s">
        <v>222</v>
      </c>
      <c r="AR1058" s="31">
        <v>754</v>
      </c>
      <c r="AS1058" s="31">
        <f>AR1058/20</f>
        <v>37.700000000000003</v>
      </c>
      <c r="AU1058" s="31" t="s">
        <v>984</v>
      </c>
      <c r="BH1058" s="31">
        <v>1.44</v>
      </c>
      <c r="BI1058" s="31">
        <v>1.3</v>
      </c>
      <c r="BJ1058" s="31" t="s">
        <v>982</v>
      </c>
      <c r="EL1058" s="5" t="s">
        <v>981</v>
      </c>
      <c r="EN1058" s="31">
        <v>50</v>
      </c>
    </row>
    <row r="1059" spans="1:144" s="31" customFormat="1" x14ac:dyDescent="0.25">
      <c r="A1059" s="31">
        <v>50</v>
      </c>
      <c r="B1059" s="31" t="s">
        <v>974</v>
      </c>
      <c r="C1059" s="31" t="s">
        <v>975</v>
      </c>
      <c r="D1059" s="31">
        <v>2000</v>
      </c>
      <c r="E1059" s="31">
        <v>1996</v>
      </c>
      <c r="F1059" s="31" t="s">
        <v>976</v>
      </c>
      <c r="H1059" s="31">
        <v>41.84</v>
      </c>
      <c r="I1059" s="31">
        <v>-85.68</v>
      </c>
      <c r="J1059" s="31">
        <v>244</v>
      </c>
      <c r="P1059" s="56" t="s">
        <v>187</v>
      </c>
      <c r="Q1059" s="56"/>
      <c r="R1059" s="56"/>
      <c r="S1059" s="56" t="s">
        <v>987</v>
      </c>
      <c r="W1059" s="31" t="s">
        <v>321</v>
      </c>
      <c r="AA1059" s="31" t="s">
        <v>1708</v>
      </c>
      <c r="AB1059" s="31" t="s">
        <v>173</v>
      </c>
      <c r="AC1059" s="31" t="s">
        <v>174</v>
      </c>
      <c r="AJ1059" s="31" t="s">
        <v>979</v>
      </c>
      <c r="AK1059" s="31" t="s">
        <v>979</v>
      </c>
      <c r="AL1059" s="31" t="s">
        <v>252</v>
      </c>
      <c r="AM1059" s="31" t="s">
        <v>222</v>
      </c>
      <c r="AR1059" s="31">
        <v>1763</v>
      </c>
      <c r="AS1059" s="31">
        <f>AR1059/45.4</f>
        <v>38.832599118942731</v>
      </c>
      <c r="AU1059" s="31" t="s">
        <v>984</v>
      </c>
      <c r="BH1059" s="31">
        <v>1.36</v>
      </c>
      <c r="BI1059" s="31">
        <v>1.1200000000000001</v>
      </c>
      <c r="BJ1059" s="31" t="s">
        <v>982</v>
      </c>
      <c r="EL1059" s="5" t="s">
        <v>981</v>
      </c>
      <c r="EN1059" s="31">
        <v>50</v>
      </c>
    </row>
    <row r="1060" spans="1:144" s="5" customFormat="1" x14ac:dyDescent="0.25">
      <c r="A1060" s="5">
        <v>50</v>
      </c>
      <c r="B1060" s="5" t="s">
        <v>974</v>
      </c>
      <c r="C1060" s="5" t="s">
        <v>975</v>
      </c>
      <c r="D1060" s="5">
        <v>2000</v>
      </c>
      <c r="E1060" s="5">
        <v>1997</v>
      </c>
      <c r="F1060" s="5" t="s">
        <v>976</v>
      </c>
      <c r="H1060" s="5">
        <v>41.84</v>
      </c>
      <c r="I1060" s="5">
        <v>-85.68</v>
      </c>
      <c r="J1060" s="5">
        <v>244</v>
      </c>
      <c r="P1060" s="62" t="s">
        <v>188</v>
      </c>
      <c r="Q1060" s="62"/>
      <c r="R1060" s="62"/>
      <c r="S1060" s="62" t="s">
        <v>987</v>
      </c>
      <c r="W1060" s="5" t="s">
        <v>321</v>
      </c>
      <c r="AA1060" s="5" t="s">
        <v>1708</v>
      </c>
      <c r="AB1060" s="5" t="s">
        <v>173</v>
      </c>
      <c r="AC1060" s="5" t="s">
        <v>174</v>
      </c>
      <c r="AJ1060" s="5" t="s">
        <v>978</v>
      </c>
      <c r="AK1060" s="5" t="s">
        <v>978</v>
      </c>
      <c r="AL1060" s="5" t="s">
        <v>252</v>
      </c>
      <c r="AM1060" s="5" t="s">
        <v>222</v>
      </c>
      <c r="AR1060" s="5">
        <v>1173</v>
      </c>
      <c r="AS1060" s="5">
        <f>AR1060/40</f>
        <v>29.324999999999999</v>
      </c>
      <c r="AT1060" s="64"/>
      <c r="AU1060" s="5" t="s">
        <v>984</v>
      </c>
      <c r="BH1060" s="5">
        <v>1.81</v>
      </c>
      <c r="BI1060" s="5">
        <v>1.58</v>
      </c>
      <c r="BJ1060" s="5" t="s">
        <v>982</v>
      </c>
      <c r="DP1060" s="46"/>
      <c r="DR1060" s="46"/>
      <c r="EL1060" s="5" t="s">
        <v>981</v>
      </c>
      <c r="EN1060" s="5">
        <v>50</v>
      </c>
    </row>
    <row r="1061" spans="1:144" s="5" customFormat="1" x14ac:dyDescent="0.25">
      <c r="A1061" s="5">
        <v>50</v>
      </c>
      <c r="B1061" s="5" t="s">
        <v>974</v>
      </c>
      <c r="C1061" s="5" t="s">
        <v>975</v>
      </c>
      <c r="D1061" s="5">
        <v>2000</v>
      </c>
      <c r="E1061" s="5">
        <v>1997</v>
      </c>
      <c r="F1061" s="5" t="s">
        <v>976</v>
      </c>
      <c r="H1061" s="5">
        <v>41.84</v>
      </c>
      <c r="I1061" s="5">
        <v>-85.68</v>
      </c>
      <c r="J1061" s="5">
        <v>244</v>
      </c>
      <c r="P1061" s="62" t="s">
        <v>188</v>
      </c>
      <c r="Q1061" s="62"/>
      <c r="R1061" s="62"/>
      <c r="S1061" s="62" t="s">
        <v>987</v>
      </c>
      <c r="W1061" s="5" t="s">
        <v>321</v>
      </c>
      <c r="AA1061" s="5" t="s">
        <v>1708</v>
      </c>
      <c r="AB1061" s="5" t="s">
        <v>173</v>
      </c>
      <c r="AC1061" s="5" t="s">
        <v>174</v>
      </c>
      <c r="AJ1061" s="5" t="s">
        <v>979</v>
      </c>
      <c r="AK1061" s="5" t="s">
        <v>979</v>
      </c>
      <c r="AL1061" s="5" t="s">
        <v>252</v>
      </c>
      <c r="AM1061" s="5" t="s">
        <v>222</v>
      </c>
      <c r="AR1061" s="5">
        <v>2010</v>
      </c>
      <c r="AS1061" s="5">
        <f>AR1061/56</f>
        <v>35.892857142857146</v>
      </c>
      <c r="AT1061" s="64"/>
      <c r="AU1061" s="5" t="s">
        <v>984</v>
      </c>
      <c r="BH1061" s="5">
        <v>2.23</v>
      </c>
      <c r="BI1061" s="5">
        <v>1.91</v>
      </c>
      <c r="BJ1061" s="5" t="s">
        <v>982</v>
      </c>
      <c r="DP1061" s="46"/>
      <c r="DR1061" s="46"/>
      <c r="EL1061" s="5" t="s">
        <v>981</v>
      </c>
      <c r="EN1061" s="5">
        <v>50</v>
      </c>
    </row>
    <row r="1062" spans="1:144" s="5" customFormat="1" x14ac:dyDescent="0.25">
      <c r="A1062" s="5">
        <v>50</v>
      </c>
      <c r="B1062" s="5" t="s">
        <v>974</v>
      </c>
      <c r="C1062" s="5" t="s">
        <v>975</v>
      </c>
      <c r="D1062" s="5">
        <v>2000</v>
      </c>
      <c r="E1062" s="5">
        <v>1995</v>
      </c>
      <c r="F1062" s="5" t="s">
        <v>976</v>
      </c>
      <c r="H1062" s="5">
        <v>41.84</v>
      </c>
      <c r="I1062" s="5">
        <v>-85.68</v>
      </c>
      <c r="J1062" s="5">
        <v>244</v>
      </c>
      <c r="P1062" s="62" t="s">
        <v>186</v>
      </c>
      <c r="Q1062" s="62"/>
      <c r="R1062" s="62"/>
      <c r="S1062" s="62" t="s">
        <v>988</v>
      </c>
      <c r="W1062" s="5" t="s">
        <v>321</v>
      </c>
      <c r="AA1062" s="5" t="s">
        <v>1708</v>
      </c>
      <c r="AB1062" s="5" t="s">
        <v>173</v>
      </c>
      <c r="AC1062" s="5" t="s">
        <v>174</v>
      </c>
      <c r="AJ1062" s="5" t="s">
        <v>978</v>
      </c>
      <c r="AK1062" s="5" t="s">
        <v>978</v>
      </c>
      <c r="AL1062" s="5" t="s">
        <v>252</v>
      </c>
      <c r="AM1062" s="5" t="s">
        <v>222</v>
      </c>
      <c r="AT1062" s="64"/>
      <c r="AU1062" s="5" t="s">
        <v>985</v>
      </c>
      <c r="BH1062" s="5">
        <v>5.38</v>
      </c>
      <c r="BI1062" s="5">
        <v>1.92</v>
      </c>
      <c r="BJ1062" s="5" t="s">
        <v>982</v>
      </c>
      <c r="DP1062" s="46"/>
      <c r="DR1062" s="46"/>
      <c r="EL1062" s="5" t="s">
        <v>981</v>
      </c>
      <c r="EN1062" s="5">
        <v>50</v>
      </c>
    </row>
    <row r="1063" spans="1:144" s="5" customFormat="1" x14ac:dyDescent="0.25">
      <c r="A1063" s="5">
        <v>50</v>
      </c>
      <c r="B1063" s="5" t="s">
        <v>974</v>
      </c>
      <c r="C1063" s="5" t="s">
        <v>975</v>
      </c>
      <c r="D1063" s="5">
        <v>2000</v>
      </c>
      <c r="E1063" s="5">
        <v>1995</v>
      </c>
      <c r="F1063" s="5" t="s">
        <v>976</v>
      </c>
      <c r="H1063" s="5">
        <v>41.84</v>
      </c>
      <c r="I1063" s="5">
        <v>-85.68</v>
      </c>
      <c r="J1063" s="5">
        <v>244</v>
      </c>
      <c r="P1063" s="62" t="s">
        <v>186</v>
      </c>
      <c r="Q1063" s="62"/>
      <c r="R1063" s="62"/>
      <c r="S1063" s="62" t="s">
        <v>988</v>
      </c>
      <c r="W1063" s="5" t="s">
        <v>321</v>
      </c>
      <c r="AA1063" s="5" t="s">
        <v>1708</v>
      </c>
      <c r="AB1063" s="5" t="s">
        <v>173</v>
      </c>
      <c r="AC1063" s="5" t="s">
        <v>174</v>
      </c>
      <c r="AJ1063" s="5" t="s">
        <v>979</v>
      </c>
      <c r="AK1063" s="5" t="s">
        <v>979</v>
      </c>
      <c r="AL1063" s="5" t="s">
        <v>252</v>
      </c>
      <c r="AM1063" s="5" t="s">
        <v>222</v>
      </c>
      <c r="AT1063" s="64"/>
      <c r="AU1063" s="5" t="s">
        <v>985</v>
      </c>
      <c r="BH1063" s="5">
        <v>17.93</v>
      </c>
      <c r="BI1063" s="5">
        <v>8.61</v>
      </c>
      <c r="BJ1063" s="5" t="s">
        <v>982</v>
      </c>
      <c r="DP1063" s="46"/>
      <c r="DR1063" s="46"/>
      <c r="EL1063" s="5" t="s">
        <v>981</v>
      </c>
      <c r="EN1063" s="5">
        <v>50</v>
      </c>
    </row>
    <row r="1064" spans="1:144" s="31" customFormat="1" x14ac:dyDescent="0.25">
      <c r="A1064" s="31">
        <v>50</v>
      </c>
      <c r="B1064" s="31" t="s">
        <v>974</v>
      </c>
      <c r="C1064" s="31" t="s">
        <v>975</v>
      </c>
      <c r="D1064" s="31">
        <v>2000</v>
      </c>
      <c r="E1064" s="31">
        <v>1996</v>
      </c>
      <c r="F1064" s="31" t="s">
        <v>976</v>
      </c>
      <c r="H1064" s="31">
        <v>41.84</v>
      </c>
      <c r="I1064" s="31">
        <v>-85.68</v>
      </c>
      <c r="J1064" s="31">
        <v>244</v>
      </c>
      <c r="P1064" s="56" t="s">
        <v>187</v>
      </c>
      <c r="Q1064" s="56"/>
      <c r="R1064" s="56"/>
      <c r="S1064" s="56" t="s">
        <v>988</v>
      </c>
      <c r="W1064" s="31" t="s">
        <v>321</v>
      </c>
      <c r="AA1064" s="31" t="s">
        <v>1708</v>
      </c>
      <c r="AB1064" s="31" t="s">
        <v>173</v>
      </c>
      <c r="AC1064" s="31" t="s">
        <v>174</v>
      </c>
      <c r="AJ1064" s="31" t="s">
        <v>978</v>
      </c>
      <c r="AK1064" s="31" t="s">
        <v>978</v>
      </c>
      <c r="AL1064" s="31" t="s">
        <v>252</v>
      </c>
      <c r="AM1064" s="31" t="s">
        <v>222</v>
      </c>
      <c r="AR1064" s="31">
        <v>754</v>
      </c>
      <c r="AS1064" s="31">
        <f>AR1064/20</f>
        <v>37.700000000000003</v>
      </c>
      <c r="AU1064" s="31" t="s">
        <v>985</v>
      </c>
      <c r="BH1064" s="31">
        <v>1.5</v>
      </c>
      <c r="BI1064" s="31">
        <v>1.29</v>
      </c>
      <c r="BJ1064" s="31" t="s">
        <v>982</v>
      </c>
      <c r="EL1064" s="5" t="s">
        <v>981</v>
      </c>
      <c r="EN1064" s="31">
        <v>50</v>
      </c>
    </row>
    <row r="1065" spans="1:144" s="31" customFormat="1" x14ac:dyDescent="0.25">
      <c r="A1065" s="31">
        <v>50</v>
      </c>
      <c r="B1065" s="31" t="s">
        <v>974</v>
      </c>
      <c r="C1065" s="31" t="s">
        <v>975</v>
      </c>
      <c r="D1065" s="31">
        <v>2000</v>
      </c>
      <c r="E1065" s="31">
        <v>1996</v>
      </c>
      <c r="F1065" s="31" t="s">
        <v>976</v>
      </c>
      <c r="H1065" s="31">
        <v>41.84</v>
      </c>
      <c r="I1065" s="31">
        <v>-85.68</v>
      </c>
      <c r="J1065" s="31">
        <v>244</v>
      </c>
      <c r="P1065" s="56" t="s">
        <v>187</v>
      </c>
      <c r="Q1065" s="56"/>
      <c r="R1065" s="56"/>
      <c r="S1065" s="56" t="s">
        <v>988</v>
      </c>
      <c r="W1065" s="31" t="s">
        <v>321</v>
      </c>
      <c r="AA1065" s="31" t="s">
        <v>1708</v>
      </c>
      <c r="AB1065" s="31" t="s">
        <v>173</v>
      </c>
      <c r="AC1065" s="31" t="s">
        <v>174</v>
      </c>
      <c r="AJ1065" s="31" t="s">
        <v>979</v>
      </c>
      <c r="AK1065" s="31" t="s">
        <v>979</v>
      </c>
      <c r="AL1065" s="31" t="s">
        <v>252</v>
      </c>
      <c r="AM1065" s="31" t="s">
        <v>222</v>
      </c>
      <c r="AR1065" s="31">
        <v>1763</v>
      </c>
      <c r="AS1065" s="31">
        <f>AR1065/45.4</f>
        <v>38.832599118942731</v>
      </c>
      <c r="AU1065" s="31" t="s">
        <v>985</v>
      </c>
      <c r="BH1065" s="31">
        <v>1.21</v>
      </c>
      <c r="BI1065" s="31">
        <v>1.1299999999999999</v>
      </c>
      <c r="BJ1065" s="31" t="s">
        <v>982</v>
      </c>
      <c r="EL1065" s="5" t="s">
        <v>981</v>
      </c>
      <c r="EN1065" s="31">
        <v>50</v>
      </c>
    </row>
    <row r="1066" spans="1:144" s="5" customFormat="1" x14ac:dyDescent="0.25">
      <c r="A1066" s="5">
        <v>50</v>
      </c>
      <c r="B1066" s="5" t="s">
        <v>974</v>
      </c>
      <c r="C1066" s="5" t="s">
        <v>975</v>
      </c>
      <c r="D1066" s="5">
        <v>2000</v>
      </c>
      <c r="E1066" s="5">
        <v>1997</v>
      </c>
      <c r="F1066" s="5" t="s">
        <v>976</v>
      </c>
      <c r="H1066" s="5">
        <v>41.84</v>
      </c>
      <c r="I1066" s="5">
        <v>-85.68</v>
      </c>
      <c r="J1066" s="5">
        <v>244</v>
      </c>
      <c r="P1066" s="62" t="s">
        <v>188</v>
      </c>
      <c r="Q1066" s="62"/>
      <c r="R1066" s="62"/>
      <c r="S1066" s="62" t="s">
        <v>988</v>
      </c>
      <c r="W1066" s="5" t="s">
        <v>321</v>
      </c>
      <c r="AA1066" s="5" t="s">
        <v>1708</v>
      </c>
      <c r="AB1066" s="5" t="s">
        <v>173</v>
      </c>
      <c r="AC1066" s="5" t="s">
        <v>174</v>
      </c>
      <c r="AJ1066" s="5" t="s">
        <v>978</v>
      </c>
      <c r="AK1066" s="5" t="s">
        <v>978</v>
      </c>
      <c r="AL1066" s="5" t="s">
        <v>252</v>
      </c>
      <c r="AM1066" s="5" t="s">
        <v>222</v>
      </c>
      <c r="AR1066" s="5">
        <v>1173</v>
      </c>
      <c r="AS1066" s="5">
        <f>AR1066/40</f>
        <v>29.324999999999999</v>
      </c>
      <c r="AT1066" s="64"/>
      <c r="AU1066" s="5" t="s">
        <v>985</v>
      </c>
      <c r="BH1066" s="5">
        <v>1.82</v>
      </c>
      <c r="BI1066" s="5">
        <v>1.83</v>
      </c>
      <c r="BJ1066" s="5" t="s">
        <v>982</v>
      </c>
      <c r="DP1066" s="46"/>
      <c r="DR1066" s="46"/>
      <c r="EL1066" s="5" t="s">
        <v>981</v>
      </c>
      <c r="EN1066" s="5">
        <v>50</v>
      </c>
    </row>
    <row r="1067" spans="1:144" s="5" customFormat="1" x14ac:dyDescent="0.25">
      <c r="A1067" s="5">
        <v>50</v>
      </c>
      <c r="B1067" s="5" t="s">
        <v>974</v>
      </c>
      <c r="C1067" s="5" t="s">
        <v>975</v>
      </c>
      <c r="D1067" s="5">
        <v>2000</v>
      </c>
      <c r="E1067" s="5">
        <v>1997</v>
      </c>
      <c r="F1067" s="5" t="s">
        <v>976</v>
      </c>
      <c r="H1067" s="5">
        <v>41.84</v>
      </c>
      <c r="I1067" s="5">
        <v>-85.68</v>
      </c>
      <c r="J1067" s="5">
        <v>244</v>
      </c>
      <c r="P1067" s="62" t="s">
        <v>188</v>
      </c>
      <c r="Q1067" s="62"/>
      <c r="R1067" s="62"/>
      <c r="S1067" s="62" t="s">
        <v>988</v>
      </c>
      <c r="W1067" s="5" t="s">
        <v>321</v>
      </c>
      <c r="AA1067" s="5" t="s">
        <v>1708</v>
      </c>
      <c r="AB1067" s="5" t="s">
        <v>173</v>
      </c>
      <c r="AC1067" s="5" t="s">
        <v>174</v>
      </c>
      <c r="AJ1067" s="5" t="s">
        <v>979</v>
      </c>
      <c r="AK1067" s="5" t="s">
        <v>979</v>
      </c>
      <c r="AL1067" s="5" t="s">
        <v>252</v>
      </c>
      <c r="AM1067" s="5" t="s">
        <v>222</v>
      </c>
      <c r="AR1067" s="5">
        <v>2010</v>
      </c>
      <c r="AS1067" s="5">
        <f>AR1067/56</f>
        <v>35.892857142857146</v>
      </c>
      <c r="AT1067" s="64"/>
      <c r="AU1067" s="5" t="s">
        <v>985</v>
      </c>
      <c r="BH1067" s="5">
        <v>2.33</v>
      </c>
      <c r="BI1067" s="5">
        <v>1.92</v>
      </c>
      <c r="BJ1067" s="5" t="s">
        <v>982</v>
      </c>
      <c r="DP1067" s="46"/>
      <c r="DR1067" s="46"/>
      <c r="EL1067" s="5" t="s">
        <v>981</v>
      </c>
      <c r="EN1067" s="5">
        <v>50</v>
      </c>
    </row>
    <row r="1068" spans="1:144" s="26" customFormat="1" x14ac:dyDescent="0.25">
      <c r="A1068" s="26">
        <v>51</v>
      </c>
      <c r="B1068" s="26" t="s">
        <v>990</v>
      </c>
      <c r="C1068" s="26" t="s">
        <v>991</v>
      </c>
      <c r="D1068" s="26">
        <v>2017</v>
      </c>
      <c r="E1068" s="26">
        <v>2011</v>
      </c>
      <c r="F1068" s="26" t="s">
        <v>387</v>
      </c>
      <c r="G1068" s="26" t="s">
        <v>415</v>
      </c>
      <c r="H1068" s="26">
        <v>40.716666666666669</v>
      </c>
      <c r="I1068" s="26">
        <v>-77.916666666666671</v>
      </c>
      <c r="J1068" s="26">
        <v>376</v>
      </c>
      <c r="N1068" s="26">
        <v>975</v>
      </c>
      <c r="P1068" s="52" t="s">
        <v>186</v>
      </c>
      <c r="Q1068" s="52"/>
      <c r="R1068" s="52"/>
      <c r="S1068" s="52"/>
      <c r="W1068" s="26" t="s">
        <v>175</v>
      </c>
      <c r="AB1068" s="26" t="s">
        <v>326</v>
      </c>
      <c r="AC1068" s="26" t="s">
        <v>156</v>
      </c>
      <c r="AM1068" s="26" t="s">
        <v>222</v>
      </c>
      <c r="DP1068" s="26">
        <v>1.71</v>
      </c>
      <c r="DQ1068" s="26">
        <v>3.08</v>
      </c>
      <c r="DR1068" s="26" t="s">
        <v>992</v>
      </c>
      <c r="EL1068" s="26" t="s">
        <v>992</v>
      </c>
      <c r="EN1068" s="26">
        <v>51</v>
      </c>
    </row>
    <row r="1069" spans="1:144" s="26" customFormat="1" x14ac:dyDescent="0.25">
      <c r="A1069" s="26">
        <v>51</v>
      </c>
      <c r="B1069" s="26" t="s">
        <v>990</v>
      </c>
      <c r="C1069" s="26" t="s">
        <v>991</v>
      </c>
      <c r="D1069" s="26">
        <v>2017</v>
      </c>
      <c r="E1069" s="26">
        <v>2011</v>
      </c>
      <c r="F1069" s="26" t="s">
        <v>387</v>
      </c>
      <c r="G1069" s="26" t="s">
        <v>415</v>
      </c>
      <c r="H1069" s="26">
        <v>40.716666666666669</v>
      </c>
      <c r="I1069" s="26">
        <v>-77.916666666666671</v>
      </c>
      <c r="J1069" s="26">
        <v>376</v>
      </c>
      <c r="N1069" s="26">
        <v>975</v>
      </c>
      <c r="P1069" s="52" t="s">
        <v>186</v>
      </c>
      <c r="Q1069" s="52"/>
      <c r="R1069" s="52"/>
      <c r="S1069" s="52"/>
      <c r="W1069" s="26" t="s">
        <v>175</v>
      </c>
      <c r="AB1069" s="26" t="s">
        <v>173</v>
      </c>
      <c r="AC1069" s="26" t="s">
        <v>156</v>
      </c>
      <c r="AM1069" s="26" t="s">
        <v>222</v>
      </c>
      <c r="DP1069" s="26">
        <v>1.71</v>
      </c>
      <c r="DQ1069" s="26">
        <v>1.47</v>
      </c>
      <c r="DR1069" s="26" t="s">
        <v>992</v>
      </c>
      <c r="EL1069" s="26" t="s">
        <v>992</v>
      </c>
      <c r="EN1069" s="26">
        <v>51</v>
      </c>
    </row>
    <row r="1070" spans="1:144" s="31" customFormat="1" x14ac:dyDescent="0.25">
      <c r="A1070" s="31">
        <v>52</v>
      </c>
      <c r="B1070" s="31" t="s">
        <v>993</v>
      </c>
      <c r="C1070" s="31" t="s">
        <v>994</v>
      </c>
      <c r="D1070" s="31">
        <v>1998</v>
      </c>
      <c r="E1070" s="31">
        <v>1989</v>
      </c>
      <c r="F1070" s="31" t="s">
        <v>995</v>
      </c>
      <c r="H1070" s="31">
        <v>38.630000000000003</v>
      </c>
      <c r="I1070" s="31">
        <v>-75.459999999999994</v>
      </c>
      <c r="J1070" s="31">
        <v>10.8</v>
      </c>
      <c r="P1070" s="56" t="s">
        <v>186</v>
      </c>
      <c r="Q1070" s="56"/>
      <c r="R1070" s="56"/>
      <c r="S1070" s="56" t="s">
        <v>657</v>
      </c>
      <c r="W1070" s="31" t="s">
        <v>248</v>
      </c>
      <c r="AA1070" s="31" t="s">
        <v>1709</v>
      </c>
      <c r="AB1070" s="31" t="s">
        <v>173</v>
      </c>
      <c r="AC1070" s="31" t="s">
        <v>174</v>
      </c>
      <c r="AG1070" s="31" t="s">
        <v>217</v>
      </c>
      <c r="AH1070" s="31" t="s">
        <v>217</v>
      </c>
      <c r="AI1070" s="31" t="s">
        <v>252</v>
      </c>
      <c r="AJ1070" s="31" t="s">
        <v>996</v>
      </c>
      <c r="AK1070" s="31" t="s">
        <v>996</v>
      </c>
      <c r="AL1070" s="31" t="s">
        <v>252</v>
      </c>
      <c r="AM1070" s="31" t="s">
        <v>222</v>
      </c>
      <c r="AN1070" s="31">
        <v>3</v>
      </c>
      <c r="AO1070" s="31">
        <v>3</v>
      </c>
      <c r="AP1070" s="31" t="s">
        <v>184</v>
      </c>
      <c r="AY1070" s="31">
        <v>8568</v>
      </c>
      <c r="AZ1070" s="31">
        <v>8517</v>
      </c>
      <c r="BH1070" s="31">
        <f>(10.1+8.1)/2</f>
        <v>9.1</v>
      </c>
      <c r="BI1070" s="31">
        <f>(9.8+4)/2</f>
        <v>6.9</v>
      </c>
      <c r="CU1070" s="31">
        <v>64.2</v>
      </c>
      <c r="CV1070" s="31">
        <v>41.6</v>
      </c>
      <c r="CW1070" s="31" t="s">
        <v>1012</v>
      </c>
      <c r="CX1070" s="97">
        <v>22.32</v>
      </c>
      <c r="CY1070" s="97">
        <v>17.32</v>
      </c>
      <c r="CZ1070" s="31" t="s">
        <v>1011</v>
      </c>
      <c r="EL1070" s="31" t="s">
        <v>1013</v>
      </c>
      <c r="EN1070" s="31">
        <v>52</v>
      </c>
    </row>
    <row r="1071" spans="1:144" s="31" customFormat="1" x14ac:dyDescent="0.25">
      <c r="A1071" s="31">
        <v>52</v>
      </c>
      <c r="B1071" s="31" t="s">
        <v>993</v>
      </c>
      <c r="C1071" s="31" t="s">
        <v>994</v>
      </c>
      <c r="D1071" s="31">
        <v>1998</v>
      </c>
      <c r="E1071" s="31">
        <v>1989</v>
      </c>
      <c r="F1071" s="31" t="s">
        <v>995</v>
      </c>
      <c r="H1071" s="31">
        <v>38.630000000000003</v>
      </c>
      <c r="I1071" s="31">
        <v>-75.459999999999994</v>
      </c>
      <c r="J1071" s="31">
        <v>10.8</v>
      </c>
      <c r="P1071" s="56" t="s">
        <v>186</v>
      </c>
      <c r="Q1071" s="56"/>
      <c r="R1071" s="56"/>
      <c r="S1071" s="56" t="s">
        <v>657</v>
      </c>
      <c r="W1071" s="31" t="s">
        <v>248</v>
      </c>
      <c r="AA1071" s="31" t="s">
        <v>1709</v>
      </c>
      <c r="AB1071" s="31" t="s">
        <v>173</v>
      </c>
      <c r="AC1071" s="31" t="s">
        <v>174</v>
      </c>
      <c r="AG1071" s="31" t="s">
        <v>217</v>
      </c>
      <c r="AH1071" s="31" t="s">
        <v>217</v>
      </c>
      <c r="AI1071" s="31" t="s">
        <v>252</v>
      </c>
      <c r="AJ1071" s="31" t="s">
        <v>997</v>
      </c>
      <c r="AK1071" s="31" t="s">
        <v>997</v>
      </c>
      <c r="AL1071" s="31" t="s">
        <v>252</v>
      </c>
      <c r="AM1071" s="31" t="s">
        <v>222</v>
      </c>
      <c r="AN1071" s="31">
        <v>3</v>
      </c>
      <c r="AO1071" s="31">
        <v>3</v>
      </c>
      <c r="AP1071" s="31" t="s">
        <v>184</v>
      </c>
      <c r="AY1071" s="31">
        <v>8517</v>
      </c>
      <c r="AZ1071" s="31">
        <v>8210</v>
      </c>
      <c r="BH1071" s="31">
        <f>(7.5+7)/2</f>
        <v>7.25</v>
      </c>
      <c r="BI1071" s="31">
        <f>(8.5+8.4)/2</f>
        <v>8.4499999999999993</v>
      </c>
      <c r="CU1071" s="31">
        <v>43.8</v>
      </c>
      <c r="CV1071" s="31">
        <v>37.799999999999997</v>
      </c>
      <c r="CW1071" s="31" t="s">
        <v>1012</v>
      </c>
      <c r="CX1071" s="97">
        <v>17.48</v>
      </c>
      <c r="CY1071" s="97">
        <v>14</v>
      </c>
      <c r="CZ1071" s="31" t="s">
        <v>1011</v>
      </c>
      <c r="EL1071" s="31" t="s">
        <v>1013</v>
      </c>
      <c r="EN1071" s="31">
        <v>52</v>
      </c>
    </row>
    <row r="1072" spans="1:144" s="31" customFormat="1" x14ac:dyDescent="0.25">
      <c r="A1072" s="31">
        <v>52</v>
      </c>
      <c r="B1072" s="31" t="s">
        <v>993</v>
      </c>
      <c r="C1072" s="31" t="s">
        <v>994</v>
      </c>
      <c r="D1072" s="31">
        <v>1998</v>
      </c>
      <c r="E1072" s="31">
        <v>1989</v>
      </c>
      <c r="F1072" s="31" t="s">
        <v>995</v>
      </c>
      <c r="H1072" s="31">
        <v>38.630000000000003</v>
      </c>
      <c r="I1072" s="31">
        <v>-75.459999999999994</v>
      </c>
      <c r="J1072" s="31">
        <v>10.8</v>
      </c>
      <c r="P1072" s="56" t="s">
        <v>186</v>
      </c>
      <c r="Q1072" s="56"/>
      <c r="R1072" s="56"/>
      <c r="S1072" s="56" t="s">
        <v>657</v>
      </c>
      <c r="W1072" s="31" t="s">
        <v>248</v>
      </c>
      <c r="AA1072" s="31" t="s">
        <v>1709</v>
      </c>
      <c r="AB1072" s="31" t="s">
        <v>173</v>
      </c>
      <c r="AC1072" s="31" t="s">
        <v>174</v>
      </c>
      <c r="AG1072" s="31" t="s">
        <v>217</v>
      </c>
      <c r="AH1072" s="31" t="s">
        <v>217</v>
      </c>
      <c r="AI1072" s="31" t="s">
        <v>252</v>
      </c>
      <c r="AJ1072" s="31" t="s">
        <v>998</v>
      </c>
      <c r="AK1072" s="31" t="s">
        <v>998</v>
      </c>
      <c r="AL1072" s="31" t="s">
        <v>252</v>
      </c>
      <c r="AM1072" s="31" t="s">
        <v>222</v>
      </c>
      <c r="AN1072" s="31">
        <v>3</v>
      </c>
      <c r="AO1072" s="31">
        <v>3</v>
      </c>
      <c r="AP1072" s="31" t="s">
        <v>184</v>
      </c>
      <c r="AY1072" s="31">
        <v>7764</v>
      </c>
      <c r="AZ1072" s="31">
        <v>8391</v>
      </c>
      <c r="CU1072" s="31">
        <v>58.1</v>
      </c>
      <c r="CV1072" s="31">
        <v>40.799999999999997</v>
      </c>
      <c r="CW1072" s="31" t="s">
        <v>1012</v>
      </c>
      <c r="CX1072" s="97">
        <v>12.48</v>
      </c>
      <c r="CY1072" s="97">
        <v>13.7</v>
      </c>
      <c r="CZ1072" s="31" t="s">
        <v>1011</v>
      </c>
      <c r="EL1072" s="31" t="s">
        <v>1013</v>
      </c>
      <c r="EN1072" s="31">
        <v>52</v>
      </c>
    </row>
    <row r="1073" spans="1:144" s="31" customFormat="1" x14ac:dyDescent="0.25">
      <c r="A1073" s="31">
        <v>52</v>
      </c>
      <c r="B1073" s="31" t="s">
        <v>993</v>
      </c>
      <c r="C1073" s="31" t="s">
        <v>994</v>
      </c>
      <c r="D1073" s="31">
        <v>1998</v>
      </c>
      <c r="E1073" s="31">
        <v>1989</v>
      </c>
      <c r="F1073" s="31" t="s">
        <v>995</v>
      </c>
      <c r="H1073" s="31">
        <v>38.630000000000003</v>
      </c>
      <c r="I1073" s="31">
        <v>-75.459999999999994</v>
      </c>
      <c r="J1073" s="31">
        <v>10.8</v>
      </c>
      <c r="P1073" s="56" t="s">
        <v>186</v>
      </c>
      <c r="Q1073" s="56"/>
      <c r="R1073" s="56"/>
      <c r="S1073" s="56" t="s">
        <v>657</v>
      </c>
      <c r="W1073" s="31" t="s">
        <v>248</v>
      </c>
      <c r="AA1073" s="31" t="s">
        <v>1709</v>
      </c>
      <c r="AB1073" s="31" t="s">
        <v>173</v>
      </c>
      <c r="AC1073" s="31" t="s">
        <v>174</v>
      </c>
      <c r="AG1073" s="31" t="s">
        <v>217</v>
      </c>
      <c r="AH1073" s="31" t="s">
        <v>217</v>
      </c>
      <c r="AI1073" s="31" t="s">
        <v>252</v>
      </c>
      <c r="AJ1073" s="31" t="s">
        <v>998</v>
      </c>
      <c r="AK1073" s="31" t="s">
        <v>998</v>
      </c>
      <c r="AL1073" s="31" t="s">
        <v>252</v>
      </c>
      <c r="AM1073" s="31" t="s">
        <v>222</v>
      </c>
      <c r="AN1073" s="31">
        <v>3</v>
      </c>
      <c r="AO1073" s="31">
        <v>3</v>
      </c>
      <c r="AP1073" s="31" t="s">
        <v>184</v>
      </c>
      <c r="CU1073" s="31">
        <v>24</v>
      </c>
      <c r="CV1073" s="31">
        <v>15.8</v>
      </c>
      <c r="CW1073" s="31" t="s">
        <v>1012</v>
      </c>
      <c r="CX1073" s="97"/>
      <c r="CY1073" s="97"/>
      <c r="EL1073" s="31" t="s">
        <v>1013</v>
      </c>
      <c r="EN1073" s="31">
        <v>52</v>
      </c>
    </row>
    <row r="1074" spans="1:144" s="38" customFormat="1" x14ac:dyDescent="0.25">
      <c r="A1074" s="38">
        <v>52</v>
      </c>
      <c r="B1074" s="38" t="s">
        <v>993</v>
      </c>
      <c r="C1074" s="38" t="s">
        <v>994</v>
      </c>
      <c r="D1074" s="38">
        <v>1998</v>
      </c>
      <c r="E1074" s="38">
        <v>1989</v>
      </c>
      <c r="F1074" s="38" t="s">
        <v>995</v>
      </c>
      <c r="H1074" s="38">
        <v>38.630000000000003</v>
      </c>
      <c r="I1074" s="38">
        <v>-75.459999999999994</v>
      </c>
      <c r="J1074" s="38">
        <v>10.8</v>
      </c>
      <c r="P1074" s="57" t="s">
        <v>186</v>
      </c>
      <c r="Q1074" s="57"/>
      <c r="R1074" s="57"/>
      <c r="S1074" s="57" t="s">
        <v>657</v>
      </c>
      <c r="W1074" s="38" t="s">
        <v>248</v>
      </c>
      <c r="AA1074" s="38" t="s">
        <v>1709</v>
      </c>
      <c r="AB1074" s="38" t="s">
        <v>173</v>
      </c>
      <c r="AC1074" s="38" t="s">
        <v>174</v>
      </c>
      <c r="AG1074" s="38" t="s">
        <v>312</v>
      </c>
      <c r="AH1074" s="38" t="s">
        <v>312</v>
      </c>
      <c r="AI1074" s="38" t="s">
        <v>252</v>
      </c>
      <c r="AJ1074" s="38" t="s">
        <v>996</v>
      </c>
      <c r="AK1074" s="38" t="s">
        <v>996</v>
      </c>
      <c r="AL1074" s="38" t="s">
        <v>252</v>
      </c>
      <c r="AM1074" s="38" t="s">
        <v>222</v>
      </c>
      <c r="AN1074" s="38">
        <v>3</v>
      </c>
      <c r="AO1074" s="38">
        <v>3</v>
      </c>
      <c r="AP1074" s="38" t="s">
        <v>184</v>
      </c>
      <c r="AY1074" s="38">
        <v>8210</v>
      </c>
      <c r="AZ1074" s="38">
        <v>7539</v>
      </c>
      <c r="BH1074" s="38">
        <f>(9.8+4.8)/2</f>
        <v>7.3000000000000007</v>
      </c>
      <c r="BI1074" s="38">
        <f>(7.7+6.4)/2</f>
        <v>7.0500000000000007</v>
      </c>
      <c r="CU1074" s="38">
        <v>61.6</v>
      </c>
      <c r="CV1074" s="38">
        <v>31</v>
      </c>
      <c r="CW1074" s="38" t="s">
        <v>1012</v>
      </c>
      <c r="CX1074" s="99">
        <v>23.31</v>
      </c>
      <c r="CY1074" s="99">
        <v>18.649999999999999</v>
      </c>
      <c r="CZ1074" s="38" t="s">
        <v>1011</v>
      </c>
      <c r="EL1074" s="38" t="s">
        <v>1013</v>
      </c>
      <c r="EN1074" s="38">
        <v>52</v>
      </c>
    </row>
    <row r="1075" spans="1:144" s="38" customFormat="1" x14ac:dyDescent="0.25">
      <c r="A1075" s="38">
        <v>52</v>
      </c>
      <c r="B1075" s="38" t="s">
        <v>993</v>
      </c>
      <c r="C1075" s="38" t="s">
        <v>994</v>
      </c>
      <c r="D1075" s="38">
        <v>1998</v>
      </c>
      <c r="E1075" s="38">
        <v>1989</v>
      </c>
      <c r="F1075" s="38" t="s">
        <v>995</v>
      </c>
      <c r="H1075" s="38">
        <v>38.630000000000003</v>
      </c>
      <c r="I1075" s="38">
        <v>-75.459999999999994</v>
      </c>
      <c r="J1075" s="38">
        <v>10.8</v>
      </c>
      <c r="P1075" s="57" t="s">
        <v>186</v>
      </c>
      <c r="Q1075" s="57"/>
      <c r="R1075" s="57"/>
      <c r="S1075" s="57" t="s">
        <v>657</v>
      </c>
      <c r="W1075" s="38" t="s">
        <v>248</v>
      </c>
      <c r="AA1075" s="38" t="s">
        <v>1709</v>
      </c>
      <c r="AB1075" s="38" t="s">
        <v>173</v>
      </c>
      <c r="AC1075" s="38" t="s">
        <v>174</v>
      </c>
      <c r="AG1075" s="38" t="s">
        <v>312</v>
      </c>
      <c r="AH1075" s="38" t="s">
        <v>312</v>
      </c>
      <c r="AI1075" s="38" t="s">
        <v>252</v>
      </c>
      <c r="AJ1075" s="38" t="s">
        <v>997</v>
      </c>
      <c r="AK1075" s="38" t="s">
        <v>997</v>
      </c>
      <c r="AL1075" s="38" t="s">
        <v>252</v>
      </c>
      <c r="AM1075" s="38" t="s">
        <v>222</v>
      </c>
      <c r="AN1075" s="38">
        <v>3</v>
      </c>
      <c r="AO1075" s="38">
        <v>3</v>
      </c>
      <c r="AP1075" s="38" t="s">
        <v>184</v>
      </c>
      <c r="AY1075" s="38">
        <v>8963</v>
      </c>
      <c r="AZ1075" s="38">
        <v>8109</v>
      </c>
      <c r="BH1075" s="38">
        <f>(9.9+7)/2</f>
        <v>8.4499999999999993</v>
      </c>
      <c r="BI1075" s="38">
        <f>(7.7+6.8)/2</f>
        <v>7.25</v>
      </c>
      <c r="CU1075" s="38">
        <v>33</v>
      </c>
      <c r="CV1075" s="38">
        <v>37.299999999999997</v>
      </c>
      <c r="CW1075" s="38" t="s">
        <v>1012</v>
      </c>
      <c r="CX1075" s="99">
        <v>19.149999999999999</v>
      </c>
      <c r="CY1075" s="99">
        <v>13.15</v>
      </c>
      <c r="CZ1075" s="38" t="s">
        <v>1011</v>
      </c>
      <c r="EL1075" s="38" t="s">
        <v>1013</v>
      </c>
      <c r="EN1075" s="38">
        <v>52</v>
      </c>
    </row>
    <row r="1076" spans="1:144" s="38" customFormat="1" x14ac:dyDescent="0.25">
      <c r="A1076" s="38">
        <v>52</v>
      </c>
      <c r="B1076" s="38" t="s">
        <v>993</v>
      </c>
      <c r="C1076" s="38" t="s">
        <v>994</v>
      </c>
      <c r="D1076" s="38">
        <v>1998</v>
      </c>
      <c r="E1076" s="38">
        <v>1989</v>
      </c>
      <c r="F1076" s="38" t="s">
        <v>995</v>
      </c>
      <c r="H1076" s="38">
        <v>38.630000000000003</v>
      </c>
      <c r="I1076" s="38">
        <v>-75.459999999999994</v>
      </c>
      <c r="J1076" s="38">
        <v>10.8</v>
      </c>
      <c r="P1076" s="57" t="s">
        <v>186</v>
      </c>
      <c r="Q1076" s="57"/>
      <c r="R1076" s="57"/>
      <c r="S1076" s="57" t="s">
        <v>657</v>
      </c>
      <c r="W1076" s="38" t="s">
        <v>248</v>
      </c>
      <c r="AA1076" s="38" t="s">
        <v>1709</v>
      </c>
      <c r="AB1076" s="38" t="s">
        <v>173</v>
      </c>
      <c r="AC1076" s="38" t="s">
        <v>174</v>
      </c>
      <c r="AG1076" s="38" t="s">
        <v>312</v>
      </c>
      <c r="AH1076" s="38" t="s">
        <v>312</v>
      </c>
      <c r="AI1076" s="38" t="s">
        <v>252</v>
      </c>
      <c r="AJ1076" s="38" t="s">
        <v>998</v>
      </c>
      <c r="AK1076" s="38" t="s">
        <v>998</v>
      </c>
      <c r="AL1076" s="38" t="s">
        <v>252</v>
      </c>
      <c r="AM1076" s="38" t="s">
        <v>222</v>
      </c>
      <c r="AN1076" s="38">
        <v>3</v>
      </c>
      <c r="AO1076" s="38">
        <v>3</v>
      </c>
      <c r="AP1076" s="38" t="s">
        <v>184</v>
      </c>
      <c r="AY1076" s="38">
        <v>8957</v>
      </c>
      <c r="AZ1076" s="38">
        <v>8379</v>
      </c>
      <c r="CU1076" s="38">
        <v>64.400000000000006</v>
      </c>
      <c r="CV1076" s="38">
        <v>46.2</v>
      </c>
      <c r="CW1076" s="38" t="s">
        <v>1012</v>
      </c>
      <c r="CX1076" s="99">
        <v>19</v>
      </c>
      <c r="CY1076" s="99">
        <v>11.93</v>
      </c>
      <c r="CZ1076" s="38" t="s">
        <v>1011</v>
      </c>
      <c r="EL1076" s="38" t="s">
        <v>1013</v>
      </c>
      <c r="EN1076" s="38">
        <v>52</v>
      </c>
    </row>
    <row r="1077" spans="1:144" s="38" customFormat="1" x14ac:dyDescent="0.25">
      <c r="A1077" s="38">
        <v>52</v>
      </c>
      <c r="B1077" s="38" t="s">
        <v>993</v>
      </c>
      <c r="C1077" s="38" t="s">
        <v>994</v>
      </c>
      <c r="D1077" s="38">
        <v>1998</v>
      </c>
      <c r="E1077" s="38">
        <v>1989</v>
      </c>
      <c r="F1077" s="38" t="s">
        <v>995</v>
      </c>
      <c r="H1077" s="38">
        <v>38.630000000000003</v>
      </c>
      <c r="I1077" s="38">
        <v>-75.459999999999994</v>
      </c>
      <c r="J1077" s="38">
        <v>10.8</v>
      </c>
      <c r="P1077" s="57" t="s">
        <v>186</v>
      </c>
      <c r="Q1077" s="57"/>
      <c r="R1077" s="57"/>
      <c r="S1077" s="57" t="s">
        <v>657</v>
      </c>
      <c r="W1077" s="38" t="s">
        <v>248</v>
      </c>
      <c r="AA1077" s="38" t="s">
        <v>1709</v>
      </c>
      <c r="AB1077" s="38" t="s">
        <v>173</v>
      </c>
      <c r="AC1077" s="38" t="s">
        <v>174</v>
      </c>
      <c r="AG1077" s="38" t="s">
        <v>312</v>
      </c>
      <c r="AH1077" s="38" t="s">
        <v>312</v>
      </c>
      <c r="AI1077" s="38" t="s">
        <v>252</v>
      </c>
      <c r="AJ1077" s="38" t="s">
        <v>998</v>
      </c>
      <c r="AK1077" s="38" t="s">
        <v>998</v>
      </c>
      <c r="AL1077" s="38" t="s">
        <v>252</v>
      </c>
      <c r="AM1077" s="38" t="s">
        <v>222</v>
      </c>
      <c r="AN1077" s="38">
        <v>3</v>
      </c>
      <c r="AO1077" s="38">
        <v>3</v>
      </c>
      <c r="AP1077" s="38" t="s">
        <v>184</v>
      </c>
      <c r="CU1077" s="38">
        <v>23.5</v>
      </c>
      <c r="CV1077" s="38">
        <v>24.1</v>
      </c>
      <c r="CW1077" s="38" t="s">
        <v>1012</v>
      </c>
      <c r="CX1077" s="99"/>
      <c r="CY1077" s="99"/>
      <c r="EL1077" s="38" t="s">
        <v>1013</v>
      </c>
      <c r="EN1077" s="38">
        <v>52</v>
      </c>
    </row>
    <row r="1078" spans="1:144" s="31" customFormat="1" x14ac:dyDescent="0.25">
      <c r="A1078" s="31">
        <v>52</v>
      </c>
      <c r="B1078" s="31" t="s">
        <v>993</v>
      </c>
      <c r="C1078" s="31" t="s">
        <v>994</v>
      </c>
      <c r="D1078" s="31">
        <v>1998</v>
      </c>
      <c r="E1078" s="31">
        <v>1990</v>
      </c>
      <c r="F1078" s="31" t="s">
        <v>995</v>
      </c>
      <c r="H1078" s="31">
        <v>38.630000000000003</v>
      </c>
      <c r="I1078" s="31">
        <v>-75.459999999999994</v>
      </c>
      <c r="J1078" s="31">
        <v>10.8</v>
      </c>
      <c r="P1078" s="56" t="s">
        <v>187</v>
      </c>
      <c r="Q1078" s="56"/>
      <c r="R1078" s="56"/>
      <c r="S1078" s="56" t="s">
        <v>657</v>
      </c>
      <c r="W1078" s="31" t="s">
        <v>248</v>
      </c>
      <c r="AA1078" s="31" t="s">
        <v>1709</v>
      </c>
      <c r="AB1078" s="31" t="s">
        <v>173</v>
      </c>
      <c r="AC1078" s="31" t="s">
        <v>174</v>
      </c>
      <c r="AG1078" s="31" t="s">
        <v>217</v>
      </c>
      <c r="AH1078" s="31" t="s">
        <v>217</v>
      </c>
      <c r="AI1078" s="31" t="s">
        <v>252</v>
      </c>
      <c r="AJ1078" s="31" t="s">
        <v>996</v>
      </c>
      <c r="AK1078" s="31" t="s">
        <v>996</v>
      </c>
      <c r="AL1078" s="31" t="s">
        <v>252</v>
      </c>
      <c r="AM1078" s="31" t="s">
        <v>222</v>
      </c>
      <c r="AN1078" s="31">
        <v>3</v>
      </c>
      <c r="AO1078" s="31">
        <v>3</v>
      </c>
      <c r="AP1078" s="31" t="s">
        <v>184</v>
      </c>
      <c r="AY1078" s="31">
        <v>7009</v>
      </c>
      <c r="AZ1078" s="31">
        <v>7323</v>
      </c>
      <c r="BH1078" s="31">
        <f>(3.6+6.5+8.8)/3</f>
        <v>6.3</v>
      </c>
      <c r="BI1078" s="31">
        <f>(2.9+9+6.7)/3</f>
        <v>6.2</v>
      </c>
      <c r="CU1078" s="31">
        <v>41.6</v>
      </c>
      <c r="CV1078" s="31">
        <v>27.2</v>
      </c>
      <c r="CW1078" s="31" t="s">
        <v>1012</v>
      </c>
      <c r="CX1078" s="97">
        <v>7.93</v>
      </c>
      <c r="CY1078" s="97">
        <v>21.47</v>
      </c>
      <c r="CZ1078" s="31" t="s">
        <v>1011</v>
      </c>
      <c r="EL1078" s="31" t="s">
        <v>1013</v>
      </c>
      <c r="EN1078" s="31">
        <v>52</v>
      </c>
    </row>
    <row r="1079" spans="1:144" s="31" customFormat="1" x14ac:dyDescent="0.25">
      <c r="A1079" s="31">
        <v>52</v>
      </c>
      <c r="B1079" s="31" t="s">
        <v>993</v>
      </c>
      <c r="C1079" s="31" t="s">
        <v>994</v>
      </c>
      <c r="D1079" s="31">
        <v>1998</v>
      </c>
      <c r="E1079" s="31">
        <v>1990</v>
      </c>
      <c r="F1079" s="31" t="s">
        <v>995</v>
      </c>
      <c r="H1079" s="31">
        <v>38.630000000000003</v>
      </c>
      <c r="I1079" s="31">
        <v>-75.459999999999994</v>
      </c>
      <c r="J1079" s="31">
        <v>10.8</v>
      </c>
      <c r="P1079" s="56" t="s">
        <v>187</v>
      </c>
      <c r="Q1079" s="56"/>
      <c r="R1079" s="56"/>
      <c r="S1079" s="56" t="s">
        <v>657</v>
      </c>
      <c r="W1079" s="31" t="s">
        <v>248</v>
      </c>
      <c r="AA1079" s="31" t="s">
        <v>1709</v>
      </c>
      <c r="AB1079" s="31" t="s">
        <v>173</v>
      </c>
      <c r="AC1079" s="31" t="s">
        <v>174</v>
      </c>
      <c r="AG1079" s="31" t="s">
        <v>217</v>
      </c>
      <c r="AH1079" s="31" t="s">
        <v>217</v>
      </c>
      <c r="AI1079" s="31" t="s">
        <v>252</v>
      </c>
      <c r="AJ1079" s="31" t="s">
        <v>997</v>
      </c>
      <c r="AK1079" s="31" t="s">
        <v>997</v>
      </c>
      <c r="AL1079" s="31" t="s">
        <v>252</v>
      </c>
      <c r="AM1079" s="31" t="s">
        <v>222</v>
      </c>
      <c r="AN1079" s="31">
        <v>3</v>
      </c>
      <c r="AO1079" s="31">
        <v>3</v>
      </c>
      <c r="AP1079" s="31" t="s">
        <v>184</v>
      </c>
      <c r="AY1079" s="31">
        <v>6475</v>
      </c>
      <c r="AZ1079" s="31">
        <v>7025</v>
      </c>
      <c r="CU1079" s="31">
        <v>45.7</v>
      </c>
      <c r="CV1079" s="31">
        <v>31.4</v>
      </c>
      <c r="CW1079" s="31" t="s">
        <v>1012</v>
      </c>
      <c r="CX1079" s="97">
        <v>13.92</v>
      </c>
      <c r="CY1079" s="97">
        <v>15.81</v>
      </c>
      <c r="CZ1079" s="31" t="s">
        <v>1011</v>
      </c>
      <c r="EL1079" s="31" t="s">
        <v>1013</v>
      </c>
      <c r="EN1079" s="31">
        <v>52</v>
      </c>
    </row>
    <row r="1080" spans="1:144" s="31" customFormat="1" x14ac:dyDescent="0.25">
      <c r="A1080" s="31">
        <v>52</v>
      </c>
      <c r="B1080" s="31" t="s">
        <v>993</v>
      </c>
      <c r="C1080" s="31" t="s">
        <v>994</v>
      </c>
      <c r="D1080" s="31">
        <v>1998</v>
      </c>
      <c r="E1080" s="31">
        <v>1990</v>
      </c>
      <c r="F1080" s="31" t="s">
        <v>995</v>
      </c>
      <c r="H1080" s="31">
        <v>38.630000000000003</v>
      </c>
      <c r="I1080" s="31">
        <v>-75.459999999999994</v>
      </c>
      <c r="J1080" s="31">
        <v>10.8</v>
      </c>
      <c r="P1080" s="56" t="s">
        <v>187</v>
      </c>
      <c r="Q1080" s="56"/>
      <c r="R1080" s="56"/>
      <c r="S1080" s="56" t="s">
        <v>657</v>
      </c>
      <c r="W1080" s="31" t="s">
        <v>248</v>
      </c>
      <c r="AA1080" s="31" t="s">
        <v>1709</v>
      </c>
      <c r="AB1080" s="31" t="s">
        <v>173</v>
      </c>
      <c r="AC1080" s="31" t="s">
        <v>174</v>
      </c>
      <c r="AG1080" s="31" t="s">
        <v>217</v>
      </c>
      <c r="AH1080" s="31" t="s">
        <v>217</v>
      </c>
      <c r="AI1080" s="31" t="s">
        <v>252</v>
      </c>
      <c r="AJ1080" s="31" t="s">
        <v>998</v>
      </c>
      <c r="AK1080" s="31" t="s">
        <v>998</v>
      </c>
      <c r="AL1080" s="31" t="s">
        <v>252</v>
      </c>
      <c r="AM1080" s="31" t="s">
        <v>222</v>
      </c>
      <c r="AN1080" s="31">
        <v>3</v>
      </c>
      <c r="AO1080" s="31">
        <v>3</v>
      </c>
      <c r="AP1080" s="31" t="s">
        <v>184</v>
      </c>
      <c r="AY1080" s="31">
        <v>6617</v>
      </c>
      <c r="AZ1080" s="31">
        <v>7291</v>
      </c>
      <c r="CU1080" s="31">
        <v>25.3</v>
      </c>
      <c r="CV1080" s="31">
        <v>19.399999999999999</v>
      </c>
      <c r="CW1080" s="31" t="s">
        <v>1012</v>
      </c>
      <c r="CX1080" s="97">
        <v>13.92</v>
      </c>
      <c r="CY1080" s="97">
        <v>17.25</v>
      </c>
      <c r="CZ1080" s="31" t="s">
        <v>1011</v>
      </c>
      <c r="EL1080" s="31" t="s">
        <v>1013</v>
      </c>
      <c r="EN1080" s="31">
        <v>52</v>
      </c>
    </row>
    <row r="1081" spans="1:144" s="31" customFormat="1" x14ac:dyDescent="0.25">
      <c r="A1081" s="31">
        <v>52</v>
      </c>
      <c r="B1081" s="31" t="s">
        <v>993</v>
      </c>
      <c r="C1081" s="31" t="s">
        <v>994</v>
      </c>
      <c r="D1081" s="31">
        <v>1998</v>
      </c>
      <c r="E1081" s="31">
        <v>1990</v>
      </c>
      <c r="F1081" s="31" t="s">
        <v>995</v>
      </c>
      <c r="H1081" s="31">
        <v>38.630000000000003</v>
      </c>
      <c r="I1081" s="31">
        <v>-75.459999999999994</v>
      </c>
      <c r="J1081" s="31">
        <v>10.8</v>
      </c>
      <c r="P1081" s="56" t="s">
        <v>187</v>
      </c>
      <c r="Q1081" s="56"/>
      <c r="R1081" s="56"/>
      <c r="S1081" s="56" t="s">
        <v>657</v>
      </c>
      <c r="W1081" s="31" t="s">
        <v>248</v>
      </c>
      <c r="AA1081" s="31" t="s">
        <v>1709</v>
      </c>
      <c r="AB1081" s="31" t="s">
        <v>173</v>
      </c>
      <c r="AC1081" s="31" t="s">
        <v>174</v>
      </c>
      <c r="AG1081" s="31" t="s">
        <v>217</v>
      </c>
      <c r="AH1081" s="31" t="s">
        <v>217</v>
      </c>
      <c r="AI1081" s="31" t="s">
        <v>252</v>
      </c>
      <c r="AJ1081" s="31" t="s">
        <v>998</v>
      </c>
      <c r="AK1081" s="31" t="s">
        <v>998</v>
      </c>
      <c r="AL1081" s="31" t="s">
        <v>252</v>
      </c>
      <c r="AM1081" s="31" t="s">
        <v>222</v>
      </c>
      <c r="AN1081" s="31">
        <v>3</v>
      </c>
      <c r="AO1081" s="31">
        <v>3</v>
      </c>
      <c r="AP1081" s="31" t="s">
        <v>184</v>
      </c>
      <c r="CU1081" s="31">
        <v>3.6</v>
      </c>
      <c r="CV1081" s="31">
        <v>4.4000000000000004</v>
      </c>
      <c r="CW1081" s="31" t="s">
        <v>1012</v>
      </c>
      <c r="CX1081" s="97"/>
      <c r="CY1081" s="97"/>
      <c r="EL1081" s="31" t="s">
        <v>1013</v>
      </c>
      <c r="EN1081" s="31">
        <v>52</v>
      </c>
    </row>
    <row r="1082" spans="1:144" s="38" customFormat="1" x14ac:dyDescent="0.25">
      <c r="A1082" s="38">
        <v>52</v>
      </c>
      <c r="B1082" s="38" t="s">
        <v>993</v>
      </c>
      <c r="C1082" s="38" t="s">
        <v>994</v>
      </c>
      <c r="D1082" s="38">
        <v>1998</v>
      </c>
      <c r="E1082" s="38">
        <v>1990</v>
      </c>
      <c r="F1082" s="38" t="s">
        <v>995</v>
      </c>
      <c r="H1082" s="38">
        <v>38.630000000000003</v>
      </c>
      <c r="I1082" s="38">
        <v>-75.459999999999994</v>
      </c>
      <c r="J1082" s="38">
        <v>10.8</v>
      </c>
      <c r="P1082" s="57" t="s">
        <v>187</v>
      </c>
      <c r="Q1082" s="57"/>
      <c r="R1082" s="57"/>
      <c r="S1082" s="57" t="s">
        <v>657</v>
      </c>
      <c r="W1082" s="38" t="s">
        <v>248</v>
      </c>
      <c r="AA1082" s="38" t="s">
        <v>1709</v>
      </c>
      <c r="AB1082" s="38" t="s">
        <v>173</v>
      </c>
      <c r="AC1082" s="38" t="s">
        <v>174</v>
      </c>
      <c r="AG1082" s="38" t="s">
        <v>312</v>
      </c>
      <c r="AH1082" s="38" t="s">
        <v>312</v>
      </c>
      <c r="AI1082" s="38" t="s">
        <v>252</v>
      </c>
      <c r="AJ1082" s="38" t="s">
        <v>996</v>
      </c>
      <c r="AK1082" s="38" t="s">
        <v>996</v>
      </c>
      <c r="AL1082" s="38" t="s">
        <v>252</v>
      </c>
      <c r="AM1082" s="38" t="s">
        <v>222</v>
      </c>
      <c r="AN1082" s="38">
        <v>3</v>
      </c>
      <c r="AO1082" s="38">
        <v>3</v>
      </c>
      <c r="AP1082" s="38" t="s">
        <v>184</v>
      </c>
      <c r="AY1082" s="38">
        <v>8593</v>
      </c>
      <c r="AZ1082" s="38">
        <v>8059</v>
      </c>
      <c r="BH1082" s="38">
        <f>(3.3+6.6+7.9)/3</f>
        <v>5.9333333333333327</v>
      </c>
      <c r="BI1082" s="38">
        <f>(2.3+7.3+6.3)/3</f>
        <v>5.3</v>
      </c>
      <c r="CU1082" s="38">
        <v>31.1</v>
      </c>
      <c r="CV1082" s="38">
        <v>48.6</v>
      </c>
      <c r="CW1082" s="38" t="s">
        <v>1012</v>
      </c>
      <c r="CX1082" s="99">
        <v>27.69</v>
      </c>
      <c r="CY1082" s="99">
        <v>13.81</v>
      </c>
      <c r="CZ1082" s="38" t="s">
        <v>1011</v>
      </c>
      <c r="EL1082" s="38" t="s">
        <v>1013</v>
      </c>
      <c r="EN1082" s="38">
        <v>52</v>
      </c>
    </row>
    <row r="1083" spans="1:144" s="38" customFormat="1" x14ac:dyDescent="0.25">
      <c r="A1083" s="38">
        <v>52</v>
      </c>
      <c r="B1083" s="38" t="s">
        <v>993</v>
      </c>
      <c r="C1083" s="38" t="s">
        <v>994</v>
      </c>
      <c r="D1083" s="38">
        <v>1998</v>
      </c>
      <c r="E1083" s="38">
        <v>1990</v>
      </c>
      <c r="F1083" s="38" t="s">
        <v>995</v>
      </c>
      <c r="H1083" s="38">
        <v>38.630000000000003</v>
      </c>
      <c r="I1083" s="38">
        <v>-75.459999999999994</v>
      </c>
      <c r="J1083" s="38">
        <v>10.8</v>
      </c>
      <c r="P1083" s="57" t="s">
        <v>187</v>
      </c>
      <c r="Q1083" s="57"/>
      <c r="R1083" s="57"/>
      <c r="S1083" s="57" t="s">
        <v>657</v>
      </c>
      <c r="W1083" s="38" t="s">
        <v>248</v>
      </c>
      <c r="AA1083" s="38" t="s">
        <v>1709</v>
      </c>
      <c r="AB1083" s="38" t="s">
        <v>173</v>
      </c>
      <c r="AC1083" s="38" t="s">
        <v>174</v>
      </c>
      <c r="AG1083" s="38" t="s">
        <v>312</v>
      </c>
      <c r="AH1083" s="38" t="s">
        <v>312</v>
      </c>
      <c r="AI1083" s="38" t="s">
        <v>252</v>
      </c>
      <c r="AJ1083" s="38" t="s">
        <v>997</v>
      </c>
      <c r="AK1083" s="38" t="s">
        <v>997</v>
      </c>
      <c r="AL1083" s="38" t="s">
        <v>252</v>
      </c>
      <c r="AM1083" s="38" t="s">
        <v>222</v>
      </c>
      <c r="AN1083" s="38">
        <v>3</v>
      </c>
      <c r="AO1083" s="38">
        <v>3</v>
      </c>
      <c r="AP1083" s="38" t="s">
        <v>184</v>
      </c>
      <c r="AY1083" s="38">
        <v>7558</v>
      </c>
      <c r="AZ1083" s="38">
        <v>7401</v>
      </c>
      <c r="CU1083" s="38">
        <v>37.4</v>
      </c>
      <c r="CV1083" s="38">
        <v>35.1</v>
      </c>
      <c r="CW1083" s="38" t="s">
        <v>1012</v>
      </c>
      <c r="CX1083" s="99">
        <v>20.58</v>
      </c>
      <c r="CY1083" s="99">
        <v>13.48</v>
      </c>
      <c r="CZ1083" s="38" t="s">
        <v>1011</v>
      </c>
      <c r="EL1083" s="38" t="s">
        <v>1013</v>
      </c>
      <c r="EN1083" s="38">
        <v>52</v>
      </c>
    </row>
    <row r="1084" spans="1:144" s="38" customFormat="1" x14ac:dyDescent="0.25">
      <c r="A1084" s="38">
        <v>52</v>
      </c>
      <c r="B1084" s="38" t="s">
        <v>993</v>
      </c>
      <c r="C1084" s="38" t="s">
        <v>994</v>
      </c>
      <c r="D1084" s="38">
        <v>1998</v>
      </c>
      <c r="E1084" s="38">
        <v>1990</v>
      </c>
      <c r="F1084" s="38" t="s">
        <v>995</v>
      </c>
      <c r="H1084" s="38">
        <v>38.630000000000003</v>
      </c>
      <c r="I1084" s="38">
        <v>-75.459999999999994</v>
      </c>
      <c r="J1084" s="38">
        <v>10.8</v>
      </c>
      <c r="P1084" s="57" t="s">
        <v>187</v>
      </c>
      <c r="Q1084" s="57"/>
      <c r="R1084" s="57"/>
      <c r="S1084" s="57" t="s">
        <v>657</v>
      </c>
      <c r="W1084" s="38" t="s">
        <v>248</v>
      </c>
      <c r="AA1084" s="38" t="s">
        <v>1709</v>
      </c>
      <c r="AB1084" s="38" t="s">
        <v>173</v>
      </c>
      <c r="AC1084" s="38" t="s">
        <v>174</v>
      </c>
      <c r="AG1084" s="38" t="s">
        <v>312</v>
      </c>
      <c r="AH1084" s="38" t="s">
        <v>312</v>
      </c>
      <c r="AI1084" s="38" t="s">
        <v>252</v>
      </c>
      <c r="AJ1084" s="38" t="s">
        <v>998</v>
      </c>
      <c r="AK1084" s="38" t="s">
        <v>998</v>
      </c>
      <c r="AL1084" s="38" t="s">
        <v>252</v>
      </c>
      <c r="AM1084" s="38" t="s">
        <v>222</v>
      </c>
      <c r="AN1084" s="38">
        <v>3</v>
      </c>
      <c r="AO1084" s="38">
        <v>3</v>
      </c>
      <c r="AP1084" s="38" t="s">
        <v>184</v>
      </c>
      <c r="AY1084" s="38">
        <v>7777</v>
      </c>
      <c r="AZ1084" s="38">
        <v>7605</v>
      </c>
      <c r="CU1084" s="38">
        <v>28.7</v>
      </c>
      <c r="CV1084" s="38">
        <v>19.399999999999999</v>
      </c>
      <c r="CW1084" s="38" t="s">
        <v>1012</v>
      </c>
      <c r="CX1084" s="99">
        <v>25.35</v>
      </c>
      <c r="CY1084" s="99">
        <v>18.579999999999998</v>
      </c>
      <c r="CZ1084" s="38" t="s">
        <v>1011</v>
      </c>
      <c r="EL1084" s="38" t="s">
        <v>1013</v>
      </c>
      <c r="EN1084" s="38">
        <v>52</v>
      </c>
    </row>
    <row r="1085" spans="1:144" s="38" customFormat="1" x14ac:dyDescent="0.25">
      <c r="A1085" s="38">
        <v>52</v>
      </c>
      <c r="B1085" s="38" t="s">
        <v>993</v>
      </c>
      <c r="C1085" s="38" t="s">
        <v>994</v>
      </c>
      <c r="D1085" s="38">
        <v>1998</v>
      </c>
      <c r="E1085" s="38">
        <v>1990</v>
      </c>
      <c r="F1085" s="38" t="s">
        <v>995</v>
      </c>
      <c r="H1085" s="38">
        <v>38.630000000000003</v>
      </c>
      <c r="I1085" s="38">
        <v>-75.459999999999994</v>
      </c>
      <c r="J1085" s="38">
        <v>10.8</v>
      </c>
      <c r="P1085" s="57" t="s">
        <v>187</v>
      </c>
      <c r="Q1085" s="57"/>
      <c r="R1085" s="57"/>
      <c r="S1085" s="57" t="s">
        <v>657</v>
      </c>
      <c r="W1085" s="38" t="s">
        <v>248</v>
      </c>
      <c r="AA1085" s="38" t="s">
        <v>1709</v>
      </c>
      <c r="AB1085" s="38" t="s">
        <v>173</v>
      </c>
      <c r="AC1085" s="38" t="s">
        <v>174</v>
      </c>
      <c r="AG1085" s="38" t="s">
        <v>312</v>
      </c>
      <c r="AH1085" s="38" t="s">
        <v>312</v>
      </c>
      <c r="AI1085" s="38" t="s">
        <v>252</v>
      </c>
      <c r="AJ1085" s="38" t="s">
        <v>998</v>
      </c>
      <c r="AK1085" s="38" t="s">
        <v>998</v>
      </c>
      <c r="AL1085" s="38" t="s">
        <v>252</v>
      </c>
      <c r="AM1085" s="38" t="s">
        <v>222</v>
      </c>
      <c r="AN1085" s="38">
        <v>3</v>
      </c>
      <c r="AO1085" s="38">
        <v>3</v>
      </c>
      <c r="AP1085" s="38" t="s">
        <v>184</v>
      </c>
      <c r="CU1085" s="38">
        <v>6.2</v>
      </c>
      <c r="CV1085" s="38">
        <v>6.5</v>
      </c>
      <c r="CW1085" s="38" t="s">
        <v>1012</v>
      </c>
      <c r="CX1085" s="99"/>
      <c r="CY1085" s="99"/>
      <c r="EL1085" s="38" t="s">
        <v>1013</v>
      </c>
      <c r="EN1085" s="38">
        <v>52</v>
      </c>
    </row>
    <row r="1086" spans="1:144" s="31" customFormat="1" x14ac:dyDescent="0.25">
      <c r="A1086" s="31">
        <v>52</v>
      </c>
      <c r="B1086" s="31" t="s">
        <v>993</v>
      </c>
      <c r="C1086" s="31" t="s">
        <v>994</v>
      </c>
      <c r="D1086" s="31">
        <v>1998</v>
      </c>
      <c r="E1086" s="31">
        <v>1991</v>
      </c>
      <c r="F1086" s="31" t="s">
        <v>995</v>
      </c>
      <c r="H1086" s="31">
        <v>38.630000000000003</v>
      </c>
      <c r="I1086" s="31">
        <v>-75.459999999999994</v>
      </c>
      <c r="J1086" s="31">
        <v>10.8</v>
      </c>
      <c r="P1086" s="56" t="s">
        <v>188</v>
      </c>
      <c r="Q1086" s="56"/>
      <c r="R1086" s="56"/>
      <c r="S1086" s="56" t="s">
        <v>657</v>
      </c>
      <c r="W1086" s="31" t="s">
        <v>248</v>
      </c>
      <c r="AA1086" s="31" t="s">
        <v>1709</v>
      </c>
      <c r="AB1086" s="31" t="s">
        <v>173</v>
      </c>
      <c r="AC1086" s="31" t="s">
        <v>174</v>
      </c>
      <c r="AG1086" s="31" t="s">
        <v>217</v>
      </c>
      <c r="AH1086" s="31" t="s">
        <v>217</v>
      </c>
      <c r="AI1086" s="31" t="s">
        <v>252</v>
      </c>
      <c r="AJ1086" s="31" t="s">
        <v>996</v>
      </c>
      <c r="AK1086" s="31" t="s">
        <v>996</v>
      </c>
      <c r="AL1086" s="31" t="s">
        <v>252</v>
      </c>
      <c r="AM1086" s="31" t="s">
        <v>222</v>
      </c>
      <c r="AN1086" s="31">
        <v>3</v>
      </c>
      <c r="AO1086" s="31">
        <v>3</v>
      </c>
      <c r="AP1086" s="31" t="s">
        <v>184</v>
      </c>
      <c r="AY1086" s="31">
        <v>8216</v>
      </c>
      <c r="AZ1086" s="31">
        <v>8106</v>
      </c>
      <c r="BH1086" s="31">
        <f>(3+5)/2</f>
        <v>4</v>
      </c>
      <c r="BI1086" s="31">
        <f>(1.4+7.4)/2</f>
        <v>4.4000000000000004</v>
      </c>
      <c r="CU1086" s="31">
        <v>3.8</v>
      </c>
      <c r="CV1086" s="31">
        <v>3.7</v>
      </c>
      <c r="CW1086" s="31" t="s">
        <v>1012</v>
      </c>
      <c r="CX1086" s="97">
        <v>11.69</v>
      </c>
      <c r="CY1086" s="97">
        <v>12.8</v>
      </c>
      <c r="CZ1086" s="31" t="s">
        <v>1011</v>
      </c>
      <c r="EL1086" s="31" t="s">
        <v>1013</v>
      </c>
      <c r="EN1086" s="31">
        <v>52</v>
      </c>
    </row>
    <row r="1087" spans="1:144" s="31" customFormat="1" x14ac:dyDescent="0.25">
      <c r="A1087" s="31">
        <v>52</v>
      </c>
      <c r="B1087" s="31" t="s">
        <v>993</v>
      </c>
      <c r="C1087" s="31" t="s">
        <v>994</v>
      </c>
      <c r="D1087" s="31">
        <v>1998</v>
      </c>
      <c r="E1087" s="31">
        <v>1991</v>
      </c>
      <c r="F1087" s="31" t="s">
        <v>995</v>
      </c>
      <c r="H1087" s="31">
        <v>38.630000000000003</v>
      </c>
      <c r="I1087" s="31">
        <v>-75.459999999999994</v>
      </c>
      <c r="J1087" s="31">
        <v>10.8</v>
      </c>
      <c r="P1087" s="56" t="s">
        <v>188</v>
      </c>
      <c r="Q1087" s="56"/>
      <c r="R1087" s="56"/>
      <c r="S1087" s="56" t="s">
        <v>657</v>
      </c>
      <c r="W1087" s="31" t="s">
        <v>248</v>
      </c>
      <c r="AA1087" s="31" t="s">
        <v>1709</v>
      </c>
      <c r="AB1087" s="31" t="s">
        <v>173</v>
      </c>
      <c r="AC1087" s="31" t="s">
        <v>174</v>
      </c>
      <c r="AG1087" s="31" t="s">
        <v>217</v>
      </c>
      <c r="AH1087" s="31" t="s">
        <v>217</v>
      </c>
      <c r="AI1087" s="31" t="s">
        <v>252</v>
      </c>
      <c r="AJ1087" s="31" t="s">
        <v>997</v>
      </c>
      <c r="AK1087" s="31" t="s">
        <v>997</v>
      </c>
      <c r="AL1087" s="31" t="s">
        <v>252</v>
      </c>
      <c r="AM1087" s="31" t="s">
        <v>222</v>
      </c>
      <c r="AN1087" s="31">
        <v>3</v>
      </c>
      <c r="AO1087" s="31">
        <v>3</v>
      </c>
      <c r="AP1087" s="31" t="s">
        <v>184</v>
      </c>
      <c r="AY1087" s="31">
        <v>7243</v>
      </c>
      <c r="AZ1087" s="31">
        <v>8467</v>
      </c>
      <c r="CU1087" s="31">
        <v>28.3</v>
      </c>
      <c r="CV1087" s="31">
        <v>25.4</v>
      </c>
      <c r="CW1087" s="31" t="s">
        <v>1012</v>
      </c>
      <c r="CX1087" s="97">
        <v>14.69</v>
      </c>
      <c r="CY1087" s="97">
        <v>13.8</v>
      </c>
      <c r="CZ1087" s="31" t="s">
        <v>1011</v>
      </c>
      <c r="EL1087" s="31" t="s">
        <v>1013</v>
      </c>
      <c r="EN1087" s="31">
        <v>52</v>
      </c>
    </row>
    <row r="1088" spans="1:144" s="31" customFormat="1" x14ac:dyDescent="0.25">
      <c r="A1088" s="31">
        <v>52</v>
      </c>
      <c r="B1088" s="31" t="s">
        <v>993</v>
      </c>
      <c r="C1088" s="31" t="s">
        <v>994</v>
      </c>
      <c r="D1088" s="31">
        <v>1998</v>
      </c>
      <c r="E1088" s="31">
        <v>1991</v>
      </c>
      <c r="F1088" s="31" t="s">
        <v>995</v>
      </c>
      <c r="H1088" s="31">
        <v>38.630000000000003</v>
      </c>
      <c r="I1088" s="31">
        <v>-75.459999999999994</v>
      </c>
      <c r="J1088" s="31">
        <v>10.8</v>
      </c>
      <c r="P1088" s="56" t="s">
        <v>188</v>
      </c>
      <c r="Q1088" s="56"/>
      <c r="R1088" s="56"/>
      <c r="S1088" s="56" t="s">
        <v>657</v>
      </c>
      <c r="W1088" s="31" t="s">
        <v>248</v>
      </c>
      <c r="AA1088" s="31" t="s">
        <v>1709</v>
      </c>
      <c r="AB1088" s="31" t="s">
        <v>173</v>
      </c>
      <c r="AC1088" s="31" t="s">
        <v>174</v>
      </c>
      <c r="AG1088" s="31" t="s">
        <v>217</v>
      </c>
      <c r="AH1088" s="31" t="s">
        <v>217</v>
      </c>
      <c r="AI1088" s="31" t="s">
        <v>252</v>
      </c>
      <c r="AJ1088" s="31" t="s">
        <v>998</v>
      </c>
      <c r="AK1088" s="31" t="s">
        <v>998</v>
      </c>
      <c r="AL1088" s="31" t="s">
        <v>252</v>
      </c>
      <c r="AM1088" s="31" t="s">
        <v>222</v>
      </c>
      <c r="AN1088" s="31">
        <v>3</v>
      </c>
      <c r="AO1088" s="31">
        <v>3</v>
      </c>
      <c r="AP1088" s="31" t="s">
        <v>184</v>
      </c>
      <c r="AY1088" s="31">
        <v>8060</v>
      </c>
      <c r="AZ1088" s="31">
        <v>8294</v>
      </c>
      <c r="CW1088" s="31" t="s">
        <v>1012</v>
      </c>
      <c r="CX1088" s="97">
        <v>17.79</v>
      </c>
      <c r="CY1088" s="97">
        <v>12.13</v>
      </c>
      <c r="CZ1088" s="31" t="s">
        <v>1011</v>
      </c>
      <c r="EL1088" s="31" t="s">
        <v>1013</v>
      </c>
      <c r="EN1088" s="31">
        <v>52</v>
      </c>
    </row>
    <row r="1089" spans="1:144" s="38" customFormat="1" x14ac:dyDescent="0.25">
      <c r="A1089" s="38">
        <v>52</v>
      </c>
      <c r="B1089" s="38" t="s">
        <v>993</v>
      </c>
      <c r="C1089" s="38" t="s">
        <v>994</v>
      </c>
      <c r="D1089" s="38">
        <v>1998</v>
      </c>
      <c r="E1089" s="38">
        <v>1991</v>
      </c>
      <c r="F1089" s="38" t="s">
        <v>995</v>
      </c>
      <c r="H1089" s="38">
        <v>38.630000000000003</v>
      </c>
      <c r="I1089" s="38">
        <v>-75.459999999999994</v>
      </c>
      <c r="J1089" s="38">
        <v>10.8</v>
      </c>
      <c r="P1089" s="57" t="s">
        <v>188</v>
      </c>
      <c r="Q1089" s="57"/>
      <c r="R1089" s="57"/>
      <c r="S1089" s="57" t="s">
        <v>657</v>
      </c>
      <c r="W1089" s="38" t="s">
        <v>248</v>
      </c>
      <c r="AA1089" s="31" t="s">
        <v>1709</v>
      </c>
      <c r="AB1089" s="38" t="s">
        <v>173</v>
      </c>
      <c r="AC1089" s="38" t="s">
        <v>174</v>
      </c>
      <c r="AG1089" s="38" t="s">
        <v>312</v>
      </c>
      <c r="AH1089" s="38" t="s">
        <v>312</v>
      </c>
      <c r="AI1089" s="38" t="s">
        <v>252</v>
      </c>
      <c r="AJ1089" s="38" t="s">
        <v>996</v>
      </c>
      <c r="AK1089" s="38" t="s">
        <v>996</v>
      </c>
      <c r="AL1089" s="38" t="s">
        <v>252</v>
      </c>
      <c r="AM1089" s="38" t="s">
        <v>222</v>
      </c>
      <c r="AN1089" s="38">
        <v>3</v>
      </c>
      <c r="AO1089" s="38">
        <v>3</v>
      </c>
      <c r="AP1089" s="38" t="s">
        <v>184</v>
      </c>
      <c r="AY1089" s="38">
        <v>8060</v>
      </c>
      <c r="AZ1089" s="38">
        <v>8122</v>
      </c>
      <c r="BH1089" s="38">
        <f>(2.1+8.8)/2</f>
        <v>5.45</v>
      </c>
      <c r="BI1089" s="38">
        <f>(1.1+6.8)/2</f>
        <v>3.95</v>
      </c>
      <c r="CU1089" s="38">
        <v>4.5999999999999996</v>
      </c>
      <c r="CV1089" s="38">
        <v>4.7</v>
      </c>
      <c r="CW1089" s="38" t="s">
        <v>1012</v>
      </c>
      <c r="CX1089" s="99">
        <v>17.36</v>
      </c>
      <c r="CY1089" s="99">
        <v>13.14</v>
      </c>
      <c r="CZ1089" s="38" t="s">
        <v>1011</v>
      </c>
      <c r="EL1089" s="38" t="s">
        <v>1013</v>
      </c>
      <c r="EN1089" s="38">
        <v>52</v>
      </c>
    </row>
    <row r="1090" spans="1:144" s="38" customFormat="1" x14ac:dyDescent="0.25">
      <c r="A1090" s="38">
        <v>52</v>
      </c>
      <c r="B1090" s="38" t="s">
        <v>993</v>
      </c>
      <c r="C1090" s="38" t="s">
        <v>994</v>
      </c>
      <c r="D1090" s="38">
        <v>1998</v>
      </c>
      <c r="E1090" s="38">
        <v>1991</v>
      </c>
      <c r="F1090" s="38" t="s">
        <v>995</v>
      </c>
      <c r="H1090" s="38">
        <v>38.630000000000003</v>
      </c>
      <c r="I1090" s="38">
        <v>-75.459999999999994</v>
      </c>
      <c r="J1090" s="38">
        <v>10.8</v>
      </c>
      <c r="P1090" s="57" t="s">
        <v>188</v>
      </c>
      <c r="Q1090" s="57"/>
      <c r="R1090" s="57"/>
      <c r="S1090" s="57" t="s">
        <v>657</v>
      </c>
      <c r="W1090" s="38" t="s">
        <v>248</v>
      </c>
      <c r="AA1090" s="38" t="s">
        <v>1709</v>
      </c>
      <c r="AB1090" s="38" t="s">
        <v>173</v>
      </c>
      <c r="AC1090" s="38" t="s">
        <v>174</v>
      </c>
      <c r="AG1090" s="38" t="s">
        <v>312</v>
      </c>
      <c r="AH1090" s="38" t="s">
        <v>312</v>
      </c>
      <c r="AI1090" s="38" t="s">
        <v>252</v>
      </c>
      <c r="AJ1090" s="38" t="s">
        <v>997</v>
      </c>
      <c r="AK1090" s="38" t="s">
        <v>997</v>
      </c>
      <c r="AL1090" s="38" t="s">
        <v>252</v>
      </c>
      <c r="AM1090" s="38" t="s">
        <v>222</v>
      </c>
      <c r="AN1090" s="38">
        <v>3</v>
      </c>
      <c r="AO1090" s="38">
        <v>3</v>
      </c>
      <c r="AP1090" s="38" t="s">
        <v>184</v>
      </c>
      <c r="AY1090" s="38">
        <v>7871</v>
      </c>
      <c r="AZ1090" s="38">
        <v>8091</v>
      </c>
      <c r="CU1090" s="38">
        <v>33.1</v>
      </c>
      <c r="CV1090" s="38">
        <v>28.1</v>
      </c>
      <c r="CW1090" s="38" t="s">
        <v>1012</v>
      </c>
      <c r="CX1090" s="99">
        <v>21</v>
      </c>
      <c r="CY1090" s="99">
        <v>14.69</v>
      </c>
      <c r="CZ1090" s="38" t="s">
        <v>1011</v>
      </c>
      <c r="EL1090" s="38" t="s">
        <v>1013</v>
      </c>
      <c r="EN1090" s="38">
        <v>52</v>
      </c>
    </row>
    <row r="1091" spans="1:144" s="38" customFormat="1" x14ac:dyDescent="0.25">
      <c r="A1091" s="38">
        <v>52</v>
      </c>
      <c r="B1091" s="38" t="s">
        <v>993</v>
      </c>
      <c r="C1091" s="38" t="s">
        <v>994</v>
      </c>
      <c r="D1091" s="38">
        <v>1998</v>
      </c>
      <c r="E1091" s="38">
        <v>1991</v>
      </c>
      <c r="F1091" s="38" t="s">
        <v>995</v>
      </c>
      <c r="H1091" s="38">
        <v>38.630000000000003</v>
      </c>
      <c r="I1091" s="38">
        <v>-75.459999999999994</v>
      </c>
      <c r="J1091" s="38">
        <v>10.8</v>
      </c>
      <c r="P1091" s="57" t="s">
        <v>188</v>
      </c>
      <c r="Q1091" s="57"/>
      <c r="R1091" s="57"/>
      <c r="S1091" s="57" t="s">
        <v>657</v>
      </c>
      <c r="W1091" s="38" t="s">
        <v>248</v>
      </c>
      <c r="AA1091" s="38" t="s">
        <v>1709</v>
      </c>
      <c r="AB1091" s="38" t="s">
        <v>173</v>
      </c>
      <c r="AC1091" s="38" t="s">
        <v>174</v>
      </c>
      <c r="AG1091" s="38" t="s">
        <v>312</v>
      </c>
      <c r="AH1091" s="38" t="s">
        <v>312</v>
      </c>
      <c r="AI1091" s="38" t="s">
        <v>252</v>
      </c>
      <c r="AJ1091" s="38" t="s">
        <v>998</v>
      </c>
      <c r="AK1091" s="38" t="s">
        <v>998</v>
      </c>
      <c r="AL1091" s="38" t="s">
        <v>252</v>
      </c>
      <c r="AM1091" s="38" t="s">
        <v>222</v>
      </c>
      <c r="AN1091" s="38">
        <v>3</v>
      </c>
      <c r="AO1091" s="38">
        <v>3</v>
      </c>
      <c r="AP1091" s="38" t="s">
        <v>184</v>
      </c>
      <c r="AY1091" s="38">
        <v>8201</v>
      </c>
      <c r="AZ1091" s="38">
        <v>8372</v>
      </c>
      <c r="CW1091" s="38" t="s">
        <v>1012</v>
      </c>
      <c r="CX1091" s="99">
        <v>24.57</v>
      </c>
      <c r="CY1091" s="99">
        <v>16.46</v>
      </c>
      <c r="CZ1091" s="38" t="s">
        <v>1011</v>
      </c>
      <c r="EL1091" s="38" t="s">
        <v>1013</v>
      </c>
      <c r="EN1091" s="38">
        <v>52</v>
      </c>
    </row>
    <row r="1092" spans="1:144" s="26" customFormat="1" x14ac:dyDescent="0.25">
      <c r="A1092" s="26">
        <v>53</v>
      </c>
      <c r="B1092" s="26" t="s">
        <v>1014</v>
      </c>
      <c r="C1092" s="26" t="s">
        <v>1015</v>
      </c>
      <c r="D1092" s="26">
        <v>2006</v>
      </c>
      <c r="E1092" s="26">
        <v>2000</v>
      </c>
      <c r="F1092" s="26" t="s">
        <v>1016</v>
      </c>
      <c r="G1092" s="26" t="s">
        <v>1017</v>
      </c>
      <c r="H1092" s="26">
        <v>33.950000000000003</v>
      </c>
      <c r="I1092" s="26">
        <v>-83.38</v>
      </c>
      <c r="J1092" s="26">
        <v>208.4</v>
      </c>
      <c r="M1092" s="26">
        <f>278+505</f>
        <v>783</v>
      </c>
      <c r="N1092" s="26">
        <f>588+645</f>
        <v>1233</v>
      </c>
      <c r="P1092" s="52" t="s">
        <v>186</v>
      </c>
      <c r="Q1092" s="52"/>
      <c r="R1092" s="52"/>
      <c r="S1092" s="52" t="s">
        <v>668</v>
      </c>
      <c r="U1092" s="26">
        <f t="shared" ref="U1092:U1123" si="227">650/1000*100</f>
        <v>65</v>
      </c>
      <c r="V1092" s="26">
        <f>25</f>
        <v>25</v>
      </c>
      <c r="W1092" s="26" t="s">
        <v>321</v>
      </c>
      <c r="X1092" s="26">
        <v>6.6</v>
      </c>
      <c r="Y1092" s="26">
        <v>0.88</v>
      </c>
      <c r="AA1092" s="26" t="s">
        <v>1710</v>
      </c>
      <c r="AB1092" s="26" t="s">
        <v>173</v>
      </c>
      <c r="AC1092" s="26" t="s">
        <v>788</v>
      </c>
      <c r="AD1092" s="26" t="s">
        <v>1025</v>
      </c>
      <c r="AE1092" s="26" t="s">
        <v>1025</v>
      </c>
      <c r="AF1092" s="26" t="s">
        <v>252</v>
      </c>
      <c r="AG1092" s="26" t="s">
        <v>217</v>
      </c>
      <c r="AH1092" s="26" t="s">
        <v>217</v>
      </c>
      <c r="AI1092" s="26" t="s">
        <v>252</v>
      </c>
      <c r="AJ1092" s="26" t="s">
        <v>452</v>
      </c>
      <c r="AK1092" s="26" t="s">
        <v>452</v>
      </c>
      <c r="AL1092" s="26" t="s">
        <v>252</v>
      </c>
      <c r="AM1092" s="26" t="s">
        <v>160</v>
      </c>
      <c r="AN1092" s="26">
        <v>3</v>
      </c>
      <c r="AO1092" s="26">
        <v>3</v>
      </c>
      <c r="AP1092" s="26" t="s">
        <v>448</v>
      </c>
      <c r="AR1092" s="26">
        <f>6.07*1000</f>
        <v>6070</v>
      </c>
      <c r="AS1092" s="26">
        <v>29</v>
      </c>
      <c r="AV1092" s="26">
        <v>5200</v>
      </c>
      <c r="AW1092" s="26">
        <v>6300</v>
      </c>
      <c r="AX1092" s="26" t="s">
        <v>1116</v>
      </c>
      <c r="AY1092" s="26">
        <v>814</v>
      </c>
      <c r="AZ1092" s="26">
        <v>1107</v>
      </c>
      <c r="BH1092" s="26">
        <f>55.8*0.28</f>
        <v>15.624000000000001</v>
      </c>
      <c r="BI1092" s="26">
        <f>47.8*0.28</f>
        <v>13.384</v>
      </c>
      <c r="BJ1092" s="26" t="s">
        <v>629</v>
      </c>
      <c r="CX1092" s="26">
        <v>11</v>
      </c>
      <c r="CY1092" s="26">
        <v>20</v>
      </c>
      <c r="CZ1092" s="26" t="s">
        <v>1022</v>
      </c>
      <c r="EL1092" s="26" t="s">
        <v>1026</v>
      </c>
      <c r="EN1092" s="26">
        <v>53</v>
      </c>
    </row>
    <row r="1093" spans="1:144" s="26" customFormat="1" x14ac:dyDescent="0.25">
      <c r="A1093" s="26">
        <v>53</v>
      </c>
      <c r="B1093" s="26" t="s">
        <v>1014</v>
      </c>
      <c r="C1093" s="26" t="s">
        <v>1015</v>
      </c>
      <c r="D1093" s="26">
        <v>2006</v>
      </c>
      <c r="E1093" s="26">
        <v>2000</v>
      </c>
      <c r="F1093" s="26" t="s">
        <v>1016</v>
      </c>
      <c r="G1093" s="26" t="s">
        <v>1017</v>
      </c>
      <c r="H1093" s="26">
        <v>33.950000000000003</v>
      </c>
      <c r="I1093" s="26">
        <v>-83.38</v>
      </c>
      <c r="J1093" s="26">
        <v>208.4</v>
      </c>
      <c r="M1093" s="26">
        <f t="shared" ref="M1093:M1106" si="228">278+505</f>
        <v>783</v>
      </c>
      <c r="N1093" s="26">
        <f t="shared" ref="N1093:N1156" si="229">588+645</f>
        <v>1233</v>
      </c>
      <c r="P1093" s="52" t="s">
        <v>186</v>
      </c>
      <c r="Q1093" s="52"/>
      <c r="R1093" s="52"/>
      <c r="S1093" s="52" t="s">
        <v>668</v>
      </c>
      <c r="U1093" s="26">
        <f t="shared" si="227"/>
        <v>65</v>
      </c>
      <c r="V1093" s="26">
        <f>25</f>
        <v>25</v>
      </c>
      <c r="W1093" s="26" t="s">
        <v>321</v>
      </c>
      <c r="X1093" s="26">
        <v>6.6</v>
      </c>
      <c r="Y1093" s="26">
        <v>0.88</v>
      </c>
      <c r="AA1093" s="26" t="s">
        <v>1710</v>
      </c>
      <c r="AB1093" s="26" t="s">
        <v>173</v>
      </c>
      <c r="AC1093" s="26" t="s">
        <v>788</v>
      </c>
      <c r="AD1093" s="26" t="s">
        <v>1025</v>
      </c>
      <c r="AE1093" s="26" t="s">
        <v>1025</v>
      </c>
      <c r="AF1093" s="26" t="s">
        <v>252</v>
      </c>
      <c r="AG1093" s="26" t="s">
        <v>1018</v>
      </c>
      <c r="AH1093" s="26" t="s">
        <v>1018</v>
      </c>
      <c r="AI1093" s="26" t="s">
        <v>252</v>
      </c>
      <c r="AJ1093" s="26" t="s">
        <v>452</v>
      </c>
      <c r="AK1093" s="26" t="s">
        <v>452</v>
      </c>
      <c r="AL1093" s="26" t="s">
        <v>252</v>
      </c>
      <c r="AM1093" s="26" t="s">
        <v>160</v>
      </c>
      <c r="AN1093" s="26">
        <v>3</v>
      </c>
      <c r="AO1093" s="26">
        <v>3</v>
      </c>
      <c r="AP1093" s="26" t="s">
        <v>448</v>
      </c>
      <c r="AR1093" s="26">
        <f t="shared" ref="AR1093:AR1094" si="230">6.07*1000</f>
        <v>6070</v>
      </c>
      <c r="AS1093" s="26">
        <v>29</v>
      </c>
      <c r="AY1093" s="26">
        <v>480</v>
      </c>
      <c r="AZ1093" s="26">
        <v>674</v>
      </c>
      <c r="BH1093" s="26">
        <f>50.5*0.28</f>
        <v>14.14</v>
      </c>
      <c r="BI1093" s="26">
        <f>57*0.28</f>
        <v>15.96</v>
      </c>
      <c r="BJ1093" s="26" t="s">
        <v>629</v>
      </c>
      <c r="CX1093" s="26">
        <v>8</v>
      </c>
      <c r="CY1093" s="26">
        <v>11</v>
      </c>
      <c r="CZ1093" s="26" t="s">
        <v>1022</v>
      </c>
      <c r="EL1093" s="26" t="s">
        <v>1026</v>
      </c>
      <c r="EN1093" s="26">
        <v>53</v>
      </c>
    </row>
    <row r="1094" spans="1:144" s="26" customFormat="1" x14ac:dyDescent="0.25">
      <c r="A1094" s="26">
        <v>53</v>
      </c>
      <c r="B1094" s="26" t="s">
        <v>1014</v>
      </c>
      <c r="C1094" s="26" t="s">
        <v>1015</v>
      </c>
      <c r="D1094" s="26">
        <v>2006</v>
      </c>
      <c r="E1094" s="26">
        <v>2000</v>
      </c>
      <c r="F1094" s="26" t="s">
        <v>1016</v>
      </c>
      <c r="G1094" s="26" t="s">
        <v>1017</v>
      </c>
      <c r="H1094" s="26">
        <v>33.950000000000003</v>
      </c>
      <c r="I1094" s="26">
        <v>-83.38</v>
      </c>
      <c r="J1094" s="26">
        <v>208.4</v>
      </c>
      <c r="M1094" s="26">
        <f t="shared" si="228"/>
        <v>783</v>
      </c>
      <c r="N1094" s="26">
        <f t="shared" si="229"/>
        <v>1233</v>
      </c>
      <c r="P1094" s="52" t="s">
        <v>186</v>
      </c>
      <c r="Q1094" s="52"/>
      <c r="R1094" s="52"/>
      <c r="S1094" s="52" t="s">
        <v>668</v>
      </c>
      <c r="U1094" s="26">
        <f t="shared" si="227"/>
        <v>65</v>
      </c>
      <c r="V1094" s="26">
        <f>25</f>
        <v>25</v>
      </c>
      <c r="W1094" s="26" t="s">
        <v>321</v>
      </c>
      <c r="X1094" s="26">
        <v>6.6</v>
      </c>
      <c r="Y1094" s="26">
        <v>0.88</v>
      </c>
      <c r="AA1094" s="26" t="s">
        <v>1710</v>
      </c>
      <c r="AB1094" s="26" t="s">
        <v>173</v>
      </c>
      <c r="AC1094" s="26" t="s">
        <v>788</v>
      </c>
      <c r="AD1094" s="26" t="s">
        <v>1025</v>
      </c>
      <c r="AE1094" s="26" t="s">
        <v>1025</v>
      </c>
      <c r="AF1094" s="26" t="s">
        <v>252</v>
      </c>
      <c r="AG1094" s="26" t="s">
        <v>1019</v>
      </c>
      <c r="AH1094" s="26" t="s">
        <v>1019</v>
      </c>
      <c r="AI1094" s="26" t="s">
        <v>252</v>
      </c>
      <c r="AJ1094" s="26" t="s">
        <v>452</v>
      </c>
      <c r="AK1094" s="26" t="s">
        <v>452</v>
      </c>
      <c r="AL1094" s="26" t="s">
        <v>252</v>
      </c>
      <c r="AM1094" s="26" t="s">
        <v>160</v>
      </c>
      <c r="AN1094" s="26">
        <v>3</v>
      </c>
      <c r="AO1094" s="26">
        <v>3</v>
      </c>
      <c r="AP1094" s="26" t="s">
        <v>448</v>
      </c>
      <c r="AR1094" s="26">
        <f t="shared" si="230"/>
        <v>6070</v>
      </c>
      <c r="AS1094" s="26">
        <v>29</v>
      </c>
      <c r="AY1094" s="26">
        <v>802</v>
      </c>
      <c r="AZ1094" s="26">
        <v>857</v>
      </c>
      <c r="BH1094" s="26">
        <f>51.2*0.28</f>
        <v>14.336000000000002</v>
      </c>
      <c r="BI1094" s="26">
        <f>54.8*0.28</f>
        <v>15.344000000000001</v>
      </c>
      <c r="BJ1094" s="26" t="s">
        <v>629</v>
      </c>
      <c r="CX1094" s="26">
        <v>14</v>
      </c>
      <c r="CY1094" s="26">
        <v>14</v>
      </c>
      <c r="CZ1094" s="26" t="s">
        <v>1022</v>
      </c>
      <c r="EL1094" s="26" t="s">
        <v>1026</v>
      </c>
      <c r="EN1094" s="26">
        <v>53</v>
      </c>
    </row>
    <row r="1095" spans="1:144" s="85" customFormat="1" x14ac:dyDescent="0.25">
      <c r="A1095" s="85">
        <v>53</v>
      </c>
      <c r="B1095" s="85" t="s">
        <v>1014</v>
      </c>
      <c r="C1095" s="85" t="s">
        <v>1015</v>
      </c>
      <c r="D1095" s="85">
        <v>2006</v>
      </c>
      <c r="E1095" s="85">
        <v>2000</v>
      </c>
      <c r="F1095" s="85" t="s">
        <v>1016</v>
      </c>
      <c r="G1095" s="85" t="s">
        <v>1017</v>
      </c>
      <c r="H1095" s="85">
        <v>33.950000000000003</v>
      </c>
      <c r="I1095" s="85">
        <v>-83.38</v>
      </c>
      <c r="J1095" s="85">
        <v>208.4</v>
      </c>
      <c r="M1095" s="26">
        <f t="shared" si="228"/>
        <v>783</v>
      </c>
      <c r="N1095" s="26">
        <f t="shared" si="229"/>
        <v>1233</v>
      </c>
      <c r="P1095" s="86" t="s">
        <v>186</v>
      </c>
      <c r="Q1095" s="86"/>
      <c r="R1095" s="86"/>
      <c r="S1095" s="86" t="s">
        <v>668</v>
      </c>
      <c r="U1095" s="85">
        <f t="shared" si="227"/>
        <v>65</v>
      </c>
      <c r="V1095" s="85">
        <f>25</f>
        <v>25</v>
      </c>
      <c r="W1095" s="85" t="s">
        <v>321</v>
      </c>
      <c r="X1095" s="85">
        <v>6.6</v>
      </c>
      <c r="Y1095" s="85">
        <v>0.88</v>
      </c>
      <c r="AA1095" s="26" t="s">
        <v>1710</v>
      </c>
      <c r="AB1095" s="85" t="s">
        <v>326</v>
      </c>
      <c r="AC1095" s="85" t="s">
        <v>788</v>
      </c>
      <c r="AD1095" s="26" t="s">
        <v>1025</v>
      </c>
      <c r="AE1095" s="26" t="s">
        <v>1025</v>
      </c>
      <c r="AF1095" s="26" t="s">
        <v>252</v>
      </c>
      <c r="AG1095" s="85" t="s">
        <v>217</v>
      </c>
      <c r="AH1095" s="85" t="s">
        <v>217</v>
      </c>
      <c r="AI1095" s="85" t="s">
        <v>252</v>
      </c>
      <c r="AJ1095" s="85" t="s">
        <v>452</v>
      </c>
      <c r="AK1095" s="85" t="s">
        <v>452</v>
      </c>
      <c r="AL1095" s="85" t="s">
        <v>252</v>
      </c>
      <c r="AM1095" s="85" t="s">
        <v>160</v>
      </c>
      <c r="AN1095" s="85">
        <v>3</v>
      </c>
      <c r="AO1095" s="85">
        <v>3</v>
      </c>
      <c r="AP1095" s="85" t="s">
        <v>448</v>
      </c>
      <c r="AR1095" s="85">
        <f>5.1*1000</f>
        <v>5100</v>
      </c>
      <c r="AS1095" s="85">
        <v>12</v>
      </c>
      <c r="AV1095" s="85">
        <v>5200</v>
      </c>
      <c r="AW1095" s="85">
        <v>8200</v>
      </c>
      <c r="AX1095" s="85" t="s">
        <v>1116</v>
      </c>
      <c r="AY1095" s="85">
        <v>814</v>
      </c>
      <c r="AZ1095" s="85">
        <v>661</v>
      </c>
      <c r="BH1095" s="85">
        <v>15.624000000000001</v>
      </c>
      <c r="BI1095" s="85">
        <f>61*0.28</f>
        <v>17.080000000000002</v>
      </c>
      <c r="BJ1095" s="26" t="s">
        <v>629</v>
      </c>
      <c r="CX1095" s="26">
        <v>11</v>
      </c>
      <c r="CY1095" s="85">
        <v>11</v>
      </c>
      <c r="CZ1095" s="26" t="s">
        <v>1022</v>
      </c>
      <c r="EL1095" s="26" t="s">
        <v>1026</v>
      </c>
      <c r="EN1095" s="85">
        <v>53</v>
      </c>
    </row>
    <row r="1096" spans="1:144" s="85" customFormat="1" x14ac:dyDescent="0.25">
      <c r="A1096" s="85">
        <v>53</v>
      </c>
      <c r="B1096" s="85" t="s">
        <v>1014</v>
      </c>
      <c r="C1096" s="85" t="s">
        <v>1015</v>
      </c>
      <c r="D1096" s="85">
        <v>2006</v>
      </c>
      <c r="E1096" s="85">
        <v>2000</v>
      </c>
      <c r="F1096" s="85" t="s">
        <v>1016</v>
      </c>
      <c r="G1096" s="85" t="s">
        <v>1017</v>
      </c>
      <c r="H1096" s="85">
        <v>33.950000000000003</v>
      </c>
      <c r="I1096" s="85">
        <v>-83.38</v>
      </c>
      <c r="J1096" s="85">
        <v>208.4</v>
      </c>
      <c r="M1096" s="26">
        <f t="shared" si="228"/>
        <v>783</v>
      </c>
      <c r="N1096" s="26">
        <f t="shared" si="229"/>
        <v>1233</v>
      </c>
      <c r="P1096" s="86" t="s">
        <v>186</v>
      </c>
      <c r="Q1096" s="86"/>
      <c r="R1096" s="86"/>
      <c r="S1096" s="86" t="s">
        <v>668</v>
      </c>
      <c r="U1096" s="85">
        <f t="shared" si="227"/>
        <v>65</v>
      </c>
      <c r="V1096" s="85">
        <f>25</f>
        <v>25</v>
      </c>
      <c r="W1096" s="85" t="s">
        <v>321</v>
      </c>
      <c r="X1096" s="85">
        <v>6.6</v>
      </c>
      <c r="Y1096" s="85">
        <v>0.88</v>
      </c>
      <c r="AA1096" s="26" t="s">
        <v>1710</v>
      </c>
      <c r="AB1096" s="85" t="s">
        <v>326</v>
      </c>
      <c r="AC1096" s="85" t="s">
        <v>788</v>
      </c>
      <c r="AD1096" s="26" t="s">
        <v>1025</v>
      </c>
      <c r="AE1096" s="26" t="s">
        <v>1025</v>
      </c>
      <c r="AF1096" s="26" t="s">
        <v>252</v>
      </c>
      <c r="AG1096" s="85" t="s">
        <v>1018</v>
      </c>
      <c r="AH1096" s="85" t="s">
        <v>1018</v>
      </c>
      <c r="AI1096" s="85" t="s">
        <v>252</v>
      </c>
      <c r="AJ1096" s="85" t="s">
        <v>452</v>
      </c>
      <c r="AK1096" s="85" t="s">
        <v>452</v>
      </c>
      <c r="AL1096" s="85" t="s">
        <v>252</v>
      </c>
      <c r="AM1096" s="85" t="s">
        <v>160</v>
      </c>
      <c r="AN1096" s="85">
        <v>3</v>
      </c>
      <c r="AO1096" s="85">
        <v>3</v>
      </c>
      <c r="AP1096" s="85" t="s">
        <v>448</v>
      </c>
      <c r="AR1096" s="85">
        <f t="shared" ref="AR1096:AR1097" si="231">5.1*1000</f>
        <v>5100</v>
      </c>
      <c r="AS1096" s="85">
        <v>12</v>
      </c>
      <c r="AY1096" s="85">
        <v>480</v>
      </c>
      <c r="AZ1096" s="85">
        <v>664</v>
      </c>
      <c r="BH1096" s="85">
        <v>14.14</v>
      </c>
      <c r="BI1096" s="85">
        <f>61.8*0.28</f>
        <v>17.304000000000002</v>
      </c>
      <c r="BJ1096" s="26" t="s">
        <v>629</v>
      </c>
      <c r="CX1096" s="26">
        <v>8</v>
      </c>
      <c r="CY1096" s="85">
        <v>11</v>
      </c>
      <c r="CZ1096" s="26" t="s">
        <v>1022</v>
      </c>
      <c r="EL1096" s="26" t="s">
        <v>1026</v>
      </c>
      <c r="EN1096" s="85">
        <v>53</v>
      </c>
    </row>
    <row r="1097" spans="1:144" s="85" customFormat="1" x14ac:dyDescent="0.25">
      <c r="A1097" s="85">
        <v>53</v>
      </c>
      <c r="B1097" s="85" t="s">
        <v>1014</v>
      </c>
      <c r="C1097" s="85" t="s">
        <v>1015</v>
      </c>
      <c r="D1097" s="85">
        <v>2006</v>
      </c>
      <c r="E1097" s="85">
        <v>2000</v>
      </c>
      <c r="F1097" s="85" t="s">
        <v>1016</v>
      </c>
      <c r="G1097" s="85" t="s">
        <v>1017</v>
      </c>
      <c r="H1097" s="85">
        <v>33.950000000000003</v>
      </c>
      <c r="I1097" s="85">
        <v>-83.38</v>
      </c>
      <c r="J1097" s="85">
        <v>208.4</v>
      </c>
      <c r="M1097" s="26">
        <f t="shared" si="228"/>
        <v>783</v>
      </c>
      <c r="N1097" s="26">
        <f t="shared" si="229"/>
        <v>1233</v>
      </c>
      <c r="P1097" s="86" t="s">
        <v>186</v>
      </c>
      <c r="Q1097" s="86"/>
      <c r="R1097" s="86"/>
      <c r="S1097" s="86" t="s">
        <v>668</v>
      </c>
      <c r="U1097" s="85">
        <f t="shared" si="227"/>
        <v>65</v>
      </c>
      <c r="V1097" s="85">
        <f>25</f>
        <v>25</v>
      </c>
      <c r="W1097" s="85" t="s">
        <v>321</v>
      </c>
      <c r="X1097" s="85">
        <v>6.6</v>
      </c>
      <c r="Y1097" s="85">
        <v>0.88</v>
      </c>
      <c r="AA1097" s="26" t="s">
        <v>1710</v>
      </c>
      <c r="AB1097" s="85" t="s">
        <v>326</v>
      </c>
      <c r="AC1097" s="85" t="s">
        <v>788</v>
      </c>
      <c r="AD1097" s="26" t="s">
        <v>1025</v>
      </c>
      <c r="AE1097" s="26" t="s">
        <v>1025</v>
      </c>
      <c r="AF1097" s="26" t="s">
        <v>252</v>
      </c>
      <c r="AG1097" s="85" t="s">
        <v>1019</v>
      </c>
      <c r="AH1097" s="85" t="s">
        <v>1019</v>
      </c>
      <c r="AI1097" s="85" t="s">
        <v>252</v>
      </c>
      <c r="AJ1097" s="85" t="s">
        <v>452</v>
      </c>
      <c r="AK1097" s="85" t="s">
        <v>452</v>
      </c>
      <c r="AL1097" s="85" t="s">
        <v>252</v>
      </c>
      <c r="AM1097" s="85" t="s">
        <v>160</v>
      </c>
      <c r="AN1097" s="85">
        <v>3</v>
      </c>
      <c r="AO1097" s="85">
        <v>3</v>
      </c>
      <c r="AP1097" s="85" t="s">
        <v>448</v>
      </c>
      <c r="AR1097" s="85">
        <f t="shared" si="231"/>
        <v>5100</v>
      </c>
      <c r="AS1097" s="85">
        <v>12</v>
      </c>
      <c r="AY1097" s="85">
        <v>802</v>
      </c>
      <c r="AZ1097" s="85">
        <v>657</v>
      </c>
      <c r="BH1097" s="85">
        <v>14.336000000000002</v>
      </c>
      <c r="BI1097" s="85">
        <f>62.9*0.28</f>
        <v>17.612000000000002</v>
      </c>
      <c r="BJ1097" s="26" t="s">
        <v>629</v>
      </c>
      <c r="CX1097" s="26">
        <v>14</v>
      </c>
      <c r="CY1097" s="85">
        <v>11</v>
      </c>
      <c r="CZ1097" s="26" t="s">
        <v>1022</v>
      </c>
      <c r="EL1097" s="26" t="s">
        <v>1026</v>
      </c>
      <c r="EN1097" s="85">
        <v>53</v>
      </c>
    </row>
    <row r="1098" spans="1:144" s="26" customFormat="1" x14ac:dyDescent="0.25">
      <c r="A1098" s="26">
        <v>53</v>
      </c>
      <c r="B1098" s="26" t="s">
        <v>1014</v>
      </c>
      <c r="C1098" s="26" t="s">
        <v>1015</v>
      </c>
      <c r="D1098" s="26">
        <v>2006</v>
      </c>
      <c r="E1098" s="26">
        <v>2000</v>
      </c>
      <c r="F1098" s="26" t="s">
        <v>1016</v>
      </c>
      <c r="G1098" s="26" t="s">
        <v>1017</v>
      </c>
      <c r="H1098" s="26">
        <v>33.950000000000003</v>
      </c>
      <c r="I1098" s="26">
        <v>-83.38</v>
      </c>
      <c r="J1098" s="26">
        <v>208.4</v>
      </c>
      <c r="M1098" s="26">
        <f t="shared" si="228"/>
        <v>783</v>
      </c>
      <c r="N1098" s="26">
        <f t="shared" si="229"/>
        <v>1233</v>
      </c>
      <c r="P1098" s="52" t="s">
        <v>186</v>
      </c>
      <c r="Q1098" s="52"/>
      <c r="R1098" s="52"/>
      <c r="S1098" s="52" t="s">
        <v>668</v>
      </c>
      <c r="U1098" s="26">
        <f t="shared" si="227"/>
        <v>65</v>
      </c>
      <c r="V1098" s="26">
        <f>25</f>
        <v>25</v>
      </c>
      <c r="W1098" s="26" t="s">
        <v>321</v>
      </c>
      <c r="X1098" s="26">
        <v>6.6</v>
      </c>
      <c r="Y1098" s="26">
        <v>0.88</v>
      </c>
      <c r="AA1098" s="26" t="s">
        <v>1710</v>
      </c>
      <c r="AB1098" s="26" t="s">
        <v>1511</v>
      </c>
      <c r="AC1098" s="26" t="s">
        <v>788</v>
      </c>
      <c r="AD1098" s="26" t="s">
        <v>1025</v>
      </c>
      <c r="AE1098" s="26" t="s">
        <v>1025</v>
      </c>
      <c r="AF1098" s="26" t="s">
        <v>252</v>
      </c>
      <c r="AG1098" s="26" t="s">
        <v>217</v>
      </c>
      <c r="AH1098" s="26" t="s">
        <v>217</v>
      </c>
      <c r="AI1098" s="26" t="s">
        <v>252</v>
      </c>
      <c r="AJ1098" s="26" t="s">
        <v>452</v>
      </c>
      <c r="AK1098" s="26" t="s">
        <v>452</v>
      </c>
      <c r="AL1098" s="26" t="s">
        <v>252</v>
      </c>
      <c r="AM1098" s="26" t="s">
        <v>160</v>
      </c>
      <c r="AN1098" s="26">
        <v>3</v>
      </c>
      <c r="AO1098" s="26">
        <v>3</v>
      </c>
      <c r="AP1098" s="26" t="s">
        <v>448</v>
      </c>
      <c r="AR1098" s="26">
        <f>8.18*1000</f>
        <v>8180</v>
      </c>
      <c r="AS1098" s="26">
        <v>10</v>
      </c>
      <c r="AV1098" s="26">
        <v>5200</v>
      </c>
      <c r="AW1098" s="26">
        <v>7300</v>
      </c>
      <c r="AX1098" s="26" t="s">
        <v>1116</v>
      </c>
      <c r="AY1098" s="26">
        <v>814</v>
      </c>
      <c r="AZ1098" s="26">
        <v>837</v>
      </c>
      <c r="BH1098" s="26">
        <f>55.8*0.28</f>
        <v>15.624000000000001</v>
      </c>
      <c r="BI1098" s="26">
        <f>53.7*0.28</f>
        <v>15.036000000000001</v>
      </c>
      <c r="BJ1098" s="26" t="s">
        <v>629</v>
      </c>
      <c r="CX1098" s="26">
        <v>11</v>
      </c>
      <c r="CY1098" s="26">
        <v>17</v>
      </c>
      <c r="CZ1098" s="26" t="s">
        <v>1022</v>
      </c>
      <c r="EL1098" s="26" t="s">
        <v>1026</v>
      </c>
      <c r="EN1098" s="26">
        <v>53</v>
      </c>
    </row>
    <row r="1099" spans="1:144" s="26" customFormat="1" x14ac:dyDescent="0.25">
      <c r="A1099" s="26">
        <v>53</v>
      </c>
      <c r="B1099" s="26" t="s">
        <v>1014</v>
      </c>
      <c r="C1099" s="26" t="s">
        <v>1015</v>
      </c>
      <c r="D1099" s="26">
        <v>2006</v>
      </c>
      <c r="E1099" s="26">
        <v>2000</v>
      </c>
      <c r="F1099" s="26" t="s">
        <v>1016</v>
      </c>
      <c r="G1099" s="26" t="s">
        <v>1017</v>
      </c>
      <c r="H1099" s="26">
        <v>33.950000000000003</v>
      </c>
      <c r="I1099" s="26">
        <v>-83.38</v>
      </c>
      <c r="J1099" s="26">
        <v>208.4</v>
      </c>
      <c r="M1099" s="26">
        <f t="shared" si="228"/>
        <v>783</v>
      </c>
      <c r="N1099" s="26">
        <f t="shared" si="229"/>
        <v>1233</v>
      </c>
      <c r="P1099" s="52" t="s">
        <v>186</v>
      </c>
      <c r="Q1099" s="52"/>
      <c r="R1099" s="52"/>
      <c r="S1099" s="52" t="s">
        <v>668</v>
      </c>
      <c r="U1099" s="26">
        <f t="shared" si="227"/>
        <v>65</v>
      </c>
      <c r="V1099" s="26">
        <f>25</f>
        <v>25</v>
      </c>
      <c r="W1099" s="26" t="s">
        <v>321</v>
      </c>
      <c r="X1099" s="26">
        <v>6.6</v>
      </c>
      <c r="Y1099" s="26">
        <v>0.88</v>
      </c>
      <c r="AA1099" s="26" t="s">
        <v>1710</v>
      </c>
      <c r="AB1099" s="26" t="s">
        <v>1511</v>
      </c>
      <c r="AC1099" s="26" t="s">
        <v>788</v>
      </c>
      <c r="AD1099" s="26" t="s">
        <v>1025</v>
      </c>
      <c r="AE1099" s="26" t="s">
        <v>1025</v>
      </c>
      <c r="AF1099" s="26" t="s">
        <v>252</v>
      </c>
      <c r="AG1099" s="26" t="s">
        <v>1018</v>
      </c>
      <c r="AH1099" s="26" t="s">
        <v>1018</v>
      </c>
      <c r="AI1099" s="26" t="s">
        <v>252</v>
      </c>
      <c r="AJ1099" s="26" t="s">
        <v>452</v>
      </c>
      <c r="AK1099" s="26" t="s">
        <v>452</v>
      </c>
      <c r="AL1099" s="26" t="s">
        <v>252</v>
      </c>
      <c r="AM1099" s="26" t="s">
        <v>160</v>
      </c>
      <c r="AN1099" s="26">
        <v>3</v>
      </c>
      <c r="AO1099" s="26">
        <v>3</v>
      </c>
      <c r="AP1099" s="26" t="s">
        <v>448</v>
      </c>
      <c r="AR1099" s="26">
        <f t="shared" ref="AR1099:AR1106" si="232">8.18*1000</f>
        <v>8180</v>
      </c>
      <c r="AS1099" s="26">
        <v>10</v>
      </c>
      <c r="AY1099" s="26">
        <v>480</v>
      </c>
      <c r="AZ1099" s="26">
        <v>516</v>
      </c>
      <c r="BH1099" s="26">
        <f>50.5*0.28</f>
        <v>14.14</v>
      </c>
      <c r="BI1099" s="26">
        <f>60.8*0.28</f>
        <v>17.024000000000001</v>
      </c>
      <c r="BJ1099" s="26" t="s">
        <v>629</v>
      </c>
      <c r="CX1099" s="26">
        <v>8</v>
      </c>
      <c r="CY1099" s="26">
        <v>9</v>
      </c>
      <c r="CZ1099" s="26" t="s">
        <v>1022</v>
      </c>
      <c r="EL1099" s="26" t="s">
        <v>1026</v>
      </c>
      <c r="EN1099" s="26">
        <v>53</v>
      </c>
    </row>
    <row r="1100" spans="1:144" s="26" customFormat="1" x14ac:dyDescent="0.25">
      <c r="A1100" s="26">
        <v>53</v>
      </c>
      <c r="B1100" s="26" t="s">
        <v>1014</v>
      </c>
      <c r="C1100" s="26" t="s">
        <v>1015</v>
      </c>
      <c r="D1100" s="26">
        <v>2006</v>
      </c>
      <c r="E1100" s="26">
        <v>2000</v>
      </c>
      <c r="F1100" s="26" t="s">
        <v>1016</v>
      </c>
      <c r="G1100" s="26" t="s">
        <v>1017</v>
      </c>
      <c r="H1100" s="26">
        <v>33.950000000000003</v>
      </c>
      <c r="I1100" s="26">
        <v>-83.38</v>
      </c>
      <c r="J1100" s="26">
        <v>208.4</v>
      </c>
      <c r="M1100" s="26">
        <f t="shared" si="228"/>
        <v>783</v>
      </c>
      <c r="N1100" s="26">
        <f t="shared" si="229"/>
        <v>1233</v>
      </c>
      <c r="P1100" s="52" t="s">
        <v>186</v>
      </c>
      <c r="Q1100" s="52"/>
      <c r="R1100" s="52"/>
      <c r="S1100" s="52" t="s">
        <v>668</v>
      </c>
      <c r="U1100" s="26">
        <f t="shared" si="227"/>
        <v>65</v>
      </c>
      <c r="V1100" s="26">
        <f>25</f>
        <v>25</v>
      </c>
      <c r="W1100" s="26" t="s">
        <v>321</v>
      </c>
      <c r="X1100" s="26">
        <v>6.6</v>
      </c>
      <c r="Y1100" s="26">
        <v>0.88</v>
      </c>
      <c r="AA1100" s="26" t="s">
        <v>1710</v>
      </c>
      <c r="AB1100" s="26" t="s">
        <v>1511</v>
      </c>
      <c r="AC1100" s="26" t="s">
        <v>788</v>
      </c>
      <c r="AD1100" s="26" t="s">
        <v>1025</v>
      </c>
      <c r="AE1100" s="26" t="s">
        <v>1025</v>
      </c>
      <c r="AF1100" s="26" t="s">
        <v>252</v>
      </c>
      <c r="AG1100" s="26" t="s">
        <v>1019</v>
      </c>
      <c r="AH1100" s="26" t="s">
        <v>1019</v>
      </c>
      <c r="AI1100" s="26" t="s">
        <v>252</v>
      </c>
      <c r="AJ1100" s="26" t="s">
        <v>452</v>
      </c>
      <c r="AK1100" s="26" t="s">
        <v>452</v>
      </c>
      <c r="AL1100" s="26" t="s">
        <v>252</v>
      </c>
      <c r="AM1100" s="26" t="s">
        <v>160</v>
      </c>
      <c r="AN1100" s="26">
        <v>3</v>
      </c>
      <c r="AO1100" s="26">
        <v>3</v>
      </c>
      <c r="AP1100" s="26" t="s">
        <v>448</v>
      </c>
      <c r="AR1100" s="26">
        <f t="shared" si="232"/>
        <v>8180</v>
      </c>
      <c r="AS1100" s="26">
        <v>10</v>
      </c>
      <c r="AY1100" s="26">
        <v>802</v>
      </c>
      <c r="AZ1100" s="26">
        <v>856</v>
      </c>
      <c r="BH1100" s="26">
        <f>51.2*0.28</f>
        <v>14.336000000000002</v>
      </c>
      <c r="BI1100" s="26">
        <f>54.7*0.28</f>
        <v>15.316000000000003</v>
      </c>
      <c r="BJ1100" s="26" t="s">
        <v>629</v>
      </c>
      <c r="CX1100" s="26">
        <v>14</v>
      </c>
      <c r="CY1100" s="26">
        <v>8</v>
      </c>
      <c r="CZ1100" s="26" t="s">
        <v>1022</v>
      </c>
      <c r="EL1100" s="26" t="s">
        <v>1026</v>
      </c>
      <c r="EN1100" s="26">
        <v>53</v>
      </c>
    </row>
    <row r="1101" spans="1:144" s="26" customFormat="1" x14ac:dyDescent="0.25">
      <c r="A1101" s="26">
        <v>53</v>
      </c>
      <c r="B1101" s="26" t="s">
        <v>1014</v>
      </c>
      <c r="C1101" s="26" t="s">
        <v>1015</v>
      </c>
      <c r="D1101" s="26">
        <v>2006</v>
      </c>
      <c r="E1101" s="26">
        <v>2000</v>
      </c>
      <c r="F1101" s="26" t="s">
        <v>1016</v>
      </c>
      <c r="G1101" s="26" t="s">
        <v>1017</v>
      </c>
      <c r="H1101" s="26">
        <v>33.950000000000003</v>
      </c>
      <c r="I1101" s="26">
        <v>-83.38</v>
      </c>
      <c r="J1101" s="26">
        <v>208.4</v>
      </c>
      <c r="M1101" s="26">
        <f t="shared" si="228"/>
        <v>783</v>
      </c>
      <c r="N1101" s="26">
        <f t="shared" si="229"/>
        <v>1233</v>
      </c>
      <c r="P1101" s="52" t="s">
        <v>186</v>
      </c>
      <c r="Q1101" s="52"/>
      <c r="R1101" s="52"/>
      <c r="S1101" s="52" t="s">
        <v>668</v>
      </c>
      <c r="U1101" s="26">
        <f t="shared" si="227"/>
        <v>65</v>
      </c>
      <c r="V1101" s="26">
        <f>25</f>
        <v>25</v>
      </c>
      <c r="W1101" s="26" t="s">
        <v>321</v>
      </c>
      <c r="X1101" s="26">
        <v>6.6</v>
      </c>
      <c r="Y1101" s="26">
        <v>0.88</v>
      </c>
      <c r="AA1101" s="26" t="s">
        <v>1710</v>
      </c>
      <c r="AB1101" s="26" t="s">
        <v>1511</v>
      </c>
      <c r="AC1101" s="26" t="s">
        <v>788</v>
      </c>
      <c r="AD1101" s="26" t="s">
        <v>1025</v>
      </c>
      <c r="AE1101" s="26" t="s">
        <v>1025</v>
      </c>
      <c r="AF1101" s="26" t="s">
        <v>252</v>
      </c>
      <c r="AG1101" s="26" t="s">
        <v>217</v>
      </c>
      <c r="AH1101" s="26" t="s">
        <v>217</v>
      </c>
      <c r="AI1101" s="26" t="s">
        <v>252</v>
      </c>
      <c r="AJ1101" s="26" t="s">
        <v>1020</v>
      </c>
      <c r="AK1101" s="26" t="s">
        <v>1020</v>
      </c>
      <c r="AL1101" s="26" t="s">
        <v>252</v>
      </c>
      <c r="AM1101" s="26" t="s">
        <v>160</v>
      </c>
      <c r="AN1101" s="26">
        <v>3</v>
      </c>
      <c r="AO1101" s="26">
        <v>3</v>
      </c>
      <c r="AP1101" s="26" t="s">
        <v>448</v>
      </c>
      <c r="AR1101" s="26">
        <f t="shared" si="232"/>
        <v>8180</v>
      </c>
      <c r="AS1101" s="26">
        <v>10</v>
      </c>
      <c r="AY1101" s="26">
        <v>814</v>
      </c>
      <c r="AZ1101" s="26">
        <v>1009</v>
      </c>
      <c r="BH1101" s="26">
        <f>52.5*0.28</f>
        <v>14.700000000000001</v>
      </c>
      <c r="BI1101" s="26">
        <f>56.1*0.28</f>
        <v>15.708000000000002</v>
      </c>
      <c r="BJ1101" s="26" t="s">
        <v>629</v>
      </c>
      <c r="EL1101" s="26" t="s">
        <v>1026</v>
      </c>
      <c r="EN1101" s="26">
        <v>53</v>
      </c>
    </row>
    <row r="1102" spans="1:144" s="26" customFormat="1" x14ac:dyDescent="0.25">
      <c r="A1102" s="26">
        <v>53</v>
      </c>
      <c r="B1102" s="26" t="s">
        <v>1014</v>
      </c>
      <c r="C1102" s="26" t="s">
        <v>1015</v>
      </c>
      <c r="D1102" s="26">
        <v>2006</v>
      </c>
      <c r="E1102" s="26">
        <v>2000</v>
      </c>
      <c r="F1102" s="26" t="s">
        <v>1016</v>
      </c>
      <c r="G1102" s="26" t="s">
        <v>1017</v>
      </c>
      <c r="H1102" s="26">
        <v>33.950000000000003</v>
      </c>
      <c r="I1102" s="26">
        <v>-83.38</v>
      </c>
      <c r="J1102" s="26">
        <v>208.4</v>
      </c>
      <c r="M1102" s="26">
        <f t="shared" si="228"/>
        <v>783</v>
      </c>
      <c r="N1102" s="26">
        <f t="shared" si="229"/>
        <v>1233</v>
      </c>
      <c r="P1102" s="52" t="s">
        <v>186</v>
      </c>
      <c r="Q1102" s="52"/>
      <c r="R1102" s="52"/>
      <c r="S1102" s="52" t="s">
        <v>668</v>
      </c>
      <c r="U1102" s="26">
        <f t="shared" si="227"/>
        <v>65</v>
      </c>
      <c r="V1102" s="26">
        <f>25</f>
        <v>25</v>
      </c>
      <c r="W1102" s="26" t="s">
        <v>321</v>
      </c>
      <c r="X1102" s="26">
        <v>6.6</v>
      </c>
      <c r="Y1102" s="26">
        <v>0.88</v>
      </c>
      <c r="AA1102" s="26" t="s">
        <v>1710</v>
      </c>
      <c r="AB1102" s="26" t="s">
        <v>1511</v>
      </c>
      <c r="AC1102" s="26" t="s">
        <v>788</v>
      </c>
      <c r="AD1102" s="26" t="s">
        <v>1025</v>
      </c>
      <c r="AE1102" s="26" t="s">
        <v>1025</v>
      </c>
      <c r="AF1102" s="26" t="s">
        <v>252</v>
      </c>
      <c r="AG1102" s="26" t="s">
        <v>1018</v>
      </c>
      <c r="AH1102" s="26" t="s">
        <v>1018</v>
      </c>
      <c r="AI1102" s="26" t="s">
        <v>252</v>
      </c>
      <c r="AJ1102" s="26" t="s">
        <v>1020</v>
      </c>
      <c r="AK1102" s="26" t="s">
        <v>1020</v>
      </c>
      <c r="AL1102" s="26" t="s">
        <v>252</v>
      </c>
      <c r="AM1102" s="26" t="s">
        <v>160</v>
      </c>
      <c r="AN1102" s="26">
        <v>3</v>
      </c>
      <c r="AO1102" s="26">
        <v>3</v>
      </c>
      <c r="AP1102" s="26" t="s">
        <v>448</v>
      </c>
      <c r="AR1102" s="26">
        <f t="shared" si="232"/>
        <v>8180</v>
      </c>
      <c r="AS1102" s="26">
        <v>10</v>
      </c>
      <c r="AY1102" s="26">
        <v>480</v>
      </c>
      <c r="AZ1102" s="26">
        <v>645</v>
      </c>
      <c r="EL1102" s="26" t="s">
        <v>1026</v>
      </c>
      <c r="EN1102" s="26">
        <v>53</v>
      </c>
    </row>
    <row r="1103" spans="1:144" s="26" customFormat="1" x14ac:dyDescent="0.25">
      <c r="A1103" s="26">
        <v>53</v>
      </c>
      <c r="B1103" s="26" t="s">
        <v>1014</v>
      </c>
      <c r="C1103" s="26" t="s">
        <v>1015</v>
      </c>
      <c r="D1103" s="26">
        <v>2006</v>
      </c>
      <c r="E1103" s="26">
        <v>2000</v>
      </c>
      <c r="F1103" s="26" t="s">
        <v>1016</v>
      </c>
      <c r="G1103" s="26" t="s">
        <v>1017</v>
      </c>
      <c r="H1103" s="26">
        <v>33.950000000000003</v>
      </c>
      <c r="I1103" s="26">
        <v>-83.38</v>
      </c>
      <c r="J1103" s="26">
        <v>208.4</v>
      </c>
      <c r="M1103" s="26">
        <f t="shared" si="228"/>
        <v>783</v>
      </c>
      <c r="N1103" s="26">
        <f t="shared" si="229"/>
        <v>1233</v>
      </c>
      <c r="P1103" s="52" t="s">
        <v>186</v>
      </c>
      <c r="Q1103" s="52"/>
      <c r="R1103" s="52"/>
      <c r="S1103" s="52" t="s">
        <v>668</v>
      </c>
      <c r="U1103" s="26">
        <f t="shared" si="227"/>
        <v>65</v>
      </c>
      <c r="V1103" s="26">
        <f>25</f>
        <v>25</v>
      </c>
      <c r="W1103" s="26" t="s">
        <v>321</v>
      </c>
      <c r="X1103" s="26">
        <v>6.6</v>
      </c>
      <c r="Y1103" s="26">
        <v>0.88</v>
      </c>
      <c r="AA1103" s="26" t="s">
        <v>1710</v>
      </c>
      <c r="AB1103" s="26" t="s">
        <v>1511</v>
      </c>
      <c r="AC1103" s="26" t="s">
        <v>788</v>
      </c>
      <c r="AD1103" s="26" t="s">
        <v>1025</v>
      </c>
      <c r="AE1103" s="26" t="s">
        <v>1025</v>
      </c>
      <c r="AF1103" s="26" t="s">
        <v>252</v>
      </c>
      <c r="AG1103" s="26" t="s">
        <v>1019</v>
      </c>
      <c r="AH1103" s="26" t="s">
        <v>1019</v>
      </c>
      <c r="AI1103" s="26" t="s">
        <v>252</v>
      </c>
      <c r="AJ1103" s="26" t="s">
        <v>1020</v>
      </c>
      <c r="AK1103" s="26" t="s">
        <v>1020</v>
      </c>
      <c r="AL1103" s="26" t="s">
        <v>252</v>
      </c>
      <c r="AM1103" s="26" t="s">
        <v>160</v>
      </c>
      <c r="AN1103" s="26">
        <v>3</v>
      </c>
      <c r="AO1103" s="26">
        <v>3</v>
      </c>
      <c r="AP1103" s="26" t="s">
        <v>448</v>
      </c>
      <c r="AR1103" s="26">
        <f t="shared" si="232"/>
        <v>8180</v>
      </c>
      <c r="AS1103" s="26">
        <v>10</v>
      </c>
      <c r="AY1103" s="26">
        <v>802</v>
      </c>
      <c r="AZ1103" s="26">
        <v>666</v>
      </c>
      <c r="EL1103" s="26" t="s">
        <v>1026</v>
      </c>
      <c r="EN1103" s="26">
        <v>53</v>
      </c>
    </row>
    <row r="1104" spans="1:144" s="26" customFormat="1" x14ac:dyDescent="0.25">
      <c r="A1104" s="26">
        <v>53</v>
      </c>
      <c r="B1104" s="26" t="s">
        <v>1014</v>
      </c>
      <c r="C1104" s="26" t="s">
        <v>1015</v>
      </c>
      <c r="D1104" s="26">
        <v>2006</v>
      </c>
      <c r="E1104" s="26">
        <v>2000</v>
      </c>
      <c r="F1104" s="26" t="s">
        <v>1016</v>
      </c>
      <c r="G1104" s="26" t="s">
        <v>1017</v>
      </c>
      <c r="H1104" s="26">
        <v>33.950000000000003</v>
      </c>
      <c r="I1104" s="26">
        <v>-83.38</v>
      </c>
      <c r="J1104" s="26">
        <v>208.4</v>
      </c>
      <c r="M1104" s="26">
        <f t="shared" si="228"/>
        <v>783</v>
      </c>
      <c r="N1104" s="26">
        <f t="shared" si="229"/>
        <v>1233</v>
      </c>
      <c r="P1104" s="52" t="s">
        <v>186</v>
      </c>
      <c r="Q1104" s="52"/>
      <c r="R1104" s="52"/>
      <c r="S1104" s="52" t="s">
        <v>668</v>
      </c>
      <c r="U1104" s="26">
        <f t="shared" si="227"/>
        <v>65</v>
      </c>
      <c r="V1104" s="26">
        <f>25</f>
        <v>25</v>
      </c>
      <c r="W1104" s="26" t="s">
        <v>321</v>
      </c>
      <c r="X1104" s="26">
        <v>6.6</v>
      </c>
      <c r="Y1104" s="26">
        <v>0.88</v>
      </c>
      <c r="AA1104" s="26" t="s">
        <v>1710</v>
      </c>
      <c r="AB1104" s="26" t="s">
        <v>1511</v>
      </c>
      <c r="AC1104" s="26" t="s">
        <v>788</v>
      </c>
      <c r="AD1104" s="26" t="s">
        <v>1025</v>
      </c>
      <c r="AE1104" s="26" t="s">
        <v>1025</v>
      </c>
      <c r="AF1104" s="26" t="s">
        <v>252</v>
      </c>
      <c r="AG1104" s="26" t="s">
        <v>217</v>
      </c>
      <c r="AH1104" s="26" t="s">
        <v>217</v>
      </c>
      <c r="AI1104" s="26" t="s">
        <v>252</v>
      </c>
      <c r="AJ1104" s="26" t="s">
        <v>1021</v>
      </c>
      <c r="AK1104" s="26" t="s">
        <v>1021</v>
      </c>
      <c r="AL1104" s="26" t="s">
        <v>252</v>
      </c>
      <c r="AM1104" s="26" t="s">
        <v>160</v>
      </c>
      <c r="AN1104" s="26">
        <v>3</v>
      </c>
      <c r="AO1104" s="26">
        <v>3</v>
      </c>
      <c r="AP1104" s="26" t="s">
        <v>448</v>
      </c>
      <c r="AR1104" s="26">
        <f t="shared" si="232"/>
        <v>8180</v>
      </c>
      <c r="AS1104" s="26">
        <v>10</v>
      </c>
      <c r="AY1104" s="26">
        <v>814</v>
      </c>
      <c r="AZ1104" s="26">
        <v>824</v>
      </c>
      <c r="BH1104" s="26">
        <f>52.5*0.28</f>
        <v>14.700000000000001</v>
      </c>
      <c r="BI1104" s="26">
        <f>59.9*0.28</f>
        <v>16.772000000000002</v>
      </c>
      <c r="BJ1104" s="26" t="s">
        <v>629</v>
      </c>
      <c r="EL1104" s="26" t="s">
        <v>1026</v>
      </c>
      <c r="EN1104" s="26">
        <v>53</v>
      </c>
    </row>
    <row r="1105" spans="1:144" s="26" customFormat="1" x14ac:dyDescent="0.25">
      <c r="A1105" s="26">
        <v>53</v>
      </c>
      <c r="B1105" s="26" t="s">
        <v>1014</v>
      </c>
      <c r="C1105" s="26" t="s">
        <v>1015</v>
      </c>
      <c r="D1105" s="26">
        <v>2006</v>
      </c>
      <c r="E1105" s="26">
        <v>2000</v>
      </c>
      <c r="F1105" s="26" t="s">
        <v>1016</v>
      </c>
      <c r="G1105" s="26" t="s">
        <v>1017</v>
      </c>
      <c r="H1105" s="26">
        <v>33.950000000000003</v>
      </c>
      <c r="I1105" s="26">
        <v>-83.38</v>
      </c>
      <c r="J1105" s="26">
        <v>208.4</v>
      </c>
      <c r="M1105" s="26">
        <f t="shared" si="228"/>
        <v>783</v>
      </c>
      <c r="N1105" s="26">
        <f t="shared" si="229"/>
        <v>1233</v>
      </c>
      <c r="P1105" s="52" t="s">
        <v>186</v>
      </c>
      <c r="Q1105" s="52"/>
      <c r="R1105" s="52"/>
      <c r="S1105" s="52" t="s">
        <v>668</v>
      </c>
      <c r="U1105" s="26">
        <f t="shared" si="227"/>
        <v>65</v>
      </c>
      <c r="V1105" s="26">
        <f>25</f>
        <v>25</v>
      </c>
      <c r="W1105" s="26" t="s">
        <v>321</v>
      </c>
      <c r="X1105" s="26">
        <v>6.6</v>
      </c>
      <c r="Y1105" s="26">
        <v>0.88</v>
      </c>
      <c r="AA1105" s="26" t="s">
        <v>1710</v>
      </c>
      <c r="AB1105" s="26" t="s">
        <v>1511</v>
      </c>
      <c r="AC1105" s="26" t="s">
        <v>788</v>
      </c>
      <c r="AD1105" s="26" t="s">
        <v>1025</v>
      </c>
      <c r="AE1105" s="26" t="s">
        <v>1025</v>
      </c>
      <c r="AF1105" s="26" t="s">
        <v>252</v>
      </c>
      <c r="AG1105" s="26" t="s">
        <v>1018</v>
      </c>
      <c r="AH1105" s="26" t="s">
        <v>1018</v>
      </c>
      <c r="AI1105" s="26" t="s">
        <v>252</v>
      </c>
      <c r="AJ1105" s="26" t="s">
        <v>1021</v>
      </c>
      <c r="AK1105" s="26" t="s">
        <v>1021</v>
      </c>
      <c r="AL1105" s="26" t="s">
        <v>252</v>
      </c>
      <c r="AM1105" s="26" t="s">
        <v>160</v>
      </c>
      <c r="AN1105" s="26">
        <v>3</v>
      </c>
      <c r="AO1105" s="26">
        <v>3</v>
      </c>
      <c r="AP1105" s="26" t="s">
        <v>448</v>
      </c>
      <c r="AR1105" s="26">
        <f t="shared" si="232"/>
        <v>8180</v>
      </c>
      <c r="AS1105" s="26">
        <v>10</v>
      </c>
      <c r="AY1105" s="26">
        <v>480</v>
      </c>
      <c r="AZ1105" s="26">
        <v>594</v>
      </c>
      <c r="EL1105" s="26" t="s">
        <v>1026</v>
      </c>
      <c r="EN1105" s="26">
        <v>53</v>
      </c>
    </row>
    <row r="1106" spans="1:144" s="26" customFormat="1" x14ac:dyDescent="0.25">
      <c r="A1106" s="26">
        <v>53</v>
      </c>
      <c r="B1106" s="26" t="s">
        <v>1014</v>
      </c>
      <c r="C1106" s="26" t="s">
        <v>1015</v>
      </c>
      <c r="D1106" s="26">
        <v>2006</v>
      </c>
      <c r="E1106" s="26">
        <v>2000</v>
      </c>
      <c r="F1106" s="26" t="s">
        <v>1016</v>
      </c>
      <c r="G1106" s="26" t="s">
        <v>1017</v>
      </c>
      <c r="H1106" s="26">
        <v>33.950000000000003</v>
      </c>
      <c r="I1106" s="26">
        <v>-83.38</v>
      </c>
      <c r="J1106" s="26">
        <v>208.4</v>
      </c>
      <c r="M1106" s="26">
        <f t="shared" si="228"/>
        <v>783</v>
      </c>
      <c r="N1106" s="26">
        <f t="shared" si="229"/>
        <v>1233</v>
      </c>
      <c r="P1106" s="52" t="s">
        <v>186</v>
      </c>
      <c r="Q1106" s="52"/>
      <c r="R1106" s="52"/>
      <c r="S1106" s="52" t="s">
        <v>668</v>
      </c>
      <c r="U1106" s="26">
        <f t="shared" si="227"/>
        <v>65</v>
      </c>
      <c r="V1106" s="26">
        <f>25</f>
        <v>25</v>
      </c>
      <c r="W1106" s="26" t="s">
        <v>321</v>
      </c>
      <c r="X1106" s="26">
        <v>6.6</v>
      </c>
      <c r="Y1106" s="26">
        <v>0.88</v>
      </c>
      <c r="AA1106" s="26" t="s">
        <v>1710</v>
      </c>
      <c r="AB1106" s="26" t="s">
        <v>1511</v>
      </c>
      <c r="AC1106" s="26" t="s">
        <v>788</v>
      </c>
      <c r="AD1106" s="26" t="s">
        <v>1025</v>
      </c>
      <c r="AE1106" s="26" t="s">
        <v>1025</v>
      </c>
      <c r="AF1106" s="26" t="s">
        <v>252</v>
      </c>
      <c r="AG1106" s="26" t="s">
        <v>1019</v>
      </c>
      <c r="AH1106" s="26" t="s">
        <v>1019</v>
      </c>
      <c r="AI1106" s="26" t="s">
        <v>252</v>
      </c>
      <c r="AJ1106" s="26" t="s">
        <v>1021</v>
      </c>
      <c r="AK1106" s="26" t="s">
        <v>1021</v>
      </c>
      <c r="AL1106" s="26" t="s">
        <v>252</v>
      </c>
      <c r="AM1106" s="26" t="s">
        <v>160</v>
      </c>
      <c r="AN1106" s="26">
        <v>3</v>
      </c>
      <c r="AO1106" s="26">
        <v>3</v>
      </c>
      <c r="AP1106" s="26" t="s">
        <v>448</v>
      </c>
      <c r="AR1106" s="26">
        <f t="shared" si="232"/>
        <v>8180</v>
      </c>
      <c r="AS1106" s="26">
        <v>10</v>
      </c>
      <c r="AY1106" s="26">
        <v>802</v>
      </c>
      <c r="AZ1106" s="26">
        <v>647</v>
      </c>
      <c r="EL1106" s="26" t="s">
        <v>1026</v>
      </c>
      <c r="EN1106" s="26">
        <v>53</v>
      </c>
    </row>
    <row r="1107" spans="1:144" s="83" customFormat="1" x14ac:dyDescent="0.25">
      <c r="A1107" s="83">
        <v>53</v>
      </c>
      <c r="B1107" s="83" t="s">
        <v>1014</v>
      </c>
      <c r="C1107" s="83" t="s">
        <v>1015</v>
      </c>
      <c r="D1107" s="83">
        <v>2006</v>
      </c>
      <c r="E1107" s="83">
        <v>2001</v>
      </c>
      <c r="F1107" s="83" t="s">
        <v>1016</v>
      </c>
      <c r="G1107" s="83" t="s">
        <v>1017</v>
      </c>
      <c r="H1107" s="83">
        <v>33.950000000000003</v>
      </c>
      <c r="I1107" s="83">
        <v>-83.38</v>
      </c>
      <c r="J1107" s="83">
        <v>208.4</v>
      </c>
      <c r="M1107" s="83">
        <f>341+407</f>
        <v>748</v>
      </c>
      <c r="N1107" s="83">
        <f t="shared" si="229"/>
        <v>1233</v>
      </c>
      <c r="P1107" s="84" t="s">
        <v>187</v>
      </c>
      <c r="Q1107" s="84"/>
      <c r="R1107" s="84"/>
      <c r="S1107" s="84" t="s">
        <v>668</v>
      </c>
      <c r="U1107" s="83">
        <f t="shared" si="227"/>
        <v>65</v>
      </c>
      <c r="V1107" s="83">
        <f>25</f>
        <v>25</v>
      </c>
      <c r="W1107" s="83" t="s">
        <v>321</v>
      </c>
      <c r="X1107" s="83">
        <v>6.6</v>
      </c>
      <c r="Y1107" s="83">
        <v>0.88</v>
      </c>
      <c r="AA1107" s="26" t="s">
        <v>1710</v>
      </c>
      <c r="AB1107" s="83" t="s">
        <v>173</v>
      </c>
      <c r="AC1107" s="83" t="s">
        <v>299</v>
      </c>
      <c r="AD1107" s="83" t="s">
        <v>1025</v>
      </c>
      <c r="AE1107" s="83" t="s">
        <v>1025</v>
      </c>
      <c r="AF1107" s="83" t="s">
        <v>252</v>
      </c>
      <c r="AG1107" s="83" t="s">
        <v>217</v>
      </c>
      <c r="AH1107" s="83" t="s">
        <v>217</v>
      </c>
      <c r="AI1107" s="83" t="s">
        <v>252</v>
      </c>
      <c r="AJ1107" s="83" t="s">
        <v>452</v>
      </c>
      <c r="AK1107" s="83" t="s">
        <v>452</v>
      </c>
      <c r="AL1107" s="83" t="s">
        <v>252</v>
      </c>
      <c r="AM1107" s="83" t="s">
        <v>160</v>
      </c>
      <c r="AN1107" s="83">
        <v>3</v>
      </c>
      <c r="AO1107" s="83">
        <v>3</v>
      </c>
      <c r="AP1107" s="83" t="s">
        <v>448</v>
      </c>
      <c r="AR1107" s="83">
        <v>3810</v>
      </c>
      <c r="AS1107" s="83">
        <v>57</v>
      </c>
      <c r="AV1107" s="83">
        <v>10600</v>
      </c>
      <c r="AW1107" s="83">
        <v>7100</v>
      </c>
      <c r="AX1107" s="83" t="s">
        <v>1116</v>
      </c>
      <c r="AY1107" s="83">
        <v>2700</v>
      </c>
      <c r="AZ1107" s="83">
        <v>1500</v>
      </c>
      <c r="BJ1107" s="26"/>
      <c r="CX1107" s="83">
        <v>11</v>
      </c>
      <c r="CY1107" s="83">
        <v>17</v>
      </c>
      <c r="CZ1107" s="83" t="s">
        <v>1022</v>
      </c>
      <c r="EL1107" s="83" t="s">
        <v>1026</v>
      </c>
      <c r="EN1107" s="83">
        <v>53</v>
      </c>
    </row>
    <row r="1108" spans="1:144" s="83" customFormat="1" x14ac:dyDescent="0.25">
      <c r="A1108" s="83">
        <v>53</v>
      </c>
      <c r="B1108" s="83" t="s">
        <v>1014</v>
      </c>
      <c r="C1108" s="83" t="s">
        <v>1015</v>
      </c>
      <c r="D1108" s="83">
        <v>2006</v>
      </c>
      <c r="E1108" s="83">
        <v>2001</v>
      </c>
      <c r="F1108" s="83" t="s">
        <v>1016</v>
      </c>
      <c r="G1108" s="83" t="s">
        <v>1017</v>
      </c>
      <c r="H1108" s="83">
        <v>33.950000000000003</v>
      </c>
      <c r="I1108" s="83">
        <v>-83.38</v>
      </c>
      <c r="J1108" s="83">
        <v>208.4</v>
      </c>
      <c r="M1108" s="83">
        <f t="shared" ref="M1108:M1115" si="233">341+407</f>
        <v>748</v>
      </c>
      <c r="N1108" s="83">
        <f t="shared" si="229"/>
        <v>1233</v>
      </c>
      <c r="P1108" s="84" t="s">
        <v>187</v>
      </c>
      <c r="Q1108" s="84"/>
      <c r="R1108" s="84"/>
      <c r="S1108" s="84" t="s">
        <v>668</v>
      </c>
      <c r="U1108" s="83">
        <f t="shared" si="227"/>
        <v>65</v>
      </c>
      <c r="V1108" s="83">
        <f>25</f>
        <v>25</v>
      </c>
      <c r="W1108" s="83" t="s">
        <v>321</v>
      </c>
      <c r="X1108" s="83">
        <v>6.6</v>
      </c>
      <c r="Y1108" s="83">
        <v>0.88</v>
      </c>
      <c r="AA1108" s="26" t="s">
        <v>1710</v>
      </c>
      <c r="AB1108" s="83" t="s">
        <v>326</v>
      </c>
      <c r="AC1108" s="83" t="s">
        <v>299</v>
      </c>
      <c r="AD1108" s="83" t="s">
        <v>1025</v>
      </c>
      <c r="AE1108" s="83" t="s">
        <v>1025</v>
      </c>
      <c r="AF1108" s="83" t="s">
        <v>252</v>
      </c>
      <c r="AG1108" s="83" t="s">
        <v>217</v>
      </c>
      <c r="AH1108" s="83" t="s">
        <v>217</v>
      </c>
      <c r="AI1108" s="83" t="s">
        <v>252</v>
      </c>
      <c r="AJ1108" s="83" t="s">
        <v>452</v>
      </c>
      <c r="AK1108" s="83" t="s">
        <v>452</v>
      </c>
      <c r="AL1108" s="83" t="s">
        <v>252</v>
      </c>
      <c r="AM1108" s="83" t="s">
        <v>160</v>
      </c>
      <c r="AN1108" s="83">
        <v>3</v>
      </c>
      <c r="AO1108" s="83">
        <v>3</v>
      </c>
      <c r="AP1108" s="83" t="s">
        <v>448</v>
      </c>
      <c r="AR1108" s="83">
        <v>3810</v>
      </c>
      <c r="AS1108" s="83">
        <v>57</v>
      </c>
      <c r="AV1108" s="83">
        <v>10600</v>
      </c>
      <c r="AW1108" s="83">
        <v>14800</v>
      </c>
      <c r="AX1108" s="83" t="s">
        <v>1116</v>
      </c>
      <c r="AY1108" s="83">
        <v>2700</v>
      </c>
      <c r="AZ1108" s="83">
        <v>3300</v>
      </c>
      <c r="BJ1108" s="26"/>
      <c r="CX1108" s="83">
        <v>8</v>
      </c>
      <c r="CY1108" s="83">
        <v>9</v>
      </c>
      <c r="CZ1108" s="83" t="s">
        <v>1022</v>
      </c>
      <c r="EL1108" s="83" t="s">
        <v>1026</v>
      </c>
      <c r="EN1108" s="83">
        <v>53</v>
      </c>
    </row>
    <row r="1109" spans="1:144" s="83" customFormat="1" x14ac:dyDescent="0.25">
      <c r="A1109" s="83">
        <v>53</v>
      </c>
      <c r="B1109" s="83" t="s">
        <v>1014</v>
      </c>
      <c r="C1109" s="83" t="s">
        <v>1015</v>
      </c>
      <c r="D1109" s="83">
        <v>2006</v>
      </c>
      <c r="E1109" s="83">
        <v>2001</v>
      </c>
      <c r="F1109" s="83" t="s">
        <v>1016</v>
      </c>
      <c r="G1109" s="83" t="s">
        <v>1017</v>
      </c>
      <c r="H1109" s="83">
        <v>33.950000000000003</v>
      </c>
      <c r="I1109" s="83">
        <v>-83.38</v>
      </c>
      <c r="J1109" s="83">
        <v>208.4</v>
      </c>
      <c r="M1109" s="83">
        <f t="shared" si="233"/>
        <v>748</v>
      </c>
      <c r="N1109" s="83">
        <f t="shared" si="229"/>
        <v>1233</v>
      </c>
      <c r="P1109" s="84" t="s">
        <v>187</v>
      </c>
      <c r="Q1109" s="84"/>
      <c r="R1109" s="84"/>
      <c r="S1109" s="84" t="s">
        <v>668</v>
      </c>
      <c r="U1109" s="83">
        <f t="shared" si="227"/>
        <v>65</v>
      </c>
      <c r="V1109" s="83">
        <f>25</f>
        <v>25</v>
      </c>
      <c r="W1109" s="83" t="s">
        <v>321</v>
      </c>
      <c r="X1109" s="83">
        <v>6.6</v>
      </c>
      <c r="Y1109" s="83">
        <v>0.88</v>
      </c>
      <c r="AA1109" s="26" t="s">
        <v>1710</v>
      </c>
      <c r="AB1109" s="83" t="s">
        <v>1511</v>
      </c>
      <c r="AC1109" s="83" t="s">
        <v>299</v>
      </c>
      <c r="AD1109" s="83" t="s">
        <v>1025</v>
      </c>
      <c r="AE1109" s="83" t="s">
        <v>1025</v>
      </c>
      <c r="AF1109" s="83" t="s">
        <v>252</v>
      </c>
      <c r="AG1109" s="83" t="s">
        <v>217</v>
      </c>
      <c r="AH1109" s="83" t="s">
        <v>217</v>
      </c>
      <c r="AI1109" s="83" t="s">
        <v>252</v>
      </c>
      <c r="AJ1109" s="83" t="s">
        <v>452</v>
      </c>
      <c r="AK1109" s="83" t="s">
        <v>452</v>
      </c>
      <c r="AL1109" s="83" t="s">
        <v>252</v>
      </c>
      <c r="AM1109" s="83" t="s">
        <v>160</v>
      </c>
      <c r="AN1109" s="83">
        <v>3</v>
      </c>
      <c r="AO1109" s="83">
        <v>3</v>
      </c>
      <c r="AP1109" s="83" t="s">
        <v>448</v>
      </c>
      <c r="AR1109" s="83">
        <v>3810</v>
      </c>
      <c r="AS1109" s="83">
        <v>57</v>
      </c>
      <c r="AV1109" s="83">
        <v>10600</v>
      </c>
      <c r="AW1109" s="83">
        <v>13800</v>
      </c>
      <c r="AX1109" s="83" t="s">
        <v>1116</v>
      </c>
      <c r="AY1109" s="83">
        <v>2700</v>
      </c>
      <c r="AZ1109" s="83">
        <v>3500</v>
      </c>
      <c r="BJ1109" s="26"/>
      <c r="CX1109" s="83">
        <v>14</v>
      </c>
      <c r="CY1109" s="83">
        <v>8</v>
      </c>
      <c r="CZ1109" s="83" t="s">
        <v>1022</v>
      </c>
      <c r="EL1109" s="83" t="s">
        <v>1026</v>
      </c>
      <c r="EN1109" s="83">
        <v>53</v>
      </c>
    </row>
    <row r="1110" spans="1:144" s="83" customFormat="1" x14ac:dyDescent="0.25">
      <c r="A1110" s="83">
        <v>53</v>
      </c>
      <c r="B1110" s="83" t="s">
        <v>1014</v>
      </c>
      <c r="C1110" s="83" t="s">
        <v>1015</v>
      </c>
      <c r="D1110" s="83">
        <v>2006</v>
      </c>
      <c r="E1110" s="83">
        <v>2001</v>
      </c>
      <c r="F1110" s="83" t="s">
        <v>1016</v>
      </c>
      <c r="G1110" s="83" t="s">
        <v>1017</v>
      </c>
      <c r="H1110" s="83">
        <v>33.950000000000003</v>
      </c>
      <c r="I1110" s="83">
        <v>-83.38</v>
      </c>
      <c r="J1110" s="83">
        <v>208.4</v>
      </c>
      <c r="M1110" s="83">
        <f t="shared" si="233"/>
        <v>748</v>
      </c>
      <c r="N1110" s="83">
        <f t="shared" si="229"/>
        <v>1233</v>
      </c>
      <c r="P1110" s="84" t="s">
        <v>187</v>
      </c>
      <c r="Q1110" s="84"/>
      <c r="R1110" s="84"/>
      <c r="S1110" s="84" t="s">
        <v>668</v>
      </c>
      <c r="U1110" s="83">
        <f t="shared" si="227"/>
        <v>65</v>
      </c>
      <c r="V1110" s="83">
        <f>25</f>
        <v>25</v>
      </c>
      <c r="W1110" s="83" t="s">
        <v>321</v>
      </c>
      <c r="X1110" s="83">
        <v>6.6</v>
      </c>
      <c r="Y1110" s="83">
        <v>0.88</v>
      </c>
      <c r="AA1110" s="26" t="s">
        <v>1710</v>
      </c>
      <c r="AB1110" s="83" t="s">
        <v>173</v>
      </c>
      <c r="AC1110" s="83" t="s">
        <v>299</v>
      </c>
      <c r="AD1110" s="83" t="s">
        <v>1025</v>
      </c>
      <c r="AE1110" s="83" t="s">
        <v>1025</v>
      </c>
      <c r="AF1110" s="83" t="s">
        <v>252</v>
      </c>
      <c r="AG1110" s="83" t="s">
        <v>217</v>
      </c>
      <c r="AH1110" s="83" t="s">
        <v>217</v>
      </c>
      <c r="AI1110" s="83" t="s">
        <v>252</v>
      </c>
      <c r="AJ1110" s="83" t="s">
        <v>1023</v>
      </c>
      <c r="AK1110" s="83" t="s">
        <v>1023</v>
      </c>
      <c r="AL1110" s="83" t="s">
        <v>252</v>
      </c>
      <c r="AM1110" s="83" t="s">
        <v>160</v>
      </c>
      <c r="AN1110" s="83">
        <v>3</v>
      </c>
      <c r="AO1110" s="83">
        <v>3</v>
      </c>
      <c r="AP1110" s="83" t="s">
        <v>448</v>
      </c>
      <c r="AR1110" s="83">
        <v>2440</v>
      </c>
      <c r="AS1110" s="83">
        <v>12</v>
      </c>
      <c r="AV1110" s="83">
        <v>11200</v>
      </c>
      <c r="AW1110" s="83">
        <v>9400</v>
      </c>
      <c r="AX1110" s="83" t="s">
        <v>1116</v>
      </c>
      <c r="AY1110" s="83">
        <v>2200</v>
      </c>
      <c r="AZ1110" s="83">
        <v>2200</v>
      </c>
      <c r="BJ1110" s="26"/>
      <c r="EL1110" s="83" t="s">
        <v>1026</v>
      </c>
      <c r="EN1110" s="83">
        <v>53</v>
      </c>
    </row>
    <row r="1111" spans="1:144" s="83" customFormat="1" x14ac:dyDescent="0.25">
      <c r="A1111" s="83">
        <v>53</v>
      </c>
      <c r="B1111" s="83" t="s">
        <v>1014</v>
      </c>
      <c r="C1111" s="83" t="s">
        <v>1015</v>
      </c>
      <c r="D1111" s="83">
        <v>2006</v>
      </c>
      <c r="E1111" s="83">
        <v>2001</v>
      </c>
      <c r="F1111" s="83" t="s">
        <v>1016</v>
      </c>
      <c r="G1111" s="83" t="s">
        <v>1017</v>
      </c>
      <c r="H1111" s="83">
        <v>33.950000000000003</v>
      </c>
      <c r="I1111" s="83">
        <v>-83.38</v>
      </c>
      <c r="J1111" s="83">
        <v>208.4</v>
      </c>
      <c r="M1111" s="83">
        <f t="shared" si="233"/>
        <v>748</v>
      </c>
      <c r="N1111" s="83">
        <f t="shared" si="229"/>
        <v>1233</v>
      </c>
      <c r="P1111" s="84" t="s">
        <v>187</v>
      </c>
      <c r="Q1111" s="84"/>
      <c r="R1111" s="84"/>
      <c r="S1111" s="84" t="s">
        <v>668</v>
      </c>
      <c r="U1111" s="83">
        <f t="shared" si="227"/>
        <v>65</v>
      </c>
      <c r="V1111" s="83">
        <f>25</f>
        <v>25</v>
      </c>
      <c r="W1111" s="83" t="s">
        <v>321</v>
      </c>
      <c r="X1111" s="83">
        <v>6.6</v>
      </c>
      <c r="Y1111" s="83">
        <v>0.88</v>
      </c>
      <c r="AA1111" s="26" t="s">
        <v>1710</v>
      </c>
      <c r="AB1111" s="83" t="s">
        <v>326</v>
      </c>
      <c r="AC1111" s="83" t="s">
        <v>299</v>
      </c>
      <c r="AD1111" s="83" t="s">
        <v>1025</v>
      </c>
      <c r="AE1111" s="83" t="s">
        <v>1025</v>
      </c>
      <c r="AF1111" s="83" t="s">
        <v>252</v>
      </c>
      <c r="AG1111" s="83" t="s">
        <v>217</v>
      </c>
      <c r="AH1111" s="83" t="s">
        <v>217</v>
      </c>
      <c r="AI1111" s="83" t="s">
        <v>252</v>
      </c>
      <c r="AJ1111" s="83" t="s">
        <v>1023</v>
      </c>
      <c r="AK1111" s="83" t="s">
        <v>1023</v>
      </c>
      <c r="AL1111" s="83" t="s">
        <v>252</v>
      </c>
      <c r="AM1111" s="83" t="s">
        <v>160</v>
      </c>
      <c r="AN1111" s="83">
        <v>3</v>
      </c>
      <c r="AO1111" s="83">
        <v>3</v>
      </c>
      <c r="AP1111" s="83" t="s">
        <v>448</v>
      </c>
      <c r="AR1111" s="83">
        <v>2440</v>
      </c>
      <c r="AS1111" s="83">
        <v>12</v>
      </c>
      <c r="AV1111" s="83">
        <v>11200</v>
      </c>
      <c r="AW1111" s="83">
        <v>14300</v>
      </c>
      <c r="AX1111" s="83" t="s">
        <v>1116</v>
      </c>
      <c r="AY1111" s="83">
        <v>2200</v>
      </c>
      <c r="AZ1111" s="83">
        <v>3700</v>
      </c>
      <c r="BJ1111" s="26"/>
      <c r="EL1111" s="83" t="s">
        <v>1026</v>
      </c>
      <c r="EN1111" s="83">
        <v>53</v>
      </c>
    </row>
    <row r="1112" spans="1:144" s="83" customFormat="1" x14ac:dyDescent="0.25">
      <c r="A1112" s="83">
        <v>53</v>
      </c>
      <c r="B1112" s="83" t="s">
        <v>1014</v>
      </c>
      <c r="C1112" s="83" t="s">
        <v>1015</v>
      </c>
      <c r="D1112" s="83">
        <v>2006</v>
      </c>
      <c r="E1112" s="83">
        <v>2001</v>
      </c>
      <c r="F1112" s="83" t="s">
        <v>1016</v>
      </c>
      <c r="G1112" s="83" t="s">
        <v>1017</v>
      </c>
      <c r="H1112" s="83">
        <v>33.950000000000003</v>
      </c>
      <c r="I1112" s="83">
        <v>-83.38</v>
      </c>
      <c r="J1112" s="83">
        <v>208.4</v>
      </c>
      <c r="M1112" s="83">
        <f t="shared" si="233"/>
        <v>748</v>
      </c>
      <c r="N1112" s="83">
        <f t="shared" si="229"/>
        <v>1233</v>
      </c>
      <c r="P1112" s="84" t="s">
        <v>187</v>
      </c>
      <c r="Q1112" s="84"/>
      <c r="R1112" s="84"/>
      <c r="S1112" s="84" t="s">
        <v>668</v>
      </c>
      <c r="U1112" s="83">
        <f t="shared" si="227"/>
        <v>65</v>
      </c>
      <c r="V1112" s="83">
        <f>25</f>
        <v>25</v>
      </c>
      <c r="W1112" s="83" t="s">
        <v>321</v>
      </c>
      <c r="X1112" s="83">
        <v>6.6</v>
      </c>
      <c r="Y1112" s="83">
        <v>0.88</v>
      </c>
      <c r="AA1112" s="26" t="s">
        <v>1710</v>
      </c>
      <c r="AB1112" s="83" t="s">
        <v>1511</v>
      </c>
      <c r="AC1112" s="83" t="s">
        <v>299</v>
      </c>
      <c r="AD1112" s="83" t="s">
        <v>1025</v>
      </c>
      <c r="AE1112" s="83" t="s">
        <v>1025</v>
      </c>
      <c r="AF1112" s="83" t="s">
        <v>252</v>
      </c>
      <c r="AG1112" s="83" t="s">
        <v>217</v>
      </c>
      <c r="AH1112" s="83" t="s">
        <v>217</v>
      </c>
      <c r="AI1112" s="83" t="s">
        <v>252</v>
      </c>
      <c r="AJ1112" s="83" t="s">
        <v>1023</v>
      </c>
      <c r="AK1112" s="83" t="s">
        <v>1023</v>
      </c>
      <c r="AL1112" s="83" t="s">
        <v>252</v>
      </c>
      <c r="AM1112" s="83" t="s">
        <v>160</v>
      </c>
      <c r="AN1112" s="83">
        <v>3</v>
      </c>
      <c r="AO1112" s="83">
        <v>3</v>
      </c>
      <c r="AP1112" s="83" t="s">
        <v>448</v>
      </c>
      <c r="AR1112" s="83">
        <v>2440</v>
      </c>
      <c r="AS1112" s="83">
        <v>12</v>
      </c>
      <c r="AV1112" s="83">
        <v>11200</v>
      </c>
      <c r="AW1112" s="83">
        <v>14600</v>
      </c>
      <c r="AX1112" s="83" t="s">
        <v>1116</v>
      </c>
      <c r="AY1112" s="83">
        <v>2200</v>
      </c>
      <c r="AZ1112" s="83">
        <v>4100</v>
      </c>
      <c r="BJ1112" s="26"/>
      <c r="EL1112" s="83" t="s">
        <v>1026</v>
      </c>
      <c r="EN1112" s="83">
        <v>53</v>
      </c>
    </row>
    <row r="1113" spans="1:144" s="83" customFormat="1" x14ac:dyDescent="0.25">
      <c r="A1113" s="83">
        <v>53</v>
      </c>
      <c r="B1113" s="83" t="s">
        <v>1014</v>
      </c>
      <c r="C1113" s="83" t="s">
        <v>1015</v>
      </c>
      <c r="D1113" s="83">
        <v>2006</v>
      </c>
      <c r="E1113" s="83">
        <v>2001</v>
      </c>
      <c r="F1113" s="83" t="s">
        <v>1016</v>
      </c>
      <c r="G1113" s="83" t="s">
        <v>1017</v>
      </c>
      <c r="H1113" s="83">
        <v>33.950000000000003</v>
      </c>
      <c r="I1113" s="83">
        <v>-83.38</v>
      </c>
      <c r="J1113" s="83">
        <v>208.4</v>
      </c>
      <c r="M1113" s="83">
        <f t="shared" si="233"/>
        <v>748</v>
      </c>
      <c r="N1113" s="83">
        <f t="shared" si="229"/>
        <v>1233</v>
      </c>
      <c r="P1113" s="84" t="s">
        <v>187</v>
      </c>
      <c r="Q1113" s="84"/>
      <c r="R1113" s="84"/>
      <c r="S1113" s="84" t="s">
        <v>668</v>
      </c>
      <c r="U1113" s="83">
        <f t="shared" si="227"/>
        <v>65</v>
      </c>
      <c r="V1113" s="83">
        <f>25</f>
        <v>25</v>
      </c>
      <c r="W1113" s="83" t="s">
        <v>321</v>
      </c>
      <c r="X1113" s="83">
        <v>6.6</v>
      </c>
      <c r="Y1113" s="83">
        <v>0.88</v>
      </c>
      <c r="AA1113" s="26" t="s">
        <v>1710</v>
      </c>
      <c r="AB1113" s="83" t="s">
        <v>173</v>
      </c>
      <c r="AC1113" s="83" t="s">
        <v>299</v>
      </c>
      <c r="AD1113" s="83" t="s">
        <v>1025</v>
      </c>
      <c r="AE1113" s="83" t="s">
        <v>1025</v>
      </c>
      <c r="AF1113" s="83" t="s">
        <v>252</v>
      </c>
      <c r="AG1113" s="83" t="s">
        <v>217</v>
      </c>
      <c r="AH1113" s="83" t="s">
        <v>217</v>
      </c>
      <c r="AI1113" s="83" t="s">
        <v>252</v>
      </c>
      <c r="AJ1113" s="83" t="s">
        <v>1024</v>
      </c>
      <c r="AK1113" s="83" t="s">
        <v>1024</v>
      </c>
      <c r="AL1113" s="83" t="s">
        <v>252</v>
      </c>
      <c r="AM1113" s="83" t="s">
        <v>160</v>
      </c>
      <c r="AN1113" s="83">
        <v>3</v>
      </c>
      <c r="AO1113" s="83">
        <v>3</v>
      </c>
      <c r="AP1113" s="83" t="s">
        <v>448</v>
      </c>
      <c r="AR1113" s="83">
        <v>5980</v>
      </c>
      <c r="AS1113" s="83">
        <v>32</v>
      </c>
      <c r="AV1113" s="83">
        <v>14300</v>
      </c>
      <c r="AW1113" s="83">
        <v>11700</v>
      </c>
      <c r="AX1113" s="83" t="s">
        <v>1116</v>
      </c>
      <c r="AY1113" s="83">
        <v>3400</v>
      </c>
      <c r="AZ1113" s="83">
        <v>3300</v>
      </c>
      <c r="BJ1113" s="26"/>
      <c r="EL1113" s="83" t="s">
        <v>1026</v>
      </c>
      <c r="EN1113" s="83">
        <v>53</v>
      </c>
    </row>
    <row r="1114" spans="1:144" s="83" customFormat="1" x14ac:dyDescent="0.25">
      <c r="A1114" s="83">
        <v>53</v>
      </c>
      <c r="B1114" s="83" t="s">
        <v>1014</v>
      </c>
      <c r="C1114" s="83" t="s">
        <v>1015</v>
      </c>
      <c r="D1114" s="83">
        <v>2006</v>
      </c>
      <c r="E1114" s="83">
        <v>2001</v>
      </c>
      <c r="F1114" s="83" t="s">
        <v>1016</v>
      </c>
      <c r="G1114" s="83" t="s">
        <v>1017</v>
      </c>
      <c r="H1114" s="83">
        <v>33.950000000000003</v>
      </c>
      <c r="I1114" s="83">
        <v>-83.38</v>
      </c>
      <c r="J1114" s="83">
        <v>208.4</v>
      </c>
      <c r="M1114" s="83">
        <f t="shared" si="233"/>
        <v>748</v>
      </c>
      <c r="N1114" s="83">
        <f t="shared" si="229"/>
        <v>1233</v>
      </c>
      <c r="P1114" s="84" t="s">
        <v>187</v>
      </c>
      <c r="Q1114" s="84"/>
      <c r="R1114" s="84"/>
      <c r="S1114" s="84" t="s">
        <v>668</v>
      </c>
      <c r="U1114" s="83">
        <f t="shared" si="227"/>
        <v>65</v>
      </c>
      <c r="V1114" s="83">
        <f>25</f>
        <v>25</v>
      </c>
      <c r="W1114" s="83" t="s">
        <v>321</v>
      </c>
      <c r="X1114" s="83">
        <v>6.6</v>
      </c>
      <c r="Y1114" s="83">
        <v>0.88</v>
      </c>
      <c r="AA1114" s="26" t="s">
        <v>1710</v>
      </c>
      <c r="AB1114" s="83" t="s">
        <v>326</v>
      </c>
      <c r="AC1114" s="83" t="s">
        <v>299</v>
      </c>
      <c r="AD1114" s="83" t="s">
        <v>1025</v>
      </c>
      <c r="AE1114" s="83" t="s">
        <v>1025</v>
      </c>
      <c r="AF1114" s="83" t="s">
        <v>252</v>
      </c>
      <c r="AG1114" s="83" t="s">
        <v>217</v>
      </c>
      <c r="AH1114" s="83" t="s">
        <v>217</v>
      </c>
      <c r="AI1114" s="83" t="s">
        <v>252</v>
      </c>
      <c r="AJ1114" s="83" t="s">
        <v>1024</v>
      </c>
      <c r="AK1114" s="83" t="s">
        <v>1024</v>
      </c>
      <c r="AL1114" s="83" t="s">
        <v>252</v>
      </c>
      <c r="AM1114" s="83" t="s">
        <v>160</v>
      </c>
      <c r="AN1114" s="83">
        <v>3</v>
      </c>
      <c r="AO1114" s="83">
        <v>3</v>
      </c>
      <c r="AP1114" s="83" t="s">
        <v>448</v>
      </c>
      <c r="AR1114" s="83">
        <v>5980</v>
      </c>
      <c r="AS1114" s="83">
        <v>32</v>
      </c>
      <c r="AV1114" s="83">
        <v>14300</v>
      </c>
      <c r="AW1114" s="83">
        <v>13200</v>
      </c>
      <c r="AX1114" s="83" t="s">
        <v>1116</v>
      </c>
      <c r="AY1114" s="83">
        <v>3400</v>
      </c>
      <c r="AZ1114" s="83">
        <v>3600</v>
      </c>
      <c r="BJ1114" s="26"/>
      <c r="EL1114" s="83" t="s">
        <v>1026</v>
      </c>
      <c r="EN1114" s="83">
        <v>53</v>
      </c>
    </row>
    <row r="1115" spans="1:144" s="83" customFormat="1" x14ac:dyDescent="0.25">
      <c r="A1115" s="83">
        <v>53</v>
      </c>
      <c r="B1115" s="83" t="s">
        <v>1014</v>
      </c>
      <c r="C1115" s="83" t="s">
        <v>1015</v>
      </c>
      <c r="D1115" s="83">
        <v>2006</v>
      </c>
      <c r="E1115" s="83">
        <v>2001</v>
      </c>
      <c r="F1115" s="83" t="s">
        <v>1016</v>
      </c>
      <c r="G1115" s="83" t="s">
        <v>1017</v>
      </c>
      <c r="H1115" s="83">
        <v>33.950000000000003</v>
      </c>
      <c r="I1115" s="83">
        <v>-83.38</v>
      </c>
      <c r="J1115" s="83">
        <v>208.4</v>
      </c>
      <c r="M1115" s="83">
        <f t="shared" si="233"/>
        <v>748</v>
      </c>
      <c r="N1115" s="83">
        <f t="shared" si="229"/>
        <v>1233</v>
      </c>
      <c r="P1115" s="84" t="s">
        <v>187</v>
      </c>
      <c r="Q1115" s="84"/>
      <c r="R1115" s="84"/>
      <c r="S1115" s="84" t="s">
        <v>668</v>
      </c>
      <c r="U1115" s="83">
        <f t="shared" si="227"/>
        <v>65</v>
      </c>
      <c r="V1115" s="83">
        <f>25</f>
        <v>25</v>
      </c>
      <c r="W1115" s="83" t="s">
        <v>321</v>
      </c>
      <c r="X1115" s="83">
        <v>6.6</v>
      </c>
      <c r="Y1115" s="83">
        <v>0.88</v>
      </c>
      <c r="AA1115" s="26" t="s">
        <v>1710</v>
      </c>
      <c r="AB1115" s="83" t="s">
        <v>1511</v>
      </c>
      <c r="AC1115" s="83" t="s">
        <v>299</v>
      </c>
      <c r="AD1115" s="83" t="s">
        <v>1025</v>
      </c>
      <c r="AE1115" s="83" t="s">
        <v>1025</v>
      </c>
      <c r="AF1115" s="83" t="s">
        <v>252</v>
      </c>
      <c r="AG1115" s="83" t="s">
        <v>217</v>
      </c>
      <c r="AH1115" s="83" t="s">
        <v>217</v>
      </c>
      <c r="AI1115" s="83" t="s">
        <v>252</v>
      </c>
      <c r="AJ1115" s="83" t="s">
        <v>1024</v>
      </c>
      <c r="AK1115" s="83" t="s">
        <v>1024</v>
      </c>
      <c r="AL1115" s="83" t="s">
        <v>252</v>
      </c>
      <c r="AM1115" s="83" t="s">
        <v>160</v>
      </c>
      <c r="AN1115" s="83">
        <v>3</v>
      </c>
      <c r="AO1115" s="83">
        <v>3</v>
      </c>
      <c r="AP1115" s="83" t="s">
        <v>448</v>
      </c>
      <c r="AR1115" s="83">
        <v>5980</v>
      </c>
      <c r="AS1115" s="83">
        <v>32</v>
      </c>
      <c r="AV1115" s="83">
        <v>14300</v>
      </c>
      <c r="AW1115" s="83">
        <v>14100</v>
      </c>
      <c r="AX1115" s="83" t="s">
        <v>1116</v>
      </c>
      <c r="AY1115" s="83">
        <v>3400</v>
      </c>
      <c r="AZ1115" s="83">
        <v>4400</v>
      </c>
      <c r="BJ1115" s="26"/>
      <c r="EL1115" s="83" t="s">
        <v>1026</v>
      </c>
      <c r="EN1115" s="83">
        <v>53</v>
      </c>
    </row>
    <row r="1116" spans="1:144" s="35" customFormat="1" x14ac:dyDescent="0.25">
      <c r="A1116" s="35">
        <v>53</v>
      </c>
      <c r="B1116" s="35" t="s">
        <v>1014</v>
      </c>
      <c r="C1116" s="35" t="s">
        <v>1015</v>
      </c>
      <c r="D1116" s="35">
        <v>2006</v>
      </c>
      <c r="E1116" s="35">
        <v>2002</v>
      </c>
      <c r="F1116" s="35" t="s">
        <v>1016</v>
      </c>
      <c r="G1116" s="35" t="s">
        <v>1017</v>
      </c>
      <c r="H1116" s="35">
        <v>33.950000000000003</v>
      </c>
      <c r="I1116" s="35">
        <v>-83.38</v>
      </c>
      <c r="J1116" s="35">
        <v>208.4</v>
      </c>
      <c r="M1116" s="35">
        <v>971</v>
      </c>
      <c r="N1116" s="35">
        <f t="shared" si="229"/>
        <v>1233</v>
      </c>
      <c r="P1116" s="54" t="s">
        <v>188</v>
      </c>
      <c r="Q1116" s="54"/>
      <c r="R1116" s="54"/>
      <c r="S1116" s="54" t="s">
        <v>668</v>
      </c>
      <c r="U1116" s="35">
        <f t="shared" si="227"/>
        <v>65</v>
      </c>
      <c r="V1116" s="35">
        <f>25</f>
        <v>25</v>
      </c>
      <c r="W1116" s="35" t="s">
        <v>321</v>
      </c>
      <c r="X1116" s="35">
        <v>6.6</v>
      </c>
      <c r="Y1116" s="35">
        <v>0.88</v>
      </c>
      <c r="AA1116" s="35" t="s">
        <v>1710</v>
      </c>
      <c r="AB1116" s="35" t="s">
        <v>1511</v>
      </c>
      <c r="AC1116" s="35" t="s">
        <v>788</v>
      </c>
      <c r="AD1116" s="35" t="s">
        <v>1025</v>
      </c>
      <c r="AE1116" s="35" t="s">
        <v>1025</v>
      </c>
      <c r="AF1116" s="35" t="s">
        <v>252</v>
      </c>
      <c r="AG1116" s="35" t="s">
        <v>217</v>
      </c>
      <c r="AH1116" s="35" t="s">
        <v>217</v>
      </c>
      <c r="AI1116" s="35" t="s">
        <v>252</v>
      </c>
      <c r="AJ1116" s="35" t="s">
        <v>452</v>
      </c>
      <c r="AK1116" s="35" t="s">
        <v>452</v>
      </c>
      <c r="AL1116" s="35" t="s">
        <v>252</v>
      </c>
      <c r="AM1116" s="35" t="s">
        <v>160</v>
      </c>
      <c r="AN1116" s="35">
        <v>3</v>
      </c>
      <c r="AO1116" s="35">
        <v>3</v>
      </c>
      <c r="AP1116" s="35" t="s">
        <v>448</v>
      </c>
      <c r="AR1116" s="35">
        <v>2280</v>
      </c>
      <c r="AS1116" s="35">
        <v>40</v>
      </c>
      <c r="AY1116" s="35">
        <v>814</v>
      </c>
      <c r="AZ1116" s="35">
        <v>692</v>
      </c>
      <c r="CX1116" s="35">
        <v>11</v>
      </c>
      <c r="CY1116" s="35">
        <v>14</v>
      </c>
      <c r="CZ1116" s="35" t="s">
        <v>1022</v>
      </c>
      <c r="EL1116" s="35" t="s">
        <v>1026</v>
      </c>
      <c r="EN1116" s="35">
        <v>53</v>
      </c>
    </row>
    <row r="1117" spans="1:144" s="35" customFormat="1" x14ac:dyDescent="0.25">
      <c r="A1117" s="35">
        <v>53</v>
      </c>
      <c r="B1117" s="35" t="s">
        <v>1014</v>
      </c>
      <c r="C1117" s="35" t="s">
        <v>1015</v>
      </c>
      <c r="D1117" s="35">
        <v>2006</v>
      </c>
      <c r="E1117" s="35">
        <v>2002</v>
      </c>
      <c r="F1117" s="35" t="s">
        <v>1016</v>
      </c>
      <c r="G1117" s="35" t="s">
        <v>1017</v>
      </c>
      <c r="H1117" s="35">
        <v>33.950000000000003</v>
      </c>
      <c r="I1117" s="35">
        <v>-83.38</v>
      </c>
      <c r="J1117" s="35">
        <v>208.4</v>
      </c>
      <c r="M1117" s="35">
        <v>971</v>
      </c>
      <c r="N1117" s="35">
        <f t="shared" si="229"/>
        <v>1233</v>
      </c>
      <c r="P1117" s="54" t="s">
        <v>188</v>
      </c>
      <c r="Q1117" s="54"/>
      <c r="R1117" s="54"/>
      <c r="S1117" s="54" t="s">
        <v>668</v>
      </c>
      <c r="U1117" s="35">
        <f t="shared" si="227"/>
        <v>65</v>
      </c>
      <c r="V1117" s="35">
        <f>25</f>
        <v>25</v>
      </c>
      <c r="W1117" s="35" t="s">
        <v>321</v>
      </c>
      <c r="X1117" s="35">
        <v>6.6</v>
      </c>
      <c r="Y1117" s="35">
        <v>0.88</v>
      </c>
      <c r="AA1117" s="35" t="s">
        <v>1710</v>
      </c>
      <c r="AB1117" s="35" t="s">
        <v>1511</v>
      </c>
      <c r="AC1117" s="35" t="s">
        <v>788</v>
      </c>
      <c r="AD1117" s="35" t="s">
        <v>1025</v>
      </c>
      <c r="AE1117" s="35" t="s">
        <v>1025</v>
      </c>
      <c r="AF1117" s="35" t="s">
        <v>252</v>
      </c>
      <c r="AG1117" s="35" t="s">
        <v>1018</v>
      </c>
      <c r="AH1117" s="35" t="s">
        <v>1018</v>
      </c>
      <c r="AI1117" s="35" t="s">
        <v>252</v>
      </c>
      <c r="AJ1117" s="35" t="s">
        <v>452</v>
      </c>
      <c r="AK1117" s="35" t="s">
        <v>452</v>
      </c>
      <c r="AL1117" s="35" t="s">
        <v>252</v>
      </c>
      <c r="AM1117" s="35" t="s">
        <v>160</v>
      </c>
      <c r="AN1117" s="35">
        <v>3</v>
      </c>
      <c r="AO1117" s="35">
        <v>3</v>
      </c>
      <c r="AP1117" s="35" t="s">
        <v>448</v>
      </c>
      <c r="AR1117" s="35">
        <v>2280</v>
      </c>
      <c r="AS1117" s="35">
        <v>40</v>
      </c>
      <c r="AY1117" s="35">
        <v>480</v>
      </c>
      <c r="AZ1117" s="35">
        <v>826</v>
      </c>
      <c r="CX1117" s="35">
        <v>8</v>
      </c>
      <c r="CY1117" s="35">
        <v>14</v>
      </c>
      <c r="CZ1117" s="35" t="s">
        <v>1022</v>
      </c>
      <c r="EL1117" s="35" t="s">
        <v>1026</v>
      </c>
      <c r="EN1117" s="35">
        <v>53</v>
      </c>
    </row>
    <row r="1118" spans="1:144" s="35" customFormat="1" x14ac:dyDescent="0.25">
      <c r="A1118" s="35">
        <v>53</v>
      </c>
      <c r="B1118" s="35" t="s">
        <v>1014</v>
      </c>
      <c r="C1118" s="35" t="s">
        <v>1015</v>
      </c>
      <c r="D1118" s="35">
        <v>2006</v>
      </c>
      <c r="E1118" s="35">
        <v>2002</v>
      </c>
      <c r="F1118" s="35" t="s">
        <v>1016</v>
      </c>
      <c r="G1118" s="35" t="s">
        <v>1017</v>
      </c>
      <c r="H1118" s="35">
        <v>33.950000000000003</v>
      </c>
      <c r="I1118" s="35">
        <v>-83.38</v>
      </c>
      <c r="J1118" s="35">
        <v>208.4</v>
      </c>
      <c r="M1118" s="35">
        <v>971</v>
      </c>
      <c r="N1118" s="35">
        <f t="shared" si="229"/>
        <v>1233</v>
      </c>
      <c r="P1118" s="54" t="s">
        <v>188</v>
      </c>
      <c r="Q1118" s="54"/>
      <c r="R1118" s="54"/>
      <c r="S1118" s="54" t="s">
        <v>668</v>
      </c>
      <c r="U1118" s="35">
        <f t="shared" si="227"/>
        <v>65</v>
      </c>
      <c r="V1118" s="35">
        <f>25</f>
        <v>25</v>
      </c>
      <c r="W1118" s="35" t="s">
        <v>321</v>
      </c>
      <c r="X1118" s="35">
        <v>6.6</v>
      </c>
      <c r="Y1118" s="35">
        <v>0.88</v>
      </c>
      <c r="AA1118" s="35" t="s">
        <v>1710</v>
      </c>
      <c r="AB1118" s="35" t="s">
        <v>1511</v>
      </c>
      <c r="AC1118" s="35" t="s">
        <v>788</v>
      </c>
      <c r="AD1118" s="35" t="s">
        <v>1025</v>
      </c>
      <c r="AE1118" s="35" t="s">
        <v>1025</v>
      </c>
      <c r="AF1118" s="35" t="s">
        <v>252</v>
      </c>
      <c r="AG1118" s="35" t="s">
        <v>1019</v>
      </c>
      <c r="AH1118" s="35" t="s">
        <v>1019</v>
      </c>
      <c r="AI1118" s="35" t="s">
        <v>252</v>
      </c>
      <c r="AJ1118" s="35" t="s">
        <v>452</v>
      </c>
      <c r="AK1118" s="35" t="s">
        <v>452</v>
      </c>
      <c r="AL1118" s="35" t="s">
        <v>252</v>
      </c>
      <c r="AM1118" s="35" t="s">
        <v>160</v>
      </c>
      <c r="AN1118" s="35">
        <v>3</v>
      </c>
      <c r="AO1118" s="35">
        <v>3</v>
      </c>
      <c r="AP1118" s="35" t="s">
        <v>448</v>
      </c>
      <c r="AR1118" s="35">
        <v>2280</v>
      </c>
      <c r="AS1118" s="35">
        <v>40</v>
      </c>
      <c r="AY1118" s="35">
        <v>802</v>
      </c>
      <c r="AZ1118" s="35">
        <v>1546</v>
      </c>
      <c r="CX1118" s="35">
        <v>14</v>
      </c>
      <c r="CY1118" s="35">
        <v>22</v>
      </c>
      <c r="CZ1118" s="35" t="s">
        <v>1022</v>
      </c>
      <c r="EL1118" s="35" t="s">
        <v>1026</v>
      </c>
      <c r="EN1118" s="35">
        <v>53</v>
      </c>
    </row>
    <row r="1119" spans="1:144" s="35" customFormat="1" x14ac:dyDescent="0.25">
      <c r="A1119" s="35">
        <v>53</v>
      </c>
      <c r="B1119" s="35" t="s">
        <v>1014</v>
      </c>
      <c r="C1119" s="35" t="s">
        <v>1015</v>
      </c>
      <c r="D1119" s="35">
        <v>2006</v>
      </c>
      <c r="E1119" s="35">
        <v>2002</v>
      </c>
      <c r="F1119" s="35" t="s">
        <v>1016</v>
      </c>
      <c r="G1119" s="35" t="s">
        <v>1017</v>
      </c>
      <c r="H1119" s="35">
        <v>33.950000000000003</v>
      </c>
      <c r="I1119" s="35">
        <v>-83.38</v>
      </c>
      <c r="J1119" s="35">
        <v>208.4</v>
      </c>
      <c r="M1119" s="35">
        <v>971</v>
      </c>
      <c r="N1119" s="35">
        <f t="shared" si="229"/>
        <v>1233</v>
      </c>
      <c r="P1119" s="54" t="s">
        <v>188</v>
      </c>
      <c r="Q1119" s="54"/>
      <c r="R1119" s="54"/>
      <c r="S1119" s="54" t="s">
        <v>668</v>
      </c>
      <c r="U1119" s="35">
        <f t="shared" si="227"/>
        <v>65</v>
      </c>
      <c r="V1119" s="35">
        <f>25</f>
        <v>25</v>
      </c>
      <c r="W1119" s="35" t="s">
        <v>321</v>
      </c>
      <c r="X1119" s="35">
        <v>6.6</v>
      </c>
      <c r="Y1119" s="35">
        <v>0.88</v>
      </c>
      <c r="AA1119" s="35" t="s">
        <v>1710</v>
      </c>
      <c r="AB1119" s="35" t="s">
        <v>1511</v>
      </c>
      <c r="AC1119" s="35" t="s">
        <v>788</v>
      </c>
      <c r="AD1119" s="35" t="s">
        <v>1025</v>
      </c>
      <c r="AE1119" s="35" t="s">
        <v>1025</v>
      </c>
      <c r="AF1119" s="35" t="s">
        <v>252</v>
      </c>
      <c r="AG1119" s="35" t="s">
        <v>217</v>
      </c>
      <c r="AH1119" s="35" t="s">
        <v>217</v>
      </c>
      <c r="AI1119" s="35" t="s">
        <v>252</v>
      </c>
      <c r="AJ1119" s="35" t="s">
        <v>1020</v>
      </c>
      <c r="AK1119" s="35" t="s">
        <v>1020</v>
      </c>
      <c r="AL1119" s="35" t="s">
        <v>252</v>
      </c>
      <c r="AM1119" s="35" t="s">
        <v>160</v>
      </c>
      <c r="AN1119" s="35">
        <v>3</v>
      </c>
      <c r="AO1119" s="35">
        <v>3</v>
      </c>
      <c r="AP1119" s="35" t="s">
        <v>448</v>
      </c>
      <c r="AR1119" s="35">
        <v>5160</v>
      </c>
      <c r="AS1119" s="35">
        <v>10</v>
      </c>
      <c r="AY1119" s="35">
        <v>814</v>
      </c>
      <c r="AZ1119" s="35">
        <v>640</v>
      </c>
      <c r="CX1119" s="35">
        <v>11</v>
      </c>
      <c r="CY1119" s="35">
        <v>12</v>
      </c>
      <c r="CZ1119" s="35" t="s">
        <v>1022</v>
      </c>
      <c r="EL1119" s="35" t="s">
        <v>1026</v>
      </c>
      <c r="EN1119" s="35">
        <v>53</v>
      </c>
    </row>
    <row r="1120" spans="1:144" s="35" customFormat="1" x14ac:dyDescent="0.25">
      <c r="A1120" s="35">
        <v>53</v>
      </c>
      <c r="B1120" s="35" t="s">
        <v>1014</v>
      </c>
      <c r="C1120" s="35" t="s">
        <v>1015</v>
      </c>
      <c r="D1120" s="35">
        <v>2006</v>
      </c>
      <c r="E1120" s="35">
        <v>2002</v>
      </c>
      <c r="F1120" s="35" t="s">
        <v>1016</v>
      </c>
      <c r="G1120" s="35" t="s">
        <v>1017</v>
      </c>
      <c r="H1120" s="35">
        <v>33.950000000000003</v>
      </c>
      <c r="I1120" s="35">
        <v>-83.38</v>
      </c>
      <c r="J1120" s="35">
        <v>208.4</v>
      </c>
      <c r="M1120" s="35">
        <v>971</v>
      </c>
      <c r="N1120" s="35">
        <f t="shared" si="229"/>
        <v>1233</v>
      </c>
      <c r="P1120" s="54" t="s">
        <v>188</v>
      </c>
      <c r="Q1120" s="54"/>
      <c r="R1120" s="54"/>
      <c r="S1120" s="54" t="s">
        <v>668</v>
      </c>
      <c r="U1120" s="35">
        <f t="shared" si="227"/>
        <v>65</v>
      </c>
      <c r="V1120" s="35">
        <f>25</f>
        <v>25</v>
      </c>
      <c r="W1120" s="35" t="s">
        <v>321</v>
      </c>
      <c r="X1120" s="35">
        <v>6.6</v>
      </c>
      <c r="Y1120" s="35">
        <v>0.88</v>
      </c>
      <c r="AA1120" s="35" t="s">
        <v>1710</v>
      </c>
      <c r="AB1120" s="35" t="s">
        <v>1511</v>
      </c>
      <c r="AC1120" s="35" t="s">
        <v>788</v>
      </c>
      <c r="AD1120" s="35" t="s">
        <v>1025</v>
      </c>
      <c r="AE1120" s="35" t="s">
        <v>1025</v>
      </c>
      <c r="AF1120" s="35" t="s">
        <v>252</v>
      </c>
      <c r="AG1120" s="35" t="s">
        <v>1018</v>
      </c>
      <c r="AH1120" s="35" t="s">
        <v>1018</v>
      </c>
      <c r="AI1120" s="35" t="s">
        <v>252</v>
      </c>
      <c r="AJ1120" s="35" t="s">
        <v>1020</v>
      </c>
      <c r="AK1120" s="35" t="s">
        <v>1020</v>
      </c>
      <c r="AL1120" s="35" t="s">
        <v>252</v>
      </c>
      <c r="AM1120" s="35" t="s">
        <v>160</v>
      </c>
      <c r="AN1120" s="35">
        <v>3</v>
      </c>
      <c r="AO1120" s="35">
        <v>3</v>
      </c>
      <c r="AP1120" s="35" t="s">
        <v>448</v>
      </c>
      <c r="AR1120" s="35">
        <v>5160</v>
      </c>
      <c r="AS1120" s="35">
        <v>10</v>
      </c>
      <c r="AY1120" s="35">
        <v>480</v>
      </c>
      <c r="AZ1120" s="35">
        <v>774</v>
      </c>
      <c r="CX1120" s="35">
        <v>8</v>
      </c>
      <c r="CY1120" s="35">
        <v>13</v>
      </c>
      <c r="CZ1120" s="35" t="s">
        <v>1022</v>
      </c>
      <c r="EL1120" s="35" t="s">
        <v>1026</v>
      </c>
      <c r="EN1120" s="35">
        <v>53</v>
      </c>
    </row>
    <row r="1121" spans="1:144" s="35" customFormat="1" x14ac:dyDescent="0.25">
      <c r="A1121" s="35">
        <v>53</v>
      </c>
      <c r="B1121" s="35" t="s">
        <v>1014</v>
      </c>
      <c r="C1121" s="35" t="s">
        <v>1015</v>
      </c>
      <c r="D1121" s="35">
        <v>2006</v>
      </c>
      <c r="E1121" s="35">
        <v>2002</v>
      </c>
      <c r="F1121" s="35" t="s">
        <v>1016</v>
      </c>
      <c r="G1121" s="35" t="s">
        <v>1017</v>
      </c>
      <c r="H1121" s="35">
        <v>33.950000000000003</v>
      </c>
      <c r="I1121" s="35">
        <v>-83.38</v>
      </c>
      <c r="J1121" s="35">
        <v>208.4</v>
      </c>
      <c r="M1121" s="35">
        <v>971</v>
      </c>
      <c r="N1121" s="35">
        <f t="shared" si="229"/>
        <v>1233</v>
      </c>
      <c r="P1121" s="54" t="s">
        <v>188</v>
      </c>
      <c r="Q1121" s="54"/>
      <c r="R1121" s="54"/>
      <c r="S1121" s="54" t="s">
        <v>668</v>
      </c>
      <c r="U1121" s="35">
        <f t="shared" si="227"/>
        <v>65</v>
      </c>
      <c r="V1121" s="35">
        <f>25</f>
        <v>25</v>
      </c>
      <c r="W1121" s="35" t="s">
        <v>321</v>
      </c>
      <c r="X1121" s="35">
        <v>6.6</v>
      </c>
      <c r="Y1121" s="35">
        <v>0.88</v>
      </c>
      <c r="AA1121" s="35" t="s">
        <v>1710</v>
      </c>
      <c r="AB1121" s="35" t="s">
        <v>1511</v>
      </c>
      <c r="AC1121" s="35" t="s">
        <v>788</v>
      </c>
      <c r="AD1121" s="35" t="s">
        <v>1025</v>
      </c>
      <c r="AE1121" s="35" t="s">
        <v>1025</v>
      </c>
      <c r="AF1121" s="35" t="s">
        <v>252</v>
      </c>
      <c r="AG1121" s="35" t="s">
        <v>1019</v>
      </c>
      <c r="AH1121" s="35" t="s">
        <v>1019</v>
      </c>
      <c r="AI1121" s="35" t="s">
        <v>252</v>
      </c>
      <c r="AJ1121" s="35" t="s">
        <v>1020</v>
      </c>
      <c r="AK1121" s="35" t="s">
        <v>1020</v>
      </c>
      <c r="AL1121" s="35" t="s">
        <v>252</v>
      </c>
      <c r="AM1121" s="35" t="s">
        <v>160</v>
      </c>
      <c r="AN1121" s="35">
        <v>3</v>
      </c>
      <c r="AO1121" s="35">
        <v>3</v>
      </c>
      <c r="AP1121" s="35" t="s">
        <v>448</v>
      </c>
      <c r="AR1121" s="35">
        <v>5160</v>
      </c>
      <c r="AS1121" s="35">
        <v>10</v>
      </c>
      <c r="AY1121" s="35">
        <v>802</v>
      </c>
      <c r="AZ1121" s="35">
        <v>1525</v>
      </c>
      <c r="CX1121" s="35">
        <v>14</v>
      </c>
      <c r="CY1121" s="35">
        <v>22</v>
      </c>
      <c r="CZ1121" s="35" t="s">
        <v>1022</v>
      </c>
      <c r="EL1121" s="35" t="s">
        <v>1026</v>
      </c>
      <c r="EN1121" s="35">
        <v>53</v>
      </c>
    </row>
    <row r="1122" spans="1:144" s="35" customFormat="1" x14ac:dyDescent="0.25">
      <c r="A1122" s="35">
        <v>53</v>
      </c>
      <c r="B1122" s="35" t="s">
        <v>1014</v>
      </c>
      <c r="C1122" s="35" t="s">
        <v>1015</v>
      </c>
      <c r="D1122" s="35">
        <v>2006</v>
      </c>
      <c r="E1122" s="35">
        <v>2002</v>
      </c>
      <c r="F1122" s="35" t="s">
        <v>1016</v>
      </c>
      <c r="G1122" s="35" t="s">
        <v>1017</v>
      </c>
      <c r="H1122" s="35">
        <v>33.950000000000003</v>
      </c>
      <c r="I1122" s="35">
        <v>-83.38</v>
      </c>
      <c r="J1122" s="35">
        <v>208.4</v>
      </c>
      <c r="M1122" s="35">
        <v>971</v>
      </c>
      <c r="N1122" s="35">
        <f t="shared" si="229"/>
        <v>1233</v>
      </c>
      <c r="P1122" s="54" t="s">
        <v>188</v>
      </c>
      <c r="Q1122" s="54"/>
      <c r="R1122" s="54"/>
      <c r="S1122" s="54" t="s">
        <v>668</v>
      </c>
      <c r="U1122" s="35">
        <f t="shared" si="227"/>
        <v>65</v>
      </c>
      <c r="V1122" s="35">
        <f>25</f>
        <v>25</v>
      </c>
      <c r="W1122" s="35" t="s">
        <v>321</v>
      </c>
      <c r="X1122" s="35">
        <v>6.6</v>
      </c>
      <c r="Y1122" s="35">
        <v>0.88</v>
      </c>
      <c r="AA1122" s="35" t="s">
        <v>1710</v>
      </c>
      <c r="AB1122" s="35" t="s">
        <v>1511</v>
      </c>
      <c r="AC1122" s="35" t="s">
        <v>788</v>
      </c>
      <c r="AD1122" s="35" t="s">
        <v>1025</v>
      </c>
      <c r="AE1122" s="35" t="s">
        <v>1025</v>
      </c>
      <c r="AF1122" s="35" t="s">
        <v>252</v>
      </c>
      <c r="AG1122" s="35" t="s">
        <v>217</v>
      </c>
      <c r="AH1122" s="35" t="s">
        <v>217</v>
      </c>
      <c r="AI1122" s="35" t="s">
        <v>252</v>
      </c>
      <c r="AJ1122" s="35" t="s">
        <v>1021</v>
      </c>
      <c r="AK1122" s="35" t="s">
        <v>1021</v>
      </c>
      <c r="AL1122" s="35" t="s">
        <v>252</v>
      </c>
      <c r="AM1122" s="35" t="s">
        <v>160</v>
      </c>
      <c r="AN1122" s="35">
        <v>3</v>
      </c>
      <c r="AO1122" s="35">
        <v>3</v>
      </c>
      <c r="AP1122" s="35" t="s">
        <v>448</v>
      </c>
      <c r="AR1122" s="35">
        <v>5720</v>
      </c>
      <c r="AS1122" s="35">
        <v>11</v>
      </c>
      <c r="AY1122" s="35">
        <v>814</v>
      </c>
      <c r="AZ1122" s="35">
        <v>509</v>
      </c>
      <c r="CX1122" s="35">
        <v>11</v>
      </c>
      <c r="CY1122" s="35">
        <v>12</v>
      </c>
      <c r="CZ1122" s="35" t="s">
        <v>1022</v>
      </c>
      <c r="EL1122" s="35" t="s">
        <v>1026</v>
      </c>
      <c r="EN1122" s="35">
        <v>53</v>
      </c>
    </row>
    <row r="1123" spans="1:144" s="35" customFormat="1" x14ac:dyDescent="0.25">
      <c r="A1123" s="35">
        <v>53</v>
      </c>
      <c r="B1123" s="35" t="s">
        <v>1014</v>
      </c>
      <c r="C1123" s="35" t="s">
        <v>1015</v>
      </c>
      <c r="D1123" s="35">
        <v>2006</v>
      </c>
      <c r="E1123" s="35">
        <v>2002</v>
      </c>
      <c r="F1123" s="35" t="s">
        <v>1016</v>
      </c>
      <c r="G1123" s="35" t="s">
        <v>1017</v>
      </c>
      <c r="H1123" s="35">
        <v>33.950000000000003</v>
      </c>
      <c r="I1123" s="35">
        <v>-83.38</v>
      </c>
      <c r="J1123" s="35">
        <v>208.4</v>
      </c>
      <c r="M1123" s="35">
        <v>971</v>
      </c>
      <c r="N1123" s="35">
        <f t="shared" si="229"/>
        <v>1233</v>
      </c>
      <c r="P1123" s="54" t="s">
        <v>188</v>
      </c>
      <c r="Q1123" s="54"/>
      <c r="R1123" s="54"/>
      <c r="S1123" s="54" t="s">
        <v>668</v>
      </c>
      <c r="U1123" s="35">
        <f t="shared" si="227"/>
        <v>65</v>
      </c>
      <c r="V1123" s="35">
        <f>25</f>
        <v>25</v>
      </c>
      <c r="W1123" s="35" t="s">
        <v>321</v>
      </c>
      <c r="X1123" s="35">
        <v>6.6</v>
      </c>
      <c r="Y1123" s="35">
        <v>0.88</v>
      </c>
      <c r="AA1123" s="35" t="s">
        <v>1710</v>
      </c>
      <c r="AB1123" s="35" t="s">
        <v>1511</v>
      </c>
      <c r="AC1123" s="35" t="s">
        <v>788</v>
      </c>
      <c r="AD1123" s="35" t="s">
        <v>1025</v>
      </c>
      <c r="AE1123" s="35" t="s">
        <v>1025</v>
      </c>
      <c r="AF1123" s="35" t="s">
        <v>252</v>
      </c>
      <c r="AG1123" s="35" t="s">
        <v>1018</v>
      </c>
      <c r="AH1123" s="35" t="s">
        <v>1018</v>
      </c>
      <c r="AI1123" s="35" t="s">
        <v>252</v>
      </c>
      <c r="AJ1123" s="35" t="s">
        <v>1021</v>
      </c>
      <c r="AK1123" s="35" t="s">
        <v>1021</v>
      </c>
      <c r="AL1123" s="35" t="s">
        <v>252</v>
      </c>
      <c r="AM1123" s="35" t="s">
        <v>160</v>
      </c>
      <c r="AN1123" s="35">
        <v>3</v>
      </c>
      <c r="AO1123" s="35">
        <v>3</v>
      </c>
      <c r="AP1123" s="35" t="s">
        <v>448</v>
      </c>
      <c r="AR1123" s="35">
        <v>5720</v>
      </c>
      <c r="AS1123" s="35">
        <v>11</v>
      </c>
      <c r="AY1123" s="35">
        <v>480</v>
      </c>
      <c r="AZ1123" s="35">
        <v>464</v>
      </c>
      <c r="CX1123" s="35">
        <v>8</v>
      </c>
      <c r="CY1123" s="35">
        <v>10</v>
      </c>
      <c r="CZ1123" s="35" t="s">
        <v>1022</v>
      </c>
      <c r="EL1123" s="35" t="s">
        <v>1026</v>
      </c>
      <c r="EN1123" s="35">
        <v>53</v>
      </c>
    </row>
    <row r="1124" spans="1:144" s="35" customFormat="1" x14ac:dyDescent="0.25">
      <c r="A1124" s="35">
        <v>53</v>
      </c>
      <c r="B1124" s="35" t="s">
        <v>1014</v>
      </c>
      <c r="C1124" s="35" t="s">
        <v>1015</v>
      </c>
      <c r="D1124" s="35">
        <v>2006</v>
      </c>
      <c r="E1124" s="35">
        <v>2002</v>
      </c>
      <c r="F1124" s="35" t="s">
        <v>1016</v>
      </c>
      <c r="G1124" s="35" t="s">
        <v>1017</v>
      </c>
      <c r="H1124" s="35">
        <v>33.950000000000003</v>
      </c>
      <c r="I1124" s="35">
        <v>-83.38</v>
      </c>
      <c r="J1124" s="35">
        <v>208.4</v>
      </c>
      <c r="M1124" s="35">
        <v>971</v>
      </c>
      <c r="N1124" s="35">
        <f t="shared" si="229"/>
        <v>1233</v>
      </c>
      <c r="P1124" s="54" t="s">
        <v>188</v>
      </c>
      <c r="Q1124" s="54"/>
      <c r="R1124" s="54"/>
      <c r="S1124" s="54" t="s">
        <v>668</v>
      </c>
      <c r="U1124" s="35">
        <f t="shared" ref="U1124:U1160" si="234">650/1000*100</f>
        <v>65</v>
      </c>
      <c r="V1124" s="35">
        <f>25</f>
        <v>25</v>
      </c>
      <c r="W1124" s="35" t="s">
        <v>321</v>
      </c>
      <c r="X1124" s="35">
        <v>6.6</v>
      </c>
      <c r="Y1124" s="35">
        <v>0.88</v>
      </c>
      <c r="AA1124" s="35" t="s">
        <v>1710</v>
      </c>
      <c r="AB1124" s="35" t="s">
        <v>1511</v>
      </c>
      <c r="AC1124" s="35" t="s">
        <v>788</v>
      </c>
      <c r="AD1124" s="35" t="s">
        <v>1025</v>
      </c>
      <c r="AE1124" s="35" t="s">
        <v>1025</v>
      </c>
      <c r="AF1124" s="35" t="s">
        <v>252</v>
      </c>
      <c r="AG1124" s="35" t="s">
        <v>1019</v>
      </c>
      <c r="AH1124" s="35" t="s">
        <v>1019</v>
      </c>
      <c r="AI1124" s="35" t="s">
        <v>252</v>
      </c>
      <c r="AJ1124" s="35" t="s">
        <v>1021</v>
      </c>
      <c r="AK1124" s="35" t="s">
        <v>1021</v>
      </c>
      <c r="AL1124" s="35" t="s">
        <v>252</v>
      </c>
      <c r="AM1124" s="35" t="s">
        <v>160</v>
      </c>
      <c r="AN1124" s="35">
        <v>3</v>
      </c>
      <c r="AO1124" s="35">
        <v>3</v>
      </c>
      <c r="AP1124" s="35" t="s">
        <v>448</v>
      </c>
      <c r="AR1124" s="35">
        <v>5720</v>
      </c>
      <c r="AS1124" s="35">
        <v>11</v>
      </c>
      <c r="AY1124" s="35">
        <v>802</v>
      </c>
      <c r="AZ1124" s="35">
        <v>787</v>
      </c>
      <c r="CX1124" s="35">
        <v>14</v>
      </c>
      <c r="CY1124" s="35">
        <v>12</v>
      </c>
      <c r="CZ1124" s="35" t="s">
        <v>1022</v>
      </c>
      <c r="EL1124" s="35" t="s">
        <v>1026</v>
      </c>
      <c r="EN1124" s="35">
        <v>53</v>
      </c>
    </row>
    <row r="1125" spans="1:144" s="26" customFormat="1" x14ac:dyDescent="0.25">
      <c r="A1125" s="26">
        <v>53</v>
      </c>
      <c r="B1125" s="26" t="s">
        <v>1014</v>
      </c>
      <c r="C1125" s="26" t="s">
        <v>1015</v>
      </c>
      <c r="D1125" s="26">
        <v>2006</v>
      </c>
      <c r="E1125" s="26">
        <v>2000</v>
      </c>
      <c r="F1125" s="26" t="s">
        <v>1016</v>
      </c>
      <c r="G1125" s="26" t="s">
        <v>1017</v>
      </c>
      <c r="H1125" s="26">
        <v>33.950000000000003</v>
      </c>
      <c r="I1125" s="26">
        <v>-83.38</v>
      </c>
      <c r="J1125" s="26">
        <v>208.4</v>
      </c>
      <c r="M1125" s="26">
        <f>278+505</f>
        <v>783</v>
      </c>
      <c r="N1125" s="26">
        <f>588+645</f>
        <v>1233</v>
      </c>
      <c r="P1125" s="52" t="s">
        <v>186</v>
      </c>
      <c r="Q1125" s="52"/>
      <c r="R1125" s="52" t="s">
        <v>1027</v>
      </c>
      <c r="S1125" s="52" t="s">
        <v>667</v>
      </c>
      <c r="U1125" s="26">
        <f t="shared" si="234"/>
        <v>65</v>
      </c>
      <c r="V1125" s="26">
        <f>25</f>
        <v>25</v>
      </c>
      <c r="W1125" s="26" t="s">
        <v>321</v>
      </c>
      <c r="X1125" s="26">
        <v>6.6</v>
      </c>
      <c r="Y1125" s="26">
        <v>0.88</v>
      </c>
      <c r="AA1125" s="26" t="s">
        <v>1710</v>
      </c>
      <c r="AB1125" s="26" t="s">
        <v>173</v>
      </c>
      <c r="AC1125" s="26" t="s">
        <v>788</v>
      </c>
      <c r="AD1125" s="26" t="s">
        <v>1025</v>
      </c>
      <c r="AE1125" s="26" t="s">
        <v>1025</v>
      </c>
      <c r="AF1125" s="26" t="s">
        <v>252</v>
      </c>
      <c r="AM1125" s="26" t="s">
        <v>160</v>
      </c>
      <c r="AN1125" s="26">
        <v>3</v>
      </c>
      <c r="AO1125" s="26">
        <v>3</v>
      </c>
      <c r="AP1125" s="26" t="s">
        <v>448</v>
      </c>
      <c r="AR1125" s="26">
        <f>6.07*1000</f>
        <v>6070</v>
      </c>
      <c r="AS1125" s="26">
        <v>29</v>
      </c>
      <c r="BH1125" s="26">
        <v>5.4824000000000002</v>
      </c>
      <c r="BI1125" s="26">
        <v>4.6144000000000007</v>
      </c>
      <c r="BJ1125" s="26" t="s">
        <v>629</v>
      </c>
      <c r="EL1125" s="26" t="s">
        <v>1026</v>
      </c>
      <c r="EN1125" s="26">
        <v>53</v>
      </c>
    </row>
    <row r="1126" spans="1:144" s="26" customFormat="1" x14ac:dyDescent="0.25">
      <c r="A1126" s="26">
        <v>53</v>
      </c>
      <c r="B1126" s="26" t="s">
        <v>1014</v>
      </c>
      <c r="C1126" s="26" t="s">
        <v>1015</v>
      </c>
      <c r="D1126" s="26">
        <v>2006</v>
      </c>
      <c r="E1126" s="26">
        <v>2000</v>
      </c>
      <c r="F1126" s="26" t="s">
        <v>1016</v>
      </c>
      <c r="G1126" s="26" t="s">
        <v>1017</v>
      </c>
      <c r="H1126" s="26">
        <v>33.950000000000003</v>
      </c>
      <c r="I1126" s="26">
        <v>-83.38</v>
      </c>
      <c r="J1126" s="26">
        <v>208.4</v>
      </c>
      <c r="M1126" s="26">
        <f t="shared" ref="M1126:M1148" si="235">278+505</f>
        <v>783</v>
      </c>
      <c r="N1126" s="26">
        <f t="shared" si="229"/>
        <v>1233</v>
      </c>
      <c r="P1126" s="52" t="s">
        <v>186</v>
      </c>
      <c r="Q1126" s="52"/>
      <c r="R1126" s="52" t="s">
        <v>1027</v>
      </c>
      <c r="S1126" s="52" t="s">
        <v>667</v>
      </c>
      <c r="U1126" s="26">
        <f t="shared" si="234"/>
        <v>65</v>
      </c>
      <c r="V1126" s="26">
        <f>25</f>
        <v>25</v>
      </c>
      <c r="W1126" s="26" t="s">
        <v>321</v>
      </c>
      <c r="X1126" s="26">
        <v>6.6</v>
      </c>
      <c r="Y1126" s="26">
        <v>0.88</v>
      </c>
      <c r="AA1126" s="26" t="s">
        <v>1710</v>
      </c>
      <c r="AB1126" s="26" t="s">
        <v>326</v>
      </c>
      <c r="AC1126" s="26" t="s">
        <v>788</v>
      </c>
      <c r="AD1126" s="26" t="s">
        <v>1025</v>
      </c>
      <c r="AE1126" s="26" t="s">
        <v>1025</v>
      </c>
      <c r="AF1126" s="26" t="s">
        <v>252</v>
      </c>
      <c r="AM1126" s="26" t="s">
        <v>160</v>
      </c>
      <c r="AN1126" s="26">
        <v>3</v>
      </c>
      <c r="AO1126" s="26">
        <v>3</v>
      </c>
      <c r="AP1126" s="26" t="s">
        <v>448</v>
      </c>
      <c r="AR1126" s="26">
        <v>5100</v>
      </c>
      <c r="AS1126" s="26">
        <v>12</v>
      </c>
      <c r="BH1126" s="26">
        <v>5.4824000000000002</v>
      </c>
      <c r="BI1126" s="26">
        <v>7.0364000000000004</v>
      </c>
      <c r="BJ1126" s="26" t="s">
        <v>629</v>
      </c>
      <c r="EL1126" s="26" t="s">
        <v>1026</v>
      </c>
      <c r="EN1126" s="26">
        <v>53</v>
      </c>
    </row>
    <row r="1127" spans="1:144" s="26" customFormat="1" x14ac:dyDescent="0.25">
      <c r="A1127" s="26">
        <v>53</v>
      </c>
      <c r="B1127" s="26" t="s">
        <v>1014</v>
      </c>
      <c r="C1127" s="26" t="s">
        <v>1015</v>
      </c>
      <c r="D1127" s="26">
        <v>2006</v>
      </c>
      <c r="E1127" s="26">
        <v>2000</v>
      </c>
      <c r="F1127" s="26" t="s">
        <v>1016</v>
      </c>
      <c r="G1127" s="26" t="s">
        <v>1017</v>
      </c>
      <c r="H1127" s="26">
        <v>33.950000000000003</v>
      </c>
      <c r="I1127" s="26">
        <v>-83.38</v>
      </c>
      <c r="J1127" s="26">
        <v>208.4</v>
      </c>
      <c r="M1127" s="26">
        <f t="shared" si="235"/>
        <v>783</v>
      </c>
      <c r="N1127" s="26">
        <f t="shared" si="229"/>
        <v>1233</v>
      </c>
      <c r="P1127" s="52" t="s">
        <v>186</v>
      </c>
      <c r="Q1127" s="52"/>
      <c r="R1127" s="52" t="s">
        <v>1027</v>
      </c>
      <c r="S1127" s="52" t="s">
        <v>667</v>
      </c>
      <c r="U1127" s="26">
        <f t="shared" si="234"/>
        <v>65</v>
      </c>
      <c r="V1127" s="26">
        <f>25</f>
        <v>25</v>
      </c>
      <c r="W1127" s="26" t="s">
        <v>321</v>
      </c>
      <c r="X1127" s="26">
        <v>6.6</v>
      </c>
      <c r="Y1127" s="26">
        <v>0.88</v>
      </c>
      <c r="AA1127" s="26" t="s">
        <v>1710</v>
      </c>
      <c r="AB1127" s="26" t="s">
        <v>1511</v>
      </c>
      <c r="AC1127" s="26" t="s">
        <v>788</v>
      </c>
      <c r="AD1127" s="26" t="s">
        <v>1025</v>
      </c>
      <c r="AE1127" s="26" t="s">
        <v>1025</v>
      </c>
      <c r="AF1127" s="26" t="s">
        <v>252</v>
      </c>
      <c r="AM1127" s="26" t="s">
        <v>160</v>
      </c>
      <c r="AN1127" s="26">
        <v>3</v>
      </c>
      <c r="AO1127" s="26">
        <v>3</v>
      </c>
      <c r="AP1127" s="26" t="s">
        <v>448</v>
      </c>
      <c r="AR1127" s="26">
        <v>8180</v>
      </c>
      <c r="AS1127" s="26">
        <v>10</v>
      </c>
      <c r="BH1127" s="26">
        <v>5.4824000000000002</v>
      </c>
      <c r="BI1127" s="26">
        <v>5.4824000000000002</v>
      </c>
      <c r="BJ1127" s="26" t="s">
        <v>629</v>
      </c>
      <c r="EL1127" s="26" t="s">
        <v>1026</v>
      </c>
      <c r="EN1127" s="26">
        <v>53</v>
      </c>
    </row>
    <row r="1128" spans="1:144" s="85" customFormat="1" x14ac:dyDescent="0.25">
      <c r="A1128" s="85">
        <v>53</v>
      </c>
      <c r="B1128" s="85" t="s">
        <v>1014</v>
      </c>
      <c r="C1128" s="85" t="s">
        <v>1015</v>
      </c>
      <c r="D1128" s="85">
        <v>2006</v>
      </c>
      <c r="E1128" s="85">
        <v>2000</v>
      </c>
      <c r="F1128" s="85" t="s">
        <v>1016</v>
      </c>
      <c r="G1128" s="85" t="s">
        <v>1017</v>
      </c>
      <c r="H1128" s="85">
        <v>33.950000000000003</v>
      </c>
      <c r="I1128" s="85">
        <v>-83.38</v>
      </c>
      <c r="J1128" s="85">
        <v>208.4</v>
      </c>
      <c r="M1128" s="26">
        <f t="shared" si="235"/>
        <v>783</v>
      </c>
      <c r="N1128" s="26">
        <f t="shared" si="229"/>
        <v>1233</v>
      </c>
      <c r="P1128" s="86" t="s">
        <v>186</v>
      </c>
      <c r="Q1128" s="86"/>
      <c r="R1128" s="86" t="s">
        <v>1028</v>
      </c>
      <c r="S1128" s="86" t="s">
        <v>667</v>
      </c>
      <c r="U1128" s="85">
        <f t="shared" si="234"/>
        <v>65</v>
      </c>
      <c r="V1128" s="85">
        <f>25</f>
        <v>25</v>
      </c>
      <c r="W1128" s="85" t="s">
        <v>321</v>
      </c>
      <c r="X1128" s="85">
        <v>6.6</v>
      </c>
      <c r="Y1128" s="85">
        <v>0.88</v>
      </c>
      <c r="AA1128" s="85" t="s">
        <v>1710</v>
      </c>
      <c r="AB1128" s="85" t="s">
        <v>173</v>
      </c>
      <c r="AC1128" s="85" t="s">
        <v>788</v>
      </c>
      <c r="AD1128" s="26" t="s">
        <v>1025</v>
      </c>
      <c r="AE1128" s="26" t="s">
        <v>1025</v>
      </c>
      <c r="AF1128" s="26" t="s">
        <v>252</v>
      </c>
      <c r="AM1128" s="85" t="s">
        <v>160</v>
      </c>
      <c r="AN1128" s="85">
        <v>3</v>
      </c>
      <c r="AO1128" s="85">
        <v>3</v>
      </c>
      <c r="AP1128" s="85" t="s">
        <v>448</v>
      </c>
      <c r="AR1128" s="85">
        <v>6070</v>
      </c>
      <c r="AS1128" s="85">
        <v>29</v>
      </c>
      <c r="BH1128" s="85">
        <v>5.9444000000000008</v>
      </c>
      <c r="BI1128" s="85">
        <v>5.4880000000000013</v>
      </c>
      <c r="BJ1128" s="26" t="s">
        <v>629</v>
      </c>
      <c r="BL1128" s="26"/>
      <c r="CX1128" s="26"/>
      <c r="CZ1128" s="26"/>
      <c r="EL1128" s="26" t="s">
        <v>1026</v>
      </c>
      <c r="EN1128" s="85">
        <v>53</v>
      </c>
    </row>
    <row r="1129" spans="1:144" s="85" customFormat="1" x14ac:dyDescent="0.25">
      <c r="A1129" s="85">
        <v>53</v>
      </c>
      <c r="B1129" s="85" t="s">
        <v>1014</v>
      </c>
      <c r="C1129" s="85" t="s">
        <v>1015</v>
      </c>
      <c r="D1129" s="85">
        <v>2006</v>
      </c>
      <c r="E1129" s="85">
        <v>2000</v>
      </c>
      <c r="F1129" s="85" t="s">
        <v>1016</v>
      </c>
      <c r="G1129" s="85" t="s">
        <v>1017</v>
      </c>
      <c r="H1129" s="85">
        <v>33.950000000000003</v>
      </c>
      <c r="I1129" s="85">
        <v>-83.38</v>
      </c>
      <c r="J1129" s="85">
        <v>208.4</v>
      </c>
      <c r="M1129" s="26">
        <f t="shared" si="235"/>
        <v>783</v>
      </c>
      <c r="N1129" s="26">
        <f t="shared" si="229"/>
        <v>1233</v>
      </c>
      <c r="P1129" s="86" t="s">
        <v>186</v>
      </c>
      <c r="Q1129" s="86"/>
      <c r="R1129" s="86" t="s">
        <v>1028</v>
      </c>
      <c r="S1129" s="86" t="s">
        <v>667</v>
      </c>
      <c r="U1129" s="85">
        <f t="shared" si="234"/>
        <v>65</v>
      </c>
      <c r="V1129" s="85">
        <f>25</f>
        <v>25</v>
      </c>
      <c r="W1129" s="85" t="s">
        <v>321</v>
      </c>
      <c r="X1129" s="85">
        <v>6.6</v>
      </c>
      <c r="Y1129" s="85">
        <v>0.88</v>
      </c>
      <c r="AA1129" s="85" t="s">
        <v>1710</v>
      </c>
      <c r="AB1129" s="85" t="s">
        <v>326</v>
      </c>
      <c r="AC1129" s="85" t="s">
        <v>788</v>
      </c>
      <c r="AD1129" s="26" t="s">
        <v>1025</v>
      </c>
      <c r="AE1129" s="26" t="s">
        <v>1025</v>
      </c>
      <c r="AF1129" s="26" t="s">
        <v>252</v>
      </c>
      <c r="AM1129" s="85" t="s">
        <v>160</v>
      </c>
      <c r="AN1129" s="85">
        <v>3</v>
      </c>
      <c r="AO1129" s="85">
        <v>3</v>
      </c>
      <c r="AP1129" s="85" t="s">
        <v>448</v>
      </c>
      <c r="AR1129" s="85">
        <v>5100</v>
      </c>
      <c r="AS1129" s="85">
        <v>12</v>
      </c>
      <c r="BH1129" s="85">
        <v>5.9444000000000008</v>
      </c>
      <c r="BI1129" s="85">
        <v>6.3560000000000008</v>
      </c>
      <c r="BJ1129" s="26" t="s">
        <v>629</v>
      </c>
      <c r="BL1129" s="26"/>
      <c r="CX1129" s="26"/>
      <c r="CZ1129" s="26"/>
      <c r="EL1129" s="26" t="s">
        <v>1026</v>
      </c>
      <c r="EN1129" s="85">
        <v>53</v>
      </c>
    </row>
    <row r="1130" spans="1:144" s="85" customFormat="1" x14ac:dyDescent="0.25">
      <c r="A1130" s="85">
        <v>53</v>
      </c>
      <c r="B1130" s="85" t="s">
        <v>1014</v>
      </c>
      <c r="C1130" s="85" t="s">
        <v>1015</v>
      </c>
      <c r="D1130" s="85">
        <v>2006</v>
      </c>
      <c r="E1130" s="85">
        <v>2000</v>
      </c>
      <c r="F1130" s="85" t="s">
        <v>1016</v>
      </c>
      <c r="G1130" s="85" t="s">
        <v>1017</v>
      </c>
      <c r="H1130" s="85">
        <v>33.950000000000003</v>
      </c>
      <c r="I1130" s="85">
        <v>-83.38</v>
      </c>
      <c r="J1130" s="85">
        <v>208.4</v>
      </c>
      <c r="M1130" s="26">
        <f t="shared" si="235"/>
        <v>783</v>
      </c>
      <c r="N1130" s="26">
        <f t="shared" si="229"/>
        <v>1233</v>
      </c>
      <c r="P1130" s="86" t="s">
        <v>186</v>
      </c>
      <c r="Q1130" s="86"/>
      <c r="R1130" s="86" t="s">
        <v>1028</v>
      </c>
      <c r="S1130" s="86" t="s">
        <v>667</v>
      </c>
      <c r="U1130" s="85">
        <f t="shared" si="234"/>
        <v>65</v>
      </c>
      <c r="V1130" s="85">
        <f>25</f>
        <v>25</v>
      </c>
      <c r="W1130" s="85" t="s">
        <v>321</v>
      </c>
      <c r="X1130" s="85">
        <v>6.6</v>
      </c>
      <c r="Y1130" s="85">
        <v>0.88</v>
      </c>
      <c r="AA1130" s="85" t="s">
        <v>1710</v>
      </c>
      <c r="AB1130" s="85" t="s">
        <v>1511</v>
      </c>
      <c r="AC1130" s="85" t="s">
        <v>788</v>
      </c>
      <c r="AD1130" s="26" t="s">
        <v>1025</v>
      </c>
      <c r="AE1130" s="26" t="s">
        <v>1025</v>
      </c>
      <c r="AF1130" s="26" t="s">
        <v>252</v>
      </c>
      <c r="AM1130" s="85" t="s">
        <v>160</v>
      </c>
      <c r="AN1130" s="85">
        <v>3</v>
      </c>
      <c r="AO1130" s="85">
        <v>3</v>
      </c>
      <c r="AP1130" s="85" t="s">
        <v>448</v>
      </c>
      <c r="AR1130" s="85">
        <v>8180</v>
      </c>
      <c r="AS1130" s="85">
        <v>10</v>
      </c>
      <c r="BH1130" s="85">
        <v>5.9444000000000008</v>
      </c>
      <c r="BI1130" s="85">
        <v>5.9640000000000004</v>
      </c>
      <c r="BJ1130" s="26" t="s">
        <v>629</v>
      </c>
      <c r="BL1130" s="26"/>
      <c r="CX1130" s="26"/>
      <c r="CZ1130" s="26"/>
      <c r="EL1130" s="26" t="s">
        <v>1026</v>
      </c>
      <c r="EN1130" s="85">
        <v>53</v>
      </c>
    </row>
    <row r="1131" spans="1:144" s="26" customFormat="1" x14ac:dyDescent="0.25">
      <c r="A1131" s="26">
        <v>53</v>
      </c>
      <c r="B1131" s="26" t="s">
        <v>1014</v>
      </c>
      <c r="C1131" s="26" t="s">
        <v>1015</v>
      </c>
      <c r="D1131" s="26">
        <v>2006</v>
      </c>
      <c r="E1131" s="26">
        <v>2001</v>
      </c>
      <c r="F1131" s="26" t="s">
        <v>1016</v>
      </c>
      <c r="G1131" s="26" t="s">
        <v>1017</v>
      </c>
      <c r="H1131" s="26">
        <v>33.950000000000003</v>
      </c>
      <c r="I1131" s="26">
        <v>-83.38</v>
      </c>
      <c r="J1131" s="26">
        <v>208.4</v>
      </c>
      <c r="M1131" s="26">
        <v>748</v>
      </c>
      <c r="N1131" s="26">
        <f>588+645</f>
        <v>1233</v>
      </c>
      <c r="P1131" s="52" t="s">
        <v>187</v>
      </c>
      <c r="Q1131" s="52"/>
      <c r="R1131" s="52" t="s">
        <v>1027</v>
      </c>
      <c r="S1131" s="52" t="s">
        <v>667</v>
      </c>
      <c r="U1131" s="26">
        <f t="shared" si="234"/>
        <v>65</v>
      </c>
      <c r="V1131" s="26">
        <f>25</f>
        <v>25</v>
      </c>
      <c r="W1131" s="26" t="s">
        <v>321</v>
      </c>
      <c r="X1131" s="26">
        <v>6.6</v>
      </c>
      <c r="Y1131" s="26">
        <v>0.88</v>
      </c>
      <c r="AA1131" s="26" t="s">
        <v>1710</v>
      </c>
      <c r="AB1131" s="26" t="s">
        <v>173</v>
      </c>
      <c r="AC1131" s="26" t="s">
        <v>788</v>
      </c>
      <c r="AD1131" s="26" t="s">
        <v>1025</v>
      </c>
      <c r="AE1131" s="26" t="s">
        <v>1025</v>
      </c>
      <c r="AF1131" s="26" t="s">
        <v>252</v>
      </c>
      <c r="AM1131" s="26" t="s">
        <v>160</v>
      </c>
      <c r="AN1131" s="26">
        <v>3</v>
      </c>
      <c r="AO1131" s="26">
        <v>3</v>
      </c>
      <c r="AP1131" s="26" t="s">
        <v>448</v>
      </c>
      <c r="AR1131" s="26">
        <v>3810</v>
      </c>
      <c r="AS1131" s="26">
        <v>57</v>
      </c>
      <c r="BH1131" s="26">
        <v>3.6624000000000003</v>
      </c>
      <c r="BI1131" s="26">
        <v>3.6120000000000005</v>
      </c>
      <c r="BJ1131" s="26" t="s">
        <v>629</v>
      </c>
      <c r="EL1131" s="26" t="s">
        <v>1026</v>
      </c>
      <c r="EN1131" s="26">
        <v>53</v>
      </c>
    </row>
    <row r="1132" spans="1:144" s="26" customFormat="1" x14ac:dyDescent="0.25">
      <c r="A1132" s="26">
        <v>53</v>
      </c>
      <c r="B1132" s="26" t="s">
        <v>1014</v>
      </c>
      <c r="C1132" s="26" t="s">
        <v>1015</v>
      </c>
      <c r="D1132" s="26">
        <v>2006</v>
      </c>
      <c r="E1132" s="26">
        <v>2001</v>
      </c>
      <c r="F1132" s="26" t="s">
        <v>1016</v>
      </c>
      <c r="G1132" s="26" t="s">
        <v>1017</v>
      </c>
      <c r="H1132" s="26">
        <v>33.950000000000003</v>
      </c>
      <c r="I1132" s="26">
        <v>-83.38</v>
      </c>
      <c r="J1132" s="26">
        <v>208.4</v>
      </c>
      <c r="M1132" s="26">
        <v>748</v>
      </c>
      <c r="N1132" s="26">
        <f t="shared" si="229"/>
        <v>1233</v>
      </c>
      <c r="P1132" s="52" t="s">
        <v>187</v>
      </c>
      <c r="Q1132" s="52"/>
      <c r="R1132" s="52" t="s">
        <v>1027</v>
      </c>
      <c r="S1132" s="52" t="s">
        <v>667</v>
      </c>
      <c r="U1132" s="26">
        <f t="shared" si="234"/>
        <v>65</v>
      </c>
      <c r="V1132" s="26">
        <f>25</f>
        <v>25</v>
      </c>
      <c r="W1132" s="26" t="s">
        <v>321</v>
      </c>
      <c r="X1132" s="26">
        <v>6.6</v>
      </c>
      <c r="Y1132" s="26">
        <v>0.88</v>
      </c>
      <c r="AA1132" s="26" t="s">
        <v>1710</v>
      </c>
      <c r="AB1132" s="26" t="s">
        <v>326</v>
      </c>
      <c r="AC1132" s="26" t="s">
        <v>788</v>
      </c>
      <c r="AD1132" s="26" t="s">
        <v>1025</v>
      </c>
      <c r="AE1132" s="26" t="s">
        <v>1025</v>
      </c>
      <c r="AF1132" s="26" t="s">
        <v>252</v>
      </c>
      <c r="AM1132" s="26" t="s">
        <v>160</v>
      </c>
      <c r="AN1132" s="26">
        <v>3</v>
      </c>
      <c r="AO1132" s="26">
        <v>3</v>
      </c>
      <c r="AP1132" s="26" t="s">
        <v>448</v>
      </c>
      <c r="AR1132" s="26">
        <v>2440</v>
      </c>
      <c r="AS1132" s="26">
        <v>12</v>
      </c>
      <c r="BH1132" s="26">
        <v>3.6624000000000003</v>
      </c>
      <c r="BI1132" s="26">
        <v>4.2111999999999998</v>
      </c>
      <c r="BJ1132" s="26" t="s">
        <v>629</v>
      </c>
      <c r="EL1132" s="26" t="s">
        <v>1026</v>
      </c>
      <c r="EN1132" s="26">
        <v>53</v>
      </c>
    </row>
    <row r="1133" spans="1:144" s="26" customFormat="1" x14ac:dyDescent="0.25">
      <c r="A1133" s="26">
        <v>53</v>
      </c>
      <c r="B1133" s="26" t="s">
        <v>1014</v>
      </c>
      <c r="C1133" s="26" t="s">
        <v>1015</v>
      </c>
      <c r="D1133" s="26">
        <v>2006</v>
      </c>
      <c r="E1133" s="26">
        <v>2001</v>
      </c>
      <c r="F1133" s="26" t="s">
        <v>1016</v>
      </c>
      <c r="G1133" s="26" t="s">
        <v>1017</v>
      </c>
      <c r="H1133" s="26">
        <v>33.950000000000003</v>
      </c>
      <c r="I1133" s="26">
        <v>-83.38</v>
      </c>
      <c r="J1133" s="26">
        <v>208.4</v>
      </c>
      <c r="M1133" s="26">
        <v>748</v>
      </c>
      <c r="N1133" s="26">
        <f t="shared" si="229"/>
        <v>1233</v>
      </c>
      <c r="P1133" s="52" t="s">
        <v>187</v>
      </c>
      <c r="Q1133" s="52"/>
      <c r="R1133" s="52" t="s">
        <v>1027</v>
      </c>
      <c r="S1133" s="52" t="s">
        <v>667</v>
      </c>
      <c r="U1133" s="26">
        <f t="shared" si="234"/>
        <v>65</v>
      </c>
      <c r="V1133" s="26">
        <f>25</f>
        <v>25</v>
      </c>
      <c r="W1133" s="26" t="s">
        <v>321</v>
      </c>
      <c r="X1133" s="26">
        <v>6.6</v>
      </c>
      <c r="Y1133" s="26">
        <v>0.88</v>
      </c>
      <c r="AA1133" s="26" t="s">
        <v>1710</v>
      </c>
      <c r="AB1133" s="26" t="s">
        <v>1511</v>
      </c>
      <c r="AC1133" s="26" t="s">
        <v>788</v>
      </c>
      <c r="AD1133" s="26" t="s">
        <v>1025</v>
      </c>
      <c r="AE1133" s="26" t="s">
        <v>1025</v>
      </c>
      <c r="AF1133" s="26" t="s">
        <v>252</v>
      </c>
      <c r="AM1133" s="26" t="s">
        <v>160</v>
      </c>
      <c r="AN1133" s="26">
        <v>3</v>
      </c>
      <c r="AO1133" s="26">
        <v>3</v>
      </c>
      <c r="AP1133" s="26" t="s">
        <v>448</v>
      </c>
      <c r="AR1133" s="26">
        <v>5980</v>
      </c>
      <c r="AS1133" s="26">
        <v>32</v>
      </c>
      <c r="BH1133" s="26">
        <v>3.6624000000000003</v>
      </c>
      <c r="BI1133" s="26">
        <v>3.6624000000000003</v>
      </c>
      <c r="BJ1133" s="26" t="s">
        <v>629</v>
      </c>
      <c r="EL1133" s="26" t="s">
        <v>1026</v>
      </c>
      <c r="EN1133" s="26">
        <v>53</v>
      </c>
    </row>
    <row r="1134" spans="1:144" s="85" customFormat="1" x14ac:dyDescent="0.25">
      <c r="A1134" s="85">
        <v>53</v>
      </c>
      <c r="B1134" s="85" t="s">
        <v>1014</v>
      </c>
      <c r="C1134" s="85" t="s">
        <v>1015</v>
      </c>
      <c r="D1134" s="85">
        <v>2006</v>
      </c>
      <c r="E1134" s="85">
        <v>2001</v>
      </c>
      <c r="F1134" s="85" t="s">
        <v>1016</v>
      </c>
      <c r="G1134" s="85" t="s">
        <v>1017</v>
      </c>
      <c r="H1134" s="85">
        <v>33.950000000000003</v>
      </c>
      <c r="I1134" s="85">
        <v>-83.38</v>
      </c>
      <c r="J1134" s="85">
        <v>208.4</v>
      </c>
      <c r="M1134" s="26">
        <v>748</v>
      </c>
      <c r="N1134" s="26">
        <f t="shared" si="229"/>
        <v>1233</v>
      </c>
      <c r="P1134" s="86" t="s">
        <v>187</v>
      </c>
      <c r="Q1134" s="86"/>
      <c r="R1134" s="86" t="s">
        <v>1028</v>
      </c>
      <c r="S1134" s="86" t="s">
        <v>667</v>
      </c>
      <c r="U1134" s="85">
        <f t="shared" si="234"/>
        <v>65</v>
      </c>
      <c r="V1134" s="85">
        <f>25</f>
        <v>25</v>
      </c>
      <c r="W1134" s="85" t="s">
        <v>321</v>
      </c>
      <c r="X1134" s="85">
        <v>6.6</v>
      </c>
      <c r="Y1134" s="85">
        <v>0.88</v>
      </c>
      <c r="AA1134" s="85" t="s">
        <v>1710</v>
      </c>
      <c r="AB1134" s="85" t="s">
        <v>173</v>
      </c>
      <c r="AC1134" s="85" t="s">
        <v>788</v>
      </c>
      <c r="AD1134" s="26" t="s">
        <v>1025</v>
      </c>
      <c r="AE1134" s="26" t="s">
        <v>1025</v>
      </c>
      <c r="AF1134" s="26" t="s">
        <v>252</v>
      </c>
      <c r="AM1134" s="85" t="s">
        <v>160</v>
      </c>
      <c r="AN1134" s="85">
        <v>3</v>
      </c>
      <c r="AO1134" s="85">
        <v>3</v>
      </c>
      <c r="AP1134" s="85" t="s">
        <v>448</v>
      </c>
      <c r="AR1134" s="85">
        <v>3810</v>
      </c>
      <c r="AS1134" s="85">
        <v>57</v>
      </c>
      <c r="BH1134" s="85">
        <v>5.7232000000000012</v>
      </c>
      <c r="BI1134" s="85">
        <v>4.6256000000000004</v>
      </c>
      <c r="BJ1134" s="26" t="s">
        <v>629</v>
      </c>
      <c r="BL1134" s="26"/>
      <c r="CX1134" s="26"/>
      <c r="CZ1134" s="26"/>
      <c r="EL1134" s="26" t="s">
        <v>1026</v>
      </c>
      <c r="EN1134" s="85">
        <v>53</v>
      </c>
    </row>
    <row r="1135" spans="1:144" s="85" customFormat="1" x14ac:dyDescent="0.25">
      <c r="A1135" s="85">
        <v>53</v>
      </c>
      <c r="B1135" s="85" t="s">
        <v>1014</v>
      </c>
      <c r="C1135" s="85" t="s">
        <v>1015</v>
      </c>
      <c r="D1135" s="85">
        <v>2006</v>
      </c>
      <c r="E1135" s="85">
        <v>2001</v>
      </c>
      <c r="F1135" s="85" t="s">
        <v>1016</v>
      </c>
      <c r="G1135" s="85" t="s">
        <v>1017</v>
      </c>
      <c r="H1135" s="85">
        <v>33.950000000000003</v>
      </c>
      <c r="I1135" s="85">
        <v>-83.38</v>
      </c>
      <c r="J1135" s="85">
        <v>208.4</v>
      </c>
      <c r="M1135" s="26">
        <v>748</v>
      </c>
      <c r="N1135" s="26">
        <f t="shared" si="229"/>
        <v>1233</v>
      </c>
      <c r="P1135" s="86" t="s">
        <v>187</v>
      </c>
      <c r="Q1135" s="86"/>
      <c r="R1135" s="86" t="s">
        <v>1028</v>
      </c>
      <c r="S1135" s="86" t="s">
        <v>667</v>
      </c>
      <c r="U1135" s="85">
        <f t="shared" si="234"/>
        <v>65</v>
      </c>
      <c r="V1135" s="85">
        <f>25</f>
        <v>25</v>
      </c>
      <c r="W1135" s="85" t="s">
        <v>321</v>
      </c>
      <c r="X1135" s="85">
        <v>6.6</v>
      </c>
      <c r="Y1135" s="85">
        <v>0.88</v>
      </c>
      <c r="AA1135" s="85" t="s">
        <v>1710</v>
      </c>
      <c r="AB1135" s="85" t="s">
        <v>326</v>
      </c>
      <c r="AC1135" s="85" t="s">
        <v>788</v>
      </c>
      <c r="AD1135" s="26" t="s">
        <v>1025</v>
      </c>
      <c r="AE1135" s="26" t="s">
        <v>1025</v>
      </c>
      <c r="AF1135" s="26" t="s">
        <v>252</v>
      </c>
      <c r="AM1135" s="85" t="s">
        <v>160</v>
      </c>
      <c r="AN1135" s="85">
        <v>3</v>
      </c>
      <c r="AO1135" s="85">
        <v>3</v>
      </c>
      <c r="AP1135" s="85" t="s">
        <v>448</v>
      </c>
      <c r="AR1135" s="85">
        <v>2440</v>
      </c>
      <c r="AS1135" s="85">
        <v>12</v>
      </c>
      <c r="BH1135" s="85">
        <v>5.7232000000000012</v>
      </c>
      <c r="BI1135" s="85">
        <v>5.7204000000000006</v>
      </c>
      <c r="BJ1135" s="26" t="s">
        <v>629</v>
      </c>
      <c r="BL1135" s="26"/>
      <c r="CX1135" s="26"/>
      <c r="CZ1135" s="26"/>
      <c r="EL1135" s="26" t="s">
        <v>1026</v>
      </c>
      <c r="EN1135" s="85">
        <v>53</v>
      </c>
    </row>
    <row r="1136" spans="1:144" s="85" customFormat="1" x14ac:dyDescent="0.25">
      <c r="A1136" s="85">
        <v>53</v>
      </c>
      <c r="B1136" s="85" t="s">
        <v>1014</v>
      </c>
      <c r="C1136" s="85" t="s">
        <v>1015</v>
      </c>
      <c r="D1136" s="85">
        <v>2006</v>
      </c>
      <c r="E1136" s="85">
        <v>2001</v>
      </c>
      <c r="F1136" s="85" t="s">
        <v>1016</v>
      </c>
      <c r="G1136" s="85" t="s">
        <v>1017</v>
      </c>
      <c r="H1136" s="85">
        <v>33.950000000000003</v>
      </c>
      <c r="I1136" s="85">
        <v>-83.38</v>
      </c>
      <c r="J1136" s="85">
        <v>208.4</v>
      </c>
      <c r="M1136" s="26">
        <v>748</v>
      </c>
      <c r="N1136" s="26">
        <f t="shared" si="229"/>
        <v>1233</v>
      </c>
      <c r="P1136" s="86" t="s">
        <v>187</v>
      </c>
      <c r="Q1136" s="86"/>
      <c r="R1136" s="86" t="s">
        <v>1028</v>
      </c>
      <c r="S1136" s="86" t="s">
        <v>667</v>
      </c>
      <c r="U1136" s="85">
        <f t="shared" si="234"/>
        <v>65</v>
      </c>
      <c r="V1136" s="85">
        <f>25</f>
        <v>25</v>
      </c>
      <c r="W1136" s="85" t="s">
        <v>321</v>
      </c>
      <c r="X1136" s="85">
        <v>6.6</v>
      </c>
      <c r="Y1136" s="85">
        <v>0.88</v>
      </c>
      <c r="AA1136" s="85" t="s">
        <v>1710</v>
      </c>
      <c r="AB1136" s="85" t="s">
        <v>1511</v>
      </c>
      <c r="AC1136" s="85" t="s">
        <v>788</v>
      </c>
      <c r="AD1136" s="26" t="s">
        <v>1025</v>
      </c>
      <c r="AE1136" s="26" t="s">
        <v>1025</v>
      </c>
      <c r="AF1136" s="26" t="s">
        <v>252</v>
      </c>
      <c r="AM1136" s="85" t="s">
        <v>160</v>
      </c>
      <c r="AN1136" s="85">
        <v>3</v>
      </c>
      <c r="AO1136" s="85">
        <v>3</v>
      </c>
      <c r="AP1136" s="85" t="s">
        <v>448</v>
      </c>
      <c r="AR1136" s="85">
        <v>5980</v>
      </c>
      <c r="AS1136" s="85">
        <v>32</v>
      </c>
      <c r="BH1136" s="85">
        <v>5.7232000000000012</v>
      </c>
      <c r="BI1136" s="85">
        <v>5.3116000000000003</v>
      </c>
      <c r="BJ1136" s="26" t="s">
        <v>629</v>
      </c>
      <c r="BL1136" s="26"/>
      <c r="CX1136" s="26"/>
      <c r="CZ1136" s="26"/>
      <c r="EL1136" s="26" t="s">
        <v>1026</v>
      </c>
      <c r="EN1136" s="85">
        <v>53</v>
      </c>
    </row>
    <row r="1137" spans="1:144" s="26" customFormat="1" x14ac:dyDescent="0.25">
      <c r="A1137" s="26">
        <v>53</v>
      </c>
      <c r="B1137" s="26" t="s">
        <v>1014</v>
      </c>
      <c r="C1137" s="26" t="s">
        <v>1015</v>
      </c>
      <c r="D1137" s="26">
        <v>2006</v>
      </c>
      <c r="E1137" s="26">
        <v>2002</v>
      </c>
      <c r="F1137" s="26" t="s">
        <v>1016</v>
      </c>
      <c r="G1137" s="26" t="s">
        <v>1017</v>
      </c>
      <c r="H1137" s="26">
        <v>33.950000000000003</v>
      </c>
      <c r="I1137" s="26">
        <v>-83.38</v>
      </c>
      <c r="J1137" s="26">
        <v>208.4</v>
      </c>
      <c r="M1137" s="26">
        <v>971</v>
      </c>
      <c r="N1137" s="26">
        <f>588+645</f>
        <v>1233</v>
      </c>
      <c r="P1137" s="52" t="s">
        <v>188</v>
      </c>
      <c r="Q1137" s="52"/>
      <c r="R1137" s="52" t="s">
        <v>1027</v>
      </c>
      <c r="S1137" s="52" t="s">
        <v>667</v>
      </c>
      <c r="U1137" s="26">
        <f t="shared" si="234"/>
        <v>65</v>
      </c>
      <c r="V1137" s="26">
        <f>25</f>
        <v>25</v>
      </c>
      <c r="W1137" s="26" t="s">
        <v>321</v>
      </c>
      <c r="X1137" s="26">
        <v>6.6</v>
      </c>
      <c r="Y1137" s="26">
        <v>0.88</v>
      </c>
      <c r="AA1137" s="26" t="s">
        <v>1710</v>
      </c>
      <c r="AB1137" s="26" t="s">
        <v>173</v>
      </c>
      <c r="AC1137" s="26" t="s">
        <v>788</v>
      </c>
      <c r="AD1137" s="26" t="s">
        <v>1025</v>
      </c>
      <c r="AE1137" s="26" t="s">
        <v>1025</v>
      </c>
      <c r="AF1137" s="26" t="s">
        <v>252</v>
      </c>
      <c r="AM1137" s="26" t="s">
        <v>160</v>
      </c>
      <c r="AN1137" s="26">
        <v>3</v>
      </c>
      <c r="AO1137" s="26">
        <v>3</v>
      </c>
      <c r="AP1137" s="26" t="s">
        <v>448</v>
      </c>
      <c r="AR1137" s="26">
        <v>2280</v>
      </c>
      <c r="AS1137" s="26">
        <v>40</v>
      </c>
      <c r="AV1137" s="26">
        <v>3667</v>
      </c>
      <c r="AW1137" s="26">
        <v>3567</v>
      </c>
      <c r="AX1137" s="26" t="s">
        <v>1116</v>
      </c>
      <c r="BH1137" s="26">
        <v>6.0452000000000004</v>
      </c>
      <c r="BI1137" s="26">
        <v>7.0504000000000007</v>
      </c>
      <c r="BJ1137" s="26" t="s">
        <v>629</v>
      </c>
      <c r="EL1137" s="26" t="s">
        <v>1026</v>
      </c>
      <c r="EN1137" s="26">
        <v>53</v>
      </c>
    </row>
    <row r="1138" spans="1:144" s="26" customFormat="1" x14ac:dyDescent="0.25">
      <c r="A1138" s="26">
        <v>53</v>
      </c>
      <c r="B1138" s="26" t="s">
        <v>1014</v>
      </c>
      <c r="C1138" s="26" t="s">
        <v>1015</v>
      </c>
      <c r="D1138" s="26">
        <v>2006</v>
      </c>
      <c r="E1138" s="26">
        <v>2002</v>
      </c>
      <c r="F1138" s="26" t="s">
        <v>1016</v>
      </c>
      <c r="G1138" s="26" t="s">
        <v>1017</v>
      </c>
      <c r="H1138" s="26">
        <v>33.950000000000003</v>
      </c>
      <c r="I1138" s="26">
        <v>-83.38</v>
      </c>
      <c r="J1138" s="26">
        <v>208.4</v>
      </c>
      <c r="M1138" s="26">
        <v>971</v>
      </c>
      <c r="N1138" s="26">
        <f t="shared" si="229"/>
        <v>1233</v>
      </c>
      <c r="P1138" s="52" t="s">
        <v>188</v>
      </c>
      <c r="Q1138" s="52"/>
      <c r="R1138" s="52" t="s">
        <v>1027</v>
      </c>
      <c r="S1138" s="52" t="s">
        <v>667</v>
      </c>
      <c r="U1138" s="26">
        <f t="shared" si="234"/>
        <v>65</v>
      </c>
      <c r="V1138" s="26">
        <f>25</f>
        <v>25</v>
      </c>
      <c r="W1138" s="26" t="s">
        <v>321</v>
      </c>
      <c r="X1138" s="26">
        <v>6.6</v>
      </c>
      <c r="Y1138" s="26">
        <v>0.88</v>
      </c>
      <c r="AA1138" s="26" t="s">
        <v>1710</v>
      </c>
      <c r="AB1138" s="26" t="s">
        <v>326</v>
      </c>
      <c r="AC1138" s="26" t="s">
        <v>788</v>
      </c>
      <c r="AD1138" s="26" t="s">
        <v>1025</v>
      </c>
      <c r="AE1138" s="26" t="s">
        <v>1025</v>
      </c>
      <c r="AF1138" s="26" t="s">
        <v>252</v>
      </c>
      <c r="AM1138" s="26" t="s">
        <v>160</v>
      </c>
      <c r="AN1138" s="26">
        <v>3</v>
      </c>
      <c r="AO1138" s="26">
        <v>3</v>
      </c>
      <c r="AP1138" s="26" t="s">
        <v>448</v>
      </c>
      <c r="AR1138" s="26">
        <v>5160</v>
      </c>
      <c r="AS1138" s="26">
        <v>10</v>
      </c>
      <c r="AV1138" s="26">
        <v>3667</v>
      </c>
      <c r="AW1138" s="26">
        <v>4067</v>
      </c>
      <c r="AX1138" s="26" t="s">
        <v>1116</v>
      </c>
      <c r="BH1138" s="26">
        <v>6.0452000000000004</v>
      </c>
      <c r="BI1138" s="26">
        <v>9.2904</v>
      </c>
      <c r="BJ1138" s="26" t="s">
        <v>629</v>
      </c>
      <c r="EL1138" s="26" t="s">
        <v>1026</v>
      </c>
      <c r="EN1138" s="26">
        <v>53</v>
      </c>
    </row>
    <row r="1139" spans="1:144" s="26" customFormat="1" x14ac:dyDescent="0.25">
      <c r="A1139" s="26">
        <v>53</v>
      </c>
      <c r="B1139" s="26" t="s">
        <v>1014</v>
      </c>
      <c r="C1139" s="26" t="s">
        <v>1015</v>
      </c>
      <c r="D1139" s="26">
        <v>2006</v>
      </c>
      <c r="E1139" s="26">
        <v>2002</v>
      </c>
      <c r="F1139" s="26" t="s">
        <v>1016</v>
      </c>
      <c r="G1139" s="26" t="s">
        <v>1017</v>
      </c>
      <c r="H1139" s="26">
        <v>33.950000000000003</v>
      </c>
      <c r="I1139" s="26">
        <v>-83.38</v>
      </c>
      <c r="J1139" s="26">
        <v>208.4</v>
      </c>
      <c r="M1139" s="26">
        <v>971</v>
      </c>
      <c r="N1139" s="26">
        <f t="shared" si="229"/>
        <v>1233</v>
      </c>
      <c r="P1139" s="52" t="s">
        <v>188</v>
      </c>
      <c r="Q1139" s="52"/>
      <c r="R1139" s="52" t="s">
        <v>1027</v>
      </c>
      <c r="S1139" s="52" t="s">
        <v>667</v>
      </c>
      <c r="U1139" s="26">
        <f t="shared" si="234"/>
        <v>65</v>
      </c>
      <c r="V1139" s="26">
        <f>25</f>
        <v>25</v>
      </c>
      <c r="W1139" s="26" t="s">
        <v>321</v>
      </c>
      <c r="X1139" s="26">
        <v>6.6</v>
      </c>
      <c r="Y1139" s="26">
        <v>0.88</v>
      </c>
      <c r="AA1139" s="26" t="s">
        <v>1710</v>
      </c>
      <c r="AB1139" s="26" t="s">
        <v>1511</v>
      </c>
      <c r="AC1139" s="26" t="s">
        <v>788</v>
      </c>
      <c r="AD1139" s="26" t="s">
        <v>1025</v>
      </c>
      <c r="AE1139" s="26" t="s">
        <v>1025</v>
      </c>
      <c r="AF1139" s="26" t="s">
        <v>252</v>
      </c>
      <c r="AM1139" s="26" t="s">
        <v>160</v>
      </c>
      <c r="AN1139" s="26">
        <v>3</v>
      </c>
      <c r="AO1139" s="26">
        <v>3</v>
      </c>
      <c r="AP1139" s="26" t="s">
        <v>448</v>
      </c>
      <c r="AR1139" s="26">
        <v>5720</v>
      </c>
      <c r="AS1139" s="26">
        <v>11</v>
      </c>
      <c r="AV1139" s="26">
        <v>3667</v>
      </c>
      <c r="AW1139" s="26">
        <v>4233</v>
      </c>
      <c r="AX1139" s="26" t="s">
        <v>1116</v>
      </c>
      <c r="BH1139" s="26">
        <v>6.0452000000000004</v>
      </c>
      <c r="BI1139" s="26">
        <v>9.2904</v>
      </c>
      <c r="BJ1139" s="26" t="s">
        <v>629</v>
      </c>
      <c r="EL1139" s="26" t="s">
        <v>1026</v>
      </c>
      <c r="EN1139" s="26">
        <v>53</v>
      </c>
    </row>
    <row r="1140" spans="1:144" s="85" customFormat="1" x14ac:dyDescent="0.25">
      <c r="A1140" s="85">
        <v>53</v>
      </c>
      <c r="B1140" s="85" t="s">
        <v>1014</v>
      </c>
      <c r="C1140" s="85" t="s">
        <v>1015</v>
      </c>
      <c r="D1140" s="85">
        <v>2006</v>
      </c>
      <c r="E1140" s="85">
        <v>2002</v>
      </c>
      <c r="F1140" s="85" t="s">
        <v>1016</v>
      </c>
      <c r="G1140" s="85" t="s">
        <v>1017</v>
      </c>
      <c r="H1140" s="85">
        <v>33.950000000000003</v>
      </c>
      <c r="I1140" s="85">
        <v>-83.38</v>
      </c>
      <c r="J1140" s="85">
        <v>208.4</v>
      </c>
      <c r="M1140" s="26">
        <v>971</v>
      </c>
      <c r="N1140" s="26">
        <f t="shared" si="229"/>
        <v>1233</v>
      </c>
      <c r="P1140" s="86" t="s">
        <v>188</v>
      </c>
      <c r="Q1140" s="86"/>
      <c r="R1140" s="86" t="s">
        <v>1028</v>
      </c>
      <c r="S1140" s="86" t="s">
        <v>667</v>
      </c>
      <c r="U1140" s="85">
        <f t="shared" si="234"/>
        <v>65</v>
      </c>
      <c r="V1140" s="85">
        <f>25</f>
        <v>25</v>
      </c>
      <c r="W1140" s="85" t="s">
        <v>321</v>
      </c>
      <c r="X1140" s="85">
        <v>6.6</v>
      </c>
      <c r="Y1140" s="85">
        <v>0.88</v>
      </c>
      <c r="AA1140" s="85" t="s">
        <v>1710</v>
      </c>
      <c r="AB1140" s="85" t="s">
        <v>173</v>
      </c>
      <c r="AC1140" s="85" t="s">
        <v>788</v>
      </c>
      <c r="AD1140" s="26" t="s">
        <v>1025</v>
      </c>
      <c r="AE1140" s="26" t="s">
        <v>1025</v>
      </c>
      <c r="AF1140" s="26" t="s">
        <v>252</v>
      </c>
      <c r="AM1140" s="85" t="s">
        <v>160</v>
      </c>
      <c r="AN1140" s="85">
        <v>3</v>
      </c>
      <c r="AO1140" s="85">
        <v>3</v>
      </c>
      <c r="AP1140" s="85" t="s">
        <v>448</v>
      </c>
      <c r="AR1140" s="85">
        <v>2280</v>
      </c>
      <c r="AS1140" s="85">
        <v>40</v>
      </c>
      <c r="BH1140" s="85">
        <v>5.9136000000000006</v>
      </c>
      <c r="BI1140" s="85">
        <v>6.6892000000000005</v>
      </c>
      <c r="BJ1140" s="26" t="s">
        <v>629</v>
      </c>
      <c r="BL1140" s="26"/>
      <c r="CX1140" s="26"/>
      <c r="CZ1140" s="26"/>
      <c r="EL1140" s="26" t="s">
        <v>1026</v>
      </c>
      <c r="EN1140" s="85">
        <v>53</v>
      </c>
    </row>
    <row r="1141" spans="1:144" s="85" customFormat="1" x14ac:dyDescent="0.25">
      <c r="A1141" s="85">
        <v>53</v>
      </c>
      <c r="B1141" s="85" t="s">
        <v>1014</v>
      </c>
      <c r="C1141" s="85" t="s">
        <v>1015</v>
      </c>
      <c r="D1141" s="85">
        <v>2006</v>
      </c>
      <c r="E1141" s="85">
        <v>2002</v>
      </c>
      <c r="F1141" s="85" t="s">
        <v>1016</v>
      </c>
      <c r="G1141" s="85" t="s">
        <v>1017</v>
      </c>
      <c r="H1141" s="85">
        <v>33.950000000000003</v>
      </c>
      <c r="I1141" s="85">
        <v>-83.38</v>
      </c>
      <c r="J1141" s="85">
        <v>208.4</v>
      </c>
      <c r="M1141" s="26">
        <v>971</v>
      </c>
      <c r="N1141" s="26">
        <f t="shared" si="229"/>
        <v>1233</v>
      </c>
      <c r="P1141" s="86" t="s">
        <v>188</v>
      </c>
      <c r="Q1141" s="86"/>
      <c r="R1141" s="86" t="s">
        <v>1028</v>
      </c>
      <c r="S1141" s="86" t="s">
        <v>667</v>
      </c>
      <c r="U1141" s="85">
        <f t="shared" si="234"/>
        <v>65</v>
      </c>
      <c r="V1141" s="85">
        <f>25</f>
        <v>25</v>
      </c>
      <c r="W1141" s="85" t="s">
        <v>321</v>
      </c>
      <c r="X1141" s="85">
        <v>6.6</v>
      </c>
      <c r="Y1141" s="85">
        <v>0.88</v>
      </c>
      <c r="AA1141" s="85" t="s">
        <v>1710</v>
      </c>
      <c r="AB1141" s="85" t="s">
        <v>326</v>
      </c>
      <c r="AC1141" s="85" t="s">
        <v>788</v>
      </c>
      <c r="AD1141" s="26" t="s">
        <v>1025</v>
      </c>
      <c r="AE1141" s="26" t="s">
        <v>1025</v>
      </c>
      <c r="AF1141" s="26" t="s">
        <v>252</v>
      </c>
      <c r="AM1141" s="85" t="s">
        <v>160</v>
      </c>
      <c r="AN1141" s="85">
        <v>3</v>
      </c>
      <c r="AO1141" s="85">
        <v>3</v>
      </c>
      <c r="AP1141" s="85" t="s">
        <v>448</v>
      </c>
      <c r="AR1141" s="85">
        <v>5160</v>
      </c>
      <c r="AS1141" s="85">
        <v>10</v>
      </c>
      <c r="BH1141" s="85">
        <v>5.9136000000000006</v>
      </c>
      <c r="BI1141" s="85">
        <v>7.1456000000000008</v>
      </c>
      <c r="BJ1141" s="26" t="s">
        <v>629</v>
      </c>
      <c r="BL1141" s="26"/>
      <c r="CX1141" s="26"/>
      <c r="CZ1141" s="26"/>
      <c r="EL1141" s="26" t="s">
        <v>1026</v>
      </c>
      <c r="EN1141" s="85">
        <v>53</v>
      </c>
    </row>
    <row r="1142" spans="1:144" s="85" customFormat="1" x14ac:dyDescent="0.25">
      <c r="A1142" s="85">
        <v>53</v>
      </c>
      <c r="B1142" s="85" t="s">
        <v>1014</v>
      </c>
      <c r="C1142" s="85" t="s">
        <v>1015</v>
      </c>
      <c r="D1142" s="85">
        <v>2006</v>
      </c>
      <c r="E1142" s="85">
        <v>2002</v>
      </c>
      <c r="F1142" s="85" t="s">
        <v>1016</v>
      </c>
      <c r="G1142" s="85" t="s">
        <v>1017</v>
      </c>
      <c r="H1142" s="85">
        <v>33.950000000000003</v>
      </c>
      <c r="I1142" s="85">
        <v>-83.38</v>
      </c>
      <c r="J1142" s="85">
        <v>208.4</v>
      </c>
      <c r="M1142" s="26">
        <v>971</v>
      </c>
      <c r="N1142" s="26">
        <f t="shared" si="229"/>
        <v>1233</v>
      </c>
      <c r="P1142" s="86" t="s">
        <v>188</v>
      </c>
      <c r="Q1142" s="86"/>
      <c r="R1142" s="86" t="s">
        <v>1028</v>
      </c>
      <c r="S1142" s="86" t="s">
        <v>667</v>
      </c>
      <c r="U1142" s="85">
        <f t="shared" si="234"/>
        <v>65</v>
      </c>
      <c r="V1142" s="85">
        <f>25</f>
        <v>25</v>
      </c>
      <c r="W1142" s="85" t="s">
        <v>321</v>
      </c>
      <c r="X1142" s="85">
        <v>6.6</v>
      </c>
      <c r="Y1142" s="85">
        <v>0.88</v>
      </c>
      <c r="AA1142" s="85" t="s">
        <v>1710</v>
      </c>
      <c r="AB1142" s="85" t="s">
        <v>1511</v>
      </c>
      <c r="AC1142" s="85" t="s">
        <v>788</v>
      </c>
      <c r="AD1142" s="26" t="s">
        <v>1025</v>
      </c>
      <c r="AE1142" s="26" t="s">
        <v>1025</v>
      </c>
      <c r="AF1142" s="26" t="s">
        <v>252</v>
      </c>
      <c r="AM1142" s="85" t="s">
        <v>160</v>
      </c>
      <c r="AN1142" s="85">
        <v>3</v>
      </c>
      <c r="AO1142" s="85">
        <v>3</v>
      </c>
      <c r="AP1142" s="85" t="s">
        <v>448</v>
      </c>
      <c r="AR1142" s="85">
        <v>5720</v>
      </c>
      <c r="AS1142" s="85">
        <v>11</v>
      </c>
      <c r="BH1142" s="85">
        <v>5.9136000000000006</v>
      </c>
      <c r="BI1142" s="85">
        <v>6.370000000000001</v>
      </c>
      <c r="BJ1142" s="26" t="s">
        <v>629</v>
      </c>
      <c r="BL1142" s="26"/>
      <c r="CX1142" s="26"/>
      <c r="CZ1142" s="26"/>
      <c r="EL1142" s="26" t="s">
        <v>1026</v>
      </c>
      <c r="EN1142" s="85">
        <v>53</v>
      </c>
    </row>
    <row r="1143" spans="1:144" s="35" customFormat="1" x14ac:dyDescent="0.25">
      <c r="A1143" s="35">
        <v>53</v>
      </c>
      <c r="B1143" s="35" t="s">
        <v>1014</v>
      </c>
      <c r="C1143" s="35" t="s">
        <v>1015</v>
      </c>
      <c r="D1143" s="35">
        <v>2006</v>
      </c>
      <c r="E1143" s="35">
        <v>2000</v>
      </c>
      <c r="F1143" s="35" t="s">
        <v>1016</v>
      </c>
      <c r="G1143" s="35" t="s">
        <v>1017</v>
      </c>
      <c r="H1143" s="35">
        <v>33.950000000000003</v>
      </c>
      <c r="I1143" s="35">
        <v>-83.38</v>
      </c>
      <c r="J1143" s="35">
        <v>208.4</v>
      </c>
      <c r="M1143" s="35">
        <f>278+505</f>
        <v>783</v>
      </c>
      <c r="N1143" s="35">
        <f>588+645</f>
        <v>1233</v>
      </c>
      <c r="P1143" s="54" t="s">
        <v>186</v>
      </c>
      <c r="Q1143" s="54"/>
      <c r="R1143" s="54" t="s">
        <v>1027</v>
      </c>
      <c r="S1143" s="54" t="s">
        <v>1029</v>
      </c>
      <c r="U1143" s="35">
        <f t="shared" si="234"/>
        <v>65</v>
      </c>
      <c r="V1143" s="35">
        <f>25</f>
        <v>25</v>
      </c>
      <c r="W1143" s="35" t="s">
        <v>321</v>
      </c>
      <c r="X1143" s="35">
        <v>6.6</v>
      </c>
      <c r="Y1143" s="35">
        <v>0.88</v>
      </c>
      <c r="AA1143" s="35" t="s">
        <v>1710</v>
      </c>
      <c r="AB1143" s="35" t="s">
        <v>173</v>
      </c>
      <c r="AC1143" s="35" t="s">
        <v>788</v>
      </c>
      <c r="AD1143" s="35" t="s">
        <v>1025</v>
      </c>
      <c r="AE1143" s="35" t="s">
        <v>1025</v>
      </c>
      <c r="AF1143" s="35" t="s">
        <v>252</v>
      </c>
      <c r="AM1143" s="35" t="s">
        <v>160</v>
      </c>
      <c r="AN1143" s="35">
        <v>3</v>
      </c>
      <c r="AO1143" s="35">
        <v>3</v>
      </c>
      <c r="AP1143" s="35" t="s">
        <v>448</v>
      </c>
      <c r="AR1143" s="35">
        <f>6.07*1000</f>
        <v>6070</v>
      </c>
      <c r="AS1143" s="35">
        <v>29</v>
      </c>
      <c r="BH1143" s="35">
        <v>8.0332000000000008</v>
      </c>
      <c r="BI1143" s="35">
        <v>6.983200000000001</v>
      </c>
      <c r="BJ1143" s="35" t="s">
        <v>629</v>
      </c>
      <c r="BL1143" s="26"/>
      <c r="EL1143" s="35" t="s">
        <v>1026</v>
      </c>
      <c r="EN1143" s="35">
        <v>53</v>
      </c>
    </row>
    <row r="1144" spans="1:144" s="35" customFormat="1" x14ac:dyDescent="0.25">
      <c r="A1144" s="35">
        <v>53</v>
      </c>
      <c r="B1144" s="35" t="s">
        <v>1014</v>
      </c>
      <c r="C1144" s="35" t="s">
        <v>1015</v>
      </c>
      <c r="D1144" s="35">
        <v>2006</v>
      </c>
      <c r="E1144" s="35">
        <v>2000</v>
      </c>
      <c r="F1144" s="35" t="s">
        <v>1016</v>
      </c>
      <c r="G1144" s="35" t="s">
        <v>1017</v>
      </c>
      <c r="H1144" s="35">
        <v>33.950000000000003</v>
      </c>
      <c r="I1144" s="35">
        <v>-83.38</v>
      </c>
      <c r="J1144" s="35">
        <v>208.4</v>
      </c>
      <c r="M1144" s="35">
        <f t="shared" si="235"/>
        <v>783</v>
      </c>
      <c r="N1144" s="35">
        <f t="shared" si="229"/>
        <v>1233</v>
      </c>
      <c r="P1144" s="54" t="s">
        <v>186</v>
      </c>
      <c r="Q1144" s="54"/>
      <c r="R1144" s="54" t="s">
        <v>1027</v>
      </c>
      <c r="S1144" s="54" t="s">
        <v>1029</v>
      </c>
      <c r="U1144" s="35">
        <f t="shared" si="234"/>
        <v>65</v>
      </c>
      <c r="V1144" s="35">
        <f>25</f>
        <v>25</v>
      </c>
      <c r="W1144" s="35" t="s">
        <v>321</v>
      </c>
      <c r="X1144" s="35">
        <v>6.6</v>
      </c>
      <c r="Y1144" s="35">
        <v>0.88</v>
      </c>
      <c r="AA1144" s="35" t="s">
        <v>1710</v>
      </c>
      <c r="AB1144" s="35" t="s">
        <v>326</v>
      </c>
      <c r="AC1144" s="35" t="s">
        <v>788</v>
      </c>
      <c r="AD1144" s="35" t="s">
        <v>1025</v>
      </c>
      <c r="AE1144" s="35" t="s">
        <v>1025</v>
      </c>
      <c r="AF1144" s="35" t="s">
        <v>252</v>
      </c>
      <c r="AM1144" s="35" t="s">
        <v>160</v>
      </c>
      <c r="AN1144" s="35">
        <v>3</v>
      </c>
      <c r="AO1144" s="35">
        <v>3</v>
      </c>
      <c r="AP1144" s="35" t="s">
        <v>448</v>
      </c>
      <c r="AR1144" s="35">
        <v>5100</v>
      </c>
      <c r="AS1144" s="35">
        <v>12</v>
      </c>
      <c r="BH1144" s="35">
        <v>8.0332000000000008</v>
      </c>
      <c r="BI1144" s="35">
        <v>10.5448</v>
      </c>
      <c r="BJ1144" s="35" t="s">
        <v>629</v>
      </c>
      <c r="BL1144" s="26"/>
      <c r="EL1144" s="35" t="s">
        <v>1026</v>
      </c>
      <c r="EN1144" s="35">
        <v>53</v>
      </c>
    </row>
    <row r="1145" spans="1:144" s="35" customFormat="1" x14ac:dyDescent="0.25">
      <c r="A1145" s="35">
        <v>53</v>
      </c>
      <c r="B1145" s="35" t="s">
        <v>1014</v>
      </c>
      <c r="C1145" s="35" t="s">
        <v>1015</v>
      </c>
      <c r="D1145" s="35">
        <v>2006</v>
      </c>
      <c r="E1145" s="35">
        <v>2000</v>
      </c>
      <c r="F1145" s="35" t="s">
        <v>1016</v>
      </c>
      <c r="G1145" s="35" t="s">
        <v>1017</v>
      </c>
      <c r="H1145" s="35">
        <v>33.950000000000003</v>
      </c>
      <c r="I1145" s="35">
        <v>-83.38</v>
      </c>
      <c r="J1145" s="35">
        <v>208.4</v>
      </c>
      <c r="M1145" s="35">
        <f t="shared" si="235"/>
        <v>783</v>
      </c>
      <c r="N1145" s="35">
        <f t="shared" si="229"/>
        <v>1233</v>
      </c>
      <c r="P1145" s="54" t="s">
        <v>186</v>
      </c>
      <c r="Q1145" s="54"/>
      <c r="R1145" s="54" t="s">
        <v>1027</v>
      </c>
      <c r="S1145" s="54" t="s">
        <v>1029</v>
      </c>
      <c r="U1145" s="35">
        <f t="shared" si="234"/>
        <v>65</v>
      </c>
      <c r="V1145" s="35">
        <f>25</f>
        <v>25</v>
      </c>
      <c r="W1145" s="35" t="s">
        <v>321</v>
      </c>
      <c r="X1145" s="35">
        <v>6.6</v>
      </c>
      <c r="Y1145" s="35">
        <v>0.88</v>
      </c>
      <c r="AA1145" s="35" t="s">
        <v>1710</v>
      </c>
      <c r="AB1145" s="35" t="s">
        <v>1511</v>
      </c>
      <c r="AC1145" s="35" t="s">
        <v>788</v>
      </c>
      <c r="AD1145" s="35" t="s">
        <v>1025</v>
      </c>
      <c r="AE1145" s="35" t="s">
        <v>1025</v>
      </c>
      <c r="AF1145" s="35" t="s">
        <v>252</v>
      </c>
      <c r="AM1145" s="35" t="s">
        <v>160</v>
      </c>
      <c r="AN1145" s="35">
        <v>3</v>
      </c>
      <c r="AO1145" s="35">
        <v>3</v>
      </c>
      <c r="AP1145" s="35" t="s">
        <v>448</v>
      </c>
      <c r="AR1145" s="35">
        <v>8180</v>
      </c>
      <c r="AS1145" s="35">
        <v>10</v>
      </c>
      <c r="BH1145" s="35">
        <v>8.0332000000000008</v>
      </c>
      <c r="BI1145" s="35">
        <v>8.9012000000000011</v>
      </c>
      <c r="BJ1145" s="35" t="s">
        <v>629</v>
      </c>
      <c r="BL1145" s="26"/>
      <c r="EL1145" s="35" t="s">
        <v>1026</v>
      </c>
      <c r="EN1145" s="35">
        <v>53</v>
      </c>
    </row>
    <row r="1146" spans="1:144" s="87" customFormat="1" x14ac:dyDescent="0.25">
      <c r="A1146" s="87">
        <v>53</v>
      </c>
      <c r="B1146" s="87" t="s">
        <v>1014</v>
      </c>
      <c r="C1146" s="87" t="s">
        <v>1015</v>
      </c>
      <c r="D1146" s="87">
        <v>2006</v>
      </c>
      <c r="E1146" s="87">
        <v>2000</v>
      </c>
      <c r="F1146" s="87" t="s">
        <v>1016</v>
      </c>
      <c r="G1146" s="87" t="s">
        <v>1017</v>
      </c>
      <c r="H1146" s="87">
        <v>33.950000000000003</v>
      </c>
      <c r="I1146" s="87">
        <v>-83.38</v>
      </c>
      <c r="J1146" s="87">
        <v>208.4</v>
      </c>
      <c r="M1146" s="35">
        <f t="shared" si="235"/>
        <v>783</v>
      </c>
      <c r="N1146" s="35">
        <f t="shared" si="229"/>
        <v>1233</v>
      </c>
      <c r="P1146" s="88" t="s">
        <v>186</v>
      </c>
      <c r="Q1146" s="88"/>
      <c r="R1146" s="88" t="s">
        <v>1028</v>
      </c>
      <c r="S1146" s="88" t="s">
        <v>1029</v>
      </c>
      <c r="U1146" s="87">
        <f t="shared" si="234"/>
        <v>65</v>
      </c>
      <c r="V1146" s="87">
        <f>25</f>
        <v>25</v>
      </c>
      <c r="W1146" s="87" t="s">
        <v>321</v>
      </c>
      <c r="X1146" s="87">
        <v>6.6</v>
      </c>
      <c r="Y1146" s="87">
        <v>0.88</v>
      </c>
      <c r="AA1146" s="87" t="s">
        <v>1710</v>
      </c>
      <c r="AB1146" s="87" t="s">
        <v>173</v>
      </c>
      <c r="AC1146" s="87" t="s">
        <v>788</v>
      </c>
      <c r="AD1146" s="35" t="s">
        <v>1025</v>
      </c>
      <c r="AE1146" s="35" t="s">
        <v>1025</v>
      </c>
      <c r="AF1146" s="35" t="s">
        <v>252</v>
      </c>
      <c r="AM1146" s="87" t="s">
        <v>160</v>
      </c>
      <c r="AN1146" s="87">
        <v>3</v>
      </c>
      <c r="AO1146" s="87">
        <v>3</v>
      </c>
      <c r="AP1146" s="87" t="s">
        <v>448</v>
      </c>
      <c r="AR1146" s="87">
        <v>6070</v>
      </c>
      <c r="AS1146" s="87">
        <v>29</v>
      </c>
      <c r="BH1146" s="87">
        <v>11.583600000000001</v>
      </c>
      <c r="BI1146" s="87">
        <v>11.356800000000002</v>
      </c>
      <c r="BJ1146" s="35" t="s">
        <v>629</v>
      </c>
      <c r="BL1146" s="26"/>
      <c r="CX1146" s="35"/>
      <c r="CZ1146" s="35"/>
      <c r="EL1146" s="35" t="s">
        <v>1026</v>
      </c>
      <c r="EN1146" s="87">
        <v>53</v>
      </c>
    </row>
    <row r="1147" spans="1:144" s="87" customFormat="1" x14ac:dyDescent="0.25">
      <c r="A1147" s="87">
        <v>53</v>
      </c>
      <c r="B1147" s="87" t="s">
        <v>1014</v>
      </c>
      <c r="C1147" s="87" t="s">
        <v>1015</v>
      </c>
      <c r="D1147" s="87">
        <v>2006</v>
      </c>
      <c r="E1147" s="87">
        <v>2000</v>
      </c>
      <c r="F1147" s="87" t="s">
        <v>1016</v>
      </c>
      <c r="G1147" s="87" t="s">
        <v>1017</v>
      </c>
      <c r="H1147" s="87">
        <v>33.950000000000003</v>
      </c>
      <c r="I1147" s="87">
        <v>-83.38</v>
      </c>
      <c r="J1147" s="87">
        <v>208.4</v>
      </c>
      <c r="M1147" s="35">
        <f t="shared" si="235"/>
        <v>783</v>
      </c>
      <c r="N1147" s="35">
        <f t="shared" si="229"/>
        <v>1233</v>
      </c>
      <c r="P1147" s="88" t="s">
        <v>186</v>
      </c>
      <c r="Q1147" s="88"/>
      <c r="R1147" s="88" t="s">
        <v>1028</v>
      </c>
      <c r="S1147" s="88" t="s">
        <v>1029</v>
      </c>
      <c r="U1147" s="87">
        <f t="shared" si="234"/>
        <v>65</v>
      </c>
      <c r="V1147" s="87">
        <f>25</f>
        <v>25</v>
      </c>
      <c r="W1147" s="87" t="s">
        <v>321</v>
      </c>
      <c r="X1147" s="87">
        <v>6.6</v>
      </c>
      <c r="Y1147" s="87">
        <v>0.88</v>
      </c>
      <c r="AA1147" s="87" t="s">
        <v>1710</v>
      </c>
      <c r="AB1147" s="87" t="s">
        <v>326</v>
      </c>
      <c r="AC1147" s="87" t="s">
        <v>788</v>
      </c>
      <c r="AD1147" s="35" t="s">
        <v>1025</v>
      </c>
      <c r="AE1147" s="35" t="s">
        <v>1025</v>
      </c>
      <c r="AF1147" s="35" t="s">
        <v>252</v>
      </c>
      <c r="AM1147" s="87" t="s">
        <v>160</v>
      </c>
      <c r="AN1147" s="87">
        <v>3</v>
      </c>
      <c r="AO1147" s="87">
        <v>3</v>
      </c>
      <c r="AP1147" s="87" t="s">
        <v>448</v>
      </c>
      <c r="AR1147" s="87">
        <v>5100</v>
      </c>
      <c r="AS1147" s="87">
        <v>12</v>
      </c>
      <c r="BH1147" s="87">
        <v>11.583600000000001</v>
      </c>
      <c r="BI1147" s="87">
        <v>12.544</v>
      </c>
      <c r="BJ1147" s="35" t="s">
        <v>629</v>
      </c>
      <c r="BL1147" s="26"/>
      <c r="CX1147" s="35"/>
      <c r="CZ1147" s="35"/>
      <c r="EL1147" s="35" t="s">
        <v>1026</v>
      </c>
      <c r="EN1147" s="87">
        <v>53</v>
      </c>
    </row>
    <row r="1148" spans="1:144" s="87" customFormat="1" x14ac:dyDescent="0.25">
      <c r="A1148" s="87">
        <v>53</v>
      </c>
      <c r="B1148" s="87" t="s">
        <v>1014</v>
      </c>
      <c r="C1148" s="87" t="s">
        <v>1015</v>
      </c>
      <c r="D1148" s="87">
        <v>2006</v>
      </c>
      <c r="E1148" s="87">
        <v>2000</v>
      </c>
      <c r="F1148" s="87" t="s">
        <v>1016</v>
      </c>
      <c r="G1148" s="87" t="s">
        <v>1017</v>
      </c>
      <c r="H1148" s="87">
        <v>33.950000000000003</v>
      </c>
      <c r="I1148" s="87">
        <v>-83.38</v>
      </c>
      <c r="J1148" s="87">
        <v>208.4</v>
      </c>
      <c r="M1148" s="35">
        <f t="shared" si="235"/>
        <v>783</v>
      </c>
      <c r="N1148" s="35">
        <f t="shared" si="229"/>
        <v>1233</v>
      </c>
      <c r="P1148" s="88" t="s">
        <v>186</v>
      </c>
      <c r="Q1148" s="88"/>
      <c r="R1148" s="88" t="s">
        <v>1028</v>
      </c>
      <c r="S1148" s="88" t="s">
        <v>1029</v>
      </c>
      <c r="U1148" s="87">
        <f t="shared" si="234"/>
        <v>65</v>
      </c>
      <c r="V1148" s="87">
        <f>25</f>
        <v>25</v>
      </c>
      <c r="W1148" s="87" t="s">
        <v>321</v>
      </c>
      <c r="X1148" s="87">
        <v>6.6</v>
      </c>
      <c r="Y1148" s="87">
        <v>0.88</v>
      </c>
      <c r="AA1148" s="87" t="s">
        <v>1710</v>
      </c>
      <c r="AB1148" s="87" t="s">
        <v>1511</v>
      </c>
      <c r="AC1148" s="87" t="s">
        <v>788</v>
      </c>
      <c r="AD1148" s="35" t="s">
        <v>1025</v>
      </c>
      <c r="AE1148" s="35" t="s">
        <v>1025</v>
      </c>
      <c r="AF1148" s="35" t="s">
        <v>252</v>
      </c>
      <c r="AM1148" s="87" t="s">
        <v>160</v>
      </c>
      <c r="AN1148" s="87">
        <v>3</v>
      </c>
      <c r="AO1148" s="87">
        <v>3</v>
      </c>
      <c r="AP1148" s="87" t="s">
        <v>448</v>
      </c>
      <c r="AR1148" s="87">
        <v>8180</v>
      </c>
      <c r="AS1148" s="87">
        <v>10</v>
      </c>
      <c r="BH1148" s="87">
        <v>11.583600000000001</v>
      </c>
      <c r="BI1148" s="87">
        <v>11.8132</v>
      </c>
      <c r="BJ1148" s="35" t="s">
        <v>629</v>
      </c>
      <c r="BL1148" s="26"/>
      <c r="CX1148" s="35"/>
      <c r="CZ1148" s="35"/>
      <c r="EL1148" s="35" t="s">
        <v>1026</v>
      </c>
      <c r="EN1148" s="87">
        <v>53</v>
      </c>
    </row>
    <row r="1149" spans="1:144" s="35" customFormat="1" x14ac:dyDescent="0.25">
      <c r="A1149" s="35">
        <v>53</v>
      </c>
      <c r="B1149" s="35" t="s">
        <v>1014</v>
      </c>
      <c r="C1149" s="35" t="s">
        <v>1015</v>
      </c>
      <c r="D1149" s="35">
        <v>2006</v>
      </c>
      <c r="E1149" s="35">
        <v>2001</v>
      </c>
      <c r="F1149" s="35" t="s">
        <v>1016</v>
      </c>
      <c r="G1149" s="35" t="s">
        <v>1017</v>
      </c>
      <c r="H1149" s="35">
        <v>33.950000000000003</v>
      </c>
      <c r="I1149" s="35">
        <v>-83.38</v>
      </c>
      <c r="J1149" s="35">
        <v>208.4</v>
      </c>
      <c r="M1149" s="35">
        <v>748</v>
      </c>
      <c r="N1149" s="35">
        <f>588+645</f>
        <v>1233</v>
      </c>
      <c r="P1149" s="54" t="s">
        <v>187</v>
      </c>
      <c r="Q1149" s="54"/>
      <c r="R1149" s="54" t="s">
        <v>1027</v>
      </c>
      <c r="S1149" s="54" t="s">
        <v>1029</v>
      </c>
      <c r="U1149" s="35">
        <f t="shared" si="234"/>
        <v>65</v>
      </c>
      <c r="V1149" s="35">
        <f>25</f>
        <v>25</v>
      </c>
      <c r="W1149" s="35" t="s">
        <v>321</v>
      </c>
      <c r="X1149" s="35">
        <v>6.6</v>
      </c>
      <c r="Y1149" s="35">
        <v>0.88</v>
      </c>
      <c r="AA1149" s="35" t="s">
        <v>1710</v>
      </c>
      <c r="AB1149" s="35" t="s">
        <v>173</v>
      </c>
      <c r="AC1149" s="35" t="s">
        <v>788</v>
      </c>
      <c r="AD1149" s="35" t="s">
        <v>1025</v>
      </c>
      <c r="AE1149" s="35" t="s">
        <v>1025</v>
      </c>
      <c r="AF1149" s="35" t="s">
        <v>252</v>
      </c>
      <c r="AM1149" s="35" t="s">
        <v>160</v>
      </c>
      <c r="AN1149" s="35">
        <v>3</v>
      </c>
      <c r="AO1149" s="35">
        <v>3</v>
      </c>
      <c r="AP1149" s="35" t="s">
        <v>448</v>
      </c>
      <c r="AR1149" s="35">
        <v>3810</v>
      </c>
      <c r="AS1149" s="35">
        <v>57</v>
      </c>
      <c r="BH1149" s="35">
        <v>8.0108000000000015</v>
      </c>
      <c r="BI1149" s="35">
        <v>8.0108000000000015</v>
      </c>
      <c r="BJ1149" s="35" t="s">
        <v>629</v>
      </c>
      <c r="BL1149" s="26"/>
      <c r="EL1149" s="35" t="s">
        <v>1026</v>
      </c>
      <c r="EN1149" s="35">
        <v>53</v>
      </c>
    </row>
    <row r="1150" spans="1:144" s="35" customFormat="1" x14ac:dyDescent="0.25">
      <c r="A1150" s="35">
        <v>53</v>
      </c>
      <c r="B1150" s="35" t="s">
        <v>1014</v>
      </c>
      <c r="C1150" s="35" t="s">
        <v>1015</v>
      </c>
      <c r="D1150" s="35">
        <v>2006</v>
      </c>
      <c r="E1150" s="35">
        <v>2001</v>
      </c>
      <c r="F1150" s="35" t="s">
        <v>1016</v>
      </c>
      <c r="G1150" s="35" t="s">
        <v>1017</v>
      </c>
      <c r="H1150" s="35">
        <v>33.950000000000003</v>
      </c>
      <c r="I1150" s="35">
        <v>-83.38</v>
      </c>
      <c r="J1150" s="35">
        <v>208.4</v>
      </c>
      <c r="M1150" s="35">
        <v>748</v>
      </c>
      <c r="N1150" s="35">
        <f t="shared" si="229"/>
        <v>1233</v>
      </c>
      <c r="P1150" s="54" t="s">
        <v>187</v>
      </c>
      <c r="Q1150" s="54"/>
      <c r="R1150" s="54" t="s">
        <v>1027</v>
      </c>
      <c r="S1150" s="54" t="s">
        <v>1029</v>
      </c>
      <c r="U1150" s="35">
        <f t="shared" si="234"/>
        <v>65</v>
      </c>
      <c r="V1150" s="35">
        <f>25</f>
        <v>25</v>
      </c>
      <c r="W1150" s="35" t="s">
        <v>321</v>
      </c>
      <c r="X1150" s="35">
        <v>6.6</v>
      </c>
      <c r="Y1150" s="35">
        <v>0.88</v>
      </c>
      <c r="AA1150" s="35" t="s">
        <v>1710</v>
      </c>
      <c r="AB1150" s="35" t="s">
        <v>326</v>
      </c>
      <c r="AC1150" s="35" t="s">
        <v>788</v>
      </c>
      <c r="AD1150" s="35" t="s">
        <v>1025</v>
      </c>
      <c r="AE1150" s="35" t="s">
        <v>1025</v>
      </c>
      <c r="AF1150" s="35" t="s">
        <v>252</v>
      </c>
      <c r="AM1150" s="35" t="s">
        <v>160</v>
      </c>
      <c r="AN1150" s="35">
        <v>3</v>
      </c>
      <c r="AO1150" s="35">
        <v>3</v>
      </c>
      <c r="AP1150" s="35" t="s">
        <v>448</v>
      </c>
      <c r="AR1150" s="35">
        <v>2440</v>
      </c>
      <c r="AS1150" s="35">
        <v>12</v>
      </c>
      <c r="BH1150" s="35">
        <v>8.0108000000000015</v>
      </c>
      <c r="BI1150" s="35">
        <v>8.6492000000000004</v>
      </c>
      <c r="BJ1150" s="35" t="s">
        <v>629</v>
      </c>
      <c r="BL1150" s="26"/>
      <c r="EL1150" s="35" t="s">
        <v>1026</v>
      </c>
      <c r="EN1150" s="35">
        <v>53</v>
      </c>
    </row>
    <row r="1151" spans="1:144" s="35" customFormat="1" x14ac:dyDescent="0.25">
      <c r="A1151" s="35">
        <v>53</v>
      </c>
      <c r="B1151" s="35" t="s">
        <v>1014</v>
      </c>
      <c r="C1151" s="35" t="s">
        <v>1015</v>
      </c>
      <c r="D1151" s="35">
        <v>2006</v>
      </c>
      <c r="E1151" s="35">
        <v>2001</v>
      </c>
      <c r="F1151" s="35" t="s">
        <v>1016</v>
      </c>
      <c r="G1151" s="35" t="s">
        <v>1017</v>
      </c>
      <c r="H1151" s="35">
        <v>33.950000000000003</v>
      </c>
      <c r="I1151" s="35">
        <v>-83.38</v>
      </c>
      <c r="J1151" s="35">
        <v>208.4</v>
      </c>
      <c r="M1151" s="35">
        <v>748</v>
      </c>
      <c r="N1151" s="35">
        <f t="shared" si="229"/>
        <v>1233</v>
      </c>
      <c r="P1151" s="54" t="s">
        <v>187</v>
      </c>
      <c r="Q1151" s="54"/>
      <c r="R1151" s="54" t="s">
        <v>1027</v>
      </c>
      <c r="S1151" s="54" t="s">
        <v>1029</v>
      </c>
      <c r="U1151" s="35">
        <f t="shared" si="234"/>
        <v>65</v>
      </c>
      <c r="V1151" s="35">
        <f>25</f>
        <v>25</v>
      </c>
      <c r="W1151" s="35" t="s">
        <v>321</v>
      </c>
      <c r="X1151" s="35">
        <v>6.6</v>
      </c>
      <c r="Y1151" s="35">
        <v>0.88</v>
      </c>
      <c r="AA1151" s="35" t="s">
        <v>1710</v>
      </c>
      <c r="AB1151" s="35" t="s">
        <v>1511</v>
      </c>
      <c r="AC1151" s="35" t="s">
        <v>788</v>
      </c>
      <c r="AD1151" s="35" t="s">
        <v>1025</v>
      </c>
      <c r="AE1151" s="35" t="s">
        <v>1025</v>
      </c>
      <c r="AF1151" s="35" t="s">
        <v>252</v>
      </c>
      <c r="AM1151" s="35" t="s">
        <v>160</v>
      </c>
      <c r="AN1151" s="35">
        <v>3</v>
      </c>
      <c r="AO1151" s="35">
        <v>3</v>
      </c>
      <c r="AP1151" s="35" t="s">
        <v>448</v>
      </c>
      <c r="AR1151" s="35">
        <v>5980</v>
      </c>
      <c r="AS1151" s="35">
        <v>32</v>
      </c>
      <c r="BH1151" s="35">
        <v>8.0108000000000015</v>
      </c>
      <c r="BI1151" s="35">
        <v>8.0108000000000015</v>
      </c>
      <c r="BJ1151" s="35" t="s">
        <v>629</v>
      </c>
      <c r="BL1151" s="26"/>
      <c r="EL1151" s="35" t="s">
        <v>1026</v>
      </c>
      <c r="EN1151" s="35">
        <v>53</v>
      </c>
    </row>
    <row r="1152" spans="1:144" s="87" customFormat="1" x14ac:dyDescent="0.25">
      <c r="A1152" s="87">
        <v>53</v>
      </c>
      <c r="B1152" s="87" t="s">
        <v>1014</v>
      </c>
      <c r="C1152" s="87" t="s">
        <v>1015</v>
      </c>
      <c r="D1152" s="87">
        <v>2006</v>
      </c>
      <c r="E1152" s="87">
        <v>2001</v>
      </c>
      <c r="F1152" s="87" t="s">
        <v>1016</v>
      </c>
      <c r="G1152" s="87" t="s">
        <v>1017</v>
      </c>
      <c r="H1152" s="87">
        <v>33.950000000000003</v>
      </c>
      <c r="I1152" s="87">
        <v>-83.38</v>
      </c>
      <c r="J1152" s="87">
        <v>208.4</v>
      </c>
      <c r="M1152" s="35">
        <v>748</v>
      </c>
      <c r="N1152" s="35">
        <f t="shared" si="229"/>
        <v>1233</v>
      </c>
      <c r="P1152" s="88" t="s">
        <v>187</v>
      </c>
      <c r="Q1152" s="88"/>
      <c r="R1152" s="88" t="s">
        <v>1028</v>
      </c>
      <c r="S1152" s="88" t="s">
        <v>1029</v>
      </c>
      <c r="U1152" s="87">
        <f t="shared" si="234"/>
        <v>65</v>
      </c>
      <c r="V1152" s="87">
        <f>25</f>
        <v>25</v>
      </c>
      <c r="W1152" s="87" t="s">
        <v>321</v>
      </c>
      <c r="X1152" s="87">
        <v>6.6</v>
      </c>
      <c r="Y1152" s="87">
        <v>0.88</v>
      </c>
      <c r="AA1152" s="87" t="s">
        <v>1710</v>
      </c>
      <c r="AB1152" s="87" t="s">
        <v>173</v>
      </c>
      <c r="AC1152" s="87" t="s">
        <v>788</v>
      </c>
      <c r="AD1152" s="35" t="s">
        <v>1025</v>
      </c>
      <c r="AE1152" s="35" t="s">
        <v>1025</v>
      </c>
      <c r="AF1152" s="35" t="s">
        <v>252</v>
      </c>
      <c r="AM1152" s="87" t="s">
        <v>160</v>
      </c>
      <c r="AN1152" s="87">
        <v>3</v>
      </c>
      <c r="AO1152" s="87">
        <v>3</v>
      </c>
      <c r="AP1152" s="87" t="s">
        <v>448</v>
      </c>
      <c r="AR1152" s="87">
        <v>3810</v>
      </c>
      <c r="AS1152" s="87">
        <v>57</v>
      </c>
      <c r="BH1152" s="87">
        <v>8.4560000000000013</v>
      </c>
      <c r="BI1152" s="87">
        <v>8.4560000000000013</v>
      </c>
      <c r="BJ1152" s="35" t="s">
        <v>629</v>
      </c>
      <c r="BL1152" s="26"/>
      <c r="CX1152" s="35"/>
      <c r="CZ1152" s="35"/>
      <c r="EL1152" s="35" t="s">
        <v>1026</v>
      </c>
      <c r="EN1152" s="87">
        <v>53</v>
      </c>
    </row>
    <row r="1153" spans="1:144" s="87" customFormat="1" x14ac:dyDescent="0.25">
      <c r="A1153" s="87">
        <v>53</v>
      </c>
      <c r="B1153" s="87" t="s">
        <v>1014</v>
      </c>
      <c r="C1153" s="87" t="s">
        <v>1015</v>
      </c>
      <c r="D1153" s="87">
        <v>2006</v>
      </c>
      <c r="E1153" s="87">
        <v>2001</v>
      </c>
      <c r="F1153" s="87" t="s">
        <v>1016</v>
      </c>
      <c r="G1153" s="87" t="s">
        <v>1017</v>
      </c>
      <c r="H1153" s="87">
        <v>33.950000000000003</v>
      </c>
      <c r="I1153" s="87">
        <v>-83.38</v>
      </c>
      <c r="J1153" s="87">
        <v>208.4</v>
      </c>
      <c r="M1153" s="35">
        <v>748</v>
      </c>
      <c r="N1153" s="35">
        <f t="shared" si="229"/>
        <v>1233</v>
      </c>
      <c r="P1153" s="88" t="s">
        <v>187</v>
      </c>
      <c r="Q1153" s="88"/>
      <c r="R1153" s="88" t="s">
        <v>1028</v>
      </c>
      <c r="S1153" s="88" t="s">
        <v>1029</v>
      </c>
      <c r="U1153" s="87">
        <f t="shared" si="234"/>
        <v>65</v>
      </c>
      <c r="V1153" s="87">
        <f>25</f>
        <v>25</v>
      </c>
      <c r="W1153" s="87" t="s">
        <v>321</v>
      </c>
      <c r="X1153" s="87">
        <v>6.6</v>
      </c>
      <c r="Y1153" s="87">
        <v>0.88</v>
      </c>
      <c r="AA1153" s="87" t="s">
        <v>1710</v>
      </c>
      <c r="AB1153" s="87" t="s">
        <v>326</v>
      </c>
      <c r="AC1153" s="87" t="s">
        <v>788</v>
      </c>
      <c r="AD1153" s="35" t="s">
        <v>1025</v>
      </c>
      <c r="AE1153" s="35" t="s">
        <v>1025</v>
      </c>
      <c r="AF1153" s="35" t="s">
        <v>252</v>
      </c>
      <c r="AM1153" s="87" t="s">
        <v>160</v>
      </c>
      <c r="AN1153" s="87">
        <v>3</v>
      </c>
      <c r="AO1153" s="87">
        <v>3</v>
      </c>
      <c r="AP1153" s="87" t="s">
        <v>448</v>
      </c>
      <c r="AR1153" s="87">
        <v>2440</v>
      </c>
      <c r="AS1153" s="87">
        <v>12</v>
      </c>
      <c r="BH1153" s="87">
        <v>8.4560000000000013</v>
      </c>
      <c r="BI1153" s="87">
        <v>9.7356000000000016</v>
      </c>
      <c r="BJ1153" s="35" t="s">
        <v>629</v>
      </c>
      <c r="BL1153" s="26"/>
      <c r="CX1153" s="35"/>
      <c r="CZ1153" s="35"/>
      <c r="EL1153" s="35" t="s">
        <v>1026</v>
      </c>
      <c r="EN1153" s="87">
        <v>53</v>
      </c>
    </row>
    <row r="1154" spans="1:144" s="87" customFormat="1" x14ac:dyDescent="0.25">
      <c r="A1154" s="87">
        <v>53</v>
      </c>
      <c r="B1154" s="87" t="s">
        <v>1014</v>
      </c>
      <c r="C1154" s="87" t="s">
        <v>1015</v>
      </c>
      <c r="D1154" s="87">
        <v>2006</v>
      </c>
      <c r="E1154" s="87">
        <v>2001</v>
      </c>
      <c r="F1154" s="87" t="s">
        <v>1016</v>
      </c>
      <c r="G1154" s="87" t="s">
        <v>1017</v>
      </c>
      <c r="H1154" s="87">
        <v>33.950000000000003</v>
      </c>
      <c r="I1154" s="87">
        <v>-83.38</v>
      </c>
      <c r="J1154" s="87">
        <v>208.4</v>
      </c>
      <c r="M1154" s="35">
        <v>748</v>
      </c>
      <c r="N1154" s="35">
        <f t="shared" si="229"/>
        <v>1233</v>
      </c>
      <c r="P1154" s="88" t="s">
        <v>187</v>
      </c>
      <c r="Q1154" s="88"/>
      <c r="R1154" s="88" t="s">
        <v>1028</v>
      </c>
      <c r="S1154" s="88" t="s">
        <v>1029</v>
      </c>
      <c r="U1154" s="87">
        <f t="shared" si="234"/>
        <v>65</v>
      </c>
      <c r="V1154" s="87">
        <f>25</f>
        <v>25</v>
      </c>
      <c r="W1154" s="87" t="s">
        <v>321</v>
      </c>
      <c r="X1154" s="87">
        <v>6.6</v>
      </c>
      <c r="Y1154" s="87">
        <v>0.88</v>
      </c>
      <c r="AA1154" s="87" t="s">
        <v>1710</v>
      </c>
      <c r="AB1154" s="87" t="s">
        <v>1511</v>
      </c>
      <c r="AC1154" s="87" t="s">
        <v>788</v>
      </c>
      <c r="AD1154" s="35" t="s">
        <v>1025</v>
      </c>
      <c r="AE1154" s="35" t="s">
        <v>1025</v>
      </c>
      <c r="AF1154" s="35" t="s">
        <v>252</v>
      </c>
      <c r="AM1154" s="87" t="s">
        <v>160</v>
      </c>
      <c r="AN1154" s="87">
        <v>3</v>
      </c>
      <c r="AO1154" s="87">
        <v>3</v>
      </c>
      <c r="AP1154" s="87" t="s">
        <v>448</v>
      </c>
      <c r="AR1154" s="87">
        <v>5980</v>
      </c>
      <c r="AS1154" s="87">
        <v>32</v>
      </c>
      <c r="BH1154" s="87">
        <v>8.4560000000000013</v>
      </c>
      <c r="BI1154" s="87">
        <v>9.0944000000000003</v>
      </c>
      <c r="BJ1154" s="35" t="s">
        <v>629</v>
      </c>
      <c r="BL1154" s="26"/>
      <c r="CX1154" s="35"/>
      <c r="CZ1154" s="35"/>
      <c r="EL1154" s="35" t="s">
        <v>1026</v>
      </c>
      <c r="EN1154" s="87">
        <v>53</v>
      </c>
    </row>
    <row r="1155" spans="1:144" s="35" customFormat="1" x14ac:dyDescent="0.25">
      <c r="A1155" s="35">
        <v>53</v>
      </c>
      <c r="B1155" s="35" t="s">
        <v>1014</v>
      </c>
      <c r="C1155" s="35" t="s">
        <v>1015</v>
      </c>
      <c r="D1155" s="35">
        <v>2006</v>
      </c>
      <c r="E1155" s="35">
        <v>2002</v>
      </c>
      <c r="F1155" s="35" t="s">
        <v>1016</v>
      </c>
      <c r="G1155" s="35" t="s">
        <v>1017</v>
      </c>
      <c r="H1155" s="35">
        <v>33.950000000000003</v>
      </c>
      <c r="I1155" s="35">
        <v>-83.38</v>
      </c>
      <c r="J1155" s="35">
        <v>208.4</v>
      </c>
      <c r="M1155" s="35">
        <v>971</v>
      </c>
      <c r="N1155" s="35">
        <f>588+645</f>
        <v>1233</v>
      </c>
      <c r="P1155" s="54" t="s">
        <v>188</v>
      </c>
      <c r="Q1155" s="54"/>
      <c r="R1155" s="54" t="s">
        <v>1027</v>
      </c>
      <c r="S1155" s="54" t="s">
        <v>1029</v>
      </c>
      <c r="U1155" s="35">
        <f t="shared" si="234"/>
        <v>65</v>
      </c>
      <c r="V1155" s="35">
        <f>25</f>
        <v>25</v>
      </c>
      <c r="W1155" s="35" t="s">
        <v>321</v>
      </c>
      <c r="X1155" s="35">
        <v>6.6</v>
      </c>
      <c r="Y1155" s="35">
        <v>0.88</v>
      </c>
      <c r="AA1155" s="35" t="s">
        <v>1710</v>
      </c>
      <c r="AB1155" s="35" t="s">
        <v>173</v>
      </c>
      <c r="AC1155" s="35" t="s">
        <v>788</v>
      </c>
      <c r="AD1155" s="35" t="s">
        <v>1025</v>
      </c>
      <c r="AE1155" s="35" t="s">
        <v>1025</v>
      </c>
      <c r="AF1155" s="35" t="s">
        <v>252</v>
      </c>
      <c r="AM1155" s="35" t="s">
        <v>160</v>
      </c>
      <c r="AN1155" s="35">
        <v>3</v>
      </c>
      <c r="AO1155" s="35">
        <v>3</v>
      </c>
      <c r="AP1155" s="35" t="s">
        <v>448</v>
      </c>
      <c r="AR1155" s="35">
        <v>2280</v>
      </c>
      <c r="AS1155" s="35">
        <v>40</v>
      </c>
      <c r="BH1155" s="35">
        <v>7.7588000000000008</v>
      </c>
      <c r="BI1155" s="35">
        <v>7.7560000000000002</v>
      </c>
      <c r="BJ1155" s="35" t="s">
        <v>629</v>
      </c>
      <c r="BL1155" s="26"/>
      <c r="EL1155" s="35" t="s">
        <v>1026</v>
      </c>
      <c r="EN1155" s="35">
        <v>53</v>
      </c>
    </row>
    <row r="1156" spans="1:144" s="35" customFormat="1" x14ac:dyDescent="0.25">
      <c r="A1156" s="35">
        <v>53</v>
      </c>
      <c r="B1156" s="35" t="s">
        <v>1014</v>
      </c>
      <c r="C1156" s="35" t="s">
        <v>1015</v>
      </c>
      <c r="D1156" s="35">
        <v>2006</v>
      </c>
      <c r="E1156" s="35">
        <v>2002</v>
      </c>
      <c r="F1156" s="35" t="s">
        <v>1016</v>
      </c>
      <c r="G1156" s="35" t="s">
        <v>1017</v>
      </c>
      <c r="H1156" s="35">
        <v>33.950000000000003</v>
      </c>
      <c r="I1156" s="35">
        <v>-83.38</v>
      </c>
      <c r="J1156" s="35">
        <v>208.4</v>
      </c>
      <c r="M1156" s="35">
        <v>971</v>
      </c>
      <c r="N1156" s="35">
        <f t="shared" si="229"/>
        <v>1233</v>
      </c>
      <c r="P1156" s="54" t="s">
        <v>188</v>
      </c>
      <c r="Q1156" s="54"/>
      <c r="R1156" s="54" t="s">
        <v>1027</v>
      </c>
      <c r="S1156" s="54" t="s">
        <v>1029</v>
      </c>
      <c r="U1156" s="35">
        <f t="shared" si="234"/>
        <v>65</v>
      </c>
      <c r="V1156" s="35">
        <f>25</f>
        <v>25</v>
      </c>
      <c r="W1156" s="35" t="s">
        <v>321</v>
      </c>
      <c r="X1156" s="35">
        <v>6.6</v>
      </c>
      <c r="Y1156" s="35">
        <v>0.88</v>
      </c>
      <c r="AA1156" s="35" t="s">
        <v>1710</v>
      </c>
      <c r="AB1156" s="35" t="s">
        <v>326</v>
      </c>
      <c r="AC1156" s="35" t="s">
        <v>788</v>
      </c>
      <c r="AD1156" s="35" t="s">
        <v>1025</v>
      </c>
      <c r="AE1156" s="35" t="s">
        <v>1025</v>
      </c>
      <c r="AF1156" s="35" t="s">
        <v>252</v>
      </c>
      <c r="AM1156" s="35" t="s">
        <v>160</v>
      </c>
      <c r="AN1156" s="35">
        <v>3</v>
      </c>
      <c r="AO1156" s="35">
        <v>3</v>
      </c>
      <c r="AP1156" s="35" t="s">
        <v>448</v>
      </c>
      <c r="AR1156" s="35">
        <v>5160</v>
      </c>
      <c r="AS1156" s="35">
        <v>10</v>
      </c>
      <c r="BH1156" s="35">
        <v>7.7588000000000008</v>
      </c>
      <c r="BI1156" s="35">
        <v>9.5872000000000011</v>
      </c>
      <c r="BJ1156" s="35" t="s">
        <v>629</v>
      </c>
      <c r="BL1156" s="26"/>
      <c r="EL1156" s="35" t="s">
        <v>1026</v>
      </c>
      <c r="EN1156" s="35">
        <v>53</v>
      </c>
    </row>
    <row r="1157" spans="1:144" s="35" customFormat="1" x14ac:dyDescent="0.25">
      <c r="A1157" s="35">
        <v>53</v>
      </c>
      <c r="B1157" s="35" t="s">
        <v>1014</v>
      </c>
      <c r="C1157" s="35" t="s">
        <v>1015</v>
      </c>
      <c r="D1157" s="35">
        <v>2006</v>
      </c>
      <c r="E1157" s="35">
        <v>2002</v>
      </c>
      <c r="F1157" s="35" t="s">
        <v>1016</v>
      </c>
      <c r="G1157" s="35" t="s">
        <v>1017</v>
      </c>
      <c r="H1157" s="35">
        <v>33.950000000000003</v>
      </c>
      <c r="I1157" s="35">
        <v>-83.38</v>
      </c>
      <c r="J1157" s="35">
        <v>208.4</v>
      </c>
      <c r="M1157" s="35">
        <v>971</v>
      </c>
      <c r="N1157" s="35">
        <f t="shared" ref="N1157:N1160" si="236">588+645</f>
        <v>1233</v>
      </c>
      <c r="P1157" s="54" t="s">
        <v>188</v>
      </c>
      <c r="Q1157" s="54"/>
      <c r="R1157" s="54" t="s">
        <v>1027</v>
      </c>
      <c r="S1157" s="54" t="s">
        <v>1029</v>
      </c>
      <c r="U1157" s="35">
        <f t="shared" si="234"/>
        <v>65</v>
      </c>
      <c r="V1157" s="35">
        <f>25</f>
        <v>25</v>
      </c>
      <c r="W1157" s="35" t="s">
        <v>321</v>
      </c>
      <c r="X1157" s="35">
        <v>6.6</v>
      </c>
      <c r="Y1157" s="35">
        <v>0.88</v>
      </c>
      <c r="AA1157" s="35" t="s">
        <v>1710</v>
      </c>
      <c r="AB1157" s="35" t="s">
        <v>1511</v>
      </c>
      <c r="AC1157" s="35" t="s">
        <v>788</v>
      </c>
      <c r="AD1157" s="35" t="s">
        <v>1025</v>
      </c>
      <c r="AE1157" s="35" t="s">
        <v>1025</v>
      </c>
      <c r="AF1157" s="35" t="s">
        <v>252</v>
      </c>
      <c r="AM1157" s="35" t="s">
        <v>160</v>
      </c>
      <c r="AN1157" s="35">
        <v>3</v>
      </c>
      <c r="AO1157" s="35">
        <v>3</v>
      </c>
      <c r="AP1157" s="35" t="s">
        <v>448</v>
      </c>
      <c r="AR1157" s="35">
        <v>5720</v>
      </c>
      <c r="AS1157" s="35">
        <v>11</v>
      </c>
      <c r="BH1157" s="35">
        <v>7.7588000000000008</v>
      </c>
      <c r="BI1157" s="35">
        <v>8.6268000000000011</v>
      </c>
      <c r="BJ1157" s="35" t="s">
        <v>629</v>
      </c>
      <c r="BL1157" s="26"/>
      <c r="EL1157" s="35" t="s">
        <v>1026</v>
      </c>
      <c r="EN1157" s="35">
        <v>53</v>
      </c>
    </row>
    <row r="1158" spans="1:144" s="87" customFormat="1" x14ac:dyDescent="0.25">
      <c r="A1158" s="87">
        <v>53</v>
      </c>
      <c r="B1158" s="87" t="s">
        <v>1014</v>
      </c>
      <c r="C1158" s="87" t="s">
        <v>1015</v>
      </c>
      <c r="D1158" s="87">
        <v>2006</v>
      </c>
      <c r="E1158" s="87">
        <v>2002</v>
      </c>
      <c r="F1158" s="87" t="s">
        <v>1016</v>
      </c>
      <c r="G1158" s="87" t="s">
        <v>1017</v>
      </c>
      <c r="H1158" s="87">
        <v>33.950000000000003</v>
      </c>
      <c r="I1158" s="87">
        <v>-83.38</v>
      </c>
      <c r="J1158" s="87">
        <v>208.4</v>
      </c>
      <c r="M1158" s="35">
        <v>971</v>
      </c>
      <c r="N1158" s="35">
        <f t="shared" si="236"/>
        <v>1233</v>
      </c>
      <c r="P1158" s="88" t="s">
        <v>188</v>
      </c>
      <c r="Q1158" s="88"/>
      <c r="R1158" s="88" t="s">
        <v>1028</v>
      </c>
      <c r="S1158" s="88" t="s">
        <v>1029</v>
      </c>
      <c r="U1158" s="87">
        <f t="shared" si="234"/>
        <v>65</v>
      </c>
      <c r="V1158" s="87">
        <f>25</f>
        <v>25</v>
      </c>
      <c r="W1158" s="87" t="s">
        <v>321</v>
      </c>
      <c r="X1158" s="87">
        <v>6.6</v>
      </c>
      <c r="Y1158" s="87">
        <v>0.88</v>
      </c>
      <c r="AA1158" s="87" t="s">
        <v>1710</v>
      </c>
      <c r="AB1158" s="87" t="s">
        <v>173</v>
      </c>
      <c r="AC1158" s="87" t="s">
        <v>788</v>
      </c>
      <c r="AD1158" s="35" t="s">
        <v>1025</v>
      </c>
      <c r="AE1158" s="35" t="s">
        <v>1025</v>
      </c>
      <c r="AF1158" s="35" t="s">
        <v>252</v>
      </c>
      <c r="AM1158" s="87" t="s">
        <v>160</v>
      </c>
      <c r="AN1158" s="87">
        <v>3</v>
      </c>
      <c r="AO1158" s="87">
        <v>3</v>
      </c>
      <c r="AP1158" s="87" t="s">
        <v>448</v>
      </c>
      <c r="AR1158" s="87">
        <v>2280</v>
      </c>
      <c r="AS1158" s="87">
        <v>40</v>
      </c>
      <c r="BH1158" s="87">
        <v>11.538800000000002</v>
      </c>
      <c r="BI1158" s="87">
        <v>13.367200000000002</v>
      </c>
      <c r="BJ1158" s="35" t="s">
        <v>629</v>
      </c>
      <c r="BL1158" s="26"/>
      <c r="CX1158" s="35"/>
      <c r="CZ1158" s="35"/>
      <c r="EL1158" s="35" t="s">
        <v>1026</v>
      </c>
      <c r="EN1158" s="87">
        <v>53</v>
      </c>
    </row>
    <row r="1159" spans="1:144" s="87" customFormat="1" x14ac:dyDescent="0.25">
      <c r="A1159" s="87">
        <v>53</v>
      </c>
      <c r="B1159" s="87" t="s">
        <v>1014</v>
      </c>
      <c r="C1159" s="87" t="s">
        <v>1015</v>
      </c>
      <c r="D1159" s="87">
        <v>2006</v>
      </c>
      <c r="E1159" s="87">
        <v>2002</v>
      </c>
      <c r="F1159" s="87" t="s">
        <v>1016</v>
      </c>
      <c r="G1159" s="87" t="s">
        <v>1017</v>
      </c>
      <c r="H1159" s="87">
        <v>33.950000000000003</v>
      </c>
      <c r="I1159" s="87">
        <v>-83.38</v>
      </c>
      <c r="J1159" s="87">
        <v>208.4</v>
      </c>
      <c r="M1159" s="35">
        <v>971</v>
      </c>
      <c r="N1159" s="35">
        <f t="shared" si="236"/>
        <v>1233</v>
      </c>
      <c r="P1159" s="88" t="s">
        <v>188</v>
      </c>
      <c r="Q1159" s="88"/>
      <c r="R1159" s="88" t="s">
        <v>1028</v>
      </c>
      <c r="S1159" s="88" t="s">
        <v>1029</v>
      </c>
      <c r="U1159" s="87">
        <f t="shared" si="234"/>
        <v>65</v>
      </c>
      <c r="V1159" s="87">
        <f>25</f>
        <v>25</v>
      </c>
      <c r="W1159" s="87" t="s">
        <v>321</v>
      </c>
      <c r="X1159" s="87">
        <v>6.6</v>
      </c>
      <c r="Y1159" s="87">
        <v>0.88</v>
      </c>
      <c r="AA1159" s="87" t="s">
        <v>1710</v>
      </c>
      <c r="AB1159" s="87" t="s">
        <v>326</v>
      </c>
      <c r="AC1159" s="87" t="s">
        <v>788</v>
      </c>
      <c r="AD1159" s="35" t="s">
        <v>1025</v>
      </c>
      <c r="AE1159" s="35" t="s">
        <v>1025</v>
      </c>
      <c r="AF1159" s="35" t="s">
        <v>252</v>
      </c>
      <c r="AM1159" s="87" t="s">
        <v>160</v>
      </c>
      <c r="AN1159" s="87">
        <v>3</v>
      </c>
      <c r="AO1159" s="87">
        <v>3</v>
      </c>
      <c r="AP1159" s="87" t="s">
        <v>448</v>
      </c>
      <c r="AR1159" s="87">
        <v>5160</v>
      </c>
      <c r="AS1159" s="87">
        <v>10</v>
      </c>
      <c r="BH1159" s="87">
        <v>11.538800000000002</v>
      </c>
      <c r="BI1159" s="87">
        <v>12.908000000000001</v>
      </c>
      <c r="BJ1159" s="35" t="s">
        <v>629</v>
      </c>
      <c r="BL1159" s="26"/>
      <c r="CX1159" s="35"/>
      <c r="CZ1159" s="35"/>
      <c r="EL1159" s="35" t="s">
        <v>1026</v>
      </c>
      <c r="EN1159" s="87">
        <v>53</v>
      </c>
    </row>
    <row r="1160" spans="1:144" s="87" customFormat="1" x14ac:dyDescent="0.25">
      <c r="A1160" s="87">
        <v>53</v>
      </c>
      <c r="B1160" s="87" t="s">
        <v>1014</v>
      </c>
      <c r="C1160" s="87" t="s">
        <v>1015</v>
      </c>
      <c r="D1160" s="87">
        <v>2006</v>
      </c>
      <c r="E1160" s="87">
        <v>2002</v>
      </c>
      <c r="F1160" s="87" t="s">
        <v>1016</v>
      </c>
      <c r="G1160" s="87" t="s">
        <v>1017</v>
      </c>
      <c r="H1160" s="87">
        <v>33.950000000000003</v>
      </c>
      <c r="I1160" s="87">
        <v>-83.38</v>
      </c>
      <c r="J1160" s="87">
        <v>208.4</v>
      </c>
      <c r="M1160" s="35">
        <v>971</v>
      </c>
      <c r="N1160" s="35">
        <f t="shared" si="236"/>
        <v>1233</v>
      </c>
      <c r="P1160" s="88" t="s">
        <v>188</v>
      </c>
      <c r="Q1160" s="88"/>
      <c r="R1160" s="88" t="s">
        <v>1028</v>
      </c>
      <c r="S1160" s="88" t="s">
        <v>1029</v>
      </c>
      <c r="U1160" s="87">
        <f t="shared" si="234"/>
        <v>65</v>
      </c>
      <c r="V1160" s="87">
        <f>25</f>
        <v>25</v>
      </c>
      <c r="W1160" s="87" t="s">
        <v>321</v>
      </c>
      <c r="X1160" s="87">
        <v>6.6</v>
      </c>
      <c r="Y1160" s="87">
        <v>0.88</v>
      </c>
      <c r="AA1160" s="87" t="s">
        <v>1710</v>
      </c>
      <c r="AB1160" s="87" t="s">
        <v>1511</v>
      </c>
      <c r="AC1160" s="87" t="s">
        <v>788</v>
      </c>
      <c r="AD1160" s="35" t="s">
        <v>1025</v>
      </c>
      <c r="AE1160" s="35" t="s">
        <v>1025</v>
      </c>
      <c r="AF1160" s="35" t="s">
        <v>252</v>
      </c>
      <c r="AM1160" s="87" t="s">
        <v>160</v>
      </c>
      <c r="AN1160" s="87">
        <v>3</v>
      </c>
      <c r="AO1160" s="87">
        <v>3</v>
      </c>
      <c r="AP1160" s="87" t="s">
        <v>448</v>
      </c>
      <c r="AR1160" s="87">
        <v>5720</v>
      </c>
      <c r="AS1160" s="87">
        <v>11</v>
      </c>
      <c r="BH1160" s="87">
        <v>11.538800000000002</v>
      </c>
      <c r="BI1160" s="87">
        <v>12.177200000000001</v>
      </c>
      <c r="BJ1160" s="35" t="s">
        <v>629</v>
      </c>
      <c r="BL1160" s="26"/>
      <c r="CX1160" s="35"/>
      <c r="CZ1160" s="35"/>
      <c r="EL1160" s="35" t="s">
        <v>1026</v>
      </c>
      <c r="EN1160" s="87">
        <v>53</v>
      </c>
    </row>
    <row r="1161" spans="1:144" x14ac:dyDescent="0.25">
      <c r="A1161" s="46">
        <v>54</v>
      </c>
      <c r="B1161" s="46" t="s">
        <v>1030</v>
      </c>
      <c r="C1161" s="46" t="s">
        <v>1031</v>
      </c>
      <c r="D1161" s="46">
        <v>2014</v>
      </c>
      <c r="E1161" s="46">
        <v>2012</v>
      </c>
      <c r="F1161" s="46" t="s">
        <v>1032</v>
      </c>
      <c r="G1161" s="46" t="s">
        <v>395</v>
      </c>
      <c r="H1161" s="46">
        <v>40.733333333333334</v>
      </c>
      <c r="I1161" s="46">
        <v>-77.95</v>
      </c>
      <c r="J1161" s="46">
        <v>375.2</v>
      </c>
      <c r="W1161" s="46" t="s">
        <v>175</v>
      </c>
      <c r="AB1161" s="46" t="s">
        <v>173</v>
      </c>
      <c r="AC1161" s="46" t="s">
        <v>219</v>
      </c>
      <c r="AD1161" s="46" t="s">
        <v>1033</v>
      </c>
      <c r="AE1161" s="46" t="s">
        <v>1033</v>
      </c>
      <c r="AF1161" s="46" t="s">
        <v>252</v>
      </c>
      <c r="AM1161" s="46" t="s">
        <v>222</v>
      </c>
      <c r="AU1161" s="46" t="s">
        <v>1034</v>
      </c>
      <c r="AY1161" s="46">
        <v>3100</v>
      </c>
      <c r="AZ1161" s="46">
        <v>3100</v>
      </c>
      <c r="EL1161" s="46" t="s">
        <v>1035</v>
      </c>
      <c r="EN1161" s="46">
        <v>54</v>
      </c>
    </row>
    <row r="1162" spans="1:144" x14ac:dyDescent="0.25">
      <c r="A1162" s="46">
        <v>54</v>
      </c>
      <c r="B1162" s="46" t="s">
        <v>1030</v>
      </c>
      <c r="C1162" s="46" t="s">
        <v>1031</v>
      </c>
      <c r="D1162" s="46">
        <v>2014</v>
      </c>
      <c r="E1162" s="46">
        <v>2012</v>
      </c>
      <c r="F1162" s="46" t="s">
        <v>1032</v>
      </c>
      <c r="G1162" s="46" t="s">
        <v>395</v>
      </c>
      <c r="H1162" s="46">
        <v>40.733333333333334</v>
      </c>
      <c r="I1162" s="46">
        <v>-77.95</v>
      </c>
      <c r="J1162" s="46">
        <v>375.2</v>
      </c>
      <c r="W1162" s="46" t="s">
        <v>175</v>
      </c>
      <c r="AB1162" s="46" t="s">
        <v>173</v>
      </c>
      <c r="AC1162" s="46" t="s">
        <v>156</v>
      </c>
      <c r="AD1162" s="46" t="s">
        <v>1033</v>
      </c>
      <c r="AE1162" s="46" t="s">
        <v>1033</v>
      </c>
      <c r="AF1162" s="46" t="s">
        <v>252</v>
      </c>
      <c r="AM1162" s="46" t="s">
        <v>222</v>
      </c>
      <c r="AU1162" s="46" t="s">
        <v>1034</v>
      </c>
      <c r="AY1162" s="46">
        <v>5900</v>
      </c>
      <c r="AZ1162" s="46">
        <v>5800</v>
      </c>
      <c r="EL1162" s="46" t="s">
        <v>1035</v>
      </c>
      <c r="EN1162" s="46">
        <v>54</v>
      </c>
    </row>
    <row r="1163" spans="1:144" x14ac:dyDescent="0.25">
      <c r="A1163" s="46">
        <v>54</v>
      </c>
      <c r="B1163" s="46" t="s">
        <v>1030</v>
      </c>
      <c r="C1163" s="46" t="s">
        <v>1031</v>
      </c>
      <c r="D1163" s="46">
        <v>2014</v>
      </c>
      <c r="E1163" s="46">
        <v>2012</v>
      </c>
      <c r="F1163" s="46" t="s">
        <v>1032</v>
      </c>
      <c r="G1163" s="46" t="s">
        <v>395</v>
      </c>
      <c r="H1163" s="46">
        <v>40.733333333333334</v>
      </c>
      <c r="I1163" s="46">
        <v>-77.95</v>
      </c>
      <c r="J1163" s="46">
        <v>375.2</v>
      </c>
      <c r="W1163" s="46" t="s">
        <v>175</v>
      </c>
      <c r="AB1163" s="46" t="s">
        <v>173</v>
      </c>
      <c r="AC1163" s="46" t="s">
        <v>174</v>
      </c>
      <c r="AD1163" s="46" t="s">
        <v>1033</v>
      </c>
      <c r="AE1163" s="46" t="s">
        <v>1033</v>
      </c>
      <c r="AF1163" s="46" t="s">
        <v>252</v>
      </c>
      <c r="AM1163" s="46" t="s">
        <v>222</v>
      </c>
      <c r="AU1163" s="46" t="s">
        <v>1034</v>
      </c>
      <c r="AY1163" s="46">
        <v>8200</v>
      </c>
      <c r="AZ1163" s="46">
        <v>8100</v>
      </c>
      <c r="EL1163" s="46" t="s">
        <v>1035</v>
      </c>
      <c r="EN1163" s="46">
        <v>54</v>
      </c>
    </row>
    <row r="1164" spans="1:144" s="26" customFormat="1" x14ac:dyDescent="0.25">
      <c r="A1164" s="26">
        <v>55</v>
      </c>
      <c r="B1164" s="26" t="s">
        <v>1037</v>
      </c>
      <c r="C1164" s="26" t="s">
        <v>1038</v>
      </c>
      <c r="D1164" s="26">
        <v>2001</v>
      </c>
      <c r="E1164" s="26">
        <v>1997</v>
      </c>
      <c r="F1164" s="26" t="s">
        <v>1044</v>
      </c>
      <c r="G1164" s="26" t="s">
        <v>1039</v>
      </c>
      <c r="H1164" s="26">
        <v>45.23</v>
      </c>
      <c r="I1164" s="26">
        <v>-122.756</v>
      </c>
      <c r="J1164" s="26">
        <v>48.4</v>
      </c>
      <c r="P1164" s="52" t="s">
        <v>186</v>
      </c>
      <c r="Q1164" s="52"/>
      <c r="R1164" s="52"/>
      <c r="S1164" s="52" t="s">
        <v>659</v>
      </c>
      <c r="U1164" s="26">
        <v>28</v>
      </c>
      <c r="V1164" s="26">
        <v>54</v>
      </c>
      <c r="W1164" s="26" t="s">
        <v>1046</v>
      </c>
      <c r="X1164" s="26">
        <v>5.4</v>
      </c>
      <c r="Y1164" s="26">
        <v>1.71</v>
      </c>
      <c r="AA1164" s="26" t="s">
        <v>1711</v>
      </c>
      <c r="AB1164" s="26" t="s">
        <v>1040</v>
      </c>
      <c r="AC1164" s="26" t="s">
        <v>850</v>
      </c>
      <c r="AD1164" s="26" t="s">
        <v>1049</v>
      </c>
      <c r="AE1164" s="26" t="s">
        <v>1049</v>
      </c>
      <c r="AF1164" s="26" t="s">
        <v>252</v>
      </c>
      <c r="AM1164" s="26" t="s">
        <v>160</v>
      </c>
      <c r="AN1164" s="26">
        <v>4</v>
      </c>
      <c r="AO1164" s="26">
        <v>4</v>
      </c>
      <c r="AP1164" s="26" t="s">
        <v>184</v>
      </c>
      <c r="DP1164" s="26">
        <v>0.96</v>
      </c>
      <c r="DQ1164" s="26">
        <v>1.1200000000000001</v>
      </c>
      <c r="DR1164" s="26" t="s">
        <v>1053</v>
      </c>
      <c r="EL1164" s="26" t="s">
        <v>1054</v>
      </c>
      <c r="EN1164" s="26">
        <v>55</v>
      </c>
    </row>
    <row r="1165" spans="1:144" s="26" customFormat="1" x14ac:dyDescent="0.25">
      <c r="A1165" s="26">
        <v>55</v>
      </c>
      <c r="B1165" s="26" t="s">
        <v>1037</v>
      </c>
      <c r="C1165" s="26" t="s">
        <v>1038</v>
      </c>
      <c r="D1165" s="26">
        <v>2001</v>
      </c>
      <c r="E1165" s="26">
        <v>1997</v>
      </c>
      <c r="F1165" s="26" t="s">
        <v>1044</v>
      </c>
      <c r="G1165" s="26" t="s">
        <v>1039</v>
      </c>
      <c r="H1165" s="26">
        <v>45.23</v>
      </c>
      <c r="I1165" s="26">
        <v>-122.756</v>
      </c>
      <c r="J1165" s="26">
        <v>48.4</v>
      </c>
      <c r="P1165" s="52" t="s">
        <v>186</v>
      </c>
      <c r="Q1165" s="52"/>
      <c r="R1165" s="52"/>
      <c r="S1165" s="52" t="s">
        <v>659</v>
      </c>
      <c r="U1165" s="26">
        <v>28</v>
      </c>
      <c r="V1165" s="26">
        <v>54</v>
      </c>
      <c r="W1165" s="26" t="s">
        <v>1046</v>
      </c>
      <c r="X1165" s="26">
        <v>5.4</v>
      </c>
      <c r="Y1165" s="26">
        <v>1.71</v>
      </c>
      <c r="AA1165" s="26" t="s">
        <v>1711</v>
      </c>
      <c r="AB1165" s="26" t="s">
        <v>1041</v>
      </c>
      <c r="AC1165" s="26" t="s">
        <v>850</v>
      </c>
      <c r="AD1165" s="26" t="s">
        <v>1049</v>
      </c>
      <c r="AE1165" s="26" t="s">
        <v>1049</v>
      </c>
      <c r="AF1165" s="26" t="s">
        <v>252</v>
      </c>
      <c r="AM1165" s="26" t="s">
        <v>160</v>
      </c>
      <c r="AN1165" s="26">
        <v>4</v>
      </c>
      <c r="AO1165" s="26">
        <v>4</v>
      </c>
      <c r="AP1165" s="26" t="s">
        <v>184</v>
      </c>
      <c r="DP1165" s="26">
        <v>0.96</v>
      </c>
      <c r="DQ1165" s="26">
        <v>0.84</v>
      </c>
      <c r="DR1165" s="26" t="s">
        <v>1053</v>
      </c>
      <c r="EL1165" s="26" t="s">
        <v>1054</v>
      </c>
      <c r="EN1165" s="26">
        <v>55</v>
      </c>
    </row>
    <row r="1166" spans="1:144" s="47" customFormat="1" x14ac:dyDescent="0.25">
      <c r="A1166" s="47">
        <v>55</v>
      </c>
      <c r="B1166" s="47" t="s">
        <v>1037</v>
      </c>
      <c r="C1166" s="47" t="s">
        <v>1038</v>
      </c>
      <c r="D1166" s="47">
        <v>2001</v>
      </c>
      <c r="E1166" s="47">
        <v>1997</v>
      </c>
      <c r="F1166" s="47" t="s">
        <v>1044</v>
      </c>
      <c r="G1166" s="47" t="s">
        <v>1045</v>
      </c>
      <c r="H1166" s="47">
        <v>44.56</v>
      </c>
      <c r="I1166" s="47">
        <v>-123.26</v>
      </c>
      <c r="J1166" s="47">
        <v>59.6</v>
      </c>
      <c r="P1166" s="82" t="s">
        <v>186</v>
      </c>
      <c r="Q1166" s="82"/>
      <c r="R1166" s="82"/>
      <c r="S1166" s="82" t="s">
        <v>659</v>
      </c>
      <c r="U1166" s="47">
        <v>22</v>
      </c>
      <c r="V1166" s="47">
        <v>52</v>
      </c>
      <c r="W1166" s="47" t="s">
        <v>1046</v>
      </c>
      <c r="X1166" s="47">
        <v>5.9</v>
      </c>
      <c r="Y1166" s="47">
        <v>1.65</v>
      </c>
      <c r="AA1166" s="47" t="s">
        <v>1711</v>
      </c>
      <c r="AB1166" s="47" t="s">
        <v>1041</v>
      </c>
      <c r="AC1166" s="47" t="s">
        <v>1048</v>
      </c>
      <c r="AD1166" s="47" t="s">
        <v>1050</v>
      </c>
      <c r="AE1166" s="47" t="s">
        <v>1050</v>
      </c>
      <c r="AF1166" s="47" t="s">
        <v>252</v>
      </c>
      <c r="AM1166" s="47" t="s">
        <v>160</v>
      </c>
      <c r="AN1166" s="47">
        <v>4</v>
      </c>
      <c r="AO1166" s="47">
        <v>4</v>
      </c>
      <c r="AP1166" s="47" t="s">
        <v>184</v>
      </c>
      <c r="DP1166" s="47">
        <v>1.74</v>
      </c>
      <c r="DQ1166" s="47">
        <v>4.7699999999999996</v>
      </c>
      <c r="DR1166" s="47" t="s">
        <v>1053</v>
      </c>
      <c r="EL1166" s="47" t="s">
        <v>1054</v>
      </c>
      <c r="EN1166" s="47">
        <v>55</v>
      </c>
    </row>
    <row r="1167" spans="1:144" s="26" customFormat="1" x14ac:dyDescent="0.25">
      <c r="A1167" s="26">
        <v>55</v>
      </c>
      <c r="B1167" s="26" t="s">
        <v>1037</v>
      </c>
      <c r="C1167" s="26" t="s">
        <v>1038</v>
      </c>
      <c r="D1167" s="26">
        <v>2001</v>
      </c>
      <c r="E1167" s="26">
        <v>1997</v>
      </c>
      <c r="F1167" s="26" t="s">
        <v>1044</v>
      </c>
      <c r="G1167" s="26" t="s">
        <v>1042</v>
      </c>
      <c r="H1167" s="26">
        <v>44.94</v>
      </c>
      <c r="I1167" s="26">
        <v>-123.04</v>
      </c>
      <c r="J1167" s="26">
        <v>49.3</v>
      </c>
      <c r="P1167" s="52" t="s">
        <v>186</v>
      </c>
      <c r="Q1167" s="52"/>
      <c r="R1167" s="52"/>
      <c r="S1167" s="52" t="s">
        <v>659</v>
      </c>
      <c r="U1167" s="26">
        <v>46</v>
      </c>
      <c r="V1167" s="26">
        <v>38</v>
      </c>
      <c r="W1167" s="26" t="s">
        <v>814</v>
      </c>
      <c r="X1167" s="26">
        <v>6.2</v>
      </c>
      <c r="Y1167" s="26">
        <v>2.02</v>
      </c>
      <c r="AA1167" s="26" t="s">
        <v>1711</v>
      </c>
      <c r="AB1167" s="26" t="s">
        <v>1041</v>
      </c>
      <c r="AC1167" s="26" t="s">
        <v>1048</v>
      </c>
      <c r="AD1167" s="26" t="s">
        <v>1051</v>
      </c>
      <c r="AE1167" s="26" t="s">
        <v>1051</v>
      </c>
      <c r="AF1167" s="26" t="s">
        <v>252</v>
      </c>
      <c r="AM1167" s="26" t="s">
        <v>160</v>
      </c>
      <c r="AN1167" s="26">
        <v>4</v>
      </c>
      <c r="AO1167" s="26">
        <v>4</v>
      </c>
      <c r="AP1167" s="26" t="s">
        <v>184</v>
      </c>
      <c r="DP1167" s="26">
        <v>0.35</v>
      </c>
      <c r="DQ1167" s="26">
        <v>1.34</v>
      </c>
      <c r="DR1167" s="26" t="s">
        <v>1053</v>
      </c>
      <c r="EL1167" s="26" t="s">
        <v>1054</v>
      </c>
      <c r="EN1167" s="26">
        <v>55</v>
      </c>
    </row>
    <row r="1168" spans="1:144" s="47" customFormat="1" x14ac:dyDescent="0.25">
      <c r="A1168" s="47">
        <v>55</v>
      </c>
      <c r="B1168" s="47" t="s">
        <v>1037</v>
      </c>
      <c r="C1168" s="47" t="s">
        <v>1038</v>
      </c>
      <c r="D1168" s="47">
        <v>2001</v>
      </c>
      <c r="E1168" s="47">
        <v>1997</v>
      </c>
      <c r="F1168" s="47" t="s">
        <v>1044</v>
      </c>
      <c r="G1168" s="47" t="s">
        <v>1043</v>
      </c>
      <c r="H1168" s="47">
        <v>45.01</v>
      </c>
      <c r="I1168" s="47">
        <v>-122.78</v>
      </c>
      <c r="J1168" s="47">
        <v>78.5</v>
      </c>
      <c r="P1168" s="82" t="s">
        <v>186</v>
      </c>
      <c r="Q1168" s="82"/>
      <c r="R1168" s="82"/>
      <c r="S1168" s="82" t="s">
        <v>659</v>
      </c>
      <c r="U1168" s="47">
        <v>7</v>
      </c>
      <c r="V1168" s="47">
        <v>67</v>
      </c>
      <c r="W1168" s="47" t="s">
        <v>1047</v>
      </c>
      <c r="X1168" s="47">
        <v>5.9</v>
      </c>
      <c r="Y1168" s="47">
        <v>1.77</v>
      </c>
      <c r="AA1168" s="47" t="s">
        <v>1711</v>
      </c>
      <c r="AB1168" s="47" t="s">
        <v>1041</v>
      </c>
      <c r="AC1168" s="47" t="s">
        <v>849</v>
      </c>
      <c r="AD1168" s="47" t="s">
        <v>1052</v>
      </c>
      <c r="AE1168" s="47" t="s">
        <v>1052</v>
      </c>
      <c r="AF1168" s="47" t="s">
        <v>252</v>
      </c>
      <c r="AM1168" s="47" t="s">
        <v>160</v>
      </c>
      <c r="AN1168" s="47">
        <v>4</v>
      </c>
      <c r="AO1168" s="47">
        <v>4</v>
      </c>
      <c r="AP1168" s="47" t="s">
        <v>184</v>
      </c>
      <c r="DP1168" s="47">
        <v>3.23</v>
      </c>
      <c r="DQ1168" s="47">
        <v>3.89</v>
      </c>
      <c r="DR1168" s="47" t="s">
        <v>1053</v>
      </c>
      <c r="EL1168" s="47" t="s">
        <v>1054</v>
      </c>
      <c r="EN1168" s="47">
        <v>55</v>
      </c>
    </row>
    <row r="1169" spans="1:144" s="26" customFormat="1" x14ac:dyDescent="0.25">
      <c r="A1169" s="26">
        <v>55</v>
      </c>
      <c r="B1169" s="26" t="s">
        <v>1037</v>
      </c>
      <c r="C1169" s="26" t="s">
        <v>1038</v>
      </c>
      <c r="D1169" s="26">
        <v>2001</v>
      </c>
      <c r="E1169" s="26">
        <v>1998</v>
      </c>
      <c r="F1169" s="26" t="s">
        <v>1044</v>
      </c>
      <c r="G1169" s="26" t="s">
        <v>1045</v>
      </c>
      <c r="H1169" s="26">
        <v>44.56</v>
      </c>
      <c r="I1169" s="26">
        <v>-123.26</v>
      </c>
      <c r="J1169" s="26">
        <v>59.6</v>
      </c>
      <c r="P1169" s="52" t="s">
        <v>187</v>
      </c>
      <c r="Q1169" s="52"/>
      <c r="R1169" s="52" t="s">
        <v>875</v>
      </c>
      <c r="S1169" s="52" t="s">
        <v>659</v>
      </c>
      <c r="U1169" s="26">
        <v>22</v>
      </c>
      <c r="V1169" s="26">
        <v>52</v>
      </c>
      <c r="W1169" s="26" t="s">
        <v>1046</v>
      </c>
      <c r="X1169" s="26">
        <v>5.9</v>
      </c>
      <c r="Y1169" s="26">
        <v>1.65</v>
      </c>
      <c r="AA1169" s="26" t="s">
        <v>1711</v>
      </c>
      <c r="AB1169" s="26" t="s">
        <v>1041</v>
      </c>
      <c r="AC1169" s="26" t="s">
        <v>1055</v>
      </c>
      <c r="AD1169" s="26" t="s">
        <v>1050</v>
      </c>
      <c r="AE1169" s="26" t="s">
        <v>1050</v>
      </c>
      <c r="AF1169" s="26" t="s">
        <v>252</v>
      </c>
      <c r="AM1169" s="26" t="s">
        <v>160</v>
      </c>
      <c r="AN1169" s="26">
        <v>4</v>
      </c>
      <c r="AO1169" s="26">
        <v>4</v>
      </c>
      <c r="AP1169" s="26" t="s">
        <v>184</v>
      </c>
      <c r="DP1169" s="26">
        <v>9.15</v>
      </c>
      <c r="DQ1169" s="26">
        <v>15.2</v>
      </c>
      <c r="DR1169" s="26" t="s">
        <v>1053</v>
      </c>
      <c r="EL1169" s="26" t="s">
        <v>1054</v>
      </c>
      <c r="EN1169" s="26">
        <v>55</v>
      </c>
    </row>
    <row r="1170" spans="1:144" s="26" customFormat="1" x14ac:dyDescent="0.25">
      <c r="A1170" s="26">
        <v>55</v>
      </c>
      <c r="B1170" s="26" t="s">
        <v>1037</v>
      </c>
      <c r="C1170" s="26" t="s">
        <v>1038</v>
      </c>
      <c r="D1170" s="26">
        <v>2001</v>
      </c>
      <c r="E1170" s="26">
        <v>1998</v>
      </c>
      <c r="F1170" s="26" t="s">
        <v>1044</v>
      </c>
      <c r="G1170" s="26" t="s">
        <v>1045</v>
      </c>
      <c r="H1170" s="26">
        <v>44.56</v>
      </c>
      <c r="I1170" s="26">
        <v>-123.26</v>
      </c>
      <c r="J1170" s="26">
        <v>59.6</v>
      </c>
      <c r="P1170" s="52" t="s">
        <v>187</v>
      </c>
      <c r="Q1170" s="52"/>
      <c r="R1170" s="52" t="s">
        <v>874</v>
      </c>
      <c r="S1170" s="52" t="s">
        <v>659</v>
      </c>
      <c r="U1170" s="26">
        <v>22</v>
      </c>
      <c r="V1170" s="26">
        <v>52</v>
      </c>
      <c r="W1170" s="26" t="s">
        <v>1046</v>
      </c>
      <c r="X1170" s="26">
        <v>5.9</v>
      </c>
      <c r="Y1170" s="26">
        <v>1.65</v>
      </c>
      <c r="AA1170" s="26" t="s">
        <v>1711</v>
      </c>
      <c r="AB1170" s="26" t="s">
        <v>1041</v>
      </c>
      <c r="AC1170" s="26" t="s">
        <v>1055</v>
      </c>
      <c r="AD1170" s="26" t="s">
        <v>1050</v>
      </c>
      <c r="AE1170" s="26" t="s">
        <v>1050</v>
      </c>
      <c r="AF1170" s="26" t="s">
        <v>252</v>
      </c>
      <c r="AM1170" s="26" t="s">
        <v>160</v>
      </c>
      <c r="AN1170" s="26">
        <v>4</v>
      </c>
      <c r="AO1170" s="26">
        <v>4</v>
      </c>
      <c r="AP1170" s="26" t="s">
        <v>184</v>
      </c>
      <c r="DP1170" s="26">
        <v>3.58</v>
      </c>
      <c r="DQ1170" s="26">
        <v>6.58</v>
      </c>
      <c r="DR1170" s="26" t="s">
        <v>1053</v>
      </c>
      <c r="EL1170" s="26" t="s">
        <v>1054</v>
      </c>
      <c r="EN1170" s="26">
        <v>55</v>
      </c>
    </row>
    <row r="1171" spans="1:144" s="26" customFormat="1" x14ac:dyDescent="0.25">
      <c r="A1171" s="26">
        <v>55</v>
      </c>
      <c r="B1171" s="26" t="s">
        <v>1037</v>
      </c>
      <c r="C1171" s="26" t="s">
        <v>1038</v>
      </c>
      <c r="D1171" s="26">
        <v>2001</v>
      </c>
      <c r="E1171" s="26">
        <v>1998</v>
      </c>
      <c r="F1171" s="26" t="s">
        <v>1044</v>
      </c>
      <c r="G1171" s="26" t="s">
        <v>1045</v>
      </c>
      <c r="H1171" s="26">
        <v>44.56</v>
      </c>
      <c r="I1171" s="26">
        <v>-123.26</v>
      </c>
      <c r="J1171" s="26">
        <v>59.6</v>
      </c>
      <c r="P1171" s="52" t="s">
        <v>187</v>
      </c>
      <c r="Q1171" s="52"/>
      <c r="R1171" s="52" t="s">
        <v>876</v>
      </c>
      <c r="S1171" s="52" t="s">
        <v>659</v>
      </c>
      <c r="U1171" s="26">
        <v>22</v>
      </c>
      <c r="V1171" s="26">
        <v>52</v>
      </c>
      <c r="W1171" s="26" t="s">
        <v>1046</v>
      </c>
      <c r="X1171" s="26">
        <v>5.9</v>
      </c>
      <c r="Y1171" s="26">
        <v>1.65</v>
      </c>
      <c r="AA1171" s="26" t="s">
        <v>1711</v>
      </c>
      <c r="AB1171" s="26" t="s">
        <v>1041</v>
      </c>
      <c r="AC1171" s="26" t="s">
        <v>1055</v>
      </c>
      <c r="AD1171" s="26" t="s">
        <v>1050</v>
      </c>
      <c r="AE1171" s="26" t="s">
        <v>1050</v>
      </c>
      <c r="AF1171" s="26" t="s">
        <v>252</v>
      </c>
      <c r="AM1171" s="26" t="s">
        <v>160</v>
      </c>
      <c r="AN1171" s="26">
        <v>4</v>
      </c>
      <c r="AO1171" s="26">
        <v>4</v>
      </c>
      <c r="AP1171" s="26" t="s">
        <v>184</v>
      </c>
      <c r="DP1171" s="26">
        <v>1.95</v>
      </c>
      <c r="DQ1171" s="26">
        <v>3.05</v>
      </c>
      <c r="DR1171" s="26" t="s">
        <v>1053</v>
      </c>
      <c r="EL1171" s="26" t="s">
        <v>1054</v>
      </c>
      <c r="EN1171" s="26">
        <v>55</v>
      </c>
    </row>
    <row r="1172" spans="1:144" s="35" customFormat="1" x14ac:dyDescent="0.25">
      <c r="A1172" s="35">
        <v>55</v>
      </c>
      <c r="B1172" s="35" t="s">
        <v>1037</v>
      </c>
      <c r="C1172" s="35" t="s">
        <v>1038</v>
      </c>
      <c r="D1172" s="35">
        <v>2001</v>
      </c>
      <c r="E1172" s="35">
        <v>1998</v>
      </c>
      <c r="F1172" s="35" t="s">
        <v>1044</v>
      </c>
      <c r="G1172" s="35" t="s">
        <v>1039</v>
      </c>
      <c r="H1172" s="35">
        <v>45.23</v>
      </c>
      <c r="I1172" s="35">
        <v>-122.756</v>
      </c>
      <c r="J1172" s="35">
        <v>48.4</v>
      </c>
      <c r="P1172" s="54" t="s">
        <v>187</v>
      </c>
      <c r="Q1172" s="54"/>
      <c r="R1172" s="54" t="s">
        <v>875</v>
      </c>
      <c r="S1172" s="54" t="s">
        <v>659</v>
      </c>
      <c r="U1172" s="35">
        <v>28</v>
      </c>
      <c r="V1172" s="35">
        <v>54</v>
      </c>
      <c r="W1172" s="35" t="s">
        <v>1046</v>
      </c>
      <c r="X1172" s="35">
        <v>5.4</v>
      </c>
      <c r="Y1172" s="35">
        <v>1.71</v>
      </c>
      <c r="AA1172" s="35" t="s">
        <v>1711</v>
      </c>
      <c r="AB1172" s="35" t="s">
        <v>1040</v>
      </c>
      <c r="AC1172" s="35" t="s">
        <v>1048</v>
      </c>
      <c r="AD1172" s="35" t="s">
        <v>1049</v>
      </c>
      <c r="AE1172" s="35" t="s">
        <v>1049</v>
      </c>
      <c r="AF1172" s="35" t="s">
        <v>252</v>
      </c>
      <c r="AM1172" s="35" t="s">
        <v>160</v>
      </c>
      <c r="AN1172" s="35">
        <v>4</v>
      </c>
      <c r="AO1172" s="35">
        <v>4</v>
      </c>
      <c r="AP1172" s="35" t="s">
        <v>184</v>
      </c>
      <c r="DP1172" s="35">
        <v>2.87</v>
      </c>
      <c r="DQ1172" s="35">
        <v>2.79</v>
      </c>
      <c r="DR1172" s="35" t="s">
        <v>1056</v>
      </c>
      <c r="EL1172" s="35" t="s">
        <v>1054</v>
      </c>
      <c r="EN1172" s="35">
        <v>55</v>
      </c>
    </row>
    <row r="1173" spans="1:144" s="35" customFormat="1" x14ac:dyDescent="0.25">
      <c r="A1173" s="35">
        <v>55</v>
      </c>
      <c r="B1173" s="35" t="s">
        <v>1037</v>
      </c>
      <c r="C1173" s="35" t="s">
        <v>1038</v>
      </c>
      <c r="D1173" s="35">
        <v>2001</v>
      </c>
      <c r="E1173" s="35">
        <v>1998</v>
      </c>
      <c r="F1173" s="35" t="s">
        <v>1044</v>
      </c>
      <c r="G1173" s="35" t="s">
        <v>1039</v>
      </c>
      <c r="H1173" s="35">
        <v>45.23</v>
      </c>
      <c r="I1173" s="35">
        <v>-122.756</v>
      </c>
      <c r="J1173" s="35">
        <v>48.4</v>
      </c>
      <c r="P1173" s="54" t="s">
        <v>187</v>
      </c>
      <c r="Q1173" s="54"/>
      <c r="R1173" s="54" t="s">
        <v>875</v>
      </c>
      <c r="S1173" s="54" t="s">
        <v>659</v>
      </c>
      <c r="U1173" s="35">
        <v>28</v>
      </c>
      <c r="V1173" s="35">
        <v>54</v>
      </c>
      <c r="W1173" s="35" t="s">
        <v>1046</v>
      </c>
      <c r="X1173" s="35">
        <v>5.4</v>
      </c>
      <c r="Y1173" s="35">
        <v>1.71</v>
      </c>
      <c r="AA1173" s="35" t="s">
        <v>1711</v>
      </c>
      <c r="AB1173" s="35" t="s">
        <v>1041</v>
      </c>
      <c r="AC1173" s="35" t="s">
        <v>1048</v>
      </c>
      <c r="AD1173" s="35" t="s">
        <v>1049</v>
      </c>
      <c r="AE1173" s="35" t="s">
        <v>1049</v>
      </c>
      <c r="AF1173" s="35" t="s">
        <v>252</v>
      </c>
      <c r="AM1173" s="35" t="s">
        <v>160</v>
      </c>
      <c r="AN1173" s="35">
        <v>4</v>
      </c>
      <c r="AO1173" s="35">
        <v>4</v>
      </c>
      <c r="AP1173" s="35" t="s">
        <v>184</v>
      </c>
      <c r="DP1173" s="35">
        <v>2.87</v>
      </c>
      <c r="DQ1173" s="35">
        <v>2.83</v>
      </c>
      <c r="DR1173" s="35" t="s">
        <v>1056</v>
      </c>
      <c r="EL1173" s="35" t="s">
        <v>1054</v>
      </c>
      <c r="EN1173" s="35">
        <v>55</v>
      </c>
    </row>
    <row r="1174" spans="1:144" s="47" customFormat="1" x14ac:dyDescent="0.25">
      <c r="A1174" s="47">
        <v>55</v>
      </c>
      <c r="B1174" s="47" t="s">
        <v>1037</v>
      </c>
      <c r="C1174" s="47" t="s">
        <v>1038</v>
      </c>
      <c r="D1174" s="47">
        <v>2001</v>
      </c>
      <c r="E1174" s="47">
        <v>1998</v>
      </c>
      <c r="F1174" s="47" t="s">
        <v>1044</v>
      </c>
      <c r="G1174" s="47" t="s">
        <v>1045</v>
      </c>
      <c r="H1174" s="47">
        <v>44.56</v>
      </c>
      <c r="I1174" s="47">
        <v>-123.26</v>
      </c>
      <c r="J1174" s="47">
        <v>59.6</v>
      </c>
      <c r="P1174" s="82" t="s">
        <v>187</v>
      </c>
      <c r="Q1174" s="82"/>
      <c r="R1174" s="82" t="s">
        <v>875</v>
      </c>
      <c r="S1174" s="82" t="s">
        <v>659</v>
      </c>
      <c r="U1174" s="47">
        <v>22</v>
      </c>
      <c r="V1174" s="47">
        <v>52</v>
      </c>
      <c r="W1174" s="47" t="s">
        <v>1046</v>
      </c>
      <c r="X1174" s="47">
        <v>5.9</v>
      </c>
      <c r="Y1174" s="47">
        <v>1.65</v>
      </c>
      <c r="AA1174" s="47" t="s">
        <v>1711</v>
      </c>
      <c r="AB1174" s="47" t="s">
        <v>1041</v>
      </c>
      <c r="AC1174" s="47" t="s">
        <v>1055</v>
      </c>
      <c r="AD1174" s="47" t="s">
        <v>1050</v>
      </c>
      <c r="AE1174" s="47" t="s">
        <v>1050</v>
      </c>
      <c r="AF1174" s="47" t="s">
        <v>252</v>
      </c>
      <c r="AM1174" s="47" t="s">
        <v>160</v>
      </c>
      <c r="AN1174" s="47">
        <v>4</v>
      </c>
      <c r="AO1174" s="47">
        <v>4</v>
      </c>
      <c r="AP1174" s="47" t="s">
        <v>184</v>
      </c>
      <c r="DP1174" s="47">
        <v>2.98</v>
      </c>
      <c r="DQ1174" s="47">
        <v>3.05</v>
      </c>
      <c r="DR1174" s="47" t="s">
        <v>1056</v>
      </c>
      <c r="EL1174" s="47" t="s">
        <v>1054</v>
      </c>
      <c r="EN1174" s="47">
        <v>55</v>
      </c>
    </row>
    <row r="1175" spans="1:144" s="35" customFormat="1" x14ac:dyDescent="0.25">
      <c r="A1175" s="35">
        <v>55</v>
      </c>
      <c r="B1175" s="35" t="s">
        <v>1037</v>
      </c>
      <c r="C1175" s="35" t="s">
        <v>1038</v>
      </c>
      <c r="D1175" s="35">
        <v>2001</v>
      </c>
      <c r="E1175" s="35">
        <v>1999</v>
      </c>
      <c r="F1175" s="35" t="s">
        <v>1044</v>
      </c>
      <c r="G1175" s="35" t="s">
        <v>1039</v>
      </c>
      <c r="H1175" s="35">
        <v>45.23</v>
      </c>
      <c r="I1175" s="35">
        <v>-122.756</v>
      </c>
      <c r="J1175" s="35">
        <v>48.4</v>
      </c>
      <c r="P1175" s="54" t="s">
        <v>188</v>
      </c>
      <c r="Q1175" s="54"/>
      <c r="R1175" s="54" t="s">
        <v>875</v>
      </c>
      <c r="S1175" s="54" t="s">
        <v>659</v>
      </c>
      <c r="U1175" s="35">
        <v>28</v>
      </c>
      <c r="V1175" s="35">
        <v>54</v>
      </c>
      <c r="W1175" s="35" t="s">
        <v>1046</v>
      </c>
      <c r="X1175" s="35">
        <v>5.4</v>
      </c>
      <c r="Y1175" s="35">
        <v>1.71</v>
      </c>
      <c r="AA1175" s="35" t="s">
        <v>1711</v>
      </c>
      <c r="AB1175" s="35" t="s">
        <v>1040</v>
      </c>
      <c r="AC1175" s="35" t="s">
        <v>1055</v>
      </c>
      <c r="AD1175" s="35" t="s">
        <v>1049</v>
      </c>
      <c r="AE1175" s="35" t="s">
        <v>1049</v>
      </c>
      <c r="AF1175" s="35" t="s">
        <v>252</v>
      </c>
      <c r="AM1175" s="35" t="s">
        <v>160</v>
      </c>
      <c r="AN1175" s="35">
        <v>4</v>
      </c>
      <c r="AO1175" s="35">
        <v>4</v>
      </c>
      <c r="AP1175" s="35" t="s">
        <v>184</v>
      </c>
      <c r="DP1175" s="35">
        <v>2.44</v>
      </c>
      <c r="DQ1175" s="35">
        <v>2.63</v>
      </c>
      <c r="DR1175" s="35" t="s">
        <v>1056</v>
      </c>
      <c r="EL1175" s="35" t="s">
        <v>1054</v>
      </c>
      <c r="EN1175" s="35">
        <v>55</v>
      </c>
    </row>
    <row r="1176" spans="1:144" s="35" customFormat="1" x14ac:dyDescent="0.25">
      <c r="A1176" s="35">
        <v>55</v>
      </c>
      <c r="B1176" s="35" t="s">
        <v>1037</v>
      </c>
      <c r="C1176" s="35" t="s">
        <v>1038</v>
      </c>
      <c r="D1176" s="35">
        <v>2001</v>
      </c>
      <c r="E1176" s="35">
        <v>1999</v>
      </c>
      <c r="F1176" s="35" t="s">
        <v>1044</v>
      </c>
      <c r="G1176" s="35" t="s">
        <v>1039</v>
      </c>
      <c r="H1176" s="35">
        <v>45.23</v>
      </c>
      <c r="I1176" s="35">
        <v>-122.756</v>
      </c>
      <c r="J1176" s="35">
        <v>48.4</v>
      </c>
      <c r="P1176" s="54" t="s">
        <v>188</v>
      </c>
      <c r="Q1176" s="54"/>
      <c r="R1176" s="54" t="s">
        <v>875</v>
      </c>
      <c r="S1176" s="54" t="s">
        <v>659</v>
      </c>
      <c r="U1176" s="35">
        <v>28</v>
      </c>
      <c r="V1176" s="35">
        <v>54</v>
      </c>
      <c r="W1176" s="35" t="s">
        <v>1046</v>
      </c>
      <c r="X1176" s="35">
        <v>5.4</v>
      </c>
      <c r="Y1176" s="35">
        <v>1.71</v>
      </c>
      <c r="AA1176" s="35" t="s">
        <v>1711</v>
      </c>
      <c r="AB1176" s="35" t="s">
        <v>1041</v>
      </c>
      <c r="AC1176" s="35" t="s">
        <v>1055</v>
      </c>
      <c r="AD1176" s="35" t="s">
        <v>1049</v>
      </c>
      <c r="AE1176" s="35" t="s">
        <v>1049</v>
      </c>
      <c r="AF1176" s="35" t="s">
        <v>252</v>
      </c>
      <c r="AM1176" s="35" t="s">
        <v>160</v>
      </c>
      <c r="AN1176" s="35">
        <v>4</v>
      </c>
      <c r="AO1176" s="35">
        <v>4</v>
      </c>
      <c r="AP1176" s="35" t="s">
        <v>184</v>
      </c>
      <c r="DP1176" s="35">
        <v>2.44</v>
      </c>
      <c r="DQ1176" s="35">
        <v>2.64</v>
      </c>
      <c r="DR1176" s="35" t="s">
        <v>1056</v>
      </c>
      <c r="EL1176" s="35" t="s">
        <v>1054</v>
      </c>
      <c r="EN1176" s="35">
        <v>55</v>
      </c>
    </row>
    <row r="1177" spans="1:144" s="47" customFormat="1" x14ac:dyDescent="0.25">
      <c r="A1177" s="47">
        <v>55</v>
      </c>
      <c r="B1177" s="47" t="s">
        <v>1037</v>
      </c>
      <c r="C1177" s="47" t="s">
        <v>1038</v>
      </c>
      <c r="D1177" s="47">
        <v>2001</v>
      </c>
      <c r="E1177" s="47">
        <v>1999</v>
      </c>
      <c r="F1177" s="47" t="s">
        <v>1044</v>
      </c>
      <c r="G1177" s="47" t="s">
        <v>1045</v>
      </c>
      <c r="H1177" s="47">
        <v>44.56</v>
      </c>
      <c r="I1177" s="47">
        <v>-123.26</v>
      </c>
      <c r="J1177" s="47">
        <v>59.6</v>
      </c>
      <c r="P1177" s="82" t="s">
        <v>188</v>
      </c>
      <c r="Q1177" s="82"/>
      <c r="R1177" s="82" t="s">
        <v>875</v>
      </c>
      <c r="S1177" s="82" t="s">
        <v>659</v>
      </c>
      <c r="U1177" s="47">
        <v>22</v>
      </c>
      <c r="V1177" s="47">
        <v>52</v>
      </c>
      <c r="W1177" s="47" t="s">
        <v>1046</v>
      </c>
      <c r="X1177" s="47">
        <v>5.9</v>
      </c>
      <c r="Y1177" s="47">
        <v>1.65</v>
      </c>
      <c r="AA1177" s="47" t="s">
        <v>1711</v>
      </c>
      <c r="AB1177" s="47" t="s">
        <v>1041</v>
      </c>
      <c r="AC1177" s="47" t="s">
        <v>1055</v>
      </c>
      <c r="AD1177" s="47" t="s">
        <v>1050</v>
      </c>
      <c r="AE1177" s="47" t="s">
        <v>1050</v>
      </c>
      <c r="AF1177" s="47" t="s">
        <v>252</v>
      </c>
      <c r="AM1177" s="47" t="s">
        <v>160</v>
      </c>
      <c r="AN1177" s="47">
        <v>4</v>
      </c>
      <c r="AO1177" s="47">
        <v>4</v>
      </c>
      <c r="AP1177" s="47" t="s">
        <v>184</v>
      </c>
      <c r="DP1177" s="47">
        <v>2.84</v>
      </c>
      <c r="DQ1177" s="47">
        <v>2.95</v>
      </c>
      <c r="DR1177" s="47" t="s">
        <v>1056</v>
      </c>
      <c r="EL1177" s="47" t="s">
        <v>1054</v>
      </c>
      <c r="EN1177" s="47">
        <v>55</v>
      </c>
    </row>
    <row r="1178" spans="1:144" s="35" customFormat="1" x14ac:dyDescent="0.25">
      <c r="A1178" s="35">
        <v>55</v>
      </c>
      <c r="B1178" s="35" t="s">
        <v>1037</v>
      </c>
      <c r="C1178" s="35" t="s">
        <v>1038</v>
      </c>
      <c r="D1178" s="35">
        <v>2001</v>
      </c>
      <c r="E1178" s="35">
        <v>1998</v>
      </c>
      <c r="F1178" s="35" t="s">
        <v>1044</v>
      </c>
      <c r="G1178" s="35" t="s">
        <v>1039</v>
      </c>
      <c r="H1178" s="35">
        <v>45.23</v>
      </c>
      <c r="I1178" s="35">
        <v>-122.756</v>
      </c>
      <c r="J1178" s="35">
        <v>48.4</v>
      </c>
      <c r="P1178" s="54" t="s">
        <v>187</v>
      </c>
      <c r="Q1178" s="54"/>
      <c r="R1178" s="54" t="s">
        <v>874</v>
      </c>
      <c r="S1178" s="54" t="s">
        <v>659</v>
      </c>
      <c r="U1178" s="35">
        <v>28</v>
      </c>
      <c r="V1178" s="35">
        <v>54</v>
      </c>
      <c r="W1178" s="35" t="s">
        <v>1046</v>
      </c>
      <c r="X1178" s="35">
        <v>5.4</v>
      </c>
      <c r="Y1178" s="35">
        <v>1.71</v>
      </c>
      <c r="AA1178" s="35" t="s">
        <v>1711</v>
      </c>
      <c r="AB1178" s="35" t="s">
        <v>1040</v>
      </c>
      <c r="AC1178" s="35" t="s">
        <v>1048</v>
      </c>
      <c r="AD1178" s="35" t="s">
        <v>1049</v>
      </c>
      <c r="AE1178" s="35" t="s">
        <v>1049</v>
      </c>
      <c r="AF1178" s="35" t="s">
        <v>252</v>
      </c>
      <c r="AM1178" s="35" t="s">
        <v>160</v>
      </c>
      <c r="AN1178" s="35">
        <v>4</v>
      </c>
      <c r="AO1178" s="35">
        <v>4</v>
      </c>
      <c r="AP1178" s="35" t="s">
        <v>184</v>
      </c>
      <c r="DP1178" s="35">
        <v>2.77</v>
      </c>
      <c r="DQ1178" s="35">
        <v>2.61</v>
      </c>
      <c r="DR1178" s="35" t="s">
        <v>1056</v>
      </c>
      <c r="EL1178" s="35" t="s">
        <v>1054</v>
      </c>
      <c r="EN1178" s="35">
        <v>55</v>
      </c>
    </row>
    <row r="1179" spans="1:144" s="35" customFormat="1" x14ac:dyDescent="0.25">
      <c r="A1179" s="35">
        <v>55</v>
      </c>
      <c r="B1179" s="35" t="s">
        <v>1037</v>
      </c>
      <c r="C1179" s="35" t="s">
        <v>1038</v>
      </c>
      <c r="D1179" s="35">
        <v>2001</v>
      </c>
      <c r="E1179" s="35">
        <v>1998</v>
      </c>
      <c r="F1179" s="35" t="s">
        <v>1044</v>
      </c>
      <c r="G1179" s="35" t="s">
        <v>1039</v>
      </c>
      <c r="H1179" s="35">
        <v>45.23</v>
      </c>
      <c r="I1179" s="35">
        <v>-122.756</v>
      </c>
      <c r="J1179" s="35">
        <v>48.4</v>
      </c>
      <c r="P1179" s="54" t="s">
        <v>187</v>
      </c>
      <c r="Q1179" s="54"/>
      <c r="R1179" s="54" t="s">
        <v>874</v>
      </c>
      <c r="S1179" s="54" t="s">
        <v>659</v>
      </c>
      <c r="U1179" s="35">
        <v>28</v>
      </c>
      <c r="V1179" s="35">
        <v>54</v>
      </c>
      <c r="W1179" s="35" t="s">
        <v>1046</v>
      </c>
      <c r="X1179" s="35">
        <v>5.4</v>
      </c>
      <c r="Y1179" s="35">
        <v>1.71</v>
      </c>
      <c r="AA1179" s="35" t="s">
        <v>1711</v>
      </c>
      <c r="AB1179" s="35" t="s">
        <v>1041</v>
      </c>
      <c r="AC1179" s="35" t="s">
        <v>1048</v>
      </c>
      <c r="AD1179" s="35" t="s">
        <v>1049</v>
      </c>
      <c r="AE1179" s="35" t="s">
        <v>1049</v>
      </c>
      <c r="AF1179" s="35" t="s">
        <v>252</v>
      </c>
      <c r="AM1179" s="35" t="s">
        <v>160</v>
      </c>
      <c r="AN1179" s="35">
        <v>4</v>
      </c>
      <c r="AO1179" s="35">
        <v>4</v>
      </c>
      <c r="AP1179" s="35" t="s">
        <v>184</v>
      </c>
      <c r="DP1179" s="35">
        <v>2.77</v>
      </c>
      <c r="DQ1179" s="35">
        <v>2.7</v>
      </c>
      <c r="DR1179" s="35" t="s">
        <v>1056</v>
      </c>
      <c r="EL1179" s="35" t="s">
        <v>1054</v>
      </c>
      <c r="EN1179" s="35">
        <v>55</v>
      </c>
    </row>
    <row r="1180" spans="1:144" s="47" customFormat="1" x14ac:dyDescent="0.25">
      <c r="A1180" s="47">
        <v>55</v>
      </c>
      <c r="B1180" s="47" t="s">
        <v>1037</v>
      </c>
      <c r="C1180" s="47" t="s">
        <v>1038</v>
      </c>
      <c r="D1180" s="47">
        <v>2001</v>
      </c>
      <c r="E1180" s="47">
        <v>1998</v>
      </c>
      <c r="F1180" s="47" t="s">
        <v>1044</v>
      </c>
      <c r="G1180" s="47" t="s">
        <v>1045</v>
      </c>
      <c r="H1180" s="47">
        <v>44.56</v>
      </c>
      <c r="I1180" s="47">
        <v>-123.26</v>
      </c>
      <c r="J1180" s="47">
        <v>59.6</v>
      </c>
      <c r="P1180" s="82" t="s">
        <v>187</v>
      </c>
      <c r="Q1180" s="82"/>
      <c r="R1180" s="82" t="s">
        <v>874</v>
      </c>
      <c r="S1180" s="82" t="s">
        <v>659</v>
      </c>
      <c r="U1180" s="47">
        <v>22</v>
      </c>
      <c r="V1180" s="47">
        <v>52</v>
      </c>
      <c r="W1180" s="47" t="s">
        <v>1046</v>
      </c>
      <c r="X1180" s="47">
        <v>5.9</v>
      </c>
      <c r="Y1180" s="47">
        <v>1.65</v>
      </c>
      <c r="AA1180" s="47" t="s">
        <v>1711</v>
      </c>
      <c r="AB1180" s="47" t="s">
        <v>1041</v>
      </c>
      <c r="AC1180" s="47" t="s">
        <v>1055</v>
      </c>
      <c r="AD1180" s="47" t="s">
        <v>1050</v>
      </c>
      <c r="AE1180" s="47" t="s">
        <v>1050</v>
      </c>
      <c r="AF1180" s="47" t="s">
        <v>252</v>
      </c>
      <c r="AM1180" s="47" t="s">
        <v>160</v>
      </c>
      <c r="AN1180" s="47">
        <v>4</v>
      </c>
      <c r="AO1180" s="47">
        <v>4</v>
      </c>
      <c r="AP1180" s="47" t="s">
        <v>184</v>
      </c>
      <c r="DP1180" s="47">
        <v>2.58</v>
      </c>
      <c r="DQ1180" s="47">
        <v>2.82</v>
      </c>
      <c r="DR1180" s="47" t="s">
        <v>1056</v>
      </c>
      <c r="EL1180" s="47" t="s">
        <v>1054</v>
      </c>
      <c r="EN1180" s="47">
        <v>55</v>
      </c>
    </row>
    <row r="1181" spans="1:144" s="35" customFormat="1" x14ac:dyDescent="0.25">
      <c r="A1181" s="35">
        <v>55</v>
      </c>
      <c r="B1181" s="35" t="s">
        <v>1037</v>
      </c>
      <c r="C1181" s="35" t="s">
        <v>1038</v>
      </c>
      <c r="D1181" s="35">
        <v>2001</v>
      </c>
      <c r="E1181" s="35">
        <v>1999</v>
      </c>
      <c r="F1181" s="35" t="s">
        <v>1044</v>
      </c>
      <c r="G1181" s="35" t="s">
        <v>1039</v>
      </c>
      <c r="H1181" s="35">
        <v>45.23</v>
      </c>
      <c r="I1181" s="35">
        <v>-122.756</v>
      </c>
      <c r="J1181" s="35">
        <v>48.4</v>
      </c>
      <c r="P1181" s="54" t="s">
        <v>188</v>
      </c>
      <c r="Q1181" s="54"/>
      <c r="R1181" s="54" t="s">
        <v>874</v>
      </c>
      <c r="S1181" s="54" t="s">
        <v>659</v>
      </c>
      <c r="U1181" s="35">
        <v>28</v>
      </c>
      <c r="V1181" s="35">
        <v>54</v>
      </c>
      <c r="W1181" s="35" t="s">
        <v>1046</v>
      </c>
      <c r="X1181" s="35">
        <v>5.4</v>
      </c>
      <c r="Y1181" s="35">
        <v>1.71</v>
      </c>
      <c r="AA1181" s="35" t="s">
        <v>1711</v>
      </c>
      <c r="AB1181" s="35" t="s">
        <v>1040</v>
      </c>
      <c r="AC1181" s="35" t="s">
        <v>1055</v>
      </c>
      <c r="AD1181" s="35" t="s">
        <v>1049</v>
      </c>
      <c r="AE1181" s="35" t="s">
        <v>1049</v>
      </c>
      <c r="AF1181" s="35" t="s">
        <v>252</v>
      </c>
      <c r="AM1181" s="35" t="s">
        <v>160</v>
      </c>
      <c r="AN1181" s="35">
        <v>4</v>
      </c>
      <c r="AO1181" s="35">
        <v>4</v>
      </c>
      <c r="AP1181" s="35" t="s">
        <v>184</v>
      </c>
      <c r="DP1181" s="35">
        <v>2.9</v>
      </c>
      <c r="DQ1181" s="35">
        <v>2.9</v>
      </c>
      <c r="DR1181" s="35" t="s">
        <v>1056</v>
      </c>
      <c r="EL1181" s="35" t="s">
        <v>1054</v>
      </c>
      <c r="EN1181" s="35">
        <v>55</v>
      </c>
    </row>
    <row r="1182" spans="1:144" s="35" customFormat="1" x14ac:dyDescent="0.25">
      <c r="A1182" s="35">
        <v>55</v>
      </c>
      <c r="B1182" s="35" t="s">
        <v>1037</v>
      </c>
      <c r="C1182" s="35" t="s">
        <v>1038</v>
      </c>
      <c r="D1182" s="35">
        <v>2001</v>
      </c>
      <c r="E1182" s="35">
        <v>1999</v>
      </c>
      <c r="F1182" s="35" t="s">
        <v>1044</v>
      </c>
      <c r="G1182" s="35" t="s">
        <v>1039</v>
      </c>
      <c r="H1182" s="35">
        <v>45.23</v>
      </c>
      <c r="I1182" s="35">
        <v>-122.756</v>
      </c>
      <c r="J1182" s="35">
        <v>48.4</v>
      </c>
      <c r="P1182" s="54" t="s">
        <v>188</v>
      </c>
      <c r="Q1182" s="54"/>
      <c r="R1182" s="54" t="s">
        <v>874</v>
      </c>
      <c r="S1182" s="54" t="s">
        <v>659</v>
      </c>
      <c r="U1182" s="35">
        <v>28</v>
      </c>
      <c r="V1182" s="35">
        <v>54</v>
      </c>
      <c r="W1182" s="35" t="s">
        <v>1046</v>
      </c>
      <c r="X1182" s="35">
        <v>5.4</v>
      </c>
      <c r="Y1182" s="35">
        <v>1.71</v>
      </c>
      <c r="AA1182" s="35" t="s">
        <v>1711</v>
      </c>
      <c r="AB1182" s="35" t="s">
        <v>1041</v>
      </c>
      <c r="AC1182" s="35" t="s">
        <v>1055</v>
      </c>
      <c r="AD1182" s="35" t="s">
        <v>1049</v>
      </c>
      <c r="AE1182" s="35" t="s">
        <v>1049</v>
      </c>
      <c r="AF1182" s="35" t="s">
        <v>252</v>
      </c>
      <c r="AM1182" s="35" t="s">
        <v>160</v>
      </c>
      <c r="AN1182" s="35">
        <v>4</v>
      </c>
      <c r="AO1182" s="35">
        <v>4</v>
      </c>
      <c r="AP1182" s="35" t="s">
        <v>184</v>
      </c>
      <c r="DP1182" s="35">
        <v>2.9</v>
      </c>
      <c r="DQ1182" s="35">
        <v>2.92</v>
      </c>
      <c r="DR1182" s="35" t="s">
        <v>1056</v>
      </c>
      <c r="EL1182" s="35" t="s">
        <v>1054</v>
      </c>
      <c r="EN1182" s="35">
        <v>55</v>
      </c>
    </row>
    <row r="1183" spans="1:144" s="47" customFormat="1" x14ac:dyDescent="0.25">
      <c r="A1183" s="47">
        <v>55</v>
      </c>
      <c r="B1183" s="47" t="s">
        <v>1037</v>
      </c>
      <c r="C1183" s="47" t="s">
        <v>1038</v>
      </c>
      <c r="D1183" s="47">
        <v>2001</v>
      </c>
      <c r="E1183" s="47">
        <v>1999</v>
      </c>
      <c r="F1183" s="47" t="s">
        <v>1044</v>
      </c>
      <c r="G1183" s="47" t="s">
        <v>1045</v>
      </c>
      <c r="H1183" s="47">
        <v>44.56</v>
      </c>
      <c r="I1183" s="47">
        <v>-123.26</v>
      </c>
      <c r="J1183" s="47">
        <v>59.6</v>
      </c>
      <c r="P1183" s="82" t="s">
        <v>188</v>
      </c>
      <c r="Q1183" s="82"/>
      <c r="R1183" s="82" t="s">
        <v>874</v>
      </c>
      <c r="S1183" s="82" t="s">
        <v>659</v>
      </c>
      <c r="U1183" s="47">
        <v>22</v>
      </c>
      <c r="V1183" s="47">
        <v>52</v>
      </c>
      <c r="W1183" s="47" t="s">
        <v>1046</v>
      </c>
      <c r="X1183" s="47">
        <v>5.9</v>
      </c>
      <c r="Y1183" s="47">
        <v>1.65</v>
      </c>
      <c r="AA1183" s="47" t="s">
        <v>1711</v>
      </c>
      <c r="AB1183" s="47" t="s">
        <v>1041</v>
      </c>
      <c r="AC1183" s="47" t="s">
        <v>1055</v>
      </c>
      <c r="AD1183" s="47" t="s">
        <v>1050</v>
      </c>
      <c r="AE1183" s="47" t="s">
        <v>1050</v>
      </c>
      <c r="AF1183" s="47" t="s">
        <v>252</v>
      </c>
      <c r="AM1183" s="47" t="s">
        <v>160</v>
      </c>
      <c r="AN1183" s="47">
        <v>4</v>
      </c>
      <c r="AO1183" s="47">
        <v>4</v>
      </c>
      <c r="AP1183" s="47" t="s">
        <v>184</v>
      </c>
      <c r="DP1183" s="47">
        <v>2.97</v>
      </c>
      <c r="DQ1183" s="47">
        <v>3</v>
      </c>
      <c r="DR1183" s="47" t="s">
        <v>1056</v>
      </c>
      <c r="EL1183" s="47" t="s">
        <v>1054</v>
      </c>
      <c r="EN1183" s="47">
        <v>55</v>
      </c>
    </row>
    <row r="1184" spans="1:144" s="35" customFormat="1" x14ac:dyDescent="0.25">
      <c r="A1184" s="35">
        <v>55</v>
      </c>
      <c r="B1184" s="35" t="s">
        <v>1037</v>
      </c>
      <c r="C1184" s="35" t="s">
        <v>1038</v>
      </c>
      <c r="D1184" s="35">
        <v>2001</v>
      </c>
      <c r="E1184" s="35">
        <v>1998</v>
      </c>
      <c r="F1184" s="35" t="s">
        <v>1044</v>
      </c>
      <c r="G1184" s="35" t="s">
        <v>1039</v>
      </c>
      <c r="H1184" s="35">
        <v>45.23</v>
      </c>
      <c r="I1184" s="35">
        <v>-122.756</v>
      </c>
      <c r="J1184" s="35">
        <v>48.4</v>
      </c>
      <c r="P1184" s="54" t="s">
        <v>187</v>
      </c>
      <c r="Q1184" s="54"/>
      <c r="R1184" s="54" t="s">
        <v>876</v>
      </c>
      <c r="S1184" s="54" t="s">
        <v>659</v>
      </c>
      <c r="U1184" s="35">
        <v>28</v>
      </c>
      <c r="V1184" s="35">
        <v>54</v>
      </c>
      <c r="W1184" s="35" t="s">
        <v>1046</v>
      </c>
      <c r="X1184" s="35">
        <v>5.4</v>
      </c>
      <c r="Y1184" s="35">
        <v>1.71</v>
      </c>
      <c r="AA1184" s="35" t="s">
        <v>1711</v>
      </c>
      <c r="AB1184" s="35" t="s">
        <v>1040</v>
      </c>
      <c r="AC1184" s="35" t="s">
        <v>1048</v>
      </c>
      <c r="AD1184" s="35" t="s">
        <v>1049</v>
      </c>
      <c r="AE1184" s="35" t="s">
        <v>1049</v>
      </c>
      <c r="AF1184" s="35" t="s">
        <v>252</v>
      </c>
      <c r="AM1184" s="35" t="s">
        <v>160</v>
      </c>
      <c r="AN1184" s="35">
        <v>4</v>
      </c>
      <c r="AO1184" s="35">
        <v>4</v>
      </c>
      <c r="AP1184" s="35" t="s">
        <v>184</v>
      </c>
      <c r="DP1184" s="35">
        <v>2.95</v>
      </c>
      <c r="DQ1184" s="35">
        <v>2.83</v>
      </c>
      <c r="DR1184" s="35" t="s">
        <v>1056</v>
      </c>
      <c r="EL1184" s="35" t="s">
        <v>1054</v>
      </c>
      <c r="EN1184" s="35">
        <v>55</v>
      </c>
    </row>
    <row r="1185" spans="1:144" s="35" customFormat="1" x14ac:dyDescent="0.25">
      <c r="A1185" s="35">
        <v>55</v>
      </c>
      <c r="B1185" s="35" t="s">
        <v>1037</v>
      </c>
      <c r="C1185" s="35" t="s">
        <v>1038</v>
      </c>
      <c r="D1185" s="35">
        <v>2001</v>
      </c>
      <c r="E1185" s="35">
        <v>1998</v>
      </c>
      <c r="F1185" s="35" t="s">
        <v>1044</v>
      </c>
      <c r="G1185" s="35" t="s">
        <v>1039</v>
      </c>
      <c r="H1185" s="35">
        <v>45.23</v>
      </c>
      <c r="I1185" s="35">
        <v>-122.756</v>
      </c>
      <c r="J1185" s="35">
        <v>48.4</v>
      </c>
      <c r="P1185" s="54" t="s">
        <v>187</v>
      </c>
      <c r="Q1185" s="54"/>
      <c r="R1185" s="54" t="s">
        <v>876</v>
      </c>
      <c r="S1185" s="54" t="s">
        <v>659</v>
      </c>
      <c r="U1185" s="35">
        <v>28</v>
      </c>
      <c r="V1185" s="35">
        <v>54</v>
      </c>
      <c r="W1185" s="35" t="s">
        <v>1046</v>
      </c>
      <c r="X1185" s="35">
        <v>5.4</v>
      </c>
      <c r="Y1185" s="35">
        <v>1.71</v>
      </c>
      <c r="AA1185" s="35" t="s">
        <v>1711</v>
      </c>
      <c r="AB1185" s="35" t="s">
        <v>1041</v>
      </c>
      <c r="AC1185" s="35" t="s">
        <v>1048</v>
      </c>
      <c r="AD1185" s="35" t="s">
        <v>1049</v>
      </c>
      <c r="AE1185" s="35" t="s">
        <v>1049</v>
      </c>
      <c r="AF1185" s="35" t="s">
        <v>252</v>
      </c>
      <c r="AM1185" s="35" t="s">
        <v>160</v>
      </c>
      <c r="AN1185" s="35">
        <v>4</v>
      </c>
      <c r="AO1185" s="35">
        <v>4</v>
      </c>
      <c r="AP1185" s="35" t="s">
        <v>184</v>
      </c>
      <c r="DP1185" s="35">
        <v>2.95</v>
      </c>
      <c r="DQ1185" s="35">
        <v>2.89</v>
      </c>
      <c r="DR1185" s="35" t="s">
        <v>1056</v>
      </c>
      <c r="EL1185" s="35" t="s">
        <v>1054</v>
      </c>
      <c r="EN1185" s="35">
        <v>55</v>
      </c>
    </row>
    <row r="1186" spans="1:144" s="47" customFormat="1" x14ac:dyDescent="0.25">
      <c r="A1186" s="47">
        <v>55</v>
      </c>
      <c r="B1186" s="47" t="s">
        <v>1037</v>
      </c>
      <c r="C1186" s="47" t="s">
        <v>1038</v>
      </c>
      <c r="D1186" s="47">
        <v>2001</v>
      </c>
      <c r="E1186" s="47">
        <v>1998</v>
      </c>
      <c r="F1186" s="47" t="s">
        <v>1044</v>
      </c>
      <c r="G1186" s="47" t="s">
        <v>1045</v>
      </c>
      <c r="H1186" s="47">
        <v>44.56</v>
      </c>
      <c r="I1186" s="47">
        <v>-123.26</v>
      </c>
      <c r="J1186" s="47">
        <v>59.6</v>
      </c>
      <c r="P1186" s="82" t="s">
        <v>187</v>
      </c>
      <c r="Q1186" s="82"/>
      <c r="R1186" s="82" t="s">
        <v>876</v>
      </c>
      <c r="S1186" s="82" t="s">
        <v>659</v>
      </c>
      <c r="U1186" s="47">
        <v>22</v>
      </c>
      <c r="V1186" s="47">
        <v>52</v>
      </c>
      <c r="W1186" s="47" t="s">
        <v>1046</v>
      </c>
      <c r="X1186" s="47">
        <v>5.9</v>
      </c>
      <c r="Y1186" s="47">
        <v>1.65</v>
      </c>
      <c r="AA1186" s="47" t="s">
        <v>1711</v>
      </c>
      <c r="AB1186" s="47" t="s">
        <v>1041</v>
      </c>
      <c r="AC1186" s="47" t="s">
        <v>1055</v>
      </c>
      <c r="AD1186" s="47" t="s">
        <v>1050</v>
      </c>
      <c r="AE1186" s="47" t="s">
        <v>1050</v>
      </c>
      <c r="AF1186" s="47" t="s">
        <v>252</v>
      </c>
      <c r="AM1186" s="47" t="s">
        <v>160</v>
      </c>
      <c r="AN1186" s="47">
        <v>4</v>
      </c>
      <c r="AO1186" s="47">
        <v>4</v>
      </c>
      <c r="AP1186" s="47" t="s">
        <v>184</v>
      </c>
      <c r="DP1186" s="47">
        <v>2.7</v>
      </c>
      <c r="DQ1186" s="47">
        <v>2.84</v>
      </c>
      <c r="DR1186" s="47" t="s">
        <v>1056</v>
      </c>
      <c r="EL1186" s="47" t="s">
        <v>1054</v>
      </c>
      <c r="EN1186" s="47">
        <v>55</v>
      </c>
    </row>
    <row r="1187" spans="1:144" s="35" customFormat="1" x14ac:dyDescent="0.25">
      <c r="A1187" s="35">
        <v>55</v>
      </c>
      <c r="B1187" s="35" t="s">
        <v>1037</v>
      </c>
      <c r="C1187" s="35" t="s">
        <v>1038</v>
      </c>
      <c r="D1187" s="35">
        <v>2001</v>
      </c>
      <c r="E1187" s="35">
        <v>1999</v>
      </c>
      <c r="F1187" s="35" t="s">
        <v>1044</v>
      </c>
      <c r="G1187" s="35" t="s">
        <v>1039</v>
      </c>
      <c r="H1187" s="35">
        <v>45.23</v>
      </c>
      <c r="I1187" s="35">
        <v>-122.756</v>
      </c>
      <c r="J1187" s="35">
        <v>48.4</v>
      </c>
      <c r="P1187" s="54" t="s">
        <v>188</v>
      </c>
      <c r="Q1187" s="54"/>
      <c r="R1187" s="54" t="s">
        <v>876</v>
      </c>
      <c r="S1187" s="54" t="s">
        <v>659</v>
      </c>
      <c r="U1187" s="35">
        <v>28</v>
      </c>
      <c r="V1187" s="35">
        <v>54</v>
      </c>
      <c r="W1187" s="35" t="s">
        <v>1046</v>
      </c>
      <c r="X1187" s="35">
        <v>5.4</v>
      </c>
      <c r="Y1187" s="35">
        <v>1.71</v>
      </c>
      <c r="AA1187" s="35" t="s">
        <v>1711</v>
      </c>
      <c r="AB1187" s="35" t="s">
        <v>1040</v>
      </c>
      <c r="AC1187" s="35" t="s">
        <v>1055</v>
      </c>
      <c r="AD1187" s="35" t="s">
        <v>1049</v>
      </c>
      <c r="AE1187" s="35" t="s">
        <v>1049</v>
      </c>
      <c r="AF1187" s="35" t="s">
        <v>252</v>
      </c>
      <c r="AM1187" s="35" t="s">
        <v>160</v>
      </c>
      <c r="AN1187" s="35">
        <v>4</v>
      </c>
      <c r="AO1187" s="35">
        <v>4</v>
      </c>
      <c r="AP1187" s="35" t="s">
        <v>184</v>
      </c>
      <c r="DP1187" s="35">
        <v>2.78</v>
      </c>
      <c r="DQ1187" s="35">
        <v>2.75</v>
      </c>
      <c r="DR1187" s="35" t="s">
        <v>1056</v>
      </c>
      <c r="EL1187" s="35" t="s">
        <v>1054</v>
      </c>
      <c r="EN1187" s="35">
        <v>55</v>
      </c>
    </row>
    <row r="1188" spans="1:144" s="35" customFormat="1" x14ac:dyDescent="0.25">
      <c r="A1188" s="35">
        <v>55</v>
      </c>
      <c r="B1188" s="35" t="s">
        <v>1037</v>
      </c>
      <c r="C1188" s="35" t="s">
        <v>1038</v>
      </c>
      <c r="D1188" s="35">
        <v>2001</v>
      </c>
      <c r="E1188" s="35">
        <v>1999</v>
      </c>
      <c r="F1188" s="35" t="s">
        <v>1044</v>
      </c>
      <c r="G1188" s="35" t="s">
        <v>1039</v>
      </c>
      <c r="H1188" s="35">
        <v>45.23</v>
      </c>
      <c r="I1188" s="35">
        <v>-122.756</v>
      </c>
      <c r="J1188" s="35">
        <v>48.4</v>
      </c>
      <c r="P1188" s="54" t="s">
        <v>188</v>
      </c>
      <c r="Q1188" s="54"/>
      <c r="R1188" s="54" t="s">
        <v>876</v>
      </c>
      <c r="S1188" s="54" t="s">
        <v>659</v>
      </c>
      <c r="U1188" s="35">
        <v>28</v>
      </c>
      <c r="V1188" s="35">
        <v>54</v>
      </c>
      <c r="W1188" s="35" t="s">
        <v>1046</v>
      </c>
      <c r="X1188" s="35">
        <v>5.4</v>
      </c>
      <c r="Y1188" s="35">
        <v>1.71</v>
      </c>
      <c r="AA1188" s="35" t="s">
        <v>1711</v>
      </c>
      <c r="AB1188" s="35" t="s">
        <v>1041</v>
      </c>
      <c r="AC1188" s="35" t="s">
        <v>1055</v>
      </c>
      <c r="AD1188" s="35" t="s">
        <v>1049</v>
      </c>
      <c r="AE1188" s="35" t="s">
        <v>1049</v>
      </c>
      <c r="AF1188" s="35" t="s">
        <v>252</v>
      </c>
      <c r="AM1188" s="35" t="s">
        <v>160</v>
      </c>
      <c r="AN1188" s="35">
        <v>4</v>
      </c>
      <c r="AO1188" s="35">
        <v>4</v>
      </c>
      <c r="AP1188" s="35" t="s">
        <v>184</v>
      </c>
      <c r="DP1188" s="35">
        <v>2.78</v>
      </c>
      <c r="DQ1188" s="35">
        <v>2.76</v>
      </c>
      <c r="DR1188" s="35" t="s">
        <v>1056</v>
      </c>
      <c r="EL1188" s="35" t="s">
        <v>1054</v>
      </c>
      <c r="EN1188" s="35">
        <v>55</v>
      </c>
    </row>
    <row r="1189" spans="1:144" s="47" customFormat="1" x14ac:dyDescent="0.25">
      <c r="A1189" s="47">
        <v>55</v>
      </c>
      <c r="B1189" s="47" t="s">
        <v>1037</v>
      </c>
      <c r="C1189" s="47" t="s">
        <v>1038</v>
      </c>
      <c r="D1189" s="47">
        <v>2001</v>
      </c>
      <c r="E1189" s="47">
        <v>1999</v>
      </c>
      <c r="F1189" s="47" t="s">
        <v>1044</v>
      </c>
      <c r="G1189" s="47" t="s">
        <v>1045</v>
      </c>
      <c r="H1189" s="47">
        <v>44.56</v>
      </c>
      <c r="I1189" s="47">
        <v>-123.26</v>
      </c>
      <c r="J1189" s="47">
        <v>59.6</v>
      </c>
      <c r="P1189" s="82" t="s">
        <v>188</v>
      </c>
      <c r="Q1189" s="82"/>
      <c r="R1189" s="82" t="s">
        <v>876</v>
      </c>
      <c r="S1189" s="82" t="s">
        <v>659</v>
      </c>
      <c r="U1189" s="47">
        <v>22</v>
      </c>
      <c r="V1189" s="47">
        <v>52</v>
      </c>
      <c r="W1189" s="47" t="s">
        <v>1046</v>
      </c>
      <c r="X1189" s="47">
        <v>5.9</v>
      </c>
      <c r="Y1189" s="47">
        <v>1.65</v>
      </c>
      <c r="AA1189" s="47" t="s">
        <v>1711</v>
      </c>
      <c r="AB1189" s="47" t="s">
        <v>1041</v>
      </c>
      <c r="AC1189" s="47" t="s">
        <v>1055</v>
      </c>
      <c r="AD1189" s="47" t="s">
        <v>1050</v>
      </c>
      <c r="AE1189" s="47" t="s">
        <v>1050</v>
      </c>
      <c r="AF1189" s="47" t="s">
        <v>252</v>
      </c>
      <c r="AM1189" s="47" t="s">
        <v>160</v>
      </c>
      <c r="AN1189" s="47">
        <v>4</v>
      </c>
      <c r="AO1189" s="47">
        <v>4</v>
      </c>
      <c r="AP1189" s="47" t="s">
        <v>184</v>
      </c>
      <c r="DP1189" s="47">
        <v>2.72</v>
      </c>
      <c r="DQ1189" s="47">
        <v>2.84</v>
      </c>
      <c r="DR1189" s="47" t="s">
        <v>1056</v>
      </c>
      <c r="EL1189" s="26" t="s">
        <v>1054</v>
      </c>
      <c r="EN1189" s="47">
        <v>55</v>
      </c>
    </row>
    <row r="1190" spans="1:144" s="23" customFormat="1" x14ac:dyDescent="0.25">
      <c r="A1190" s="23">
        <v>56</v>
      </c>
      <c r="B1190" s="23" t="s">
        <v>1037</v>
      </c>
      <c r="C1190" s="23" t="s">
        <v>1038</v>
      </c>
      <c r="D1190" s="23">
        <v>2002</v>
      </c>
      <c r="E1190" s="23">
        <v>1998</v>
      </c>
      <c r="F1190" s="23" t="s">
        <v>575</v>
      </c>
      <c r="G1190" s="23" t="s">
        <v>1045</v>
      </c>
      <c r="H1190" s="23">
        <v>44.56</v>
      </c>
      <c r="I1190" s="23">
        <v>-123.26</v>
      </c>
      <c r="J1190" s="23">
        <v>59.6</v>
      </c>
      <c r="P1190" s="53" t="s">
        <v>187</v>
      </c>
      <c r="Q1190" s="53"/>
      <c r="R1190" s="53" t="s">
        <v>291</v>
      </c>
      <c r="S1190" s="53" t="s">
        <v>659</v>
      </c>
      <c r="U1190" s="23">
        <v>22</v>
      </c>
      <c r="V1190" s="23">
        <v>52</v>
      </c>
      <c r="W1190" s="23" t="s">
        <v>1046</v>
      </c>
      <c r="X1190" s="23">
        <v>5.9</v>
      </c>
      <c r="Y1190" s="23">
        <v>1.65</v>
      </c>
      <c r="AA1190" s="23" t="s">
        <v>1711</v>
      </c>
      <c r="AB1190" s="23" t="s">
        <v>1041</v>
      </c>
      <c r="AC1190" s="23" t="s">
        <v>1055</v>
      </c>
      <c r="AD1190" s="23" t="s">
        <v>1050</v>
      </c>
      <c r="AE1190" s="23" t="s">
        <v>1050</v>
      </c>
      <c r="AF1190" s="23" t="s">
        <v>252</v>
      </c>
      <c r="AM1190" s="23" t="s">
        <v>160</v>
      </c>
      <c r="AN1190" s="23">
        <v>4</v>
      </c>
      <c r="AO1190" s="23">
        <v>4</v>
      </c>
      <c r="AP1190" s="23" t="s">
        <v>184</v>
      </c>
      <c r="DV1190" s="23">
        <f>29.8/7</f>
        <v>4.2571428571428571</v>
      </c>
      <c r="DW1190" s="23">
        <f>31.6/7</f>
        <v>4.5142857142857142</v>
      </c>
      <c r="EB1190" s="23">
        <f>5.72</f>
        <v>5.72</v>
      </c>
      <c r="EC1190" s="23">
        <v>7.31</v>
      </c>
      <c r="ED1190" s="23" t="s">
        <v>1063</v>
      </c>
      <c r="EE1190" s="23">
        <v>231</v>
      </c>
      <c r="EF1190" s="23">
        <v>253</v>
      </c>
      <c r="EG1190" s="23" t="s">
        <v>1062</v>
      </c>
      <c r="EN1190" s="23">
        <v>56</v>
      </c>
    </row>
    <row r="1191" spans="1:144" s="23" customFormat="1" x14ac:dyDescent="0.25">
      <c r="A1191" s="23">
        <v>56</v>
      </c>
      <c r="B1191" s="23" t="s">
        <v>1037</v>
      </c>
      <c r="C1191" s="23" t="s">
        <v>1038</v>
      </c>
      <c r="D1191" s="23">
        <v>2002</v>
      </c>
      <c r="E1191" s="23">
        <v>1998</v>
      </c>
      <c r="F1191" s="23" t="s">
        <v>575</v>
      </c>
      <c r="G1191" s="23" t="s">
        <v>1045</v>
      </c>
      <c r="H1191" s="23">
        <v>44.56</v>
      </c>
      <c r="I1191" s="23">
        <v>-123.26</v>
      </c>
      <c r="J1191" s="23">
        <v>59.6</v>
      </c>
      <c r="P1191" s="53" t="s">
        <v>187</v>
      </c>
      <c r="Q1191" s="53"/>
      <c r="R1191" s="53" t="s">
        <v>306</v>
      </c>
      <c r="S1191" s="53" t="s">
        <v>659</v>
      </c>
      <c r="U1191" s="23">
        <v>22</v>
      </c>
      <c r="V1191" s="23">
        <v>52</v>
      </c>
      <c r="W1191" s="23" t="s">
        <v>1046</v>
      </c>
      <c r="X1191" s="23">
        <v>5.9</v>
      </c>
      <c r="Y1191" s="23">
        <v>1.65</v>
      </c>
      <c r="AA1191" s="23" t="s">
        <v>1711</v>
      </c>
      <c r="AB1191" s="23" t="s">
        <v>1041</v>
      </c>
      <c r="AC1191" s="23" t="s">
        <v>1055</v>
      </c>
      <c r="AD1191" s="23" t="s">
        <v>1050</v>
      </c>
      <c r="AE1191" s="23" t="s">
        <v>1050</v>
      </c>
      <c r="AF1191" s="23" t="s">
        <v>252</v>
      </c>
      <c r="AM1191" s="23" t="s">
        <v>160</v>
      </c>
      <c r="AN1191" s="23">
        <v>4</v>
      </c>
      <c r="AO1191" s="23">
        <v>4</v>
      </c>
      <c r="AP1191" s="23" t="s">
        <v>184</v>
      </c>
      <c r="DV1191" s="23">
        <f>15.2/7</f>
        <v>2.1714285714285713</v>
      </c>
      <c r="DW1191" s="23">
        <f>31.4/7</f>
        <v>4.4857142857142858</v>
      </c>
      <c r="EB1191" s="23">
        <v>3.37</v>
      </c>
      <c r="EC1191" s="23">
        <v>5.31</v>
      </c>
      <c r="ED1191" s="23" t="s">
        <v>1063</v>
      </c>
      <c r="EE1191" s="23">
        <v>133</v>
      </c>
      <c r="EF1191" s="23">
        <v>222</v>
      </c>
      <c r="EG1191" s="23" t="s">
        <v>1062</v>
      </c>
      <c r="EN1191" s="23">
        <v>56</v>
      </c>
    </row>
    <row r="1192" spans="1:144" s="23" customFormat="1" x14ac:dyDescent="0.25">
      <c r="A1192" s="23">
        <v>56</v>
      </c>
      <c r="B1192" s="23" t="s">
        <v>1037</v>
      </c>
      <c r="C1192" s="23" t="s">
        <v>1038</v>
      </c>
      <c r="D1192" s="23">
        <v>2002</v>
      </c>
      <c r="E1192" s="23">
        <v>1998</v>
      </c>
      <c r="F1192" s="23" t="s">
        <v>575</v>
      </c>
      <c r="G1192" s="23" t="s">
        <v>1045</v>
      </c>
      <c r="H1192" s="23">
        <v>44.56</v>
      </c>
      <c r="I1192" s="23">
        <v>-123.26</v>
      </c>
      <c r="J1192" s="23">
        <v>59.6</v>
      </c>
      <c r="P1192" s="53" t="s">
        <v>187</v>
      </c>
      <c r="Q1192" s="53"/>
      <c r="R1192" s="53" t="s">
        <v>1061</v>
      </c>
      <c r="S1192" s="53" t="s">
        <v>659</v>
      </c>
      <c r="U1192" s="23">
        <v>22</v>
      </c>
      <c r="V1192" s="23">
        <v>52</v>
      </c>
      <c r="W1192" s="23" t="s">
        <v>1046</v>
      </c>
      <c r="X1192" s="23">
        <v>5.9</v>
      </c>
      <c r="Y1192" s="23">
        <v>1.65</v>
      </c>
      <c r="AA1192" s="23" t="s">
        <v>1711</v>
      </c>
      <c r="AB1192" s="23" t="s">
        <v>1041</v>
      </c>
      <c r="AC1192" s="23" t="s">
        <v>1055</v>
      </c>
      <c r="AD1192" s="23" t="s">
        <v>1050</v>
      </c>
      <c r="AE1192" s="23" t="s">
        <v>1050</v>
      </c>
      <c r="AF1192" s="23" t="s">
        <v>252</v>
      </c>
      <c r="AM1192" s="23" t="s">
        <v>160</v>
      </c>
      <c r="AN1192" s="23">
        <v>4</v>
      </c>
      <c r="AO1192" s="23">
        <v>4</v>
      </c>
      <c r="AP1192" s="23" t="s">
        <v>184</v>
      </c>
      <c r="DV1192" s="23">
        <f>12.6/7</f>
        <v>1.8</v>
      </c>
      <c r="DW1192" s="23">
        <f>20.9/7</f>
        <v>2.9857142857142853</v>
      </c>
      <c r="EB1192" s="23">
        <v>3.41</v>
      </c>
      <c r="EC1192" s="23">
        <v>5.16</v>
      </c>
      <c r="ED1192" s="23" t="s">
        <v>1063</v>
      </c>
      <c r="EE1192" s="23">
        <v>188</v>
      </c>
      <c r="EF1192" s="23">
        <v>315</v>
      </c>
      <c r="EG1192" s="23" t="s">
        <v>1062</v>
      </c>
      <c r="EN1192" s="23">
        <v>56</v>
      </c>
    </row>
    <row r="1193" spans="1:144" s="23" customFormat="1" x14ac:dyDescent="0.25">
      <c r="A1193" s="23">
        <v>56</v>
      </c>
      <c r="B1193" s="23" t="s">
        <v>1037</v>
      </c>
      <c r="C1193" s="23" t="s">
        <v>1038</v>
      </c>
      <c r="D1193" s="23">
        <v>2002</v>
      </c>
      <c r="E1193" s="23">
        <v>1999</v>
      </c>
      <c r="F1193" s="23" t="s">
        <v>575</v>
      </c>
      <c r="G1193" s="23" t="s">
        <v>1045</v>
      </c>
      <c r="H1193" s="23">
        <v>44.56</v>
      </c>
      <c r="I1193" s="23">
        <v>-123.26</v>
      </c>
      <c r="J1193" s="23">
        <v>59.6</v>
      </c>
      <c r="P1193" s="53" t="s">
        <v>188</v>
      </c>
      <c r="Q1193" s="53"/>
      <c r="R1193" s="53" t="s">
        <v>291</v>
      </c>
      <c r="S1193" s="53" t="s">
        <v>659</v>
      </c>
      <c r="U1193" s="23">
        <v>22</v>
      </c>
      <c r="V1193" s="23">
        <v>52</v>
      </c>
      <c r="W1193" s="23" t="s">
        <v>1046</v>
      </c>
      <c r="X1193" s="23">
        <v>5.9</v>
      </c>
      <c r="Y1193" s="23">
        <v>1.65</v>
      </c>
      <c r="AA1193" s="23" t="s">
        <v>1711</v>
      </c>
      <c r="AB1193" s="23" t="s">
        <v>1041</v>
      </c>
      <c r="AC1193" s="23" t="s">
        <v>1055</v>
      </c>
      <c r="AD1193" s="23" t="s">
        <v>1050</v>
      </c>
      <c r="AE1193" s="23" t="s">
        <v>1050</v>
      </c>
      <c r="AF1193" s="23" t="s">
        <v>252</v>
      </c>
      <c r="AM1193" s="23" t="s">
        <v>160</v>
      </c>
      <c r="AN1193" s="23">
        <v>4</v>
      </c>
      <c r="AO1193" s="23">
        <v>4</v>
      </c>
      <c r="AP1193" s="23" t="s">
        <v>184</v>
      </c>
      <c r="DV1193" s="23">
        <f>21.7/7</f>
        <v>3.1</v>
      </c>
      <c r="DW1193" s="23">
        <f>34.5/7</f>
        <v>4.9285714285714288</v>
      </c>
      <c r="EB1193" s="23">
        <v>1.55</v>
      </c>
      <c r="EC1193" s="23">
        <v>2.97</v>
      </c>
      <c r="ED1193" s="23" t="s">
        <v>1063</v>
      </c>
      <c r="EE1193" s="23">
        <v>153</v>
      </c>
      <c r="EF1193" s="23">
        <v>184</v>
      </c>
      <c r="EG1193" s="23" t="s">
        <v>1062</v>
      </c>
      <c r="EN1193" s="23">
        <v>56</v>
      </c>
    </row>
    <row r="1194" spans="1:144" s="47" customFormat="1" x14ac:dyDescent="0.25">
      <c r="A1194" s="47">
        <v>57</v>
      </c>
      <c r="B1194" s="47" t="s">
        <v>1117</v>
      </c>
      <c r="C1194" s="47" t="s">
        <v>1118</v>
      </c>
      <c r="D1194" s="47">
        <v>1990</v>
      </c>
      <c r="E1194" s="47">
        <v>1973</v>
      </c>
      <c r="F1194" s="47" t="s">
        <v>1124</v>
      </c>
      <c r="G1194" s="47" t="s">
        <v>1119</v>
      </c>
      <c r="H1194" s="47">
        <v>34.200000000000003</v>
      </c>
      <c r="I1194" s="47">
        <v>-90.58</v>
      </c>
      <c r="J1194" s="47">
        <v>55.3</v>
      </c>
      <c r="P1194" s="82" t="s">
        <v>186</v>
      </c>
      <c r="Q1194" s="47" t="s">
        <v>1164</v>
      </c>
      <c r="R1194" s="82"/>
      <c r="S1194" s="82" t="s">
        <v>657</v>
      </c>
      <c r="T1194" s="47">
        <v>1.325</v>
      </c>
      <c r="W1194" s="47" t="s">
        <v>175</v>
      </c>
      <c r="AA1194" s="47" t="s">
        <v>1712</v>
      </c>
      <c r="AB1194" s="47" t="s">
        <v>173</v>
      </c>
      <c r="AC1194" s="47" t="s">
        <v>788</v>
      </c>
      <c r="AJ1194" s="47" t="s">
        <v>1133</v>
      </c>
      <c r="AK1194" s="47" t="s">
        <v>1133</v>
      </c>
      <c r="AL1194" s="47" t="s">
        <v>252</v>
      </c>
      <c r="AM1194" s="47" t="s">
        <v>222</v>
      </c>
      <c r="AN1194" s="47">
        <v>4</v>
      </c>
      <c r="AO1194" s="47">
        <v>4</v>
      </c>
      <c r="AP1194" s="47" t="s">
        <v>184</v>
      </c>
      <c r="AU1194" s="47" t="s">
        <v>1120</v>
      </c>
      <c r="AY1194" s="47">
        <v>2350</v>
      </c>
      <c r="AZ1194" s="47">
        <v>2434</v>
      </c>
      <c r="EL1194" s="47" t="s">
        <v>1142</v>
      </c>
      <c r="EN1194" s="47">
        <v>57</v>
      </c>
    </row>
    <row r="1195" spans="1:144" s="47" customFormat="1" x14ac:dyDescent="0.25">
      <c r="A1195" s="47">
        <v>57</v>
      </c>
      <c r="B1195" s="47" t="s">
        <v>1117</v>
      </c>
      <c r="C1195" s="47" t="s">
        <v>1118</v>
      </c>
      <c r="D1195" s="47">
        <v>1990</v>
      </c>
      <c r="E1195" s="47">
        <v>1973</v>
      </c>
      <c r="F1195" s="47" t="s">
        <v>1124</v>
      </c>
      <c r="G1195" s="47" t="s">
        <v>1119</v>
      </c>
      <c r="H1195" s="47">
        <v>34.200000000000003</v>
      </c>
      <c r="I1195" s="47">
        <v>-90.58</v>
      </c>
      <c r="J1195" s="47">
        <v>55.3</v>
      </c>
      <c r="P1195" s="82" t="s">
        <v>186</v>
      </c>
      <c r="Q1195" s="47" t="s">
        <v>1164</v>
      </c>
      <c r="R1195" s="82"/>
      <c r="S1195" s="82" t="s">
        <v>657</v>
      </c>
      <c r="T1195" s="47">
        <v>1.325</v>
      </c>
      <c r="W1195" s="47" t="s">
        <v>175</v>
      </c>
      <c r="AA1195" s="47" t="s">
        <v>1712</v>
      </c>
      <c r="AB1195" s="47" t="s">
        <v>326</v>
      </c>
      <c r="AC1195" s="47" t="s">
        <v>788</v>
      </c>
      <c r="AJ1195" s="47" t="s">
        <v>1133</v>
      </c>
      <c r="AK1195" s="47" t="s">
        <v>1133</v>
      </c>
      <c r="AL1195" s="47" t="s">
        <v>252</v>
      </c>
      <c r="AM1195" s="47" t="s">
        <v>222</v>
      </c>
      <c r="AN1195" s="47">
        <v>4</v>
      </c>
      <c r="AO1195" s="47">
        <v>4</v>
      </c>
      <c r="AP1195" s="47" t="s">
        <v>184</v>
      </c>
      <c r="AU1195" s="47" t="s">
        <v>1120</v>
      </c>
      <c r="AY1195" s="47">
        <v>2350</v>
      </c>
      <c r="AZ1195" s="47">
        <v>2492</v>
      </c>
      <c r="EL1195" s="47" t="s">
        <v>1142</v>
      </c>
      <c r="EN1195" s="47">
        <v>57</v>
      </c>
    </row>
    <row r="1196" spans="1:144" s="47" customFormat="1" x14ac:dyDescent="0.25">
      <c r="A1196" s="47">
        <v>57</v>
      </c>
      <c r="B1196" s="47" t="s">
        <v>1117</v>
      </c>
      <c r="C1196" s="47" t="s">
        <v>1118</v>
      </c>
      <c r="D1196" s="47">
        <v>1990</v>
      </c>
      <c r="E1196" s="47">
        <v>1973</v>
      </c>
      <c r="F1196" s="47" t="s">
        <v>1124</v>
      </c>
      <c r="G1196" s="47" t="s">
        <v>1119</v>
      </c>
      <c r="H1196" s="47">
        <v>34.200000000000003</v>
      </c>
      <c r="I1196" s="47">
        <v>-90.58</v>
      </c>
      <c r="J1196" s="47">
        <v>55.3</v>
      </c>
      <c r="P1196" s="82" t="s">
        <v>186</v>
      </c>
      <c r="Q1196" s="47" t="s">
        <v>1164</v>
      </c>
      <c r="R1196" s="82"/>
      <c r="S1196" s="82" t="s">
        <v>657</v>
      </c>
      <c r="T1196" s="47">
        <v>1.325</v>
      </c>
      <c r="W1196" s="47" t="s">
        <v>175</v>
      </c>
      <c r="AA1196" s="47" t="s">
        <v>1712</v>
      </c>
      <c r="AB1196" s="47" t="s">
        <v>1121</v>
      </c>
      <c r="AC1196" s="47" t="s">
        <v>788</v>
      </c>
      <c r="AJ1196" s="47" t="s">
        <v>1133</v>
      </c>
      <c r="AK1196" s="47" t="s">
        <v>1133</v>
      </c>
      <c r="AL1196" s="47" t="s">
        <v>252</v>
      </c>
      <c r="AM1196" s="47" t="s">
        <v>222</v>
      </c>
      <c r="AN1196" s="47">
        <v>4</v>
      </c>
      <c r="AO1196" s="47">
        <v>4</v>
      </c>
      <c r="AP1196" s="47" t="s">
        <v>184</v>
      </c>
      <c r="AU1196" s="47" t="s">
        <v>1120</v>
      </c>
      <c r="AY1196" s="47">
        <v>2350</v>
      </c>
      <c r="AZ1196" s="47">
        <v>2156</v>
      </c>
      <c r="EL1196" s="47" t="s">
        <v>1142</v>
      </c>
      <c r="EN1196" s="47">
        <v>57</v>
      </c>
    </row>
    <row r="1197" spans="1:144" s="35" customFormat="1" x14ac:dyDescent="0.25">
      <c r="A1197" s="35">
        <v>57</v>
      </c>
      <c r="B1197" s="35" t="s">
        <v>1117</v>
      </c>
      <c r="C1197" s="35" t="s">
        <v>1118</v>
      </c>
      <c r="D1197" s="35">
        <v>1990</v>
      </c>
      <c r="E1197" s="35">
        <v>1974</v>
      </c>
      <c r="F1197" s="35" t="s">
        <v>1124</v>
      </c>
      <c r="G1197" s="35" t="s">
        <v>1119</v>
      </c>
      <c r="H1197" s="35">
        <v>34.200000000000003</v>
      </c>
      <c r="I1197" s="35">
        <v>-90.58</v>
      </c>
      <c r="J1197" s="35">
        <v>55.3</v>
      </c>
      <c r="P1197" s="54" t="s">
        <v>187</v>
      </c>
      <c r="Q1197" s="54" t="s">
        <v>1167</v>
      </c>
      <c r="R1197" s="54"/>
      <c r="S1197" s="54" t="s">
        <v>657</v>
      </c>
      <c r="T1197" s="35">
        <v>1.325</v>
      </c>
      <c r="W1197" s="35" t="s">
        <v>175</v>
      </c>
      <c r="AA1197" s="35" t="s">
        <v>1712</v>
      </c>
      <c r="AB1197" s="35" t="s">
        <v>173</v>
      </c>
      <c r="AC1197" s="35" t="s">
        <v>788</v>
      </c>
      <c r="AJ1197" s="35" t="s">
        <v>1134</v>
      </c>
      <c r="AK1197" s="35" t="s">
        <v>1134</v>
      </c>
      <c r="AL1197" s="35" t="s">
        <v>252</v>
      </c>
      <c r="AM1197" s="35" t="s">
        <v>222</v>
      </c>
      <c r="AN1197" s="35">
        <v>4</v>
      </c>
      <c r="AO1197" s="35">
        <v>4</v>
      </c>
      <c r="AP1197" s="35" t="s">
        <v>184</v>
      </c>
      <c r="AU1197" s="35" t="s">
        <v>1120</v>
      </c>
      <c r="AY1197" s="35">
        <v>1636</v>
      </c>
      <c r="AZ1197" s="35">
        <v>1839</v>
      </c>
      <c r="EL1197" s="35" t="s">
        <v>1142</v>
      </c>
      <c r="EN1197" s="35">
        <v>57</v>
      </c>
    </row>
    <row r="1198" spans="1:144" s="35" customFormat="1" x14ac:dyDescent="0.25">
      <c r="A1198" s="35">
        <v>57</v>
      </c>
      <c r="B1198" s="35" t="s">
        <v>1117</v>
      </c>
      <c r="C1198" s="35" t="s">
        <v>1118</v>
      </c>
      <c r="D1198" s="35">
        <v>1990</v>
      </c>
      <c r="E1198" s="35">
        <v>1974</v>
      </c>
      <c r="F1198" s="35" t="s">
        <v>1124</v>
      </c>
      <c r="G1198" s="35" t="s">
        <v>1119</v>
      </c>
      <c r="H1198" s="35">
        <v>34.200000000000003</v>
      </c>
      <c r="I1198" s="35">
        <v>-90.58</v>
      </c>
      <c r="J1198" s="35">
        <v>55.3</v>
      </c>
      <c r="P1198" s="54" t="s">
        <v>187</v>
      </c>
      <c r="Q1198" s="54" t="s">
        <v>1167</v>
      </c>
      <c r="R1198" s="54"/>
      <c r="S1198" s="54" t="s">
        <v>657</v>
      </c>
      <c r="T1198" s="35">
        <v>1.325</v>
      </c>
      <c r="W1198" s="35" t="s">
        <v>175</v>
      </c>
      <c r="AA1198" s="35" t="s">
        <v>1712</v>
      </c>
      <c r="AB1198" s="35" t="s">
        <v>326</v>
      </c>
      <c r="AC1198" s="35" t="s">
        <v>788</v>
      </c>
      <c r="AJ1198" s="35" t="s">
        <v>1134</v>
      </c>
      <c r="AK1198" s="35" t="s">
        <v>1134</v>
      </c>
      <c r="AL1198" s="35" t="s">
        <v>252</v>
      </c>
      <c r="AM1198" s="35" t="s">
        <v>222</v>
      </c>
      <c r="AN1198" s="35">
        <v>4</v>
      </c>
      <c r="AO1198" s="35">
        <v>4</v>
      </c>
      <c r="AP1198" s="35" t="s">
        <v>184</v>
      </c>
      <c r="AU1198" s="35" t="s">
        <v>1120</v>
      </c>
      <c r="AY1198" s="35">
        <v>1636</v>
      </c>
      <c r="AZ1198" s="35">
        <v>1897</v>
      </c>
      <c r="EL1198" s="35" t="s">
        <v>1142</v>
      </c>
      <c r="EN1198" s="35">
        <v>57</v>
      </c>
    </row>
    <row r="1199" spans="1:144" s="35" customFormat="1" x14ac:dyDescent="0.25">
      <c r="A1199" s="35">
        <v>57</v>
      </c>
      <c r="B1199" s="35" t="s">
        <v>1117</v>
      </c>
      <c r="C1199" s="35" t="s">
        <v>1118</v>
      </c>
      <c r="D1199" s="35">
        <v>1990</v>
      </c>
      <c r="E1199" s="35">
        <v>1974</v>
      </c>
      <c r="F1199" s="35" t="s">
        <v>1124</v>
      </c>
      <c r="G1199" s="35" t="s">
        <v>1119</v>
      </c>
      <c r="H1199" s="35">
        <v>34.200000000000003</v>
      </c>
      <c r="I1199" s="35">
        <v>-90.58</v>
      </c>
      <c r="J1199" s="35">
        <v>55.3</v>
      </c>
      <c r="P1199" s="54" t="s">
        <v>187</v>
      </c>
      <c r="Q1199" s="54" t="s">
        <v>1167</v>
      </c>
      <c r="R1199" s="54"/>
      <c r="S1199" s="54" t="s">
        <v>657</v>
      </c>
      <c r="T1199" s="35">
        <v>1.325</v>
      </c>
      <c r="W1199" s="35" t="s">
        <v>175</v>
      </c>
      <c r="AA1199" s="35" t="s">
        <v>1712</v>
      </c>
      <c r="AB1199" s="35" t="s">
        <v>1121</v>
      </c>
      <c r="AC1199" s="35" t="s">
        <v>788</v>
      </c>
      <c r="AJ1199" s="35" t="s">
        <v>1134</v>
      </c>
      <c r="AK1199" s="35" t="s">
        <v>1134</v>
      </c>
      <c r="AL1199" s="35" t="s">
        <v>252</v>
      </c>
      <c r="AM1199" s="35" t="s">
        <v>222</v>
      </c>
      <c r="AN1199" s="35">
        <v>4</v>
      </c>
      <c r="AO1199" s="35">
        <v>4</v>
      </c>
      <c r="AP1199" s="35" t="s">
        <v>184</v>
      </c>
      <c r="AU1199" s="35" t="s">
        <v>1120</v>
      </c>
      <c r="AY1199" s="35">
        <v>1636</v>
      </c>
      <c r="AZ1199" s="35">
        <v>1515</v>
      </c>
      <c r="EL1199" s="35" t="s">
        <v>1142</v>
      </c>
      <c r="EN1199" s="35">
        <v>57</v>
      </c>
    </row>
    <row r="1200" spans="1:144" s="47" customFormat="1" x14ac:dyDescent="0.25">
      <c r="A1200" s="47">
        <v>57</v>
      </c>
      <c r="B1200" s="47" t="s">
        <v>1117</v>
      </c>
      <c r="C1200" s="47" t="s">
        <v>1118</v>
      </c>
      <c r="D1200" s="47">
        <v>1990</v>
      </c>
      <c r="E1200" s="47">
        <v>1975</v>
      </c>
      <c r="F1200" s="47" t="s">
        <v>1124</v>
      </c>
      <c r="G1200" s="47" t="s">
        <v>1119</v>
      </c>
      <c r="H1200" s="47">
        <v>34.200000000000003</v>
      </c>
      <c r="I1200" s="47">
        <v>-90.58</v>
      </c>
      <c r="J1200" s="47">
        <v>55.3</v>
      </c>
      <c r="P1200" s="82" t="s">
        <v>188</v>
      </c>
      <c r="Q1200" s="47" t="s">
        <v>1169</v>
      </c>
      <c r="R1200" s="82"/>
      <c r="S1200" s="82" t="s">
        <v>657</v>
      </c>
      <c r="T1200" s="47">
        <v>1.325</v>
      </c>
      <c r="W1200" s="47" t="s">
        <v>175</v>
      </c>
      <c r="AA1200" s="47" t="s">
        <v>1712</v>
      </c>
      <c r="AB1200" s="47" t="s">
        <v>173</v>
      </c>
      <c r="AC1200" s="47" t="s">
        <v>788</v>
      </c>
      <c r="AJ1200" s="47" t="s">
        <v>1135</v>
      </c>
      <c r="AK1200" s="47" t="s">
        <v>1135</v>
      </c>
      <c r="AL1200" s="47" t="s">
        <v>252</v>
      </c>
      <c r="AM1200" s="47" t="s">
        <v>222</v>
      </c>
      <c r="AN1200" s="47">
        <v>4</v>
      </c>
      <c r="AO1200" s="47">
        <v>4</v>
      </c>
      <c r="AP1200" s="47" t="s">
        <v>184</v>
      </c>
      <c r="AU1200" s="47" t="s">
        <v>1120</v>
      </c>
      <c r="AY1200" s="47">
        <v>2328</v>
      </c>
      <c r="AZ1200" s="47">
        <v>2415</v>
      </c>
      <c r="EL1200" s="47" t="s">
        <v>1142</v>
      </c>
      <c r="EN1200" s="47">
        <v>57</v>
      </c>
    </row>
    <row r="1201" spans="1:144" s="47" customFormat="1" x14ac:dyDescent="0.25">
      <c r="A1201" s="47">
        <v>57</v>
      </c>
      <c r="B1201" s="47" t="s">
        <v>1117</v>
      </c>
      <c r="C1201" s="47" t="s">
        <v>1118</v>
      </c>
      <c r="D1201" s="47">
        <v>1990</v>
      </c>
      <c r="E1201" s="47">
        <v>1975</v>
      </c>
      <c r="F1201" s="47" t="s">
        <v>1124</v>
      </c>
      <c r="G1201" s="47" t="s">
        <v>1119</v>
      </c>
      <c r="H1201" s="47">
        <v>34.200000000000003</v>
      </c>
      <c r="I1201" s="47">
        <v>-90.58</v>
      </c>
      <c r="J1201" s="47">
        <v>55.3</v>
      </c>
      <c r="P1201" s="82" t="s">
        <v>188</v>
      </c>
      <c r="Q1201" s="47" t="s">
        <v>1169</v>
      </c>
      <c r="R1201" s="82"/>
      <c r="S1201" s="82" t="s">
        <v>657</v>
      </c>
      <c r="T1201" s="47">
        <v>1.325</v>
      </c>
      <c r="W1201" s="47" t="s">
        <v>175</v>
      </c>
      <c r="AA1201" s="47" t="s">
        <v>1712</v>
      </c>
      <c r="AB1201" s="47" t="s">
        <v>326</v>
      </c>
      <c r="AC1201" s="47" t="s">
        <v>788</v>
      </c>
      <c r="AJ1201" s="47" t="s">
        <v>1135</v>
      </c>
      <c r="AK1201" s="47" t="s">
        <v>1135</v>
      </c>
      <c r="AL1201" s="47" t="s">
        <v>252</v>
      </c>
      <c r="AM1201" s="47" t="s">
        <v>222</v>
      </c>
      <c r="AN1201" s="47">
        <v>4</v>
      </c>
      <c r="AO1201" s="47">
        <v>4</v>
      </c>
      <c r="AP1201" s="47" t="s">
        <v>184</v>
      </c>
      <c r="AU1201" s="47" t="s">
        <v>1120</v>
      </c>
      <c r="AY1201" s="47">
        <v>2328</v>
      </c>
      <c r="AZ1201" s="47">
        <v>2646</v>
      </c>
      <c r="EL1201" s="47" t="s">
        <v>1142</v>
      </c>
      <c r="EN1201" s="47">
        <v>57</v>
      </c>
    </row>
    <row r="1202" spans="1:144" s="47" customFormat="1" x14ac:dyDescent="0.25">
      <c r="A1202" s="47">
        <v>57</v>
      </c>
      <c r="B1202" s="47" t="s">
        <v>1117</v>
      </c>
      <c r="C1202" s="47" t="s">
        <v>1118</v>
      </c>
      <c r="D1202" s="47">
        <v>1990</v>
      </c>
      <c r="E1202" s="47">
        <v>1975</v>
      </c>
      <c r="F1202" s="47" t="s">
        <v>1124</v>
      </c>
      <c r="G1202" s="47" t="s">
        <v>1119</v>
      </c>
      <c r="H1202" s="47">
        <v>34.200000000000003</v>
      </c>
      <c r="I1202" s="47">
        <v>-90.58</v>
      </c>
      <c r="J1202" s="47">
        <v>55.3</v>
      </c>
      <c r="P1202" s="82" t="s">
        <v>188</v>
      </c>
      <c r="Q1202" s="47" t="s">
        <v>1169</v>
      </c>
      <c r="R1202" s="82"/>
      <c r="S1202" s="82" t="s">
        <v>657</v>
      </c>
      <c r="T1202" s="47">
        <v>1.325</v>
      </c>
      <c r="W1202" s="47" t="s">
        <v>175</v>
      </c>
      <c r="AA1202" s="47" t="s">
        <v>1712</v>
      </c>
      <c r="AB1202" s="47" t="s">
        <v>1121</v>
      </c>
      <c r="AC1202" s="47" t="s">
        <v>788</v>
      </c>
      <c r="AJ1202" s="47" t="s">
        <v>1135</v>
      </c>
      <c r="AK1202" s="47" t="s">
        <v>1135</v>
      </c>
      <c r="AL1202" s="47" t="s">
        <v>252</v>
      </c>
      <c r="AM1202" s="47" t="s">
        <v>222</v>
      </c>
      <c r="AN1202" s="47">
        <v>4</v>
      </c>
      <c r="AO1202" s="47">
        <v>4</v>
      </c>
      <c r="AP1202" s="47" t="s">
        <v>184</v>
      </c>
      <c r="AU1202" s="47" t="s">
        <v>1120</v>
      </c>
      <c r="AY1202" s="47">
        <v>2328</v>
      </c>
      <c r="AZ1202" s="47">
        <v>2599</v>
      </c>
      <c r="EL1202" s="47" t="s">
        <v>1142</v>
      </c>
      <c r="EN1202" s="47">
        <v>57</v>
      </c>
    </row>
    <row r="1203" spans="1:144" s="91" customFormat="1" x14ac:dyDescent="0.25">
      <c r="A1203" s="91">
        <v>57</v>
      </c>
      <c r="B1203" s="91" t="s">
        <v>1117</v>
      </c>
      <c r="C1203" s="91" t="s">
        <v>1118</v>
      </c>
      <c r="D1203" s="91">
        <v>1990</v>
      </c>
      <c r="E1203" s="91">
        <v>1977</v>
      </c>
      <c r="F1203" s="91" t="s">
        <v>1124</v>
      </c>
      <c r="G1203" s="91" t="s">
        <v>1119</v>
      </c>
      <c r="H1203" s="91">
        <v>34.200000000000003</v>
      </c>
      <c r="I1203" s="91">
        <v>-90.58</v>
      </c>
      <c r="J1203" s="91">
        <v>55.3</v>
      </c>
      <c r="P1203" s="92" t="s">
        <v>190</v>
      </c>
      <c r="Q1203" s="92" t="s">
        <v>1170</v>
      </c>
      <c r="R1203" s="92"/>
      <c r="S1203" s="92" t="s">
        <v>657</v>
      </c>
      <c r="T1203" s="91">
        <v>1.325</v>
      </c>
      <c r="W1203" s="91" t="s">
        <v>175</v>
      </c>
      <c r="AA1203" s="47" t="s">
        <v>1712</v>
      </c>
      <c r="AB1203" s="91" t="s">
        <v>173</v>
      </c>
      <c r="AC1203" s="91" t="s">
        <v>788</v>
      </c>
      <c r="AJ1203" s="91" t="s">
        <v>1135</v>
      </c>
      <c r="AK1203" s="91" t="s">
        <v>1135</v>
      </c>
      <c r="AL1203" s="91" t="s">
        <v>252</v>
      </c>
      <c r="AM1203" s="91" t="s">
        <v>222</v>
      </c>
      <c r="AN1203" s="91">
        <v>4</v>
      </c>
      <c r="AO1203" s="91">
        <v>4</v>
      </c>
      <c r="AP1203" s="91" t="s">
        <v>184</v>
      </c>
      <c r="AR1203" s="91">
        <v>3863</v>
      </c>
      <c r="AU1203" s="91" t="s">
        <v>1120</v>
      </c>
      <c r="AY1203" s="91">
        <v>2175</v>
      </c>
      <c r="AZ1203" s="91">
        <v>2040</v>
      </c>
      <c r="EL1203" s="91" t="s">
        <v>1142</v>
      </c>
      <c r="EN1203" s="91">
        <v>57</v>
      </c>
    </row>
    <row r="1204" spans="1:144" s="91" customFormat="1" x14ac:dyDescent="0.25">
      <c r="A1204" s="91">
        <v>57</v>
      </c>
      <c r="B1204" s="91" t="s">
        <v>1117</v>
      </c>
      <c r="C1204" s="91" t="s">
        <v>1118</v>
      </c>
      <c r="D1204" s="91">
        <v>1990</v>
      </c>
      <c r="E1204" s="91">
        <v>1977</v>
      </c>
      <c r="F1204" s="91" t="s">
        <v>1124</v>
      </c>
      <c r="G1204" s="91" t="s">
        <v>1119</v>
      </c>
      <c r="H1204" s="91">
        <v>34.200000000000003</v>
      </c>
      <c r="I1204" s="91">
        <v>-90.58</v>
      </c>
      <c r="J1204" s="91">
        <v>55.3</v>
      </c>
      <c r="P1204" s="92" t="s">
        <v>190</v>
      </c>
      <c r="Q1204" s="92" t="s">
        <v>1170</v>
      </c>
      <c r="R1204" s="92"/>
      <c r="S1204" s="92" t="s">
        <v>657</v>
      </c>
      <c r="T1204" s="91">
        <v>1.325</v>
      </c>
      <c r="W1204" s="91" t="s">
        <v>175</v>
      </c>
      <c r="AA1204" s="47" t="s">
        <v>1712</v>
      </c>
      <c r="AB1204" s="91" t="s">
        <v>326</v>
      </c>
      <c r="AC1204" s="91" t="s">
        <v>788</v>
      </c>
      <c r="AJ1204" s="91" t="s">
        <v>1135</v>
      </c>
      <c r="AK1204" s="91" t="s">
        <v>1135</v>
      </c>
      <c r="AL1204" s="91" t="s">
        <v>252</v>
      </c>
      <c r="AM1204" s="91" t="s">
        <v>222</v>
      </c>
      <c r="AN1204" s="91">
        <v>4</v>
      </c>
      <c r="AO1204" s="91">
        <v>4</v>
      </c>
      <c r="AP1204" s="91" t="s">
        <v>184</v>
      </c>
      <c r="AR1204" s="91">
        <v>2507</v>
      </c>
      <c r="AU1204" s="91" t="s">
        <v>1120</v>
      </c>
      <c r="AY1204" s="91">
        <v>2175</v>
      </c>
      <c r="AZ1204" s="91">
        <v>2185</v>
      </c>
      <c r="EL1204" s="91" t="s">
        <v>1142</v>
      </c>
      <c r="EN1204" s="91">
        <v>57</v>
      </c>
    </row>
    <row r="1205" spans="1:144" s="91" customFormat="1" x14ac:dyDescent="0.25">
      <c r="A1205" s="91">
        <v>57</v>
      </c>
      <c r="B1205" s="91" t="s">
        <v>1117</v>
      </c>
      <c r="C1205" s="91" t="s">
        <v>1118</v>
      </c>
      <c r="D1205" s="91">
        <v>1990</v>
      </c>
      <c r="E1205" s="91">
        <v>1977</v>
      </c>
      <c r="F1205" s="91" t="s">
        <v>1124</v>
      </c>
      <c r="G1205" s="91" t="s">
        <v>1119</v>
      </c>
      <c r="H1205" s="91">
        <v>34.200000000000003</v>
      </c>
      <c r="I1205" s="91">
        <v>-90.58</v>
      </c>
      <c r="J1205" s="91">
        <v>55.3</v>
      </c>
      <c r="P1205" s="92" t="s">
        <v>190</v>
      </c>
      <c r="Q1205" s="92" t="s">
        <v>1170</v>
      </c>
      <c r="R1205" s="92"/>
      <c r="S1205" s="92" t="s">
        <v>657</v>
      </c>
      <c r="T1205" s="91">
        <v>1.325</v>
      </c>
      <c r="W1205" s="91" t="s">
        <v>175</v>
      </c>
      <c r="AA1205" s="47" t="s">
        <v>1712</v>
      </c>
      <c r="AB1205" s="91" t="s">
        <v>1122</v>
      </c>
      <c r="AC1205" s="91" t="s">
        <v>788</v>
      </c>
      <c r="AJ1205" s="91" t="s">
        <v>1135</v>
      </c>
      <c r="AK1205" s="91" t="s">
        <v>1135</v>
      </c>
      <c r="AL1205" s="91" t="s">
        <v>252</v>
      </c>
      <c r="AM1205" s="91" t="s">
        <v>222</v>
      </c>
      <c r="AN1205" s="91">
        <v>4</v>
      </c>
      <c r="AO1205" s="91">
        <v>4</v>
      </c>
      <c r="AP1205" s="91" t="s">
        <v>184</v>
      </c>
      <c r="AR1205" s="91">
        <v>3863</v>
      </c>
      <c r="AU1205" s="91" t="s">
        <v>1120</v>
      </c>
      <c r="AY1205" s="91">
        <v>2175</v>
      </c>
      <c r="AZ1205" s="91">
        <v>2409</v>
      </c>
      <c r="EL1205" s="91" t="s">
        <v>1142</v>
      </c>
      <c r="EN1205" s="91">
        <v>57</v>
      </c>
    </row>
    <row r="1206" spans="1:144" s="35" customFormat="1" x14ac:dyDescent="0.25">
      <c r="A1206" s="35">
        <v>57</v>
      </c>
      <c r="B1206" s="35" t="s">
        <v>1117</v>
      </c>
      <c r="C1206" s="35" t="s">
        <v>1118</v>
      </c>
      <c r="D1206" s="35">
        <v>1990</v>
      </c>
      <c r="E1206" s="35">
        <v>1978</v>
      </c>
      <c r="F1206" s="35" t="s">
        <v>1124</v>
      </c>
      <c r="G1206" s="35" t="s">
        <v>1119</v>
      </c>
      <c r="H1206" s="35">
        <v>34.200000000000003</v>
      </c>
      <c r="I1206" s="35">
        <v>-90.58</v>
      </c>
      <c r="J1206" s="35">
        <v>55.3</v>
      </c>
      <c r="P1206" s="54" t="s">
        <v>207</v>
      </c>
      <c r="Q1206" s="54" t="s">
        <v>1171</v>
      </c>
      <c r="R1206" s="54"/>
      <c r="S1206" s="54" t="s">
        <v>657</v>
      </c>
      <c r="T1206" s="35">
        <v>1.325</v>
      </c>
      <c r="W1206" s="35" t="s">
        <v>175</v>
      </c>
      <c r="AA1206" s="35" t="s">
        <v>1712</v>
      </c>
      <c r="AB1206" s="35" t="s">
        <v>173</v>
      </c>
      <c r="AC1206" s="35" t="s">
        <v>788</v>
      </c>
      <c r="AJ1206" s="35" t="s">
        <v>1136</v>
      </c>
      <c r="AK1206" s="35" t="s">
        <v>1136</v>
      </c>
      <c r="AL1206" s="35" t="s">
        <v>252</v>
      </c>
      <c r="AM1206" s="35" t="s">
        <v>222</v>
      </c>
      <c r="AN1206" s="35">
        <v>4</v>
      </c>
      <c r="AO1206" s="35">
        <v>4</v>
      </c>
      <c r="AP1206" s="35" t="s">
        <v>184</v>
      </c>
      <c r="AR1206" s="35">
        <v>4242</v>
      </c>
      <c r="AU1206" s="35" t="s">
        <v>1120</v>
      </c>
      <c r="AY1206" s="35">
        <v>1719</v>
      </c>
      <c r="AZ1206" s="35">
        <v>1771</v>
      </c>
      <c r="EL1206" s="35" t="s">
        <v>1142</v>
      </c>
      <c r="EN1206" s="35">
        <v>57</v>
      </c>
    </row>
    <row r="1207" spans="1:144" s="35" customFormat="1" x14ac:dyDescent="0.25">
      <c r="A1207" s="35">
        <v>57</v>
      </c>
      <c r="B1207" s="35" t="s">
        <v>1117</v>
      </c>
      <c r="C1207" s="35" t="s">
        <v>1118</v>
      </c>
      <c r="D1207" s="35">
        <v>1990</v>
      </c>
      <c r="E1207" s="35">
        <v>1978</v>
      </c>
      <c r="F1207" s="35" t="s">
        <v>1124</v>
      </c>
      <c r="G1207" s="35" t="s">
        <v>1119</v>
      </c>
      <c r="H1207" s="35">
        <v>34.200000000000003</v>
      </c>
      <c r="I1207" s="35">
        <v>-90.58</v>
      </c>
      <c r="J1207" s="35">
        <v>55.3</v>
      </c>
      <c r="P1207" s="54" t="s">
        <v>207</v>
      </c>
      <c r="Q1207" s="54" t="s">
        <v>1171</v>
      </c>
      <c r="R1207" s="54"/>
      <c r="S1207" s="54" t="s">
        <v>657</v>
      </c>
      <c r="T1207" s="35">
        <v>1.325</v>
      </c>
      <c r="W1207" s="35" t="s">
        <v>175</v>
      </c>
      <c r="AA1207" s="35" t="s">
        <v>1712</v>
      </c>
      <c r="AB1207" s="35" t="s">
        <v>326</v>
      </c>
      <c r="AC1207" s="35" t="s">
        <v>788</v>
      </c>
      <c r="AJ1207" s="35" t="s">
        <v>1136</v>
      </c>
      <c r="AK1207" s="35" t="s">
        <v>1136</v>
      </c>
      <c r="AL1207" s="35" t="s">
        <v>252</v>
      </c>
      <c r="AM1207" s="35" t="s">
        <v>222</v>
      </c>
      <c r="AN1207" s="35">
        <v>4</v>
      </c>
      <c r="AO1207" s="35">
        <v>4</v>
      </c>
      <c r="AP1207" s="35" t="s">
        <v>184</v>
      </c>
      <c r="AR1207" s="35">
        <v>1992</v>
      </c>
      <c r="AU1207" s="35" t="s">
        <v>1120</v>
      </c>
      <c r="AY1207" s="35">
        <v>1719</v>
      </c>
      <c r="AZ1207" s="35">
        <v>2120</v>
      </c>
      <c r="EL1207" s="35" t="s">
        <v>1142</v>
      </c>
      <c r="EN1207" s="35">
        <v>57</v>
      </c>
    </row>
    <row r="1208" spans="1:144" s="35" customFormat="1" x14ac:dyDescent="0.25">
      <c r="A1208" s="35">
        <v>57</v>
      </c>
      <c r="B1208" s="35" t="s">
        <v>1117</v>
      </c>
      <c r="C1208" s="35" t="s">
        <v>1118</v>
      </c>
      <c r="D1208" s="35">
        <v>1990</v>
      </c>
      <c r="E1208" s="35">
        <v>1978</v>
      </c>
      <c r="F1208" s="35" t="s">
        <v>1124</v>
      </c>
      <c r="G1208" s="35" t="s">
        <v>1119</v>
      </c>
      <c r="H1208" s="35">
        <v>34.200000000000003</v>
      </c>
      <c r="I1208" s="35">
        <v>-90.58</v>
      </c>
      <c r="J1208" s="35">
        <v>55.3</v>
      </c>
      <c r="P1208" s="54" t="s">
        <v>207</v>
      </c>
      <c r="Q1208" s="54" t="s">
        <v>1171</v>
      </c>
      <c r="R1208" s="54"/>
      <c r="S1208" s="54" t="s">
        <v>657</v>
      </c>
      <c r="T1208" s="35">
        <v>1.325</v>
      </c>
      <c r="W1208" s="35" t="s">
        <v>175</v>
      </c>
      <c r="AA1208" s="35" t="s">
        <v>1712</v>
      </c>
      <c r="AB1208" s="35" t="s">
        <v>1122</v>
      </c>
      <c r="AC1208" s="35" t="s">
        <v>788</v>
      </c>
      <c r="AJ1208" s="35" t="s">
        <v>1136</v>
      </c>
      <c r="AK1208" s="35" t="s">
        <v>1136</v>
      </c>
      <c r="AL1208" s="35" t="s">
        <v>252</v>
      </c>
      <c r="AM1208" s="35" t="s">
        <v>222</v>
      </c>
      <c r="AN1208" s="35">
        <v>4</v>
      </c>
      <c r="AO1208" s="35">
        <v>4</v>
      </c>
      <c r="AP1208" s="35" t="s">
        <v>184</v>
      </c>
      <c r="AR1208" s="35">
        <v>4201</v>
      </c>
      <c r="AU1208" s="35" t="s">
        <v>1120</v>
      </c>
      <c r="AY1208" s="35">
        <v>1719</v>
      </c>
      <c r="AZ1208" s="35">
        <v>2147</v>
      </c>
      <c r="EL1208" s="35" t="s">
        <v>1142</v>
      </c>
      <c r="EN1208" s="35">
        <v>57</v>
      </c>
    </row>
    <row r="1209" spans="1:144" s="47" customFormat="1" x14ac:dyDescent="0.25">
      <c r="A1209" s="47">
        <v>57</v>
      </c>
      <c r="B1209" s="47" t="s">
        <v>1117</v>
      </c>
      <c r="C1209" s="47" t="s">
        <v>1118</v>
      </c>
      <c r="D1209" s="47">
        <v>1990</v>
      </c>
      <c r="E1209" s="47">
        <v>1979</v>
      </c>
      <c r="F1209" s="47" t="s">
        <v>1124</v>
      </c>
      <c r="G1209" s="47" t="s">
        <v>1119</v>
      </c>
      <c r="H1209" s="47">
        <v>34.200000000000003</v>
      </c>
      <c r="I1209" s="47">
        <v>-90.58</v>
      </c>
      <c r="J1209" s="47">
        <v>55.3</v>
      </c>
      <c r="P1209" s="82" t="s">
        <v>1125</v>
      </c>
      <c r="Q1209" s="82" t="s">
        <v>1172</v>
      </c>
      <c r="R1209" s="82"/>
      <c r="S1209" s="82" t="s">
        <v>657</v>
      </c>
      <c r="T1209" s="47">
        <v>1.325</v>
      </c>
      <c r="W1209" s="47" t="s">
        <v>175</v>
      </c>
      <c r="AA1209" s="47" t="s">
        <v>1712</v>
      </c>
      <c r="AB1209" s="47" t="s">
        <v>326</v>
      </c>
      <c r="AC1209" s="47" t="s">
        <v>788</v>
      </c>
      <c r="AJ1209" s="47" t="s">
        <v>1136</v>
      </c>
      <c r="AK1209" s="47" t="s">
        <v>1136</v>
      </c>
      <c r="AL1209" s="47" t="s">
        <v>252</v>
      </c>
      <c r="AM1209" s="47" t="s">
        <v>222</v>
      </c>
      <c r="AN1209" s="47">
        <v>4</v>
      </c>
      <c r="AO1209" s="47">
        <v>4</v>
      </c>
      <c r="AP1209" s="47" t="s">
        <v>184</v>
      </c>
      <c r="AU1209" s="47" t="s">
        <v>1120</v>
      </c>
      <c r="AY1209" s="47">
        <v>2135</v>
      </c>
      <c r="AZ1209" s="47">
        <v>2158</v>
      </c>
      <c r="EL1209" s="47" t="s">
        <v>1142</v>
      </c>
      <c r="EN1209" s="47">
        <v>57</v>
      </c>
    </row>
    <row r="1210" spans="1:144" s="95" customFormat="1" x14ac:dyDescent="0.25">
      <c r="A1210" s="95">
        <v>57</v>
      </c>
      <c r="B1210" s="95" t="s">
        <v>1117</v>
      </c>
      <c r="C1210" s="95" t="s">
        <v>1118</v>
      </c>
      <c r="D1210" s="95">
        <v>1990</v>
      </c>
      <c r="E1210" s="95">
        <v>1979</v>
      </c>
      <c r="F1210" s="95" t="s">
        <v>1124</v>
      </c>
      <c r="G1210" s="95" t="s">
        <v>1119</v>
      </c>
      <c r="H1210" s="95">
        <v>34.200000000000003</v>
      </c>
      <c r="I1210" s="95">
        <v>-90.58</v>
      </c>
      <c r="J1210" s="95">
        <v>55.3</v>
      </c>
      <c r="P1210" s="96" t="s">
        <v>1125</v>
      </c>
      <c r="Q1210" s="96" t="s">
        <v>1172</v>
      </c>
      <c r="R1210" s="96"/>
      <c r="S1210" s="96" t="s">
        <v>671</v>
      </c>
      <c r="T1210" s="95">
        <v>1.325</v>
      </c>
      <c r="W1210" s="95" t="s">
        <v>175</v>
      </c>
      <c r="AA1210" s="95" t="s">
        <v>1712</v>
      </c>
      <c r="AB1210" s="95" t="s">
        <v>1122</v>
      </c>
      <c r="AC1210" s="95" t="s">
        <v>788</v>
      </c>
      <c r="AJ1210" s="95" t="s">
        <v>1136</v>
      </c>
      <c r="AK1210" s="95" t="s">
        <v>1136</v>
      </c>
      <c r="AL1210" s="95" t="s">
        <v>252</v>
      </c>
      <c r="AM1210" s="95" t="s">
        <v>222</v>
      </c>
      <c r="AN1210" s="95">
        <v>4</v>
      </c>
      <c r="AO1210" s="95">
        <v>4</v>
      </c>
      <c r="AP1210" s="95" t="s">
        <v>184</v>
      </c>
      <c r="AU1210" s="95" t="s">
        <v>1120</v>
      </c>
      <c r="AY1210" s="95">
        <v>2135</v>
      </c>
      <c r="AZ1210" s="95">
        <v>2430</v>
      </c>
      <c r="BB1210" s="95">
        <v>1.28</v>
      </c>
      <c r="BC1210" s="95">
        <v>1.26</v>
      </c>
      <c r="BE1210" s="95">
        <v>1.4</v>
      </c>
      <c r="BF1210" s="95">
        <v>1.9</v>
      </c>
      <c r="BG1210" s="95" t="s">
        <v>1144</v>
      </c>
      <c r="CO1210" s="95">
        <v>2.08</v>
      </c>
      <c r="CP1210" s="95">
        <v>3.46</v>
      </c>
      <c r="DG1210" s="95">
        <f>0.295-0.07</f>
        <v>0.22499999999999998</v>
      </c>
      <c r="DH1210" s="95">
        <f>0.332-0.061</f>
        <v>0.27100000000000002</v>
      </c>
      <c r="DI1210" s="95" t="s">
        <v>1146</v>
      </c>
      <c r="EL1210" s="95" t="s">
        <v>1142</v>
      </c>
      <c r="EN1210" s="95">
        <v>57</v>
      </c>
    </row>
    <row r="1211" spans="1:144" s="47" customFormat="1" x14ac:dyDescent="0.25">
      <c r="A1211" s="47">
        <v>57</v>
      </c>
      <c r="B1211" s="47" t="s">
        <v>1117</v>
      </c>
      <c r="C1211" s="47" t="s">
        <v>1118</v>
      </c>
      <c r="D1211" s="47">
        <v>1990</v>
      </c>
      <c r="E1211" s="47">
        <v>1979</v>
      </c>
      <c r="F1211" s="47" t="s">
        <v>1124</v>
      </c>
      <c r="G1211" s="47" t="s">
        <v>1119</v>
      </c>
      <c r="H1211" s="47">
        <v>34.200000000000003</v>
      </c>
      <c r="I1211" s="47">
        <v>-90.58</v>
      </c>
      <c r="J1211" s="47">
        <v>55.3</v>
      </c>
      <c r="P1211" s="82" t="s">
        <v>1125</v>
      </c>
      <c r="Q1211" s="82" t="s">
        <v>1172</v>
      </c>
      <c r="R1211" s="82"/>
      <c r="S1211" s="82" t="s">
        <v>657</v>
      </c>
      <c r="T1211" s="47">
        <v>1.325</v>
      </c>
      <c r="W1211" s="47" t="s">
        <v>175</v>
      </c>
      <c r="AA1211" s="47" t="s">
        <v>1712</v>
      </c>
      <c r="AB1211" s="47" t="s">
        <v>1123</v>
      </c>
      <c r="AC1211" s="47" t="s">
        <v>788</v>
      </c>
      <c r="AJ1211" s="47" t="s">
        <v>1136</v>
      </c>
      <c r="AK1211" s="47" t="s">
        <v>1136</v>
      </c>
      <c r="AL1211" s="47" t="s">
        <v>252</v>
      </c>
      <c r="AM1211" s="47" t="s">
        <v>222</v>
      </c>
      <c r="AN1211" s="47">
        <v>4</v>
      </c>
      <c r="AO1211" s="47">
        <v>4</v>
      </c>
      <c r="AP1211" s="47" t="s">
        <v>184</v>
      </c>
      <c r="AU1211" s="47" t="s">
        <v>1120</v>
      </c>
      <c r="AY1211" s="47">
        <v>2135</v>
      </c>
      <c r="AZ1211" s="47">
        <v>2043</v>
      </c>
      <c r="EL1211" s="47" t="s">
        <v>1142</v>
      </c>
      <c r="EN1211" s="47">
        <v>57</v>
      </c>
    </row>
    <row r="1212" spans="1:144" s="35" customFormat="1" x14ac:dyDescent="0.25">
      <c r="A1212" s="35">
        <v>57</v>
      </c>
      <c r="B1212" s="35" t="s">
        <v>1117</v>
      </c>
      <c r="C1212" s="35" t="s">
        <v>1118</v>
      </c>
      <c r="D1212" s="35">
        <v>1990</v>
      </c>
      <c r="E1212" s="35">
        <v>1980</v>
      </c>
      <c r="F1212" s="35" t="s">
        <v>1124</v>
      </c>
      <c r="G1212" s="35" t="s">
        <v>1119</v>
      </c>
      <c r="H1212" s="35">
        <v>34.200000000000003</v>
      </c>
      <c r="I1212" s="35">
        <v>-90.58</v>
      </c>
      <c r="J1212" s="35">
        <v>55.3</v>
      </c>
      <c r="P1212" s="54" t="s">
        <v>1126</v>
      </c>
      <c r="Q1212" s="54" t="s">
        <v>1173</v>
      </c>
      <c r="R1212" s="54"/>
      <c r="S1212" s="54" t="s">
        <v>657</v>
      </c>
      <c r="T1212" s="35">
        <v>1.325</v>
      </c>
      <c r="W1212" s="35" t="s">
        <v>175</v>
      </c>
      <c r="AA1212" s="35" t="s">
        <v>1712</v>
      </c>
      <c r="AB1212" s="35" t="s">
        <v>326</v>
      </c>
      <c r="AC1212" s="35" t="s">
        <v>788</v>
      </c>
      <c r="AJ1212" s="35" t="s">
        <v>1137</v>
      </c>
      <c r="AK1212" s="35" t="s">
        <v>1137</v>
      </c>
      <c r="AL1212" s="35" t="s">
        <v>252</v>
      </c>
      <c r="AM1212" s="35" t="s">
        <v>222</v>
      </c>
      <c r="AN1212" s="35">
        <v>4</v>
      </c>
      <c r="AO1212" s="35">
        <v>4</v>
      </c>
      <c r="AP1212" s="35" t="s">
        <v>184</v>
      </c>
      <c r="AU1212" s="35" t="s">
        <v>1120</v>
      </c>
      <c r="AY1212" s="35">
        <v>1796</v>
      </c>
      <c r="AZ1212" s="35">
        <v>1921</v>
      </c>
      <c r="EL1212" s="35" t="s">
        <v>1142</v>
      </c>
      <c r="EN1212" s="35">
        <v>57</v>
      </c>
    </row>
    <row r="1213" spans="1:144" s="95" customFormat="1" x14ac:dyDescent="0.25">
      <c r="A1213" s="95">
        <v>57</v>
      </c>
      <c r="B1213" s="95" t="s">
        <v>1117</v>
      </c>
      <c r="C1213" s="95" t="s">
        <v>1118</v>
      </c>
      <c r="D1213" s="95">
        <v>1990</v>
      </c>
      <c r="E1213" s="95">
        <v>1980</v>
      </c>
      <c r="F1213" s="95" t="s">
        <v>1124</v>
      </c>
      <c r="G1213" s="95" t="s">
        <v>1119</v>
      </c>
      <c r="H1213" s="95">
        <v>34.200000000000003</v>
      </c>
      <c r="I1213" s="95">
        <v>-90.58</v>
      </c>
      <c r="J1213" s="95">
        <v>55.3</v>
      </c>
      <c r="P1213" s="96" t="s">
        <v>1126</v>
      </c>
      <c r="Q1213" s="96" t="s">
        <v>1173</v>
      </c>
      <c r="R1213" s="96"/>
      <c r="S1213" s="96" t="s">
        <v>817</v>
      </c>
      <c r="T1213" s="95">
        <v>1.325</v>
      </c>
      <c r="W1213" s="95" t="s">
        <v>175</v>
      </c>
      <c r="AA1213" s="95" t="s">
        <v>1712</v>
      </c>
      <c r="AB1213" s="95" t="s">
        <v>1122</v>
      </c>
      <c r="AC1213" s="95" t="s">
        <v>788</v>
      </c>
      <c r="AJ1213" s="95" t="s">
        <v>1137</v>
      </c>
      <c r="AK1213" s="95" t="s">
        <v>1137</v>
      </c>
      <c r="AL1213" s="95" t="s">
        <v>252</v>
      </c>
      <c r="AM1213" s="95" t="s">
        <v>222</v>
      </c>
      <c r="AN1213" s="95">
        <v>4</v>
      </c>
      <c r="AO1213" s="95">
        <v>4</v>
      </c>
      <c r="AP1213" s="95" t="s">
        <v>184</v>
      </c>
      <c r="AU1213" s="95" t="s">
        <v>1120</v>
      </c>
      <c r="AY1213" s="95">
        <v>1796</v>
      </c>
      <c r="AZ1213" s="95">
        <v>2110</v>
      </c>
      <c r="BB1213" s="95">
        <v>1.39</v>
      </c>
      <c r="BC1213" s="95">
        <v>1.29</v>
      </c>
      <c r="BE1213" s="95">
        <v>1.1000000000000001</v>
      </c>
      <c r="BF1213" s="95">
        <v>1.3</v>
      </c>
      <c r="BG1213" s="95" t="s">
        <v>1144</v>
      </c>
      <c r="CO1213" s="95">
        <v>2.31</v>
      </c>
      <c r="CP1213" s="95">
        <v>4.49</v>
      </c>
      <c r="DG1213" s="95">
        <f>0.351-0.081</f>
        <v>0.26999999999999996</v>
      </c>
      <c r="DH1213" s="95">
        <f>0.312-0.071</f>
        <v>0.24099999999999999</v>
      </c>
      <c r="DI1213" s="95" t="s">
        <v>1146</v>
      </c>
      <c r="EL1213" s="95" t="s">
        <v>1142</v>
      </c>
      <c r="EN1213" s="95">
        <v>57</v>
      </c>
    </row>
    <row r="1214" spans="1:144" s="35" customFormat="1" x14ac:dyDescent="0.25">
      <c r="A1214" s="35">
        <v>57</v>
      </c>
      <c r="B1214" s="35" t="s">
        <v>1117</v>
      </c>
      <c r="C1214" s="35" t="s">
        <v>1118</v>
      </c>
      <c r="D1214" s="35">
        <v>1990</v>
      </c>
      <c r="E1214" s="35">
        <v>1980</v>
      </c>
      <c r="F1214" s="35" t="s">
        <v>1124</v>
      </c>
      <c r="G1214" s="35" t="s">
        <v>1119</v>
      </c>
      <c r="H1214" s="35">
        <v>34.200000000000003</v>
      </c>
      <c r="I1214" s="35">
        <v>-90.58</v>
      </c>
      <c r="J1214" s="35">
        <v>55.3</v>
      </c>
      <c r="P1214" s="54" t="s">
        <v>1126</v>
      </c>
      <c r="Q1214" s="54" t="s">
        <v>1173</v>
      </c>
      <c r="R1214" s="54"/>
      <c r="S1214" s="54" t="s">
        <v>657</v>
      </c>
      <c r="T1214" s="35">
        <v>1.325</v>
      </c>
      <c r="W1214" s="35" t="s">
        <v>175</v>
      </c>
      <c r="AA1214" s="35" t="s">
        <v>1712</v>
      </c>
      <c r="AB1214" s="35" t="s">
        <v>1123</v>
      </c>
      <c r="AC1214" s="35" t="s">
        <v>788</v>
      </c>
      <c r="AJ1214" s="35" t="s">
        <v>1137</v>
      </c>
      <c r="AK1214" s="35" t="s">
        <v>1137</v>
      </c>
      <c r="AL1214" s="35" t="s">
        <v>252</v>
      </c>
      <c r="AM1214" s="35" t="s">
        <v>222</v>
      </c>
      <c r="AN1214" s="35">
        <v>4</v>
      </c>
      <c r="AO1214" s="35">
        <v>4</v>
      </c>
      <c r="AP1214" s="35" t="s">
        <v>184</v>
      </c>
      <c r="AU1214" s="35" t="s">
        <v>1120</v>
      </c>
      <c r="AY1214" s="35">
        <v>1796</v>
      </c>
      <c r="AZ1214" s="35">
        <v>1932</v>
      </c>
      <c r="EL1214" s="35" t="s">
        <v>1142</v>
      </c>
      <c r="EN1214" s="35">
        <v>57</v>
      </c>
    </row>
    <row r="1215" spans="1:144" s="47" customFormat="1" x14ac:dyDescent="0.25">
      <c r="A1215" s="47">
        <v>57</v>
      </c>
      <c r="B1215" s="47" t="s">
        <v>1117</v>
      </c>
      <c r="C1215" s="47" t="s">
        <v>1118</v>
      </c>
      <c r="D1215" s="47">
        <v>1990</v>
      </c>
      <c r="E1215" s="47">
        <v>1981</v>
      </c>
      <c r="F1215" s="47" t="s">
        <v>1124</v>
      </c>
      <c r="G1215" s="47" t="s">
        <v>1119</v>
      </c>
      <c r="H1215" s="47">
        <v>34.200000000000003</v>
      </c>
      <c r="I1215" s="47">
        <v>-90.58</v>
      </c>
      <c r="J1215" s="47">
        <v>55.3</v>
      </c>
      <c r="P1215" s="82" t="s">
        <v>1127</v>
      </c>
      <c r="Q1215" s="82" t="s">
        <v>1174</v>
      </c>
      <c r="R1215" s="82"/>
      <c r="S1215" s="82" t="s">
        <v>657</v>
      </c>
      <c r="T1215" s="47">
        <v>1.325</v>
      </c>
      <c r="W1215" s="47" t="s">
        <v>175</v>
      </c>
      <c r="AA1215" s="47" t="s">
        <v>1712</v>
      </c>
      <c r="AB1215" s="47" t="s">
        <v>326</v>
      </c>
      <c r="AC1215" s="47" t="s">
        <v>788</v>
      </c>
      <c r="AJ1215" s="47" t="s">
        <v>1138</v>
      </c>
      <c r="AK1215" s="47" t="s">
        <v>1138</v>
      </c>
      <c r="AL1215" s="47" t="s">
        <v>252</v>
      </c>
      <c r="AM1215" s="47" t="s">
        <v>222</v>
      </c>
      <c r="AN1215" s="47">
        <v>4</v>
      </c>
      <c r="AO1215" s="47">
        <v>4</v>
      </c>
      <c r="AP1215" s="47" t="s">
        <v>184</v>
      </c>
      <c r="AU1215" s="47" t="s">
        <v>1120</v>
      </c>
      <c r="AY1215" s="47">
        <v>1944</v>
      </c>
      <c r="AZ1215" s="47">
        <v>2782</v>
      </c>
      <c r="EL1215" s="47" t="s">
        <v>1142</v>
      </c>
      <c r="EN1215" s="47">
        <v>57</v>
      </c>
    </row>
    <row r="1216" spans="1:144" s="95" customFormat="1" x14ac:dyDescent="0.25">
      <c r="A1216" s="95">
        <v>57</v>
      </c>
      <c r="B1216" s="95" t="s">
        <v>1117</v>
      </c>
      <c r="C1216" s="95" t="s">
        <v>1118</v>
      </c>
      <c r="D1216" s="95">
        <v>1990</v>
      </c>
      <c r="E1216" s="95">
        <v>1981</v>
      </c>
      <c r="F1216" s="95" t="s">
        <v>1124</v>
      </c>
      <c r="G1216" s="95" t="s">
        <v>1119</v>
      </c>
      <c r="H1216" s="95">
        <v>34.200000000000003</v>
      </c>
      <c r="I1216" s="95">
        <v>-90.58</v>
      </c>
      <c r="J1216" s="95">
        <v>55.3</v>
      </c>
      <c r="P1216" s="96" t="s">
        <v>1127</v>
      </c>
      <c r="Q1216" s="96" t="s">
        <v>1174</v>
      </c>
      <c r="R1216" s="96"/>
      <c r="S1216" s="96" t="s">
        <v>1143</v>
      </c>
      <c r="T1216" s="95">
        <v>1.325</v>
      </c>
      <c r="W1216" s="95" t="s">
        <v>175</v>
      </c>
      <c r="AA1216" s="95" t="s">
        <v>1712</v>
      </c>
      <c r="AB1216" s="95" t="s">
        <v>1122</v>
      </c>
      <c r="AC1216" s="95" t="s">
        <v>788</v>
      </c>
      <c r="AJ1216" s="95" t="s">
        <v>1138</v>
      </c>
      <c r="AK1216" s="95" t="s">
        <v>1138</v>
      </c>
      <c r="AL1216" s="95" t="s">
        <v>252</v>
      </c>
      <c r="AM1216" s="95" t="s">
        <v>222</v>
      </c>
      <c r="AN1216" s="95">
        <v>4</v>
      </c>
      <c r="AO1216" s="95">
        <v>4</v>
      </c>
      <c r="AP1216" s="95" t="s">
        <v>184</v>
      </c>
      <c r="AU1216" s="95" t="s">
        <v>1120</v>
      </c>
      <c r="AY1216" s="95">
        <v>1944</v>
      </c>
      <c r="AZ1216" s="95">
        <v>2947</v>
      </c>
      <c r="BB1216" s="95">
        <v>1.39</v>
      </c>
      <c r="BC1216" s="95">
        <v>1.34</v>
      </c>
      <c r="BE1216" s="95">
        <v>1.1000000000000001</v>
      </c>
      <c r="BF1216" s="95">
        <v>0.9</v>
      </c>
      <c r="BG1216" s="95" t="s">
        <v>1144</v>
      </c>
      <c r="CO1216" s="95">
        <v>1.43</v>
      </c>
      <c r="CP1216" s="95">
        <v>5.13</v>
      </c>
      <c r="DG1216" s="95">
        <f>0.299-0.087</f>
        <v>0.21199999999999999</v>
      </c>
      <c r="DH1216" s="95">
        <f>0.308-0.087</f>
        <v>0.221</v>
      </c>
      <c r="DI1216" s="95" t="s">
        <v>1146</v>
      </c>
      <c r="EL1216" s="95" t="s">
        <v>1142</v>
      </c>
      <c r="EN1216" s="95">
        <v>57</v>
      </c>
    </row>
    <row r="1217" spans="1:144" s="47" customFormat="1" x14ac:dyDescent="0.25">
      <c r="A1217" s="47">
        <v>57</v>
      </c>
      <c r="B1217" s="47" t="s">
        <v>1117</v>
      </c>
      <c r="C1217" s="47" t="s">
        <v>1118</v>
      </c>
      <c r="D1217" s="47">
        <v>1990</v>
      </c>
      <c r="E1217" s="47">
        <v>1981</v>
      </c>
      <c r="F1217" s="47" t="s">
        <v>1124</v>
      </c>
      <c r="G1217" s="47" t="s">
        <v>1119</v>
      </c>
      <c r="H1217" s="47">
        <v>34.200000000000003</v>
      </c>
      <c r="I1217" s="47">
        <v>-90.58</v>
      </c>
      <c r="J1217" s="47">
        <v>55.3</v>
      </c>
      <c r="P1217" s="82" t="s">
        <v>1127</v>
      </c>
      <c r="Q1217" s="82" t="s">
        <v>1174</v>
      </c>
      <c r="R1217" s="82"/>
      <c r="S1217" s="82" t="s">
        <v>657</v>
      </c>
      <c r="T1217" s="47">
        <v>1.325</v>
      </c>
      <c r="W1217" s="47" t="s">
        <v>175</v>
      </c>
      <c r="AA1217" s="47" t="s">
        <v>1712</v>
      </c>
      <c r="AB1217" s="47" t="s">
        <v>1123</v>
      </c>
      <c r="AC1217" s="47" t="s">
        <v>788</v>
      </c>
      <c r="AJ1217" s="47" t="s">
        <v>1138</v>
      </c>
      <c r="AK1217" s="47" t="s">
        <v>1138</v>
      </c>
      <c r="AL1217" s="47" t="s">
        <v>252</v>
      </c>
      <c r="AM1217" s="47" t="s">
        <v>222</v>
      </c>
      <c r="AN1217" s="47">
        <v>4</v>
      </c>
      <c r="AO1217" s="47">
        <v>4</v>
      </c>
      <c r="AP1217" s="47" t="s">
        <v>184</v>
      </c>
      <c r="AU1217" s="47" t="s">
        <v>1120</v>
      </c>
      <c r="AY1217" s="47">
        <v>1944</v>
      </c>
      <c r="AZ1217" s="47">
        <v>2395</v>
      </c>
      <c r="EL1217" s="47" t="s">
        <v>1142</v>
      </c>
      <c r="EN1217" s="47">
        <v>57</v>
      </c>
    </row>
    <row r="1218" spans="1:144" s="91" customFormat="1" x14ac:dyDescent="0.25">
      <c r="A1218" s="91">
        <v>57</v>
      </c>
      <c r="B1218" s="91" t="s">
        <v>1117</v>
      </c>
      <c r="C1218" s="91" t="s">
        <v>1118</v>
      </c>
      <c r="D1218" s="91">
        <v>1990</v>
      </c>
      <c r="E1218" s="91">
        <v>1983</v>
      </c>
      <c r="F1218" s="91" t="s">
        <v>1124</v>
      </c>
      <c r="G1218" s="91" t="s">
        <v>1119</v>
      </c>
      <c r="H1218" s="91">
        <v>34.200000000000003</v>
      </c>
      <c r="I1218" s="91">
        <v>-90.58</v>
      </c>
      <c r="J1218" s="91">
        <v>55.3</v>
      </c>
      <c r="P1218" s="92" t="s">
        <v>1128</v>
      </c>
      <c r="Q1218" s="92" t="s">
        <v>1175</v>
      </c>
      <c r="R1218" s="92"/>
      <c r="S1218" s="82" t="s">
        <v>657</v>
      </c>
      <c r="T1218" s="91">
        <v>1.325</v>
      </c>
      <c r="W1218" s="91" t="s">
        <v>175</v>
      </c>
      <c r="AA1218" s="91" t="s">
        <v>1712</v>
      </c>
      <c r="AB1218" s="91" t="s">
        <v>326</v>
      </c>
      <c r="AC1218" s="91" t="s">
        <v>788</v>
      </c>
      <c r="AJ1218" s="91" t="s">
        <v>1139</v>
      </c>
      <c r="AK1218" s="91" t="s">
        <v>1139</v>
      </c>
      <c r="AL1218" s="91" t="s">
        <v>252</v>
      </c>
      <c r="AM1218" s="91" t="s">
        <v>222</v>
      </c>
      <c r="AN1218" s="91">
        <v>4</v>
      </c>
      <c r="AO1218" s="91">
        <v>4</v>
      </c>
      <c r="AP1218" s="91" t="s">
        <v>184</v>
      </c>
      <c r="AR1218" s="91">
        <v>3117</v>
      </c>
      <c r="AU1218" s="91" t="s">
        <v>1120</v>
      </c>
      <c r="AY1218" s="91">
        <v>2930</v>
      </c>
      <c r="AZ1218" s="91">
        <v>3145</v>
      </c>
      <c r="EL1218" s="91" t="s">
        <v>1142</v>
      </c>
      <c r="EN1218" s="91">
        <v>57</v>
      </c>
    </row>
    <row r="1219" spans="1:144" s="91" customFormat="1" x14ac:dyDescent="0.25">
      <c r="A1219" s="91">
        <v>57</v>
      </c>
      <c r="B1219" s="91" t="s">
        <v>1117</v>
      </c>
      <c r="C1219" s="91" t="s">
        <v>1118</v>
      </c>
      <c r="D1219" s="91">
        <v>1990</v>
      </c>
      <c r="E1219" s="91">
        <v>1983</v>
      </c>
      <c r="F1219" s="91" t="s">
        <v>1124</v>
      </c>
      <c r="G1219" s="91" t="s">
        <v>1119</v>
      </c>
      <c r="H1219" s="91">
        <v>34.200000000000003</v>
      </c>
      <c r="I1219" s="91">
        <v>-90.58</v>
      </c>
      <c r="J1219" s="91">
        <v>55.3</v>
      </c>
      <c r="P1219" s="92" t="s">
        <v>1128</v>
      </c>
      <c r="Q1219" s="92" t="s">
        <v>1175</v>
      </c>
      <c r="R1219" s="92"/>
      <c r="S1219" s="82" t="s">
        <v>657</v>
      </c>
      <c r="T1219" s="91">
        <v>1.325</v>
      </c>
      <c r="W1219" s="91" t="s">
        <v>175</v>
      </c>
      <c r="AA1219" s="91" t="s">
        <v>1712</v>
      </c>
      <c r="AB1219" s="91" t="s">
        <v>1122</v>
      </c>
      <c r="AC1219" s="91" t="s">
        <v>788</v>
      </c>
      <c r="AJ1219" s="91" t="s">
        <v>1139</v>
      </c>
      <c r="AK1219" s="91" t="s">
        <v>1139</v>
      </c>
      <c r="AL1219" s="91" t="s">
        <v>252</v>
      </c>
      <c r="AM1219" s="91" t="s">
        <v>222</v>
      </c>
      <c r="AN1219" s="91">
        <v>4</v>
      </c>
      <c r="AO1219" s="91">
        <v>4</v>
      </c>
      <c r="AP1219" s="91" t="s">
        <v>184</v>
      </c>
      <c r="AR1219" s="91">
        <v>2615</v>
      </c>
      <c r="AU1219" s="91" t="s">
        <v>1120</v>
      </c>
      <c r="AY1219" s="91">
        <v>2930</v>
      </c>
      <c r="AZ1219" s="91">
        <v>3156</v>
      </c>
      <c r="EL1219" s="91" t="s">
        <v>1142</v>
      </c>
      <c r="EN1219" s="91">
        <v>57</v>
      </c>
    </row>
    <row r="1220" spans="1:144" s="91" customFormat="1" x14ac:dyDescent="0.25">
      <c r="A1220" s="91">
        <v>57</v>
      </c>
      <c r="B1220" s="91" t="s">
        <v>1117</v>
      </c>
      <c r="C1220" s="91" t="s">
        <v>1118</v>
      </c>
      <c r="D1220" s="91">
        <v>1990</v>
      </c>
      <c r="E1220" s="91">
        <v>1983</v>
      </c>
      <c r="F1220" s="91" t="s">
        <v>1124</v>
      </c>
      <c r="G1220" s="91" t="s">
        <v>1119</v>
      </c>
      <c r="H1220" s="91">
        <v>34.200000000000003</v>
      </c>
      <c r="I1220" s="91">
        <v>-90.58</v>
      </c>
      <c r="J1220" s="91">
        <v>55.3</v>
      </c>
      <c r="P1220" s="92" t="s">
        <v>1128</v>
      </c>
      <c r="Q1220" s="92" t="s">
        <v>1175</v>
      </c>
      <c r="R1220" s="92"/>
      <c r="S1220" s="92" t="s">
        <v>657</v>
      </c>
      <c r="T1220" s="91">
        <v>1.325</v>
      </c>
      <c r="W1220" s="91" t="s">
        <v>175</v>
      </c>
      <c r="AA1220" s="91" t="s">
        <v>1712</v>
      </c>
      <c r="AB1220" s="91" t="s">
        <v>1123</v>
      </c>
      <c r="AC1220" s="91" t="s">
        <v>788</v>
      </c>
      <c r="AJ1220" s="91" t="s">
        <v>1139</v>
      </c>
      <c r="AK1220" s="91" t="s">
        <v>1139</v>
      </c>
      <c r="AL1220" s="91" t="s">
        <v>252</v>
      </c>
      <c r="AM1220" s="91" t="s">
        <v>222</v>
      </c>
      <c r="AN1220" s="91">
        <v>4</v>
      </c>
      <c r="AO1220" s="91">
        <v>4</v>
      </c>
      <c r="AP1220" s="91" t="s">
        <v>184</v>
      </c>
      <c r="AR1220" s="91">
        <v>4054</v>
      </c>
      <c r="AU1220" s="91" t="s">
        <v>1120</v>
      </c>
      <c r="AY1220" s="91">
        <v>2930</v>
      </c>
      <c r="AZ1220" s="91">
        <v>3053</v>
      </c>
      <c r="EL1220" s="91" t="s">
        <v>1142</v>
      </c>
      <c r="EN1220" s="91">
        <v>57</v>
      </c>
    </row>
    <row r="1221" spans="1:144" s="35" customFormat="1" x14ac:dyDescent="0.25">
      <c r="A1221" s="35">
        <v>57</v>
      </c>
      <c r="B1221" s="35" t="s">
        <v>1117</v>
      </c>
      <c r="C1221" s="35" t="s">
        <v>1118</v>
      </c>
      <c r="D1221" s="35">
        <v>1990</v>
      </c>
      <c r="E1221" s="35">
        <v>1984</v>
      </c>
      <c r="F1221" s="35" t="s">
        <v>1124</v>
      </c>
      <c r="G1221" s="35" t="s">
        <v>1119</v>
      </c>
      <c r="H1221" s="35">
        <v>34.200000000000003</v>
      </c>
      <c r="I1221" s="35">
        <v>-90.58</v>
      </c>
      <c r="J1221" s="35">
        <v>55.3</v>
      </c>
      <c r="P1221" s="54" t="s">
        <v>1129</v>
      </c>
      <c r="Q1221" s="54" t="s">
        <v>1176</v>
      </c>
      <c r="R1221" s="54"/>
      <c r="S1221" s="54" t="s">
        <v>657</v>
      </c>
      <c r="T1221" s="35">
        <v>1.325</v>
      </c>
      <c r="W1221" s="35" t="s">
        <v>175</v>
      </c>
      <c r="AA1221" s="35" t="s">
        <v>1712</v>
      </c>
      <c r="AB1221" s="35" t="s">
        <v>326</v>
      </c>
      <c r="AC1221" s="35" t="s">
        <v>788</v>
      </c>
      <c r="AJ1221" s="35" t="s">
        <v>1140</v>
      </c>
      <c r="AK1221" s="35" t="s">
        <v>1140</v>
      </c>
      <c r="AL1221" s="35" t="s">
        <v>252</v>
      </c>
      <c r="AM1221" s="35" t="s">
        <v>222</v>
      </c>
      <c r="AN1221" s="35">
        <v>4</v>
      </c>
      <c r="AO1221" s="35">
        <v>4</v>
      </c>
      <c r="AP1221" s="35" t="s">
        <v>184</v>
      </c>
      <c r="AU1221" s="35" t="s">
        <v>1120</v>
      </c>
      <c r="AY1221" s="35">
        <v>2012</v>
      </c>
      <c r="AZ1221" s="35">
        <v>2461</v>
      </c>
      <c r="EL1221" s="35" t="s">
        <v>1142</v>
      </c>
      <c r="EN1221" s="35">
        <v>57</v>
      </c>
    </row>
    <row r="1222" spans="1:144" s="35" customFormat="1" x14ac:dyDescent="0.25">
      <c r="A1222" s="35">
        <v>57</v>
      </c>
      <c r="B1222" s="35" t="s">
        <v>1117</v>
      </c>
      <c r="C1222" s="35" t="s">
        <v>1118</v>
      </c>
      <c r="D1222" s="35">
        <v>1990</v>
      </c>
      <c r="E1222" s="35">
        <v>1984</v>
      </c>
      <c r="F1222" s="35" t="s">
        <v>1124</v>
      </c>
      <c r="G1222" s="35" t="s">
        <v>1119</v>
      </c>
      <c r="H1222" s="35">
        <v>34.200000000000003</v>
      </c>
      <c r="I1222" s="35">
        <v>-90.58</v>
      </c>
      <c r="J1222" s="35">
        <v>55.3</v>
      </c>
      <c r="P1222" s="54" t="s">
        <v>1129</v>
      </c>
      <c r="Q1222" s="54" t="s">
        <v>1176</v>
      </c>
      <c r="R1222" s="54"/>
      <c r="S1222" s="54" t="s">
        <v>657</v>
      </c>
      <c r="T1222" s="35">
        <v>1.325</v>
      </c>
      <c r="W1222" s="35" t="s">
        <v>175</v>
      </c>
      <c r="AA1222" s="35" t="s">
        <v>1712</v>
      </c>
      <c r="AB1222" s="35" t="s">
        <v>1122</v>
      </c>
      <c r="AC1222" s="35" t="s">
        <v>788</v>
      </c>
      <c r="AJ1222" s="35" t="s">
        <v>1140</v>
      </c>
      <c r="AK1222" s="35" t="s">
        <v>1140</v>
      </c>
      <c r="AL1222" s="35" t="s">
        <v>252</v>
      </c>
      <c r="AM1222" s="35" t="s">
        <v>222</v>
      </c>
      <c r="AN1222" s="35">
        <v>4</v>
      </c>
      <c r="AO1222" s="35">
        <v>4</v>
      </c>
      <c r="AP1222" s="35" t="s">
        <v>184</v>
      </c>
      <c r="AU1222" s="35" t="s">
        <v>1120</v>
      </c>
      <c r="AY1222" s="35">
        <v>2012</v>
      </c>
      <c r="AZ1222" s="35">
        <v>2581</v>
      </c>
      <c r="EL1222" s="35" t="s">
        <v>1142</v>
      </c>
      <c r="EN1222" s="35">
        <v>57</v>
      </c>
    </row>
    <row r="1223" spans="1:144" s="35" customFormat="1" x14ac:dyDescent="0.25">
      <c r="A1223" s="35">
        <v>57</v>
      </c>
      <c r="B1223" s="35" t="s">
        <v>1117</v>
      </c>
      <c r="C1223" s="35" t="s">
        <v>1118</v>
      </c>
      <c r="D1223" s="35">
        <v>1990</v>
      </c>
      <c r="E1223" s="35">
        <v>1984</v>
      </c>
      <c r="F1223" s="35" t="s">
        <v>1124</v>
      </c>
      <c r="G1223" s="35" t="s">
        <v>1119</v>
      </c>
      <c r="H1223" s="35">
        <v>34.200000000000003</v>
      </c>
      <c r="I1223" s="35">
        <v>-90.58</v>
      </c>
      <c r="J1223" s="35">
        <v>55.3</v>
      </c>
      <c r="P1223" s="54" t="s">
        <v>1129</v>
      </c>
      <c r="Q1223" s="54" t="s">
        <v>1176</v>
      </c>
      <c r="R1223" s="54"/>
      <c r="S1223" s="54" t="s">
        <v>657</v>
      </c>
      <c r="T1223" s="35">
        <v>1.325</v>
      </c>
      <c r="W1223" s="35" t="s">
        <v>175</v>
      </c>
      <c r="AA1223" s="35" t="s">
        <v>1712</v>
      </c>
      <c r="AB1223" s="35" t="s">
        <v>1123</v>
      </c>
      <c r="AC1223" s="35" t="s">
        <v>788</v>
      </c>
      <c r="AJ1223" s="35" t="s">
        <v>1140</v>
      </c>
      <c r="AK1223" s="35" t="s">
        <v>1140</v>
      </c>
      <c r="AL1223" s="35" t="s">
        <v>252</v>
      </c>
      <c r="AM1223" s="35" t="s">
        <v>222</v>
      </c>
      <c r="AN1223" s="35">
        <v>4</v>
      </c>
      <c r="AO1223" s="35">
        <v>4</v>
      </c>
      <c r="AP1223" s="35" t="s">
        <v>184</v>
      </c>
      <c r="AU1223" s="35" t="s">
        <v>1120</v>
      </c>
      <c r="AY1223" s="35">
        <v>2012</v>
      </c>
      <c r="AZ1223" s="35">
        <v>2389</v>
      </c>
      <c r="EL1223" s="35" t="s">
        <v>1142</v>
      </c>
      <c r="EN1223" s="35">
        <v>57</v>
      </c>
    </row>
    <row r="1224" spans="1:144" s="91" customFormat="1" x14ac:dyDescent="0.25">
      <c r="A1224" s="91">
        <v>57</v>
      </c>
      <c r="B1224" s="91" t="s">
        <v>1117</v>
      </c>
      <c r="C1224" s="91" t="s">
        <v>1118</v>
      </c>
      <c r="D1224" s="91">
        <v>1990</v>
      </c>
      <c r="E1224" s="91">
        <v>1985</v>
      </c>
      <c r="F1224" s="91" t="s">
        <v>1124</v>
      </c>
      <c r="G1224" s="91" t="s">
        <v>1119</v>
      </c>
      <c r="H1224" s="91">
        <v>34.200000000000003</v>
      </c>
      <c r="I1224" s="91">
        <v>-90.58</v>
      </c>
      <c r="J1224" s="91">
        <v>55.3</v>
      </c>
      <c r="P1224" s="92" t="s">
        <v>1130</v>
      </c>
      <c r="Q1224" s="92" t="s">
        <v>1177</v>
      </c>
      <c r="R1224" s="92"/>
      <c r="S1224" s="92" t="s">
        <v>657</v>
      </c>
      <c r="T1224" s="91">
        <v>1.325</v>
      </c>
      <c r="W1224" s="91" t="s">
        <v>175</v>
      </c>
      <c r="AA1224" s="91" t="s">
        <v>1712</v>
      </c>
      <c r="AB1224" s="91" t="s">
        <v>326</v>
      </c>
      <c r="AC1224" s="91" t="s">
        <v>788</v>
      </c>
      <c r="AJ1224" s="91" t="s">
        <v>1140</v>
      </c>
      <c r="AK1224" s="91" t="s">
        <v>1140</v>
      </c>
      <c r="AL1224" s="91" t="s">
        <v>252</v>
      </c>
      <c r="AM1224" s="91" t="s">
        <v>222</v>
      </c>
      <c r="AN1224" s="91">
        <v>4</v>
      </c>
      <c r="AO1224" s="91">
        <v>4</v>
      </c>
      <c r="AP1224" s="91" t="s">
        <v>184</v>
      </c>
      <c r="AR1224" s="91">
        <v>2100</v>
      </c>
      <c r="AU1224" s="91" t="s">
        <v>1120</v>
      </c>
      <c r="AY1224" s="91">
        <v>3471</v>
      </c>
      <c r="AZ1224" s="91">
        <v>3693</v>
      </c>
      <c r="EL1224" s="91" t="s">
        <v>1142</v>
      </c>
      <c r="EN1224" s="91">
        <v>57</v>
      </c>
    </row>
    <row r="1225" spans="1:144" s="91" customFormat="1" x14ac:dyDescent="0.25">
      <c r="A1225" s="91">
        <v>57</v>
      </c>
      <c r="B1225" s="91" t="s">
        <v>1117</v>
      </c>
      <c r="C1225" s="91" t="s">
        <v>1118</v>
      </c>
      <c r="D1225" s="91">
        <v>1990</v>
      </c>
      <c r="E1225" s="91">
        <v>1985</v>
      </c>
      <c r="F1225" s="91" t="s">
        <v>1124</v>
      </c>
      <c r="G1225" s="91" t="s">
        <v>1119</v>
      </c>
      <c r="H1225" s="91">
        <v>34.200000000000003</v>
      </c>
      <c r="I1225" s="91">
        <v>-90.58</v>
      </c>
      <c r="J1225" s="91">
        <v>55.3</v>
      </c>
      <c r="P1225" s="92" t="s">
        <v>1130</v>
      </c>
      <c r="Q1225" s="92" t="s">
        <v>1177</v>
      </c>
      <c r="R1225" s="92"/>
      <c r="S1225" s="92" t="s">
        <v>657</v>
      </c>
      <c r="T1225" s="91">
        <v>1.325</v>
      </c>
      <c r="W1225" s="91" t="s">
        <v>175</v>
      </c>
      <c r="AA1225" s="91" t="s">
        <v>1712</v>
      </c>
      <c r="AB1225" s="91" t="s">
        <v>1122</v>
      </c>
      <c r="AC1225" s="91" t="s">
        <v>788</v>
      </c>
      <c r="AJ1225" s="91" t="s">
        <v>1140</v>
      </c>
      <c r="AK1225" s="91" t="s">
        <v>1140</v>
      </c>
      <c r="AL1225" s="91" t="s">
        <v>252</v>
      </c>
      <c r="AM1225" s="91" t="s">
        <v>222</v>
      </c>
      <c r="AN1225" s="91">
        <v>4</v>
      </c>
      <c r="AO1225" s="91">
        <v>4</v>
      </c>
      <c r="AP1225" s="91" t="s">
        <v>184</v>
      </c>
      <c r="AR1225" s="91">
        <v>1999</v>
      </c>
      <c r="AU1225" s="91" t="s">
        <v>1120</v>
      </c>
      <c r="AY1225" s="91">
        <v>3471</v>
      </c>
      <c r="AZ1225" s="91">
        <v>3845</v>
      </c>
      <c r="EL1225" s="91" t="s">
        <v>1142</v>
      </c>
      <c r="EN1225" s="91">
        <v>57</v>
      </c>
    </row>
    <row r="1226" spans="1:144" s="91" customFormat="1" x14ac:dyDescent="0.25">
      <c r="A1226" s="91">
        <v>57</v>
      </c>
      <c r="B1226" s="91" t="s">
        <v>1117</v>
      </c>
      <c r="C1226" s="91" t="s">
        <v>1118</v>
      </c>
      <c r="D1226" s="91">
        <v>1990</v>
      </c>
      <c r="E1226" s="91">
        <v>1985</v>
      </c>
      <c r="F1226" s="91" t="s">
        <v>1124</v>
      </c>
      <c r="G1226" s="91" t="s">
        <v>1119</v>
      </c>
      <c r="H1226" s="91">
        <v>34.200000000000003</v>
      </c>
      <c r="I1226" s="91">
        <v>-90.58</v>
      </c>
      <c r="J1226" s="91">
        <v>55.3</v>
      </c>
      <c r="P1226" s="92" t="s">
        <v>1130</v>
      </c>
      <c r="Q1226" s="92" t="s">
        <v>1177</v>
      </c>
      <c r="R1226" s="92"/>
      <c r="S1226" s="92" t="s">
        <v>657</v>
      </c>
      <c r="T1226" s="91">
        <v>1.325</v>
      </c>
      <c r="W1226" s="91" t="s">
        <v>175</v>
      </c>
      <c r="AA1226" s="91" t="s">
        <v>1712</v>
      </c>
      <c r="AB1226" s="91" t="s">
        <v>1123</v>
      </c>
      <c r="AC1226" s="91" t="s">
        <v>788</v>
      </c>
      <c r="AJ1226" s="91" t="s">
        <v>1140</v>
      </c>
      <c r="AK1226" s="91" t="s">
        <v>1140</v>
      </c>
      <c r="AL1226" s="91" t="s">
        <v>252</v>
      </c>
      <c r="AM1226" s="91" t="s">
        <v>222</v>
      </c>
      <c r="AN1226" s="91">
        <v>4</v>
      </c>
      <c r="AO1226" s="91">
        <v>4</v>
      </c>
      <c r="AP1226" s="91" t="s">
        <v>184</v>
      </c>
      <c r="AR1226" s="91">
        <v>3151</v>
      </c>
      <c r="AU1226" s="91" t="s">
        <v>1120</v>
      </c>
      <c r="AY1226" s="91">
        <v>3471</v>
      </c>
      <c r="AZ1226" s="91">
        <v>3666</v>
      </c>
      <c r="EL1226" s="91" t="s">
        <v>1142</v>
      </c>
      <c r="EN1226" s="91">
        <v>57</v>
      </c>
    </row>
    <row r="1227" spans="1:144" s="35" customFormat="1" x14ac:dyDescent="0.25">
      <c r="A1227" s="35">
        <v>57</v>
      </c>
      <c r="B1227" s="35" t="s">
        <v>1117</v>
      </c>
      <c r="C1227" s="35" t="s">
        <v>1118</v>
      </c>
      <c r="D1227" s="35">
        <v>1990</v>
      </c>
      <c r="E1227" s="35">
        <v>1986</v>
      </c>
      <c r="F1227" s="35" t="s">
        <v>1124</v>
      </c>
      <c r="G1227" s="35" t="s">
        <v>1119</v>
      </c>
      <c r="H1227" s="35">
        <v>34.200000000000003</v>
      </c>
      <c r="I1227" s="35">
        <v>-90.58</v>
      </c>
      <c r="J1227" s="35">
        <v>55.3</v>
      </c>
      <c r="P1227" s="54" t="s">
        <v>1131</v>
      </c>
      <c r="Q1227" s="54" t="s">
        <v>1164</v>
      </c>
      <c r="R1227" s="54"/>
      <c r="S1227" s="54" t="s">
        <v>657</v>
      </c>
      <c r="T1227" s="35">
        <v>1.325</v>
      </c>
      <c r="W1227" s="35" t="s">
        <v>175</v>
      </c>
      <c r="AA1227" s="35" t="s">
        <v>1712</v>
      </c>
      <c r="AB1227" s="35" t="s">
        <v>326</v>
      </c>
      <c r="AC1227" s="35" t="s">
        <v>788</v>
      </c>
      <c r="AJ1227" s="35" t="s">
        <v>1135</v>
      </c>
      <c r="AK1227" s="35" t="s">
        <v>1135</v>
      </c>
      <c r="AL1227" s="35" t="s">
        <v>252</v>
      </c>
      <c r="AM1227" s="35" t="s">
        <v>222</v>
      </c>
      <c r="AN1227" s="35">
        <v>4</v>
      </c>
      <c r="AO1227" s="35">
        <v>4</v>
      </c>
      <c r="AP1227" s="35" t="s">
        <v>184</v>
      </c>
      <c r="AU1227" s="35" t="s">
        <v>1120</v>
      </c>
      <c r="AY1227" s="35">
        <v>2664</v>
      </c>
      <c r="AZ1227" s="35">
        <v>2351</v>
      </c>
      <c r="EL1227" s="35" t="s">
        <v>1142</v>
      </c>
      <c r="EN1227" s="35">
        <v>57</v>
      </c>
    </row>
    <row r="1228" spans="1:144" s="35" customFormat="1" x14ac:dyDescent="0.25">
      <c r="A1228" s="35">
        <v>57</v>
      </c>
      <c r="B1228" s="35" t="s">
        <v>1117</v>
      </c>
      <c r="C1228" s="35" t="s">
        <v>1118</v>
      </c>
      <c r="D1228" s="35">
        <v>1990</v>
      </c>
      <c r="E1228" s="35">
        <v>1986</v>
      </c>
      <c r="F1228" s="35" t="s">
        <v>1124</v>
      </c>
      <c r="G1228" s="35" t="s">
        <v>1119</v>
      </c>
      <c r="H1228" s="35">
        <v>34.200000000000003</v>
      </c>
      <c r="I1228" s="35">
        <v>-90.58</v>
      </c>
      <c r="J1228" s="35">
        <v>55.3</v>
      </c>
      <c r="P1228" s="54" t="s">
        <v>1131</v>
      </c>
      <c r="Q1228" s="54" t="s">
        <v>1164</v>
      </c>
      <c r="R1228" s="54"/>
      <c r="S1228" s="54" t="s">
        <v>657</v>
      </c>
      <c r="T1228" s="35">
        <v>1.325</v>
      </c>
      <c r="W1228" s="35" t="s">
        <v>175</v>
      </c>
      <c r="AA1228" s="35" t="s">
        <v>1712</v>
      </c>
      <c r="AB1228" s="35" t="s">
        <v>1122</v>
      </c>
      <c r="AC1228" s="35" t="s">
        <v>788</v>
      </c>
      <c r="AJ1228" s="35" t="s">
        <v>1135</v>
      </c>
      <c r="AK1228" s="35" t="s">
        <v>1135</v>
      </c>
      <c r="AL1228" s="35" t="s">
        <v>252</v>
      </c>
      <c r="AM1228" s="35" t="s">
        <v>222</v>
      </c>
      <c r="AN1228" s="35">
        <v>4</v>
      </c>
      <c r="AO1228" s="35">
        <v>4</v>
      </c>
      <c r="AP1228" s="35" t="s">
        <v>184</v>
      </c>
      <c r="AU1228" s="35" t="s">
        <v>1120</v>
      </c>
      <c r="AY1228" s="35">
        <v>2664</v>
      </c>
      <c r="AZ1228" s="35">
        <v>2610</v>
      </c>
      <c r="EL1228" s="35" t="s">
        <v>1142</v>
      </c>
      <c r="EN1228" s="35">
        <v>57</v>
      </c>
    </row>
    <row r="1229" spans="1:144" s="35" customFormat="1" x14ac:dyDescent="0.25">
      <c r="A1229" s="35">
        <v>57</v>
      </c>
      <c r="B1229" s="35" t="s">
        <v>1117</v>
      </c>
      <c r="C1229" s="35" t="s">
        <v>1118</v>
      </c>
      <c r="D1229" s="35">
        <v>1990</v>
      </c>
      <c r="E1229" s="35">
        <v>1986</v>
      </c>
      <c r="F1229" s="35" t="s">
        <v>1124</v>
      </c>
      <c r="G1229" s="35" t="s">
        <v>1119</v>
      </c>
      <c r="H1229" s="35">
        <v>34.200000000000003</v>
      </c>
      <c r="I1229" s="35">
        <v>-90.58</v>
      </c>
      <c r="J1229" s="35">
        <v>55.3</v>
      </c>
      <c r="P1229" s="54" t="s">
        <v>1131</v>
      </c>
      <c r="Q1229" s="54" t="s">
        <v>1164</v>
      </c>
      <c r="R1229" s="54"/>
      <c r="S1229" s="54" t="s">
        <v>657</v>
      </c>
      <c r="T1229" s="35">
        <v>1.325</v>
      </c>
      <c r="W1229" s="35" t="s">
        <v>175</v>
      </c>
      <c r="AA1229" s="35" t="s">
        <v>1712</v>
      </c>
      <c r="AB1229" s="35" t="s">
        <v>1123</v>
      </c>
      <c r="AC1229" s="35" t="s">
        <v>788</v>
      </c>
      <c r="AJ1229" s="35" t="s">
        <v>1135</v>
      </c>
      <c r="AK1229" s="35" t="s">
        <v>1135</v>
      </c>
      <c r="AL1229" s="35" t="s">
        <v>252</v>
      </c>
      <c r="AM1229" s="35" t="s">
        <v>222</v>
      </c>
      <c r="AN1229" s="35">
        <v>4</v>
      </c>
      <c r="AO1229" s="35">
        <v>4</v>
      </c>
      <c r="AP1229" s="35" t="s">
        <v>184</v>
      </c>
      <c r="AU1229" s="35" t="s">
        <v>1120</v>
      </c>
      <c r="AY1229" s="35">
        <v>2664</v>
      </c>
      <c r="AZ1229" s="35">
        <v>2260</v>
      </c>
      <c r="EL1229" s="35" t="s">
        <v>1142</v>
      </c>
      <c r="EN1229" s="35">
        <v>57</v>
      </c>
    </row>
    <row r="1230" spans="1:144" s="47" customFormat="1" x14ac:dyDescent="0.25">
      <c r="A1230" s="47">
        <v>57</v>
      </c>
      <c r="B1230" s="47" t="s">
        <v>1117</v>
      </c>
      <c r="C1230" s="47" t="s">
        <v>1118</v>
      </c>
      <c r="D1230" s="47">
        <v>1990</v>
      </c>
      <c r="E1230" s="47">
        <v>1987</v>
      </c>
      <c r="F1230" s="47" t="s">
        <v>1124</v>
      </c>
      <c r="G1230" s="47" t="s">
        <v>1119</v>
      </c>
      <c r="H1230" s="47">
        <v>34.200000000000003</v>
      </c>
      <c r="I1230" s="47">
        <v>-90.58</v>
      </c>
      <c r="J1230" s="47">
        <v>55.3</v>
      </c>
      <c r="P1230" s="82" t="s">
        <v>221</v>
      </c>
      <c r="Q1230" s="82" t="s">
        <v>1173</v>
      </c>
      <c r="R1230" s="82"/>
      <c r="S1230" s="82" t="s">
        <v>657</v>
      </c>
      <c r="T1230" s="47">
        <v>1.325</v>
      </c>
      <c r="W1230" s="47" t="s">
        <v>175</v>
      </c>
      <c r="AA1230" s="91" t="s">
        <v>1712</v>
      </c>
      <c r="AB1230" s="47" t="s">
        <v>326</v>
      </c>
      <c r="AC1230" s="47" t="s">
        <v>788</v>
      </c>
      <c r="AJ1230" s="47" t="s">
        <v>1135</v>
      </c>
      <c r="AK1230" s="47" t="s">
        <v>1135</v>
      </c>
      <c r="AL1230" s="47" t="s">
        <v>252</v>
      </c>
      <c r="AM1230" s="47" t="s">
        <v>222</v>
      </c>
      <c r="AN1230" s="47">
        <v>4</v>
      </c>
      <c r="AO1230" s="47">
        <v>4</v>
      </c>
      <c r="AP1230" s="47" t="s">
        <v>184</v>
      </c>
      <c r="AU1230" s="47" t="s">
        <v>1120</v>
      </c>
      <c r="AY1230" s="47">
        <v>2490</v>
      </c>
      <c r="AZ1230" s="47">
        <v>2781</v>
      </c>
      <c r="EL1230" s="47" t="s">
        <v>1142</v>
      </c>
      <c r="EN1230" s="47">
        <v>57</v>
      </c>
    </row>
    <row r="1231" spans="1:144" s="47" customFormat="1" x14ac:dyDescent="0.25">
      <c r="A1231" s="47">
        <v>57</v>
      </c>
      <c r="B1231" s="47" t="s">
        <v>1117</v>
      </c>
      <c r="C1231" s="47" t="s">
        <v>1118</v>
      </c>
      <c r="D1231" s="47">
        <v>1990</v>
      </c>
      <c r="E1231" s="47">
        <v>1987</v>
      </c>
      <c r="F1231" s="47" t="s">
        <v>1124</v>
      </c>
      <c r="G1231" s="47" t="s">
        <v>1119</v>
      </c>
      <c r="H1231" s="47">
        <v>34.200000000000003</v>
      </c>
      <c r="I1231" s="47">
        <v>-90.58</v>
      </c>
      <c r="J1231" s="47">
        <v>55.3</v>
      </c>
      <c r="P1231" s="82" t="s">
        <v>221</v>
      </c>
      <c r="Q1231" s="82" t="s">
        <v>1173</v>
      </c>
      <c r="R1231" s="82"/>
      <c r="S1231" s="82" t="s">
        <v>657</v>
      </c>
      <c r="T1231" s="47">
        <v>1.325</v>
      </c>
      <c r="W1231" s="47" t="s">
        <v>175</v>
      </c>
      <c r="AA1231" s="91" t="s">
        <v>1712</v>
      </c>
      <c r="AB1231" s="47" t="s">
        <v>1122</v>
      </c>
      <c r="AC1231" s="47" t="s">
        <v>788</v>
      </c>
      <c r="AJ1231" s="47" t="s">
        <v>1135</v>
      </c>
      <c r="AK1231" s="47" t="s">
        <v>1135</v>
      </c>
      <c r="AL1231" s="47" t="s">
        <v>252</v>
      </c>
      <c r="AM1231" s="47" t="s">
        <v>222</v>
      </c>
      <c r="AN1231" s="47">
        <v>4</v>
      </c>
      <c r="AO1231" s="47">
        <v>4</v>
      </c>
      <c r="AP1231" s="47" t="s">
        <v>184</v>
      </c>
      <c r="AU1231" s="47" t="s">
        <v>1120</v>
      </c>
      <c r="AY1231" s="47">
        <v>2490</v>
      </c>
      <c r="AZ1231" s="47">
        <v>2798</v>
      </c>
      <c r="EL1231" s="47" t="s">
        <v>1142</v>
      </c>
      <c r="EN1231" s="47">
        <v>57</v>
      </c>
    </row>
    <row r="1232" spans="1:144" s="47" customFormat="1" x14ac:dyDescent="0.25">
      <c r="A1232" s="47">
        <v>57</v>
      </c>
      <c r="B1232" s="47" t="s">
        <v>1117</v>
      </c>
      <c r="C1232" s="47" t="s">
        <v>1118</v>
      </c>
      <c r="D1232" s="47">
        <v>1990</v>
      </c>
      <c r="E1232" s="47">
        <v>1987</v>
      </c>
      <c r="F1232" s="47" t="s">
        <v>1124</v>
      </c>
      <c r="G1232" s="47" t="s">
        <v>1119</v>
      </c>
      <c r="H1232" s="47">
        <v>34.200000000000003</v>
      </c>
      <c r="I1232" s="47">
        <v>-90.58</v>
      </c>
      <c r="J1232" s="47">
        <v>55.3</v>
      </c>
      <c r="P1232" s="82" t="s">
        <v>221</v>
      </c>
      <c r="Q1232" s="82" t="s">
        <v>1173</v>
      </c>
      <c r="R1232" s="82"/>
      <c r="S1232" s="82" t="s">
        <v>657</v>
      </c>
      <c r="T1232" s="47">
        <v>1.325</v>
      </c>
      <c r="W1232" s="47" t="s">
        <v>175</v>
      </c>
      <c r="AA1232" s="91" t="s">
        <v>1712</v>
      </c>
      <c r="AB1232" s="47" t="s">
        <v>1123</v>
      </c>
      <c r="AC1232" s="47" t="s">
        <v>788</v>
      </c>
      <c r="AJ1232" s="47" t="s">
        <v>1135</v>
      </c>
      <c r="AK1232" s="47" t="s">
        <v>1135</v>
      </c>
      <c r="AL1232" s="47" t="s">
        <v>252</v>
      </c>
      <c r="AM1232" s="47" t="s">
        <v>222</v>
      </c>
      <c r="AN1232" s="47">
        <v>4</v>
      </c>
      <c r="AO1232" s="47">
        <v>4</v>
      </c>
      <c r="AP1232" s="47" t="s">
        <v>184</v>
      </c>
      <c r="AU1232" s="47" t="s">
        <v>1120</v>
      </c>
      <c r="AY1232" s="47">
        <v>2490</v>
      </c>
      <c r="AZ1232" s="47">
        <v>2925</v>
      </c>
      <c r="EL1232" s="47" t="s">
        <v>1142</v>
      </c>
      <c r="EN1232" s="47">
        <v>57</v>
      </c>
    </row>
    <row r="1233" spans="1:144" s="93" customFormat="1" x14ac:dyDescent="0.25">
      <c r="A1233" s="93">
        <v>57</v>
      </c>
      <c r="B1233" s="93" t="s">
        <v>1117</v>
      </c>
      <c r="C1233" s="93" t="s">
        <v>1118</v>
      </c>
      <c r="D1233" s="93">
        <v>1990</v>
      </c>
      <c r="E1233" s="93">
        <v>1988</v>
      </c>
      <c r="F1233" s="93" t="s">
        <v>1124</v>
      </c>
      <c r="G1233" s="93" t="s">
        <v>1119</v>
      </c>
      <c r="H1233" s="93">
        <v>34.200000000000003</v>
      </c>
      <c r="I1233" s="93">
        <v>-90.58</v>
      </c>
      <c r="J1233" s="93">
        <v>55.3</v>
      </c>
      <c r="P1233" s="94" t="s">
        <v>1132</v>
      </c>
      <c r="Q1233" s="94" t="s">
        <v>1178</v>
      </c>
      <c r="R1233" s="94"/>
      <c r="S1233" s="94" t="s">
        <v>657</v>
      </c>
      <c r="T1233" s="93">
        <v>1.325</v>
      </c>
      <c r="W1233" s="93" t="s">
        <v>175</v>
      </c>
      <c r="AA1233" s="35" t="s">
        <v>1712</v>
      </c>
      <c r="AB1233" s="93" t="s">
        <v>326</v>
      </c>
      <c r="AC1233" s="93" t="s">
        <v>788</v>
      </c>
      <c r="AJ1233" s="93" t="s">
        <v>1141</v>
      </c>
      <c r="AK1233" s="93" t="s">
        <v>1141</v>
      </c>
      <c r="AL1233" s="93" t="s">
        <v>252</v>
      </c>
      <c r="AM1233" s="93" t="s">
        <v>222</v>
      </c>
      <c r="AN1233" s="93">
        <v>4</v>
      </c>
      <c r="AO1233" s="93">
        <v>4</v>
      </c>
      <c r="AP1233" s="93" t="s">
        <v>184</v>
      </c>
      <c r="AR1233" s="93">
        <v>2439</v>
      </c>
      <c r="AU1233" s="93" t="s">
        <v>1120</v>
      </c>
      <c r="AY1233" s="93">
        <v>3135</v>
      </c>
      <c r="AZ1233" s="93">
        <v>2191</v>
      </c>
      <c r="EL1233" s="93" t="s">
        <v>1142</v>
      </c>
      <c r="EN1233" s="93">
        <v>57</v>
      </c>
    </row>
    <row r="1234" spans="1:144" s="93" customFormat="1" x14ac:dyDescent="0.25">
      <c r="A1234" s="93">
        <v>57</v>
      </c>
      <c r="B1234" s="93" t="s">
        <v>1117</v>
      </c>
      <c r="C1234" s="93" t="s">
        <v>1118</v>
      </c>
      <c r="D1234" s="93">
        <v>1990</v>
      </c>
      <c r="E1234" s="93">
        <v>1988</v>
      </c>
      <c r="F1234" s="93" t="s">
        <v>1124</v>
      </c>
      <c r="G1234" s="93" t="s">
        <v>1119</v>
      </c>
      <c r="H1234" s="93">
        <v>34.200000000000003</v>
      </c>
      <c r="I1234" s="93">
        <v>-90.58</v>
      </c>
      <c r="J1234" s="93">
        <v>55.3</v>
      </c>
      <c r="P1234" s="94" t="s">
        <v>1132</v>
      </c>
      <c r="Q1234" s="94" t="s">
        <v>1178</v>
      </c>
      <c r="R1234" s="94"/>
      <c r="S1234" s="94" t="s">
        <v>657</v>
      </c>
      <c r="T1234" s="93">
        <v>1.325</v>
      </c>
      <c r="W1234" s="93" t="s">
        <v>175</v>
      </c>
      <c r="AA1234" s="35" t="s">
        <v>1712</v>
      </c>
      <c r="AB1234" s="93" t="s">
        <v>1122</v>
      </c>
      <c r="AC1234" s="93" t="s">
        <v>788</v>
      </c>
      <c r="AJ1234" s="93" t="s">
        <v>1141</v>
      </c>
      <c r="AK1234" s="93" t="s">
        <v>1141</v>
      </c>
      <c r="AL1234" s="93" t="s">
        <v>252</v>
      </c>
      <c r="AM1234" s="93" t="s">
        <v>222</v>
      </c>
      <c r="AN1234" s="93">
        <v>4</v>
      </c>
      <c r="AO1234" s="93">
        <v>4</v>
      </c>
      <c r="AP1234" s="93" t="s">
        <v>184</v>
      </c>
      <c r="AR1234" s="93">
        <v>2710</v>
      </c>
      <c r="AU1234" s="93" t="s">
        <v>1120</v>
      </c>
      <c r="AY1234" s="93">
        <v>3135</v>
      </c>
      <c r="AZ1234" s="93">
        <v>2596</v>
      </c>
      <c r="EL1234" s="93" t="s">
        <v>1142</v>
      </c>
      <c r="EN1234" s="93">
        <v>57</v>
      </c>
    </row>
    <row r="1235" spans="1:144" s="93" customFormat="1" x14ac:dyDescent="0.25">
      <c r="A1235" s="93">
        <v>57</v>
      </c>
      <c r="B1235" s="93" t="s">
        <v>1117</v>
      </c>
      <c r="C1235" s="93" t="s">
        <v>1118</v>
      </c>
      <c r="D1235" s="93">
        <v>1990</v>
      </c>
      <c r="E1235" s="93">
        <v>1988</v>
      </c>
      <c r="F1235" s="93" t="s">
        <v>1124</v>
      </c>
      <c r="G1235" s="93" t="s">
        <v>1119</v>
      </c>
      <c r="H1235" s="93">
        <v>34.200000000000003</v>
      </c>
      <c r="I1235" s="93">
        <v>-90.58</v>
      </c>
      <c r="J1235" s="93">
        <v>55.3</v>
      </c>
      <c r="P1235" s="94" t="s">
        <v>1132</v>
      </c>
      <c r="Q1235" s="94" t="s">
        <v>1178</v>
      </c>
      <c r="R1235" s="94"/>
      <c r="S1235" s="94" t="s">
        <v>657</v>
      </c>
      <c r="T1235" s="93">
        <v>1.325</v>
      </c>
      <c r="W1235" s="93" t="s">
        <v>175</v>
      </c>
      <c r="AA1235" s="35" t="s">
        <v>1712</v>
      </c>
      <c r="AB1235" s="93" t="s">
        <v>1123</v>
      </c>
      <c r="AC1235" s="93" t="s">
        <v>788</v>
      </c>
      <c r="AJ1235" s="93" t="s">
        <v>1141</v>
      </c>
      <c r="AK1235" s="93" t="s">
        <v>1141</v>
      </c>
      <c r="AL1235" s="93" t="s">
        <v>252</v>
      </c>
      <c r="AM1235" s="93" t="s">
        <v>222</v>
      </c>
      <c r="AN1235" s="93">
        <v>4</v>
      </c>
      <c r="AO1235" s="93">
        <v>4</v>
      </c>
      <c r="AP1235" s="93" t="s">
        <v>184</v>
      </c>
      <c r="AR1235" s="93">
        <v>3524</v>
      </c>
      <c r="AU1235" s="93" t="s">
        <v>1120</v>
      </c>
      <c r="AY1235" s="93">
        <v>3135</v>
      </c>
      <c r="AZ1235" s="93">
        <v>2723</v>
      </c>
      <c r="EL1235" s="93" t="s">
        <v>1142</v>
      </c>
      <c r="EN1235" s="93">
        <v>57</v>
      </c>
    </row>
    <row r="1236" spans="1:144" x14ac:dyDescent="0.25">
      <c r="A1236" s="46">
        <v>58</v>
      </c>
      <c r="B1236" s="46" t="s">
        <v>1158</v>
      </c>
      <c r="C1236" s="46" t="s">
        <v>1159</v>
      </c>
      <c r="D1236" s="46">
        <v>1990</v>
      </c>
      <c r="E1236" s="46">
        <v>1987</v>
      </c>
      <c r="F1236" s="46" t="s">
        <v>1160</v>
      </c>
      <c r="G1236" s="46" t="s">
        <v>1187</v>
      </c>
      <c r="H1236" s="46">
        <v>38.92</v>
      </c>
      <c r="I1236" s="46">
        <v>-76.150000000000006</v>
      </c>
      <c r="J1236" s="46">
        <v>5</v>
      </c>
      <c r="M1236" s="46">
        <v>836</v>
      </c>
      <c r="P1236" s="81" t="s">
        <v>186</v>
      </c>
      <c r="Q1236" s="46" t="s">
        <v>1161</v>
      </c>
      <c r="R1236" s="81" t="s">
        <v>1179</v>
      </c>
      <c r="S1236" s="81" t="s">
        <v>668</v>
      </c>
      <c r="T1236" s="46">
        <v>1.5</v>
      </c>
      <c r="W1236" s="46" t="s">
        <v>175</v>
      </c>
      <c r="AA1236" s="46" t="s">
        <v>1713</v>
      </c>
      <c r="AB1236" s="46" t="s">
        <v>173</v>
      </c>
      <c r="AC1236" s="46" t="s">
        <v>174</v>
      </c>
      <c r="AG1236" s="46" t="s">
        <v>312</v>
      </c>
      <c r="AH1236" s="46" t="s">
        <v>312</v>
      </c>
      <c r="AI1236" s="46" t="s">
        <v>252</v>
      </c>
      <c r="AM1236" s="46" t="s">
        <v>160</v>
      </c>
      <c r="AN1236" s="46">
        <v>4</v>
      </c>
      <c r="AO1236" s="46">
        <v>4</v>
      </c>
      <c r="AP1236" s="46" t="s">
        <v>448</v>
      </c>
      <c r="BH1236" s="46">
        <v>9.94</v>
      </c>
      <c r="BI1236" s="46">
        <v>13.11</v>
      </c>
      <c r="BJ1236" s="46" t="s">
        <v>1186</v>
      </c>
      <c r="EN1236" s="46">
        <v>58</v>
      </c>
    </row>
    <row r="1237" spans="1:144" x14ac:dyDescent="0.25">
      <c r="A1237" s="46">
        <v>58</v>
      </c>
      <c r="B1237" s="46" t="s">
        <v>1158</v>
      </c>
      <c r="C1237" s="46" t="s">
        <v>1159</v>
      </c>
      <c r="D1237" s="46">
        <v>1990</v>
      </c>
      <c r="E1237" s="46">
        <v>1987</v>
      </c>
      <c r="F1237" s="46" t="s">
        <v>1160</v>
      </c>
      <c r="G1237" s="46" t="s">
        <v>1187</v>
      </c>
      <c r="H1237" s="46">
        <v>38.92</v>
      </c>
      <c r="I1237" s="46">
        <v>-76.150000000000006</v>
      </c>
      <c r="J1237" s="46">
        <v>5</v>
      </c>
      <c r="M1237" s="46">
        <v>836</v>
      </c>
      <c r="P1237" s="81" t="s">
        <v>186</v>
      </c>
      <c r="Q1237" s="46" t="s">
        <v>1161</v>
      </c>
      <c r="R1237" s="81" t="s">
        <v>1180</v>
      </c>
      <c r="S1237" s="81" t="s">
        <v>668</v>
      </c>
      <c r="T1237" s="46">
        <v>1.5</v>
      </c>
      <c r="W1237" s="46" t="s">
        <v>175</v>
      </c>
      <c r="AA1237" s="46" t="s">
        <v>1713</v>
      </c>
      <c r="AB1237" s="46" t="s">
        <v>173</v>
      </c>
      <c r="AC1237" s="46" t="s">
        <v>174</v>
      </c>
      <c r="AG1237" s="46" t="s">
        <v>312</v>
      </c>
      <c r="AH1237" s="46" t="s">
        <v>312</v>
      </c>
      <c r="AI1237" s="46" t="s">
        <v>252</v>
      </c>
      <c r="AM1237" s="46" t="s">
        <v>160</v>
      </c>
      <c r="AN1237" s="46">
        <v>4</v>
      </c>
      <c r="AO1237" s="46">
        <v>4</v>
      </c>
      <c r="AP1237" s="46" t="s">
        <v>448</v>
      </c>
      <c r="BH1237" s="46">
        <v>1.44</v>
      </c>
      <c r="BI1237" s="46">
        <v>7.28</v>
      </c>
      <c r="BJ1237" s="46" t="s">
        <v>1186</v>
      </c>
      <c r="EN1237" s="46">
        <v>58</v>
      </c>
    </row>
    <row r="1238" spans="1:144" x14ac:dyDescent="0.25">
      <c r="A1238" s="46">
        <v>58</v>
      </c>
      <c r="B1238" s="46" t="s">
        <v>1158</v>
      </c>
      <c r="C1238" s="46" t="s">
        <v>1159</v>
      </c>
      <c r="D1238" s="46">
        <v>1990</v>
      </c>
      <c r="E1238" s="46">
        <v>1988</v>
      </c>
      <c r="F1238" s="46" t="s">
        <v>1160</v>
      </c>
      <c r="G1238" s="46" t="s">
        <v>1187</v>
      </c>
      <c r="H1238" s="46">
        <v>38.92</v>
      </c>
      <c r="I1238" s="46">
        <v>-76.150000000000006</v>
      </c>
      <c r="J1238" s="46">
        <v>5</v>
      </c>
      <c r="M1238" s="46">
        <v>836</v>
      </c>
      <c r="P1238" s="81" t="s">
        <v>187</v>
      </c>
      <c r="Q1238" s="46" t="s">
        <v>1161</v>
      </c>
      <c r="R1238" s="81" t="s">
        <v>1181</v>
      </c>
      <c r="S1238" s="81" t="s">
        <v>668</v>
      </c>
      <c r="T1238" s="46">
        <v>1.5</v>
      </c>
      <c r="W1238" s="46" t="s">
        <v>175</v>
      </c>
      <c r="AA1238" s="46" t="s">
        <v>1713</v>
      </c>
      <c r="AB1238" s="46" t="s">
        <v>173</v>
      </c>
      <c r="AC1238" s="46" t="s">
        <v>174</v>
      </c>
      <c r="AG1238" s="46" t="s">
        <v>312</v>
      </c>
      <c r="AH1238" s="46" t="s">
        <v>312</v>
      </c>
      <c r="AI1238" s="46" t="s">
        <v>252</v>
      </c>
      <c r="AM1238" s="46" t="s">
        <v>160</v>
      </c>
      <c r="AN1238" s="46">
        <v>4</v>
      </c>
      <c r="AO1238" s="46">
        <v>4</v>
      </c>
      <c r="AP1238" s="46" t="s">
        <v>448</v>
      </c>
      <c r="BH1238" s="46">
        <v>1.75</v>
      </c>
      <c r="BI1238" s="46">
        <v>3.6</v>
      </c>
      <c r="BJ1238" s="46" t="s">
        <v>1186</v>
      </c>
      <c r="EN1238" s="46">
        <v>58</v>
      </c>
    </row>
    <row r="1239" spans="1:144" x14ac:dyDescent="0.25">
      <c r="A1239" s="46">
        <v>58</v>
      </c>
      <c r="B1239" s="46" t="s">
        <v>1158</v>
      </c>
      <c r="C1239" s="46" t="s">
        <v>1159</v>
      </c>
      <c r="D1239" s="46">
        <v>1990</v>
      </c>
      <c r="E1239" s="46">
        <v>1988</v>
      </c>
      <c r="F1239" s="46" t="s">
        <v>1160</v>
      </c>
      <c r="G1239" s="46" t="s">
        <v>1187</v>
      </c>
      <c r="H1239" s="46">
        <v>38.92</v>
      </c>
      <c r="I1239" s="46">
        <v>-76.150000000000006</v>
      </c>
      <c r="J1239" s="46">
        <v>5</v>
      </c>
      <c r="M1239" s="46">
        <v>836</v>
      </c>
      <c r="P1239" s="81" t="s">
        <v>187</v>
      </c>
      <c r="Q1239" s="46" t="s">
        <v>1161</v>
      </c>
      <c r="R1239" s="81" t="s">
        <v>1027</v>
      </c>
      <c r="S1239" s="81" t="s">
        <v>668</v>
      </c>
      <c r="T1239" s="46">
        <v>1.5</v>
      </c>
      <c r="W1239" s="46" t="s">
        <v>175</v>
      </c>
      <c r="AA1239" s="46" t="s">
        <v>1713</v>
      </c>
      <c r="AB1239" s="46" t="s">
        <v>173</v>
      </c>
      <c r="AC1239" s="46" t="s">
        <v>174</v>
      </c>
      <c r="AG1239" s="46" t="s">
        <v>312</v>
      </c>
      <c r="AH1239" s="46" t="s">
        <v>312</v>
      </c>
      <c r="AI1239" s="46" t="s">
        <v>252</v>
      </c>
      <c r="AM1239" s="46" t="s">
        <v>160</v>
      </c>
      <c r="AN1239" s="46">
        <v>4</v>
      </c>
      <c r="AO1239" s="46">
        <v>4</v>
      </c>
      <c r="AP1239" s="46" t="s">
        <v>448</v>
      </c>
      <c r="BH1239" s="46">
        <v>0.43</v>
      </c>
      <c r="BI1239" s="46">
        <v>0.74</v>
      </c>
      <c r="BJ1239" s="46" t="s">
        <v>1186</v>
      </c>
      <c r="EN1239" s="46">
        <v>58</v>
      </c>
    </row>
    <row r="1240" spans="1:144" x14ac:dyDescent="0.25">
      <c r="A1240" s="46">
        <v>58</v>
      </c>
      <c r="B1240" s="46" t="s">
        <v>1158</v>
      </c>
      <c r="C1240" s="46" t="s">
        <v>1159</v>
      </c>
      <c r="D1240" s="46">
        <v>1990</v>
      </c>
      <c r="E1240" s="46">
        <v>1988</v>
      </c>
      <c r="F1240" s="46" t="s">
        <v>1160</v>
      </c>
      <c r="G1240" s="46" t="s">
        <v>1187</v>
      </c>
      <c r="H1240" s="46">
        <v>38.92</v>
      </c>
      <c r="I1240" s="46">
        <v>-76.150000000000006</v>
      </c>
      <c r="J1240" s="46">
        <v>5</v>
      </c>
      <c r="M1240" s="46">
        <v>836</v>
      </c>
      <c r="P1240" s="81" t="s">
        <v>187</v>
      </c>
      <c r="Q1240" s="46" t="s">
        <v>1161</v>
      </c>
      <c r="R1240" s="81" t="s">
        <v>1182</v>
      </c>
      <c r="S1240" s="81" t="s">
        <v>668</v>
      </c>
      <c r="T1240" s="46">
        <v>1.5</v>
      </c>
      <c r="W1240" s="46" t="s">
        <v>175</v>
      </c>
      <c r="AA1240" s="46" t="s">
        <v>1713</v>
      </c>
      <c r="AB1240" s="46" t="s">
        <v>173</v>
      </c>
      <c r="AC1240" s="46" t="s">
        <v>174</v>
      </c>
      <c r="AG1240" s="46" t="s">
        <v>312</v>
      </c>
      <c r="AH1240" s="46" t="s">
        <v>312</v>
      </c>
      <c r="AI1240" s="46" t="s">
        <v>252</v>
      </c>
      <c r="AM1240" s="46" t="s">
        <v>160</v>
      </c>
      <c r="AN1240" s="46">
        <v>4</v>
      </c>
      <c r="AO1240" s="46">
        <v>4</v>
      </c>
      <c r="AP1240" s="46" t="s">
        <v>448</v>
      </c>
      <c r="BH1240" s="46">
        <v>1.98</v>
      </c>
      <c r="BI1240" s="46">
        <v>9.15</v>
      </c>
      <c r="BJ1240" s="46" t="s">
        <v>1186</v>
      </c>
      <c r="EN1240" s="46">
        <v>58</v>
      </c>
    </row>
    <row r="1241" spans="1:144" x14ac:dyDescent="0.25">
      <c r="A1241" s="46">
        <v>58</v>
      </c>
      <c r="B1241" s="46" t="s">
        <v>1158</v>
      </c>
      <c r="C1241" s="46" t="s">
        <v>1159</v>
      </c>
      <c r="D1241" s="46">
        <v>1990</v>
      </c>
      <c r="E1241" s="46">
        <v>1988</v>
      </c>
      <c r="F1241" s="46" t="s">
        <v>1160</v>
      </c>
      <c r="G1241" s="46" t="s">
        <v>1187</v>
      </c>
      <c r="H1241" s="46">
        <v>38.92</v>
      </c>
      <c r="I1241" s="46">
        <v>-76.150000000000006</v>
      </c>
      <c r="J1241" s="46">
        <v>5</v>
      </c>
      <c r="M1241" s="46">
        <v>836</v>
      </c>
      <c r="P1241" s="81" t="s">
        <v>187</v>
      </c>
      <c r="Q1241" s="46" t="s">
        <v>1161</v>
      </c>
      <c r="R1241" s="81" t="s">
        <v>1185</v>
      </c>
      <c r="S1241" s="81" t="s">
        <v>668</v>
      </c>
      <c r="T1241" s="46">
        <v>1.5</v>
      </c>
      <c r="W1241" s="46" t="s">
        <v>175</v>
      </c>
      <c r="AA1241" s="46" t="s">
        <v>1713</v>
      </c>
      <c r="AB1241" s="46" t="s">
        <v>173</v>
      </c>
      <c r="AC1241" s="46" t="s">
        <v>174</v>
      </c>
      <c r="AG1241" s="46" t="s">
        <v>312</v>
      </c>
      <c r="AH1241" s="46" t="s">
        <v>312</v>
      </c>
      <c r="AI1241" s="46" t="s">
        <v>252</v>
      </c>
      <c r="AM1241" s="46" t="s">
        <v>160</v>
      </c>
      <c r="AN1241" s="46">
        <v>4</v>
      </c>
      <c r="AO1241" s="46">
        <v>4</v>
      </c>
      <c r="AP1241" s="46" t="s">
        <v>448</v>
      </c>
      <c r="BH1241" s="46">
        <v>18.989999999999998</v>
      </c>
      <c r="BI1241" s="46">
        <v>31.89</v>
      </c>
      <c r="BJ1241" s="46" t="s">
        <v>1186</v>
      </c>
      <c r="EN1241" s="46">
        <v>58</v>
      </c>
    </row>
    <row r="1242" spans="1:144" x14ac:dyDescent="0.25">
      <c r="A1242" s="46">
        <v>58</v>
      </c>
      <c r="B1242" s="46" t="s">
        <v>1158</v>
      </c>
      <c r="C1242" s="46" t="s">
        <v>1159</v>
      </c>
      <c r="D1242" s="46">
        <v>1990</v>
      </c>
      <c r="E1242" s="46">
        <v>1988</v>
      </c>
      <c r="F1242" s="46" t="s">
        <v>1160</v>
      </c>
      <c r="G1242" s="46" t="s">
        <v>1187</v>
      </c>
      <c r="H1242" s="46">
        <v>38.92</v>
      </c>
      <c r="I1242" s="46">
        <v>-76.150000000000006</v>
      </c>
      <c r="J1242" s="46">
        <v>5</v>
      </c>
      <c r="M1242" s="46">
        <v>836</v>
      </c>
      <c r="P1242" s="81" t="s">
        <v>187</v>
      </c>
      <c r="Q1242" s="46" t="s">
        <v>1161</v>
      </c>
      <c r="R1242" s="81" t="s">
        <v>1183</v>
      </c>
      <c r="S1242" s="81" t="s">
        <v>668</v>
      </c>
      <c r="T1242" s="46">
        <v>1.5</v>
      </c>
      <c r="W1242" s="46" t="s">
        <v>175</v>
      </c>
      <c r="AA1242" s="46" t="s">
        <v>1713</v>
      </c>
      <c r="AB1242" s="46" t="s">
        <v>173</v>
      </c>
      <c r="AC1242" s="46" t="s">
        <v>174</v>
      </c>
      <c r="AG1242" s="46" t="s">
        <v>312</v>
      </c>
      <c r="AH1242" s="46" t="s">
        <v>312</v>
      </c>
      <c r="AI1242" s="46" t="s">
        <v>252</v>
      </c>
      <c r="AM1242" s="46" t="s">
        <v>160</v>
      </c>
      <c r="AN1242" s="46">
        <v>4</v>
      </c>
      <c r="AO1242" s="46">
        <v>4</v>
      </c>
      <c r="AP1242" s="46" t="s">
        <v>448</v>
      </c>
      <c r="BH1242" s="46">
        <v>16.329999999999998</v>
      </c>
      <c r="BI1242" s="46">
        <v>36.200000000000003</v>
      </c>
      <c r="BJ1242" s="46" t="s">
        <v>1186</v>
      </c>
      <c r="EN1242" s="46">
        <v>58</v>
      </c>
    </row>
    <row r="1243" spans="1:144" x14ac:dyDescent="0.25">
      <c r="A1243" s="46">
        <v>58</v>
      </c>
      <c r="B1243" s="46" t="s">
        <v>1158</v>
      </c>
      <c r="C1243" s="46" t="s">
        <v>1159</v>
      </c>
      <c r="D1243" s="46">
        <v>1990</v>
      </c>
      <c r="E1243" s="46">
        <v>1988</v>
      </c>
      <c r="F1243" s="46" t="s">
        <v>1160</v>
      </c>
      <c r="G1243" s="46" t="s">
        <v>1187</v>
      </c>
      <c r="H1243" s="46">
        <v>38.92</v>
      </c>
      <c r="I1243" s="46">
        <v>-76.150000000000006</v>
      </c>
      <c r="J1243" s="46">
        <v>5</v>
      </c>
      <c r="M1243" s="46">
        <v>836</v>
      </c>
      <c r="P1243" s="81" t="s">
        <v>187</v>
      </c>
      <c r="Q1243" s="46" t="s">
        <v>1161</v>
      </c>
      <c r="R1243" s="81" t="s">
        <v>1184</v>
      </c>
      <c r="S1243" s="81" t="s">
        <v>668</v>
      </c>
      <c r="T1243" s="46">
        <v>1.5</v>
      </c>
      <c r="W1243" s="46" t="s">
        <v>175</v>
      </c>
      <c r="AA1243" s="46" t="s">
        <v>1713</v>
      </c>
      <c r="AB1243" s="46" t="s">
        <v>173</v>
      </c>
      <c r="AC1243" s="46" t="s">
        <v>174</v>
      </c>
      <c r="AG1243" s="46" t="s">
        <v>312</v>
      </c>
      <c r="AH1243" s="46" t="s">
        <v>312</v>
      </c>
      <c r="AI1243" s="46" t="s">
        <v>252</v>
      </c>
      <c r="AM1243" s="46" t="s">
        <v>160</v>
      </c>
      <c r="AN1243" s="46">
        <v>4</v>
      </c>
      <c r="AO1243" s="46">
        <v>4</v>
      </c>
      <c r="AP1243" s="46" t="s">
        <v>448</v>
      </c>
      <c r="BH1243" s="46">
        <v>25.04</v>
      </c>
      <c r="BI1243" s="46">
        <v>47.06</v>
      </c>
      <c r="BJ1243" s="46" t="s">
        <v>1186</v>
      </c>
      <c r="EN1243" s="46">
        <v>58</v>
      </c>
    </row>
    <row r="1244" spans="1:144" s="31" customFormat="1" x14ac:dyDescent="0.25">
      <c r="A1244" s="31">
        <v>58</v>
      </c>
      <c r="B1244" s="31" t="s">
        <v>1158</v>
      </c>
      <c r="C1244" s="31" t="s">
        <v>1159</v>
      </c>
      <c r="D1244" s="31">
        <v>1990</v>
      </c>
      <c r="E1244" s="31">
        <v>1987</v>
      </c>
      <c r="F1244" s="31" t="s">
        <v>1160</v>
      </c>
      <c r="G1244" s="31" t="s">
        <v>1187</v>
      </c>
      <c r="H1244" s="31">
        <v>38.92</v>
      </c>
      <c r="I1244" s="31">
        <v>-76.150000000000006</v>
      </c>
      <c r="J1244" s="31">
        <v>5</v>
      </c>
      <c r="M1244" s="31">
        <v>836</v>
      </c>
      <c r="P1244" s="56" t="s">
        <v>186</v>
      </c>
      <c r="Q1244" s="31" t="s">
        <v>1161</v>
      </c>
      <c r="R1244" s="56" t="s">
        <v>1180</v>
      </c>
      <c r="S1244" s="56" t="s">
        <v>668</v>
      </c>
      <c r="T1244" s="31">
        <v>1.5</v>
      </c>
      <c r="W1244" s="31" t="s">
        <v>175</v>
      </c>
      <c r="AA1244" s="31" t="s">
        <v>1713</v>
      </c>
      <c r="AB1244" s="31" t="s">
        <v>173</v>
      </c>
      <c r="AC1244" s="31" t="s">
        <v>174</v>
      </c>
      <c r="AG1244" s="31" t="s">
        <v>217</v>
      </c>
      <c r="AH1244" s="31" t="s">
        <v>217</v>
      </c>
      <c r="AI1244" s="31" t="s">
        <v>252</v>
      </c>
      <c r="AM1244" s="31" t="s">
        <v>160</v>
      </c>
      <c r="AN1244" s="31">
        <v>4</v>
      </c>
      <c r="AO1244" s="31">
        <v>4</v>
      </c>
      <c r="AP1244" s="31" t="s">
        <v>448</v>
      </c>
      <c r="BH1244" s="31">
        <v>38.520000000000003</v>
      </c>
      <c r="BI1244" s="31">
        <v>23.56</v>
      </c>
      <c r="BJ1244" s="31" t="s">
        <v>1186</v>
      </c>
      <c r="EN1244" s="31">
        <v>58</v>
      </c>
    </row>
    <row r="1245" spans="1:144" s="31" customFormat="1" x14ac:dyDescent="0.25">
      <c r="A1245" s="31">
        <v>58</v>
      </c>
      <c r="B1245" s="31" t="s">
        <v>1158</v>
      </c>
      <c r="C1245" s="31" t="s">
        <v>1159</v>
      </c>
      <c r="D1245" s="31">
        <v>1990</v>
      </c>
      <c r="E1245" s="31">
        <v>1988</v>
      </c>
      <c r="F1245" s="31" t="s">
        <v>1160</v>
      </c>
      <c r="G1245" s="31" t="s">
        <v>1187</v>
      </c>
      <c r="H1245" s="31">
        <v>38.92</v>
      </c>
      <c r="I1245" s="31">
        <v>-76.150000000000006</v>
      </c>
      <c r="J1245" s="31">
        <v>5</v>
      </c>
      <c r="M1245" s="31">
        <v>836</v>
      </c>
      <c r="P1245" s="56" t="s">
        <v>187</v>
      </c>
      <c r="Q1245" s="31" t="s">
        <v>1161</v>
      </c>
      <c r="R1245" s="56" t="s">
        <v>1181</v>
      </c>
      <c r="S1245" s="56" t="s">
        <v>668</v>
      </c>
      <c r="T1245" s="31">
        <v>1.5</v>
      </c>
      <c r="W1245" s="31" t="s">
        <v>175</v>
      </c>
      <c r="AA1245" s="31" t="s">
        <v>1713</v>
      </c>
      <c r="AB1245" s="31" t="s">
        <v>173</v>
      </c>
      <c r="AC1245" s="31" t="s">
        <v>174</v>
      </c>
      <c r="AG1245" s="31" t="s">
        <v>217</v>
      </c>
      <c r="AH1245" s="31" t="s">
        <v>217</v>
      </c>
      <c r="AI1245" s="31" t="s">
        <v>252</v>
      </c>
      <c r="AM1245" s="31" t="s">
        <v>160</v>
      </c>
      <c r="AN1245" s="31">
        <v>4</v>
      </c>
      <c r="AO1245" s="31">
        <v>4</v>
      </c>
      <c r="AP1245" s="31" t="s">
        <v>448</v>
      </c>
      <c r="BH1245" s="31">
        <v>11.89</v>
      </c>
      <c r="BI1245" s="31">
        <v>6.27</v>
      </c>
      <c r="BJ1245" s="31" t="s">
        <v>1186</v>
      </c>
      <c r="EN1245" s="31">
        <v>58</v>
      </c>
    </row>
    <row r="1246" spans="1:144" s="31" customFormat="1" x14ac:dyDescent="0.25">
      <c r="A1246" s="31">
        <v>58</v>
      </c>
      <c r="B1246" s="31" t="s">
        <v>1158</v>
      </c>
      <c r="C1246" s="31" t="s">
        <v>1159</v>
      </c>
      <c r="D1246" s="31">
        <v>1990</v>
      </c>
      <c r="E1246" s="31">
        <v>1988</v>
      </c>
      <c r="F1246" s="31" t="s">
        <v>1160</v>
      </c>
      <c r="G1246" s="31" t="s">
        <v>1187</v>
      </c>
      <c r="H1246" s="31">
        <v>38.92</v>
      </c>
      <c r="I1246" s="31">
        <v>-76.150000000000006</v>
      </c>
      <c r="J1246" s="31">
        <v>5</v>
      </c>
      <c r="M1246" s="31">
        <v>836</v>
      </c>
      <c r="P1246" s="56" t="s">
        <v>187</v>
      </c>
      <c r="Q1246" s="31" t="s">
        <v>1161</v>
      </c>
      <c r="R1246" s="56" t="s">
        <v>1027</v>
      </c>
      <c r="S1246" s="56" t="s">
        <v>668</v>
      </c>
      <c r="T1246" s="31">
        <v>1.5</v>
      </c>
      <c r="W1246" s="31" t="s">
        <v>175</v>
      </c>
      <c r="AA1246" s="31" t="s">
        <v>1713</v>
      </c>
      <c r="AB1246" s="31" t="s">
        <v>173</v>
      </c>
      <c r="AC1246" s="31" t="s">
        <v>174</v>
      </c>
      <c r="AG1246" s="31" t="s">
        <v>217</v>
      </c>
      <c r="AH1246" s="31" t="s">
        <v>217</v>
      </c>
      <c r="AI1246" s="31" t="s">
        <v>252</v>
      </c>
      <c r="AM1246" s="31" t="s">
        <v>160</v>
      </c>
      <c r="AN1246" s="31">
        <v>4</v>
      </c>
      <c r="AO1246" s="31">
        <v>4</v>
      </c>
      <c r="AP1246" s="31" t="s">
        <v>448</v>
      </c>
      <c r="BH1246" s="31">
        <v>0.74</v>
      </c>
      <c r="BI1246" s="31">
        <v>2.48</v>
      </c>
      <c r="BJ1246" s="31" t="s">
        <v>1186</v>
      </c>
      <c r="EN1246" s="31">
        <v>58</v>
      </c>
    </row>
    <row r="1247" spans="1:144" s="31" customFormat="1" x14ac:dyDescent="0.25">
      <c r="A1247" s="31">
        <v>58</v>
      </c>
      <c r="B1247" s="31" t="s">
        <v>1158</v>
      </c>
      <c r="C1247" s="31" t="s">
        <v>1159</v>
      </c>
      <c r="D1247" s="31">
        <v>1990</v>
      </c>
      <c r="E1247" s="31">
        <v>1988</v>
      </c>
      <c r="F1247" s="31" t="s">
        <v>1160</v>
      </c>
      <c r="G1247" s="31" t="s">
        <v>1187</v>
      </c>
      <c r="H1247" s="31">
        <v>38.92</v>
      </c>
      <c r="I1247" s="31">
        <v>-76.150000000000006</v>
      </c>
      <c r="J1247" s="31">
        <v>5</v>
      </c>
      <c r="M1247" s="31">
        <v>836</v>
      </c>
      <c r="P1247" s="56" t="s">
        <v>187</v>
      </c>
      <c r="Q1247" s="31" t="s">
        <v>1161</v>
      </c>
      <c r="R1247" s="56" t="s">
        <v>1182</v>
      </c>
      <c r="S1247" s="56" t="s">
        <v>668</v>
      </c>
      <c r="T1247" s="31">
        <v>1.5</v>
      </c>
      <c r="W1247" s="31" t="s">
        <v>175</v>
      </c>
      <c r="AA1247" s="31" t="s">
        <v>1713</v>
      </c>
      <c r="AB1247" s="31" t="s">
        <v>173</v>
      </c>
      <c r="AC1247" s="31" t="s">
        <v>174</v>
      </c>
      <c r="AG1247" s="31" t="s">
        <v>217</v>
      </c>
      <c r="AH1247" s="31" t="s">
        <v>217</v>
      </c>
      <c r="AI1247" s="31" t="s">
        <v>252</v>
      </c>
      <c r="AM1247" s="31" t="s">
        <v>160</v>
      </c>
      <c r="AN1247" s="31">
        <v>4</v>
      </c>
      <c r="AO1247" s="31">
        <v>4</v>
      </c>
      <c r="AP1247" s="31" t="s">
        <v>448</v>
      </c>
      <c r="BH1247" s="31">
        <v>0.31</v>
      </c>
      <c r="BI1247" s="31">
        <v>13.04</v>
      </c>
      <c r="BJ1247" s="31" t="s">
        <v>1186</v>
      </c>
      <c r="EN1247" s="31">
        <v>58</v>
      </c>
    </row>
    <row r="1248" spans="1:144" s="31" customFormat="1" x14ac:dyDescent="0.25">
      <c r="A1248" s="31">
        <v>58</v>
      </c>
      <c r="B1248" s="31" t="s">
        <v>1158</v>
      </c>
      <c r="C1248" s="31" t="s">
        <v>1159</v>
      </c>
      <c r="D1248" s="31">
        <v>1990</v>
      </c>
      <c r="E1248" s="31">
        <v>1988</v>
      </c>
      <c r="F1248" s="31" t="s">
        <v>1160</v>
      </c>
      <c r="G1248" s="31" t="s">
        <v>1187</v>
      </c>
      <c r="H1248" s="31">
        <v>38.92</v>
      </c>
      <c r="I1248" s="31">
        <v>-76.150000000000006</v>
      </c>
      <c r="J1248" s="31">
        <v>5</v>
      </c>
      <c r="M1248" s="31">
        <v>836</v>
      </c>
      <c r="P1248" s="56" t="s">
        <v>187</v>
      </c>
      <c r="Q1248" s="31" t="s">
        <v>1161</v>
      </c>
      <c r="R1248" s="56" t="s">
        <v>1185</v>
      </c>
      <c r="S1248" s="56" t="s">
        <v>668</v>
      </c>
      <c r="T1248" s="31">
        <v>1.5</v>
      </c>
      <c r="W1248" s="31" t="s">
        <v>175</v>
      </c>
      <c r="AA1248" s="31" t="s">
        <v>1713</v>
      </c>
      <c r="AB1248" s="31" t="s">
        <v>173</v>
      </c>
      <c r="AC1248" s="31" t="s">
        <v>174</v>
      </c>
      <c r="AG1248" s="31" t="s">
        <v>217</v>
      </c>
      <c r="AH1248" s="31" t="s">
        <v>217</v>
      </c>
      <c r="AI1248" s="31" t="s">
        <v>252</v>
      </c>
      <c r="AM1248" s="31" t="s">
        <v>160</v>
      </c>
      <c r="AN1248" s="31">
        <v>4</v>
      </c>
      <c r="AO1248" s="31">
        <v>4</v>
      </c>
      <c r="AP1248" s="31" t="s">
        <v>448</v>
      </c>
      <c r="BH1248" s="31">
        <v>18.89</v>
      </c>
      <c r="BI1248" s="31">
        <v>33.33</v>
      </c>
      <c r="BJ1248" s="31" t="s">
        <v>1186</v>
      </c>
      <c r="EN1248" s="31">
        <v>58</v>
      </c>
    </row>
    <row r="1249" spans="1:144" s="31" customFormat="1" x14ac:dyDescent="0.25">
      <c r="A1249" s="31">
        <v>58</v>
      </c>
      <c r="B1249" s="31" t="s">
        <v>1158</v>
      </c>
      <c r="C1249" s="31" t="s">
        <v>1159</v>
      </c>
      <c r="D1249" s="31">
        <v>1990</v>
      </c>
      <c r="E1249" s="31">
        <v>1988</v>
      </c>
      <c r="F1249" s="31" t="s">
        <v>1160</v>
      </c>
      <c r="G1249" s="31" t="s">
        <v>1187</v>
      </c>
      <c r="H1249" s="31">
        <v>38.92</v>
      </c>
      <c r="I1249" s="31">
        <v>-76.150000000000006</v>
      </c>
      <c r="J1249" s="31">
        <v>5</v>
      </c>
      <c r="M1249" s="31">
        <v>836</v>
      </c>
      <c r="P1249" s="56" t="s">
        <v>187</v>
      </c>
      <c r="Q1249" s="31" t="s">
        <v>1161</v>
      </c>
      <c r="R1249" s="56" t="s">
        <v>1183</v>
      </c>
      <c r="S1249" s="56" t="s">
        <v>668</v>
      </c>
      <c r="T1249" s="31">
        <v>1.5</v>
      </c>
      <c r="W1249" s="31" t="s">
        <v>175</v>
      </c>
      <c r="AA1249" s="31" t="s">
        <v>1713</v>
      </c>
      <c r="AB1249" s="31" t="s">
        <v>173</v>
      </c>
      <c r="AC1249" s="31" t="s">
        <v>174</v>
      </c>
      <c r="AG1249" s="31" t="s">
        <v>217</v>
      </c>
      <c r="AH1249" s="31" t="s">
        <v>217</v>
      </c>
      <c r="AI1249" s="31" t="s">
        <v>252</v>
      </c>
      <c r="AM1249" s="31" t="s">
        <v>160</v>
      </c>
      <c r="AN1249" s="31">
        <v>4</v>
      </c>
      <c r="AO1249" s="31">
        <v>4</v>
      </c>
      <c r="AP1249" s="31" t="s">
        <v>448</v>
      </c>
      <c r="BH1249" s="31">
        <v>28.93</v>
      </c>
      <c r="BI1249" s="31">
        <v>28.93</v>
      </c>
      <c r="BJ1249" s="31" t="s">
        <v>1186</v>
      </c>
      <c r="EN1249" s="31">
        <v>58</v>
      </c>
    </row>
    <row r="1250" spans="1:144" s="31" customFormat="1" x14ac:dyDescent="0.25">
      <c r="A1250" s="31">
        <v>58</v>
      </c>
      <c r="B1250" s="31" t="s">
        <v>1158</v>
      </c>
      <c r="C1250" s="31" t="s">
        <v>1159</v>
      </c>
      <c r="D1250" s="31">
        <v>1990</v>
      </c>
      <c r="E1250" s="31">
        <v>1988</v>
      </c>
      <c r="F1250" s="31" t="s">
        <v>1160</v>
      </c>
      <c r="G1250" s="31" t="s">
        <v>1187</v>
      </c>
      <c r="H1250" s="31">
        <v>38.92</v>
      </c>
      <c r="I1250" s="31">
        <v>-76.150000000000006</v>
      </c>
      <c r="J1250" s="31">
        <v>5</v>
      </c>
      <c r="M1250" s="31">
        <v>836</v>
      </c>
      <c r="P1250" s="56" t="s">
        <v>187</v>
      </c>
      <c r="Q1250" s="31" t="s">
        <v>1161</v>
      </c>
      <c r="R1250" s="56" t="s">
        <v>1184</v>
      </c>
      <c r="S1250" s="56" t="s">
        <v>668</v>
      </c>
      <c r="T1250" s="31">
        <v>1.5</v>
      </c>
      <c r="W1250" s="31" t="s">
        <v>175</v>
      </c>
      <c r="AA1250" s="31" t="s">
        <v>1713</v>
      </c>
      <c r="AB1250" s="31" t="s">
        <v>173</v>
      </c>
      <c r="AC1250" s="31" t="s">
        <v>174</v>
      </c>
      <c r="AG1250" s="31" t="s">
        <v>217</v>
      </c>
      <c r="AH1250" s="31" t="s">
        <v>217</v>
      </c>
      <c r="AI1250" s="31" t="s">
        <v>252</v>
      </c>
      <c r="AM1250" s="31" t="s">
        <v>160</v>
      </c>
      <c r="AN1250" s="31">
        <v>4</v>
      </c>
      <c r="AO1250" s="31">
        <v>4</v>
      </c>
      <c r="AP1250" s="31" t="s">
        <v>448</v>
      </c>
      <c r="BH1250" s="31">
        <v>9.57</v>
      </c>
      <c r="BI1250" s="31">
        <v>64.98</v>
      </c>
      <c r="BJ1250" s="31" t="s">
        <v>1186</v>
      </c>
      <c r="EN1250" s="31">
        <v>58</v>
      </c>
    </row>
    <row r="1251" spans="1:144" s="47" customFormat="1" x14ac:dyDescent="0.25">
      <c r="A1251" s="47">
        <v>59</v>
      </c>
      <c r="B1251" s="47" t="s">
        <v>1158</v>
      </c>
      <c r="C1251" s="47" t="s">
        <v>1159</v>
      </c>
      <c r="D1251" s="47">
        <v>1997</v>
      </c>
      <c r="E1251" s="47">
        <v>1990</v>
      </c>
      <c r="F1251" s="47" t="s">
        <v>1160</v>
      </c>
      <c r="G1251" s="47" t="s">
        <v>1187</v>
      </c>
      <c r="H1251" s="47">
        <v>38.92</v>
      </c>
      <c r="I1251" s="47">
        <v>-76.150000000000006</v>
      </c>
      <c r="J1251" s="47">
        <v>5</v>
      </c>
      <c r="M1251" s="47">
        <v>1007</v>
      </c>
      <c r="P1251" s="82" t="s">
        <v>189</v>
      </c>
      <c r="Q1251" s="82" t="s">
        <v>1161</v>
      </c>
      <c r="R1251" s="82"/>
      <c r="S1251" s="82" t="s">
        <v>668</v>
      </c>
      <c r="T1251" s="47">
        <v>1.5</v>
      </c>
      <c r="W1251" s="47" t="s">
        <v>175</v>
      </c>
      <c r="AA1251" s="47" t="s">
        <v>1713</v>
      </c>
      <c r="AB1251" s="47" t="s">
        <v>173</v>
      </c>
      <c r="AC1251" s="47" t="s">
        <v>174</v>
      </c>
      <c r="AG1251" s="47" t="s">
        <v>217</v>
      </c>
      <c r="AH1251" s="47" t="s">
        <v>217</v>
      </c>
      <c r="AI1251" s="47" t="s">
        <v>252</v>
      </c>
      <c r="AJ1251" s="47" t="s">
        <v>1190</v>
      </c>
      <c r="AK1251" s="47" t="s">
        <v>1190</v>
      </c>
      <c r="AL1251" s="47" t="s">
        <v>252</v>
      </c>
      <c r="AM1251" s="47" t="s">
        <v>160</v>
      </c>
      <c r="AN1251" s="47">
        <v>4</v>
      </c>
      <c r="AO1251" s="47">
        <v>4</v>
      </c>
      <c r="AP1251" s="47" t="s">
        <v>448</v>
      </c>
      <c r="AR1251" s="47">
        <v>4048</v>
      </c>
      <c r="AS1251" s="47">
        <f>AR1251/85</f>
        <v>47.623529411764707</v>
      </c>
      <c r="AV1251" s="47">
        <v>8809</v>
      </c>
      <c r="AW1251" s="47">
        <v>9447</v>
      </c>
      <c r="AX1251" s="47" t="s">
        <v>1189</v>
      </c>
      <c r="AY1251" s="47">
        <v>9483</v>
      </c>
      <c r="AZ1251" s="47">
        <v>10049</v>
      </c>
      <c r="CU1251" s="47">
        <v>27</v>
      </c>
      <c r="CV1251" s="47">
        <v>1.5</v>
      </c>
      <c r="CW1251" s="99" t="s">
        <v>1195</v>
      </c>
      <c r="EN1251" s="47">
        <v>59</v>
      </c>
    </row>
    <row r="1252" spans="1:144" s="47" customFormat="1" x14ac:dyDescent="0.25">
      <c r="A1252" s="47">
        <v>59</v>
      </c>
      <c r="B1252" s="47" t="s">
        <v>1158</v>
      </c>
      <c r="C1252" s="47" t="s">
        <v>1159</v>
      </c>
      <c r="D1252" s="47">
        <v>1997</v>
      </c>
      <c r="E1252" s="47">
        <v>1991</v>
      </c>
      <c r="F1252" s="47" t="s">
        <v>1160</v>
      </c>
      <c r="G1252" s="47" t="s">
        <v>1187</v>
      </c>
      <c r="H1252" s="47">
        <v>38.92</v>
      </c>
      <c r="I1252" s="47">
        <v>-76.150000000000006</v>
      </c>
      <c r="J1252" s="47">
        <v>5</v>
      </c>
      <c r="M1252" s="47">
        <v>997</v>
      </c>
      <c r="P1252" s="82" t="s">
        <v>190</v>
      </c>
      <c r="Q1252" s="82" t="s">
        <v>1161</v>
      </c>
      <c r="R1252" s="82"/>
      <c r="S1252" s="82" t="s">
        <v>668</v>
      </c>
      <c r="T1252" s="47">
        <v>1.5</v>
      </c>
      <c r="W1252" s="47" t="s">
        <v>175</v>
      </c>
      <c r="AA1252" s="47" t="s">
        <v>1713</v>
      </c>
      <c r="AB1252" s="47" t="s">
        <v>173</v>
      </c>
      <c r="AC1252" s="47" t="s">
        <v>174</v>
      </c>
      <c r="AG1252" s="47" t="s">
        <v>217</v>
      </c>
      <c r="AH1252" s="47" t="s">
        <v>217</v>
      </c>
      <c r="AI1252" s="47" t="s">
        <v>252</v>
      </c>
      <c r="AJ1252" s="47" t="s">
        <v>1190</v>
      </c>
      <c r="AK1252" s="47" t="s">
        <v>1190</v>
      </c>
      <c r="AL1252" s="47" t="s">
        <v>252</v>
      </c>
      <c r="AM1252" s="47" t="s">
        <v>160</v>
      </c>
      <c r="AN1252" s="47">
        <v>4</v>
      </c>
      <c r="AO1252" s="47">
        <v>4</v>
      </c>
      <c r="AP1252" s="47" t="s">
        <v>448</v>
      </c>
      <c r="AR1252" s="47">
        <v>1793</v>
      </c>
      <c r="AS1252" s="47">
        <f>AR1252/25.9</f>
        <v>69.227799227799238</v>
      </c>
      <c r="AV1252" s="47">
        <v>7462</v>
      </c>
      <c r="AW1252" s="47">
        <v>8171</v>
      </c>
      <c r="AX1252" s="47" t="s">
        <v>1189</v>
      </c>
      <c r="AY1252" s="47">
        <v>9096</v>
      </c>
      <c r="AZ1252" s="47">
        <v>9104</v>
      </c>
      <c r="CU1252" s="47">
        <v>25</v>
      </c>
      <c r="CV1252" s="47">
        <v>0.5</v>
      </c>
      <c r="CW1252" s="99" t="s">
        <v>1195</v>
      </c>
      <c r="EN1252" s="47">
        <v>59</v>
      </c>
    </row>
    <row r="1253" spans="1:144" s="47" customFormat="1" x14ac:dyDescent="0.25">
      <c r="A1253" s="47">
        <v>59</v>
      </c>
      <c r="B1253" s="47" t="s">
        <v>1158</v>
      </c>
      <c r="C1253" s="47" t="s">
        <v>1159</v>
      </c>
      <c r="D1253" s="47">
        <v>1997</v>
      </c>
      <c r="E1253" s="47">
        <v>1992</v>
      </c>
      <c r="F1253" s="47" t="s">
        <v>1160</v>
      </c>
      <c r="G1253" s="47" t="s">
        <v>1187</v>
      </c>
      <c r="H1253" s="47">
        <v>38.92</v>
      </c>
      <c r="I1253" s="47">
        <v>-76.150000000000006</v>
      </c>
      <c r="J1253" s="47">
        <v>5</v>
      </c>
      <c r="M1253" s="47">
        <v>866</v>
      </c>
      <c r="P1253" s="82" t="s">
        <v>207</v>
      </c>
      <c r="Q1253" s="82" t="s">
        <v>1161</v>
      </c>
      <c r="R1253" s="82"/>
      <c r="S1253" s="82" t="s">
        <v>668</v>
      </c>
      <c r="T1253" s="47">
        <v>1.5</v>
      </c>
      <c r="W1253" s="47" t="s">
        <v>175</v>
      </c>
      <c r="AA1253" s="47" t="s">
        <v>1713</v>
      </c>
      <c r="AB1253" s="47" t="s">
        <v>173</v>
      </c>
      <c r="AC1253" s="47" t="s">
        <v>174</v>
      </c>
      <c r="AG1253" s="47" t="s">
        <v>217</v>
      </c>
      <c r="AH1253" s="47" t="s">
        <v>217</v>
      </c>
      <c r="AI1253" s="47" t="s">
        <v>252</v>
      </c>
      <c r="AJ1253" s="47" t="s">
        <v>1190</v>
      </c>
      <c r="AK1253" s="47" t="s">
        <v>1190</v>
      </c>
      <c r="AL1253" s="47" t="s">
        <v>252</v>
      </c>
      <c r="AM1253" s="47" t="s">
        <v>160</v>
      </c>
      <c r="AN1253" s="47">
        <v>4</v>
      </c>
      <c r="AO1253" s="47">
        <v>4</v>
      </c>
      <c r="AP1253" s="47" t="s">
        <v>448</v>
      </c>
      <c r="AR1253" s="47">
        <v>2053</v>
      </c>
      <c r="AS1253" s="47">
        <f>AR1253/40.5</f>
        <v>50.691358024691361</v>
      </c>
      <c r="AV1253" s="47">
        <v>8245</v>
      </c>
      <c r="AW1253" s="47">
        <v>7689</v>
      </c>
      <c r="AX1253" s="47" t="s">
        <v>1189</v>
      </c>
      <c r="AY1253" s="47">
        <v>10898</v>
      </c>
      <c r="AZ1253" s="47">
        <v>9920</v>
      </c>
      <c r="CU1253" s="47">
        <v>12</v>
      </c>
      <c r="CV1253" s="47">
        <v>0.8</v>
      </c>
      <c r="CW1253" s="99" t="s">
        <v>1195</v>
      </c>
      <c r="EN1253" s="47">
        <v>59</v>
      </c>
    </row>
    <row r="1254" spans="1:144" s="47" customFormat="1" x14ac:dyDescent="0.25">
      <c r="A1254" s="47">
        <v>59</v>
      </c>
      <c r="B1254" s="47" t="s">
        <v>1158</v>
      </c>
      <c r="C1254" s="47" t="s">
        <v>1159</v>
      </c>
      <c r="D1254" s="47">
        <v>1997</v>
      </c>
      <c r="E1254" s="47">
        <v>1993</v>
      </c>
      <c r="F1254" s="47" t="s">
        <v>1160</v>
      </c>
      <c r="G1254" s="47" t="s">
        <v>1187</v>
      </c>
      <c r="H1254" s="47">
        <v>38.92</v>
      </c>
      <c r="I1254" s="47">
        <v>-76.150000000000006</v>
      </c>
      <c r="J1254" s="47">
        <v>5</v>
      </c>
      <c r="M1254" s="47">
        <v>972</v>
      </c>
      <c r="P1254" s="82" t="s">
        <v>1125</v>
      </c>
      <c r="Q1254" s="82" t="s">
        <v>1161</v>
      </c>
      <c r="R1254" s="82"/>
      <c r="S1254" s="82" t="s">
        <v>668</v>
      </c>
      <c r="T1254" s="47">
        <v>1.5</v>
      </c>
      <c r="W1254" s="47" t="s">
        <v>175</v>
      </c>
      <c r="AA1254" s="47" t="s">
        <v>1713</v>
      </c>
      <c r="AB1254" s="47" t="s">
        <v>173</v>
      </c>
      <c r="AC1254" s="47" t="s">
        <v>174</v>
      </c>
      <c r="AG1254" s="47" t="s">
        <v>217</v>
      </c>
      <c r="AH1254" s="47" t="s">
        <v>217</v>
      </c>
      <c r="AI1254" s="47" t="s">
        <v>252</v>
      </c>
      <c r="AJ1254" s="47" t="s">
        <v>1190</v>
      </c>
      <c r="AK1254" s="47" t="s">
        <v>1190</v>
      </c>
      <c r="AL1254" s="47" t="s">
        <v>252</v>
      </c>
      <c r="AM1254" s="47" t="s">
        <v>160</v>
      </c>
      <c r="AN1254" s="47">
        <v>4</v>
      </c>
      <c r="AO1254" s="47">
        <v>4</v>
      </c>
      <c r="AP1254" s="47" t="s">
        <v>448</v>
      </c>
      <c r="AR1254" s="47">
        <v>1873</v>
      </c>
      <c r="AS1254" s="47">
        <f>AR1254/37.3</f>
        <v>50.21447721179625</v>
      </c>
      <c r="AV1254" s="47">
        <v>7455</v>
      </c>
      <c r="AW1254" s="47">
        <v>8732</v>
      </c>
      <c r="AX1254" s="47" t="s">
        <v>1189</v>
      </c>
      <c r="AY1254" s="47">
        <v>7421</v>
      </c>
      <c r="AZ1254" s="47">
        <v>8586</v>
      </c>
      <c r="CU1254" s="47">
        <v>9</v>
      </c>
      <c r="CV1254" s="47">
        <v>2.2999999999999998</v>
      </c>
      <c r="CW1254" s="99" t="s">
        <v>1195</v>
      </c>
      <c r="EN1254" s="47">
        <v>59</v>
      </c>
    </row>
    <row r="1255" spans="1:144" s="47" customFormat="1" x14ac:dyDescent="0.25">
      <c r="A1255" s="47">
        <v>59</v>
      </c>
      <c r="B1255" s="47" t="s">
        <v>1158</v>
      </c>
      <c r="C1255" s="47" t="s">
        <v>1159</v>
      </c>
      <c r="D1255" s="47">
        <v>1997</v>
      </c>
      <c r="E1255" s="47">
        <v>1994</v>
      </c>
      <c r="F1255" s="47" t="s">
        <v>1160</v>
      </c>
      <c r="G1255" s="47" t="s">
        <v>1187</v>
      </c>
      <c r="H1255" s="47">
        <v>38.92</v>
      </c>
      <c r="I1255" s="47">
        <v>-76.150000000000006</v>
      </c>
      <c r="J1255" s="47">
        <v>5</v>
      </c>
      <c r="M1255" s="47">
        <v>1275</v>
      </c>
      <c r="P1255" s="82" t="s">
        <v>1126</v>
      </c>
      <c r="Q1255" s="82" t="s">
        <v>1161</v>
      </c>
      <c r="R1255" s="82"/>
      <c r="S1255" s="82" t="s">
        <v>668</v>
      </c>
      <c r="T1255" s="47">
        <v>1.5</v>
      </c>
      <c r="W1255" s="47" t="s">
        <v>175</v>
      </c>
      <c r="AA1255" s="47" t="s">
        <v>1713</v>
      </c>
      <c r="AB1255" s="47" t="s">
        <v>173</v>
      </c>
      <c r="AC1255" s="47" t="s">
        <v>174</v>
      </c>
      <c r="AG1255" s="47" t="s">
        <v>217</v>
      </c>
      <c r="AH1255" s="47" t="s">
        <v>217</v>
      </c>
      <c r="AI1255" s="47" t="s">
        <v>252</v>
      </c>
      <c r="AJ1255" s="47" t="s">
        <v>1190</v>
      </c>
      <c r="AK1255" s="47" t="s">
        <v>1190</v>
      </c>
      <c r="AL1255" s="47" t="s">
        <v>252</v>
      </c>
      <c r="AM1255" s="47" t="s">
        <v>160</v>
      </c>
      <c r="AN1255" s="47">
        <v>4</v>
      </c>
      <c r="AO1255" s="47">
        <v>4</v>
      </c>
      <c r="AP1255" s="47" t="s">
        <v>448</v>
      </c>
      <c r="AR1255" s="47">
        <v>3645</v>
      </c>
      <c r="AS1255" s="47">
        <f>AR1255/59.2</f>
        <v>61.570945945945944</v>
      </c>
      <c r="AV1255" s="47">
        <v>9114</v>
      </c>
      <c r="AW1255" s="47">
        <v>9261</v>
      </c>
      <c r="AX1255" s="47" t="s">
        <v>1189</v>
      </c>
      <c r="AY1255" s="47">
        <v>10036</v>
      </c>
      <c r="AZ1255" s="47">
        <v>10042</v>
      </c>
      <c r="CU1255" s="47">
        <v>11</v>
      </c>
      <c r="CV1255" s="47">
        <v>1.4</v>
      </c>
      <c r="CW1255" s="99" t="s">
        <v>1195</v>
      </c>
      <c r="EN1255" s="47">
        <v>59</v>
      </c>
    </row>
    <row r="1256" spans="1:144" s="47" customFormat="1" x14ac:dyDescent="0.25">
      <c r="A1256" s="47">
        <v>59</v>
      </c>
      <c r="B1256" s="47" t="s">
        <v>1158</v>
      </c>
      <c r="C1256" s="47" t="s">
        <v>1159</v>
      </c>
      <c r="D1256" s="47">
        <v>1997</v>
      </c>
      <c r="E1256" s="47">
        <v>1995</v>
      </c>
      <c r="F1256" s="47" t="s">
        <v>1160</v>
      </c>
      <c r="G1256" s="47" t="s">
        <v>1187</v>
      </c>
      <c r="H1256" s="47">
        <v>38.92</v>
      </c>
      <c r="I1256" s="47">
        <v>-76.150000000000006</v>
      </c>
      <c r="J1256" s="47">
        <v>5</v>
      </c>
      <c r="M1256" s="47">
        <v>755</v>
      </c>
      <c r="P1256" s="82" t="s">
        <v>1127</v>
      </c>
      <c r="Q1256" s="82" t="s">
        <v>1161</v>
      </c>
      <c r="R1256" s="82"/>
      <c r="S1256" s="82" t="s">
        <v>668</v>
      </c>
      <c r="T1256" s="47">
        <v>1.5</v>
      </c>
      <c r="W1256" s="47" t="s">
        <v>175</v>
      </c>
      <c r="AA1256" s="47" t="s">
        <v>1713</v>
      </c>
      <c r="AB1256" s="47" t="s">
        <v>173</v>
      </c>
      <c r="AC1256" s="47" t="s">
        <v>174</v>
      </c>
      <c r="AG1256" s="47" t="s">
        <v>217</v>
      </c>
      <c r="AH1256" s="47" t="s">
        <v>217</v>
      </c>
      <c r="AI1256" s="47" t="s">
        <v>252</v>
      </c>
      <c r="AJ1256" s="47" t="s">
        <v>1190</v>
      </c>
      <c r="AK1256" s="47" t="s">
        <v>1190</v>
      </c>
      <c r="AL1256" s="47" t="s">
        <v>252</v>
      </c>
      <c r="AM1256" s="47" t="s">
        <v>160</v>
      </c>
      <c r="AN1256" s="47">
        <v>4</v>
      </c>
      <c r="AO1256" s="47">
        <v>4</v>
      </c>
      <c r="AP1256" s="47" t="s">
        <v>448</v>
      </c>
      <c r="AV1256" s="47">
        <v>8474</v>
      </c>
      <c r="AW1256" s="47">
        <v>7822</v>
      </c>
      <c r="AX1256" s="47" t="s">
        <v>1189</v>
      </c>
      <c r="AY1256" s="47">
        <v>8978</v>
      </c>
      <c r="AZ1256" s="47">
        <v>8372</v>
      </c>
      <c r="CU1256" s="47">
        <v>13</v>
      </c>
      <c r="CV1256" s="47">
        <v>0.9</v>
      </c>
      <c r="CW1256" s="99" t="s">
        <v>1195</v>
      </c>
      <c r="EN1256" s="47">
        <v>59</v>
      </c>
    </row>
    <row r="1257" spans="1:144" s="26" customFormat="1" x14ac:dyDescent="0.25">
      <c r="A1257" s="26">
        <v>59</v>
      </c>
      <c r="B1257" s="26" t="s">
        <v>1158</v>
      </c>
      <c r="C1257" s="26" t="s">
        <v>1159</v>
      </c>
      <c r="D1257" s="26">
        <v>1997</v>
      </c>
      <c r="E1257" s="26">
        <v>1991</v>
      </c>
      <c r="F1257" s="26" t="s">
        <v>1160</v>
      </c>
      <c r="G1257" s="26" t="s">
        <v>1187</v>
      </c>
      <c r="H1257" s="26">
        <v>38.92</v>
      </c>
      <c r="I1257" s="26">
        <v>-76.150000000000006</v>
      </c>
      <c r="J1257" s="26">
        <v>5</v>
      </c>
      <c r="M1257" s="26">
        <v>997</v>
      </c>
      <c r="P1257" s="52" t="s">
        <v>190</v>
      </c>
      <c r="Q1257" s="52" t="s">
        <v>1161</v>
      </c>
      <c r="R1257" s="52"/>
      <c r="S1257" s="52" t="s">
        <v>668</v>
      </c>
      <c r="T1257" s="26">
        <v>1.5</v>
      </c>
      <c r="W1257" s="26" t="s">
        <v>175</v>
      </c>
      <c r="AA1257" s="26" t="s">
        <v>1713</v>
      </c>
      <c r="AB1257" s="26" t="s">
        <v>173</v>
      </c>
      <c r="AC1257" s="26" t="s">
        <v>174</v>
      </c>
      <c r="AG1257" s="26" t="s">
        <v>217</v>
      </c>
      <c r="AH1257" s="26" t="s">
        <v>217</v>
      </c>
      <c r="AI1257" s="26" t="s">
        <v>252</v>
      </c>
      <c r="AJ1257" s="26" t="s">
        <v>1190</v>
      </c>
      <c r="AK1257" s="26" t="s">
        <v>1190</v>
      </c>
      <c r="AL1257" s="26" t="s">
        <v>252</v>
      </c>
      <c r="AM1257" s="26" t="s">
        <v>160</v>
      </c>
      <c r="AN1257" s="26">
        <v>4</v>
      </c>
      <c r="AO1257" s="26">
        <v>4</v>
      </c>
      <c r="AP1257" s="26" t="s">
        <v>448</v>
      </c>
      <c r="AR1257" s="26">
        <v>1793</v>
      </c>
      <c r="AS1257" s="26">
        <v>69.227799227799238</v>
      </c>
      <c r="CU1257" s="26">
        <v>27.32</v>
      </c>
      <c r="CV1257" s="26">
        <v>1.46</v>
      </c>
      <c r="CW1257" s="26" t="s">
        <v>1195</v>
      </c>
      <c r="EN1257" s="26">
        <v>59</v>
      </c>
    </row>
    <row r="1258" spans="1:144" s="26" customFormat="1" x14ac:dyDescent="0.25">
      <c r="A1258" s="26">
        <v>59</v>
      </c>
      <c r="B1258" s="26" t="s">
        <v>1158</v>
      </c>
      <c r="C1258" s="26" t="s">
        <v>1159</v>
      </c>
      <c r="D1258" s="26">
        <v>1997</v>
      </c>
      <c r="E1258" s="26">
        <v>1991</v>
      </c>
      <c r="F1258" s="26" t="s">
        <v>1160</v>
      </c>
      <c r="G1258" s="26" t="s">
        <v>1187</v>
      </c>
      <c r="H1258" s="26">
        <v>38.92</v>
      </c>
      <c r="I1258" s="26">
        <v>-76.150000000000006</v>
      </c>
      <c r="J1258" s="26">
        <v>5</v>
      </c>
      <c r="M1258" s="26">
        <v>997</v>
      </c>
      <c r="P1258" s="52" t="s">
        <v>190</v>
      </c>
      <c r="Q1258" s="52" t="s">
        <v>1161</v>
      </c>
      <c r="R1258" s="52"/>
      <c r="S1258" s="52" t="s">
        <v>668</v>
      </c>
      <c r="T1258" s="26">
        <v>1.5</v>
      </c>
      <c r="W1258" s="26" t="s">
        <v>175</v>
      </c>
      <c r="AA1258" s="26" t="s">
        <v>1713</v>
      </c>
      <c r="AB1258" s="26" t="s">
        <v>173</v>
      </c>
      <c r="AC1258" s="26" t="s">
        <v>174</v>
      </c>
      <c r="AG1258" s="26" t="s">
        <v>217</v>
      </c>
      <c r="AH1258" s="26" t="s">
        <v>217</v>
      </c>
      <c r="AI1258" s="26" t="s">
        <v>252</v>
      </c>
      <c r="AJ1258" s="26" t="s">
        <v>1190</v>
      </c>
      <c r="AK1258" s="26" t="s">
        <v>1190</v>
      </c>
      <c r="AL1258" s="26" t="s">
        <v>252</v>
      </c>
      <c r="AM1258" s="26" t="s">
        <v>160</v>
      </c>
      <c r="AN1258" s="26">
        <v>4</v>
      </c>
      <c r="AO1258" s="26">
        <v>4</v>
      </c>
      <c r="AP1258" s="26" t="s">
        <v>448</v>
      </c>
      <c r="AR1258" s="26">
        <v>1793</v>
      </c>
      <c r="AS1258" s="26">
        <v>69.227799227799238</v>
      </c>
      <c r="CU1258" s="26">
        <v>20.79</v>
      </c>
      <c r="CV1258" s="26">
        <v>0.73</v>
      </c>
      <c r="CW1258" s="26" t="s">
        <v>1195</v>
      </c>
      <c r="EN1258" s="26">
        <v>59</v>
      </c>
    </row>
    <row r="1259" spans="1:144" s="26" customFormat="1" x14ac:dyDescent="0.25">
      <c r="A1259" s="26">
        <v>59</v>
      </c>
      <c r="B1259" s="26" t="s">
        <v>1158</v>
      </c>
      <c r="C1259" s="26" t="s">
        <v>1159</v>
      </c>
      <c r="D1259" s="26">
        <v>1997</v>
      </c>
      <c r="E1259" s="26">
        <v>1991</v>
      </c>
      <c r="F1259" s="26" t="s">
        <v>1160</v>
      </c>
      <c r="G1259" s="26" t="s">
        <v>1187</v>
      </c>
      <c r="H1259" s="26">
        <v>38.92</v>
      </c>
      <c r="I1259" s="26">
        <v>-76.150000000000006</v>
      </c>
      <c r="J1259" s="26">
        <v>5</v>
      </c>
      <c r="M1259" s="26">
        <v>997</v>
      </c>
      <c r="P1259" s="52" t="s">
        <v>190</v>
      </c>
      <c r="Q1259" s="52" t="s">
        <v>1161</v>
      </c>
      <c r="R1259" s="52"/>
      <c r="S1259" s="52" t="s">
        <v>668</v>
      </c>
      <c r="T1259" s="26">
        <v>1.5</v>
      </c>
      <c r="W1259" s="26" t="s">
        <v>175</v>
      </c>
      <c r="AA1259" s="26" t="s">
        <v>1713</v>
      </c>
      <c r="AB1259" s="26" t="s">
        <v>173</v>
      </c>
      <c r="AC1259" s="26" t="s">
        <v>174</v>
      </c>
      <c r="AG1259" s="26" t="s">
        <v>217</v>
      </c>
      <c r="AH1259" s="26" t="s">
        <v>217</v>
      </c>
      <c r="AI1259" s="26" t="s">
        <v>252</v>
      </c>
      <c r="AJ1259" s="26" t="s">
        <v>1190</v>
      </c>
      <c r="AK1259" s="26" t="s">
        <v>1190</v>
      </c>
      <c r="AL1259" s="26" t="s">
        <v>252</v>
      </c>
      <c r="AM1259" s="26" t="s">
        <v>160</v>
      </c>
      <c r="AN1259" s="26">
        <v>4</v>
      </c>
      <c r="AO1259" s="26">
        <v>4</v>
      </c>
      <c r="AP1259" s="26" t="s">
        <v>448</v>
      </c>
      <c r="AR1259" s="26">
        <v>1793</v>
      </c>
      <c r="AS1259" s="26">
        <v>69.227799227799238</v>
      </c>
      <c r="CU1259" s="26">
        <v>26.89</v>
      </c>
      <c r="CV1259" s="26">
        <v>0.2</v>
      </c>
      <c r="CW1259" s="26" t="s">
        <v>1195</v>
      </c>
      <c r="EN1259" s="26">
        <v>59</v>
      </c>
    </row>
    <row r="1260" spans="1:144" s="26" customFormat="1" x14ac:dyDescent="0.25">
      <c r="A1260" s="26">
        <v>59</v>
      </c>
      <c r="B1260" s="26" t="s">
        <v>1158</v>
      </c>
      <c r="C1260" s="26" t="s">
        <v>1159</v>
      </c>
      <c r="D1260" s="26">
        <v>1997</v>
      </c>
      <c r="E1260" s="26">
        <v>1991</v>
      </c>
      <c r="F1260" s="26" t="s">
        <v>1160</v>
      </c>
      <c r="G1260" s="26" t="s">
        <v>1187</v>
      </c>
      <c r="H1260" s="26">
        <v>38.92</v>
      </c>
      <c r="I1260" s="26">
        <v>-76.150000000000006</v>
      </c>
      <c r="J1260" s="26">
        <v>5</v>
      </c>
      <c r="M1260" s="26">
        <v>997</v>
      </c>
      <c r="P1260" s="52" t="s">
        <v>190</v>
      </c>
      <c r="Q1260" s="52" t="s">
        <v>1161</v>
      </c>
      <c r="R1260" s="52"/>
      <c r="S1260" s="52" t="s">
        <v>668</v>
      </c>
      <c r="T1260" s="26">
        <v>1.5</v>
      </c>
      <c r="W1260" s="26" t="s">
        <v>175</v>
      </c>
      <c r="AA1260" s="26" t="s">
        <v>1713</v>
      </c>
      <c r="AB1260" s="26" t="s">
        <v>173</v>
      </c>
      <c r="AC1260" s="26" t="s">
        <v>174</v>
      </c>
      <c r="AG1260" s="26" t="s">
        <v>217</v>
      </c>
      <c r="AH1260" s="26" t="s">
        <v>217</v>
      </c>
      <c r="AI1260" s="26" t="s">
        <v>252</v>
      </c>
      <c r="AJ1260" s="26" t="s">
        <v>1190</v>
      </c>
      <c r="AK1260" s="26" t="s">
        <v>1190</v>
      </c>
      <c r="AL1260" s="26" t="s">
        <v>252</v>
      </c>
      <c r="AM1260" s="26" t="s">
        <v>160</v>
      </c>
      <c r="AN1260" s="26">
        <v>4</v>
      </c>
      <c r="AO1260" s="26">
        <v>4</v>
      </c>
      <c r="AP1260" s="26" t="s">
        <v>448</v>
      </c>
      <c r="AR1260" s="26">
        <v>1793</v>
      </c>
      <c r="AS1260" s="26">
        <v>69.227799227799238</v>
      </c>
      <c r="CU1260" s="26">
        <v>27.33</v>
      </c>
      <c r="CV1260" s="26">
        <v>1.7000000000000001E-2</v>
      </c>
      <c r="CW1260" s="26" t="s">
        <v>1195</v>
      </c>
      <c r="EN1260" s="26">
        <v>59</v>
      </c>
    </row>
    <row r="1261" spans="1:144" s="26" customFormat="1" x14ac:dyDescent="0.25">
      <c r="A1261" s="26">
        <v>59</v>
      </c>
      <c r="B1261" s="26" t="s">
        <v>1158</v>
      </c>
      <c r="C1261" s="26" t="s">
        <v>1159</v>
      </c>
      <c r="D1261" s="26">
        <v>1997</v>
      </c>
      <c r="E1261" s="26">
        <v>1991</v>
      </c>
      <c r="F1261" s="26" t="s">
        <v>1160</v>
      </c>
      <c r="G1261" s="26" t="s">
        <v>1187</v>
      </c>
      <c r="H1261" s="26">
        <v>38.92</v>
      </c>
      <c r="I1261" s="26">
        <v>-76.150000000000006</v>
      </c>
      <c r="J1261" s="26">
        <v>5</v>
      </c>
      <c r="M1261" s="26">
        <v>997</v>
      </c>
      <c r="P1261" s="52" t="s">
        <v>190</v>
      </c>
      <c r="Q1261" s="52" t="s">
        <v>1161</v>
      </c>
      <c r="R1261" s="52"/>
      <c r="S1261" s="52" t="s">
        <v>668</v>
      </c>
      <c r="T1261" s="26">
        <v>1.5</v>
      </c>
      <c r="W1261" s="26" t="s">
        <v>175</v>
      </c>
      <c r="AA1261" s="26" t="s">
        <v>1713</v>
      </c>
      <c r="AB1261" s="26" t="s">
        <v>173</v>
      </c>
      <c r="AC1261" s="26" t="s">
        <v>174</v>
      </c>
      <c r="AG1261" s="26" t="s">
        <v>217</v>
      </c>
      <c r="AH1261" s="26" t="s">
        <v>217</v>
      </c>
      <c r="AI1261" s="26" t="s">
        <v>252</v>
      </c>
      <c r="AJ1261" s="26" t="s">
        <v>1190</v>
      </c>
      <c r="AK1261" s="26" t="s">
        <v>1190</v>
      </c>
      <c r="AL1261" s="26" t="s">
        <v>252</v>
      </c>
      <c r="AM1261" s="26" t="s">
        <v>160</v>
      </c>
      <c r="AN1261" s="26">
        <v>4</v>
      </c>
      <c r="AO1261" s="26">
        <v>4</v>
      </c>
      <c r="AP1261" s="26" t="s">
        <v>448</v>
      </c>
      <c r="AR1261" s="26">
        <v>1793</v>
      </c>
      <c r="AS1261" s="26">
        <v>69.227799227799238</v>
      </c>
      <c r="CU1261" s="26">
        <v>25.1</v>
      </c>
      <c r="CV1261" s="26">
        <v>1.7000000000000001E-2</v>
      </c>
      <c r="CW1261" s="26" t="s">
        <v>1195</v>
      </c>
      <c r="EN1261" s="26">
        <v>59</v>
      </c>
    </row>
    <row r="1262" spans="1:144" s="26" customFormat="1" x14ac:dyDescent="0.25">
      <c r="A1262" s="26">
        <v>59</v>
      </c>
      <c r="B1262" s="26" t="s">
        <v>1158</v>
      </c>
      <c r="C1262" s="26" t="s">
        <v>1159</v>
      </c>
      <c r="D1262" s="26">
        <v>1997</v>
      </c>
      <c r="E1262" s="26">
        <v>1991</v>
      </c>
      <c r="F1262" s="26" t="s">
        <v>1160</v>
      </c>
      <c r="G1262" s="26" t="s">
        <v>1187</v>
      </c>
      <c r="H1262" s="26">
        <v>38.92</v>
      </c>
      <c r="I1262" s="26">
        <v>-76.150000000000006</v>
      </c>
      <c r="J1262" s="26">
        <v>5</v>
      </c>
      <c r="M1262" s="26">
        <v>997</v>
      </c>
      <c r="P1262" s="52" t="s">
        <v>190</v>
      </c>
      <c r="Q1262" s="52" t="s">
        <v>1161</v>
      </c>
      <c r="R1262" s="52"/>
      <c r="S1262" s="52" t="s">
        <v>668</v>
      </c>
      <c r="T1262" s="26">
        <v>1.5</v>
      </c>
      <c r="W1262" s="26" t="s">
        <v>175</v>
      </c>
      <c r="AA1262" s="26" t="s">
        <v>1713</v>
      </c>
      <c r="AB1262" s="26" t="s">
        <v>173</v>
      </c>
      <c r="AC1262" s="26" t="s">
        <v>174</v>
      </c>
      <c r="AG1262" s="26" t="s">
        <v>217</v>
      </c>
      <c r="AH1262" s="26" t="s">
        <v>217</v>
      </c>
      <c r="AI1262" s="26" t="s">
        <v>252</v>
      </c>
      <c r="AJ1262" s="26" t="s">
        <v>1190</v>
      </c>
      <c r="AK1262" s="26" t="s">
        <v>1190</v>
      </c>
      <c r="AL1262" s="26" t="s">
        <v>252</v>
      </c>
      <c r="AM1262" s="26" t="s">
        <v>160</v>
      </c>
      <c r="AN1262" s="26">
        <v>4</v>
      </c>
      <c r="AO1262" s="26">
        <v>4</v>
      </c>
      <c r="AP1262" s="26" t="s">
        <v>448</v>
      </c>
      <c r="AR1262" s="26">
        <v>1793</v>
      </c>
      <c r="AS1262" s="26">
        <v>69.227799227799238</v>
      </c>
      <c r="CU1262" s="26">
        <v>25.78</v>
      </c>
      <c r="CV1262" s="26">
        <v>1.4999999999999999E-2</v>
      </c>
      <c r="CW1262" s="26" t="s">
        <v>1195</v>
      </c>
      <c r="EN1262" s="26">
        <v>59</v>
      </c>
    </row>
    <row r="1263" spans="1:144" s="26" customFormat="1" x14ac:dyDescent="0.25">
      <c r="A1263" s="26">
        <v>59</v>
      </c>
      <c r="B1263" s="26" t="s">
        <v>1158</v>
      </c>
      <c r="C1263" s="26" t="s">
        <v>1159</v>
      </c>
      <c r="D1263" s="26">
        <v>1997</v>
      </c>
      <c r="E1263" s="26">
        <v>1991</v>
      </c>
      <c r="F1263" s="26" t="s">
        <v>1160</v>
      </c>
      <c r="G1263" s="26" t="s">
        <v>1187</v>
      </c>
      <c r="H1263" s="26">
        <v>38.92</v>
      </c>
      <c r="I1263" s="26">
        <v>-76.150000000000006</v>
      </c>
      <c r="J1263" s="26">
        <v>5</v>
      </c>
      <c r="M1263" s="26">
        <v>997</v>
      </c>
      <c r="P1263" s="52" t="s">
        <v>190</v>
      </c>
      <c r="Q1263" s="52" t="s">
        <v>1161</v>
      </c>
      <c r="R1263" s="52"/>
      <c r="S1263" s="52" t="s">
        <v>668</v>
      </c>
      <c r="T1263" s="26">
        <v>1.5</v>
      </c>
      <c r="W1263" s="26" t="s">
        <v>175</v>
      </c>
      <c r="AA1263" s="26" t="s">
        <v>1713</v>
      </c>
      <c r="AB1263" s="26" t="s">
        <v>173</v>
      </c>
      <c r="AC1263" s="26" t="s">
        <v>174</v>
      </c>
      <c r="AG1263" s="26" t="s">
        <v>217</v>
      </c>
      <c r="AH1263" s="26" t="s">
        <v>217</v>
      </c>
      <c r="AI1263" s="26" t="s">
        <v>252</v>
      </c>
      <c r="AJ1263" s="26" t="s">
        <v>1190</v>
      </c>
      <c r="AK1263" s="26" t="s">
        <v>1190</v>
      </c>
      <c r="AL1263" s="26" t="s">
        <v>252</v>
      </c>
      <c r="AM1263" s="26" t="s">
        <v>160</v>
      </c>
      <c r="AN1263" s="26">
        <v>4</v>
      </c>
      <c r="AO1263" s="26">
        <v>4</v>
      </c>
      <c r="AP1263" s="26" t="s">
        <v>448</v>
      </c>
      <c r="AR1263" s="26">
        <v>1793</v>
      </c>
      <c r="AS1263" s="26">
        <v>69.227799227799238</v>
      </c>
      <c r="CU1263" s="26">
        <v>26.7</v>
      </c>
      <c r="CV1263" s="26">
        <v>0.02</v>
      </c>
      <c r="CW1263" s="26" t="s">
        <v>1195</v>
      </c>
      <c r="EN1263" s="26">
        <v>59</v>
      </c>
    </row>
    <row r="1264" spans="1:144" s="26" customFormat="1" x14ac:dyDescent="0.25">
      <c r="A1264" s="26">
        <v>59</v>
      </c>
      <c r="B1264" s="26" t="s">
        <v>1158</v>
      </c>
      <c r="C1264" s="26" t="s">
        <v>1159</v>
      </c>
      <c r="D1264" s="26">
        <v>1997</v>
      </c>
      <c r="E1264" s="26">
        <v>1991</v>
      </c>
      <c r="F1264" s="26" t="s">
        <v>1160</v>
      </c>
      <c r="G1264" s="26" t="s">
        <v>1187</v>
      </c>
      <c r="H1264" s="26">
        <v>38.92</v>
      </c>
      <c r="I1264" s="26">
        <v>-76.150000000000006</v>
      </c>
      <c r="J1264" s="26">
        <v>5</v>
      </c>
      <c r="M1264" s="26">
        <v>997</v>
      </c>
      <c r="P1264" s="52" t="s">
        <v>190</v>
      </c>
      <c r="Q1264" s="52" t="s">
        <v>1161</v>
      </c>
      <c r="R1264" s="52"/>
      <c r="S1264" s="52" t="s">
        <v>668</v>
      </c>
      <c r="T1264" s="26">
        <v>1.5</v>
      </c>
      <c r="W1264" s="26" t="s">
        <v>175</v>
      </c>
      <c r="AA1264" s="26" t="s">
        <v>1713</v>
      </c>
      <c r="AB1264" s="26" t="s">
        <v>173</v>
      </c>
      <c r="AC1264" s="26" t="s">
        <v>174</v>
      </c>
      <c r="AG1264" s="26" t="s">
        <v>217</v>
      </c>
      <c r="AH1264" s="26" t="s">
        <v>217</v>
      </c>
      <c r="AI1264" s="26" t="s">
        <v>252</v>
      </c>
      <c r="AJ1264" s="26" t="s">
        <v>1190</v>
      </c>
      <c r="AK1264" s="26" t="s">
        <v>1190</v>
      </c>
      <c r="AL1264" s="26" t="s">
        <v>252</v>
      </c>
      <c r="AM1264" s="26" t="s">
        <v>160</v>
      </c>
      <c r="AN1264" s="26">
        <v>4</v>
      </c>
      <c r="AO1264" s="26">
        <v>4</v>
      </c>
      <c r="AP1264" s="26" t="s">
        <v>448</v>
      </c>
      <c r="AR1264" s="26">
        <v>1793</v>
      </c>
      <c r="AS1264" s="26">
        <v>69.227799227799238</v>
      </c>
      <c r="CU1264" s="26">
        <v>20.8</v>
      </c>
      <c r="CV1264" s="26">
        <v>1.33</v>
      </c>
      <c r="CW1264" s="26" t="s">
        <v>1195</v>
      </c>
      <c r="EN1264" s="26">
        <v>59</v>
      </c>
    </row>
    <row r="1265" spans="1:144" s="99" customFormat="1" x14ac:dyDescent="0.25">
      <c r="A1265" s="99">
        <v>59</v>
      </c>
      <c r="B1265" s="99" t="s">
        <v>1158</v>
      </c>
      <c r="C1265" s="99" t="s">
        <v>1159</v>
      </c>
      <c r="D1265" s="99">
        <v>1997</v>
      </c>
      <c r="E1265" s="99">
        <v>1992</v>
      </c>
      <c r="F1265" s="99" t="s">
        <v>1160</v>
      </c>
      <c r="G1265" s="99" t="s">
        <v>1187</v>
      </c>
      <c r="H1265" s="99">
        <v>38.92</v>
      </c>
      <c r="I1265" s="99">
        <v>-76.150000000000006</v>
      </c>
      <c r="J1265" s="99">
        <v>5</v>
      </c>
      <c r="M1265" s="99">
        <v>866</v>
      </c>
      <c r="P1265" s="100" t="s">
        <v>207</v>
      </c>
      <c r="Q1265" s="100" t="s">
        <v>1161</v>
      </c>
      <c r="R1265" s="100"/>
      <c r="S1265" s="100" t="s">
        <v>668</v>
      </c>
      <c r="T1265" s="99">
        <v>1.5</v>
      </c>
      <c r="W1265" s="99" t="s">
        <v>175</v>
      </c>
      <c r="AA1265" s="99" t="s">
        <v>1713</v>
      </c>
      <c r="AB1265" s="99" t="s">
        <v>173</v>
      </c>
      <c r="AC1265" s="99" t="s">
        <v>174</v>
      </c>
      <c r="AG1265" s="99" t="s">
        <v>217</v>
      </c>
      <c r="AH1265" s="99" t="s">
        <v>217</v>
      </c>
      <c r="AI1265" s="99" t="s">
        <v>252</v>
      </c>
      <c r="AJ1265" s="99" t="s">
        <v>1190</v>
      </c>
      <c r="AK1265" s="99" t="s">
        <v>1190</v>
      </c>
      <c r="AL1265" s="99" t="s">
        <v>252</v>
      </c>
      <c r="AM1265" s="99" t="s">
        <v>160</v>
      </c>
      <c r="AN1265" s="99">
        <v>4</v>
      </c>
      <c r="AO1265" s="99">
        <v>4</v>
      </c>
      <c r="AP1265" s="99" t="s">
        <v>448</v>
      </c>
      <c r="AR1265" s="99">
        <v>2053</v>
      </c>
      <c r="AS1265" s="99">
        <v>50.691358024691361</v>
      </c>
      <c r="CU1265" s="99">
        <v>5.91</v>
      </c>
      <c r="CV1265" s="99">
        <v>3.68</v>
      </c>
      <c r="CW1265" s="99" t="s">
        <v>1195</v>
      </c>
      <c r="EN1265" s="99">
        <v>59</v>
      </c>
    </row>
    <row r="1266" spans="1:144" s="99" customFormat="1" x14ac:dyDescent="0.25">
      <c r="A1266" s="99">
        <v>59</v>
      </c>
      <c r="B1266" s="99" t="s">
        <v>1158</v>
      </c>
      <c r="C1266" s="99" t="s">
        <v>1159</v>
      </c>
      <c r="D1266" s="99">
        <v>1997</v>
      </c>
      <c r="E1266" s="99">
        <v>1992</v>
      </c>
      <c r="F1266" s="99" t="s">
        <v>1160</v>
      </c>
      <c r="G1266" s="99" t="s">
        <v>1187</v>
      </c>
      <c r="H1266" s="99">
        <v>38.92</v>
      </c>
      <c r="I1266" s="99">
        <v>-76.150000000000006</v>
      </c>
      <c r="J1266" s="99">
        <v>5</v>
      </c>
      <c r="M1266" s="99">
        <v>866</v>
      </c>
      <c r="P1266" s="100" t="s">
        <v>207</v>
      </c>
      <c r="Q1266" s="100" t="s">
        <v>1161</v>
      </c>
      <c r="R1266" s="100"/>
      <c r="S1266" s="100" t="s">
        <v>668</v>
      </c>
      <c r="T1266" s="99">
        <v>1.5</v>
      </c>
      <c r="W1266" s="99" t="s">
        <v>175</v>
      </c>
      <c r="AA1266" s="99" t="s">
        <v>1713</v>
      </c>
      <c r="AB1266" s="99" t="s">
        <v>173</v>
      </c>
      <c r="AC1266" s="99" t="s">
        <v>174</v>
      </c>
      <c r="AG1266" s="99" t="s">
        <v>217</v>
      </c>
      <c r="AH1266" s="99" t="s">
        <v>217</v>
      </c>
      <c r="AI1266" s="99" t="s">
        <v>252</v>
      </c>
      <c r="AJ1266" s="99" t="s">
        <v>1190</v>
      </c>
      <c r="AK1266" s="99" t="s">
        <v>1190</v>
      </c>
      <c r="AL1266" s="99" t="s">
        <v>252</v>
      </c>
      <c r="AM1266" s="99" t="s">
        <v>160</v>
      </c>
      <c r="AN1266" s="99">
        <v>4</v>
      </c>
      <c r="AO1266" s="99">
        <v>4</v>
      </c>
      <c r="AP1266" s="99" t="s">
        <v>448</v>
      </c>
      <c r="AR1266" s="99">
        <v>2053</v>
      </c>
      <c r="AS1266" s="99">
        <v>50.691358024691361</v>
      </c>
      <c r="CU1266" s="99">
        <v>16.62</v>
      </c>
      <c r="CV1266" s="99">
        <v>0.35</v>
      </c>
      <c r="CW1266" s="99" t="s">
        <v>1195</v>
      </c>
      <c r="EN1266" s="99">
        <v>59</v>
      </c>
    </row>
    <row r="1267" spans="1:144" s="99" customFormat="1" x14ac:dyDescent="0.25">
      <c r="A1267" s="99">
        <v>59</v>
      </c>
      <c r="B1267" s="99" t="s">
        <v>1158</v>
      </c>
      <c r="C1267" s="99" t="s">
        <v>1159</v>
      </c>
      <c r="D1267" s="99">
        <v>1997</v>
      </c>
      <c r="E1267" s="99">
        <v>1992</v>
      </c>
      <c r="F1267" s="99" t="s">
        <v>1160</v>
      </c>
      <c r="G1267" s="99" t="s">
        <v>1187</v>
      </c>
      <c r="H1267" s="99">
        <v>38.92</v>
      </c>
      <c r="I1267" s="99">
        <v>-76.150000000000006</v>
      </c>
      <c r="J1267" s="99">
        <v>5</v>
      </c>
      <c r="M1267" s="99">
        <v>866</v>
      </c>
      <c r="P1267" s="100" t="s">
        <v>207</v>
      </c>
      <c r="Q1267" s="100" t="s">
        <v>1161</v>
      </c>
      <c r="R1267" s="100"/>
      <c r="S1267" s="100" t="s">
        <v>668</v>
      </c>
      <c r="T1267" s="99">
        <v>1.5</v>
      </c>
      <c r="W1267" s="99" t="s">
        <v>175</v>
      </c>
      <c r="AA1267" s="99" t="s">
        <v>1713</v>
      </c>
      <c r="AB1267" s="99" t="s">
        <v>173</v>
      </c>
      <c r="AC1267" s="99" t="s">
        <v>174</v>
      </c>
      <c r="AG1267" s="99" t="s">
        <v>217</v>
      </c>
      <c r="AH1267" s="99" t="s">
        <v>217</v>
      </c>
      <c r="AI1267" s="99" t="s">
        <v>252</v>
      </c>
      <c r="AJ1267" s="99" t="s">
        <v>1190</v>
      </c>
      <c r="AK1267" s="99" t="s">
        <v>1190</v>
      </c>
      <c r="AL1267" s="99" t="s">
        <v>252</v>
      </c>
      <c r="AM1267" s="99" t="s">
        <v>160</v>
      </c>
      <c r="AN1267" s="99">
        <v>4</v>
      </c>
      <c r="AO1267" s="99">
        <v>4</v>
      </c>
      <c r="AP1267" s="99" t="s">
        <v>448</v>
      </c>
      <c r="AR1267" s="99">
        <v>2053</v>
      </c>
      <c r="AS1267" s="99">
        <v>50.691358024691361</v>
      </c>
      <c r="CU1267" s="99">
        <v>15.7</v>
      </c>
      <c r="CV1267" s="99">
        <v>0.1</v>
      </c>
      <c r="CW1267" s="99" t="s">
        <v>1195</v>
      </c>
      <c r="EN1267" s="99">
        <v>59</v>
      </c>
    </row>
    <row r="1268" spans="1:144" s="99" customFormat="1" x14ac:dyDescent="0.25">
      <c r="A1268" s="99">
        <v>59</v>
      </c>
      <c r="B1268" s="99" t="s">
        <v>1158</v>
      </c>
      <c r="C1268" s="99" t="s">
        <v>1159</v>
      </c>
      <c r="D1268" s="99">
        <v>1997</v>
      </c>
      <c r="E1268" s="99">
        <v>1992</v>
      </c>
      <c r="F1268" s="99" t="s">
        <v>1160</v>
      </c>
      <c r="G1268" s="99" t="s">
        <v>1187</v>
      </c>
      <c r="H1268" s="99">
        <v>38.92</v>
      </c>
      <c r="I1268" s="99">
        <v>-76.150000000000006</v>
      </c>
      <c r="J1268" s="99">
        <v>5</v>
      </c>
      <c r="M1268" s="99">
        <v>866</v>
      </c>
      <c r="P1268" s="100" t="s">
        <v>207</v>
      </c>
      <c r="Q1268" s="100" t="s">
        <v>1161</v>
      </c>
      <c r="R1268" s="100"/>
      <c r="S1268" s="100" t="s">
        <v>668</v>
      </c>
      <c r="T1268" s="99">
        <v>1.5</v>
      </c>
      <c r="W1268" s="99" t="s">
        <v>175</v>
      </c>
      <c r="AA1268" s="99" t="s">
        <v>1713</v>
      </c>
      <c r="AB1268" s="99" t="s">
        <v>173</v>
      </c>
      <c r="AC1268" s="99" t="s">
        <v>174</v>
      </c>
      <c r="AG1268" s="99" t="s">
        <v>217</v>
      </c>
      <c r="AH1268" s="99" t="s">
        <v>217</v>
      </c>
      <c r="AI1268" s="99" t="s">
        <v>252</v>
      </c>
      <c r="AJ1268" s="99" t="s">
        <v>1190</v>
      </c>
      <c r="AK1268" s="99" t="s">
        <v>1190</v>
      </c>
      <c r="AL1268" s="99" t="s">
        <v>252</v>
      </c>
      <c r="AM1268" s="99" t="s">
        <v>160</v>
      </c>
      <c r="AN1268" s="99">
        <v>4</v>
      </c>
      <c r="AO1268" s="99">
        <v>4</v>
      </c>
      <c r="AP1268" s="99" t="s">
        <v>448</v>
      </c>
      <c r="AR1268" s="99">
        <v>2053</v>
      </c>
      <c r="AS1268" s="99">
        <v>50.691358024691361</v>
      </c>
      <c r="CU1268" s="99">
        <v>20.350000000000001</v>
      </c>
      <c r="CV1268" s="99">
        <v>0.3</v>
      </c>
      <c r="CW1268" s="99" t="s">
        <v>1195</v>
      </c>
      <c r="EN1268" s="99">
        <v>59</v>
      </c>
    </row>
    <row r="1269" spans="1:144" s="99" customFormat="1" x14ac:dyDescent="0.25">
      <c r="A1269" s="99">
        <v>59</v>
      </c>
      <c r="B1269" s="99" t="s">
        <v>1158</v>
      </c>
      <c r="C1269" s="99" t="s">
        <v>1159</v>
      </c>
      <c r="D1269" s="99">
        <v>1997</v>
      </c>
      <c r="E1269" s="99">
        <v>1992</v>
      </c>
      <c r="F1269" s="99" t="s">
        <v>1160</v>
      </c>
      <c r="G1269" s="99" t="s">
        <v>1187</v>
      </c>
      <c r="H1269" s="99">
        <v>38.92</v>
      </c>
      <c r="I1269" s="99">
        <v>-76.150000000000006</v>
      </c>
      <c r="J1269" s="99">
        <v>5</v>
      </c>
      <c r="M1269" s="99">
        <v>866</v>
      </c>
      <c r="P1269" s="100" t="s">
        <v>207</v>
      </c>
      <c r="Q1269" s="100" t="s">
        <v>1161</v>
      </c>
      <c r="R1269" s="100"/>
      <c r="S1269" s="100" t="s">
        <v>668</v>
      </c>
      <c r="T1269" s="99">
        <v>1.5</v>
      </c>
      <c r="W1269" s="99" t="s">
        <v>175</v>
      </c>
      <c r="AA1269" s="99" t="s">
        <v>1713</v>
      </c>
      <c r="AB1269" s="99" t="s">
        <v>173</v>
      </c>
      <c r="AC1269" s="99" t="s">
        <v>174</v>
      </c>
      <c r="AG1269" s="99" t="s">
        <v>217</v>
      </c>
      <c r="AH1269" s="99" t="s">
        <v>217</v>
      </c>
      <c r="AI1269" s="99" t="s">
        <v>252</v>
      </c>
      <c r="AJ1269" s="99" t="s">
        <v>1190</v>
      </c>
      <c r="AK1269" s="99" t="s">
        <v>1190</v>
      </c>
      <c r="AL1269" s="99" t="s">
        <v>252</v>
      </c>
      <c r="AM1269" s="99" t="s">
        <v>160</v>
      </c>
      <c r="AN1269" s="99">
        <v>4</v>
      </c>
      <c r="AO1269" s="99">
        <v>4</v>
      </c>
      <c r="AP1269" s="99" t="s">
        <v>448</v>
      </c>
      <c r="AR1269" s="99">
        <v>2053</v>
      </c>
      <c r="AS1269" s="99">
        <v>50.691358024691361</v>
      </c>
      <c r="CU1269" s="99">
        <v>14.3</v>
      </c>
      <c r="CV1269" s="99">
        <v>0.16</v>
      </c>
      <c r="CW1269" s="99" t="s">
        <v>1195</v>
      </c>
      <c r="EN1269" s="99">
        <v>59</v>
      </c>
    </row>
    <row r="1270" spans="1:144" s="99" customFormat="1" x14ac:dyDescent="0.25">
      <c r="A1270" s="99">
        <v>59</v>
      </c>
      <c r="B1270" s="99" t="s">
        <v>1158</v>
      </c>
      <c r="C1270" s="99" t="s">
        <v>1159</v>
      </c>
      <c r="D1270" s="99">
        <v>1997</v>
      </c>
      <c r="E1270" s="99">
        <v>1992</v>
      </c>
      <c r="F1270" s="99" t="s">
        <v>1160</v>
      </c>
      <c r="G1270" s="99" t="s">
        <v>1187</v>
      </c>
      <c r="H1270" s="99">
        <v>38.92</v>
      </c>
      <c r="I1270" s="99">
        <v>-76.150000000000006</v>
      </c>
      <c r="J1270" s="99">
        <v>5</v>
      </c>
      <c r="M1270" s="99">
        <v>866</v>
      </c>
      <c r="P1270" s="100" t="s">
        <v>207</v>
      </c>
      <c r="Q1270" s="100" t="s">
        <v>1161</v>
      </c>
      <c r="R1270" s="100"/>
      <c r="S1270" s="100" t="s">
        <v>668</v>
      </c>
      <c r="T1270" s="99">
        <v>1.5</v>
      </c>
      <c r="W1270" s="99" t="s">
        <v>175</v>
      </c>
      <c r="AA1270" s="99" t="s">
        <v>1713</v>
      </c>
      <c r="AB1270" s="99" t="s">
        <v>173</v>
      </c>
      <c r="AC1270" s="99" t="s">
        <v>174</v>
      </c>
      <c r="AG1270" s="99" t="s">
        <v>217</v>
      </c>
      <c r="AH1270" s="99" t="s">
        <v>217</v>
      </c>
      <c r="AI1270" s="99" t="s">
        <v>252</v>
      </c>
      <c r="AJ1270" s="99" t="s">
        <v>1190</v>
      </c>
      <c r="AK1270" s="99" t="s">
        <v>1190</v>
      </c>
      <c r="AL1270" s="99" t="s">
        <v>252</v>
      </c>
      <c r="AM1270" s="99" t="s">
        <v>160</v>
      </c>
      <c r="AN1270" s="99">
        <v>4</v>
      </c>
      <c r="AO1270" s="99">
        <v>4</v>
      </c>
      <c r="AP1270" s="99" t="s">
        <v>448</v>
      </c>
      <c r="AR1270" s="99">
        <v>2053</v>
      </c>
      <c r="AS1270" s="99">
        <v>50.691358024691361</v>
      </c>
      <c r="CU1270" s="99">
        <v>9.17</v>
      </c>
      <c r="CV1270" s="99">
        <v>0.1</v>
      </c>
      <c r="CW1270" s="99" t="s">
        <v>1195</v>
      </c>
      <c r="EN1270" s="99">
        <v>59</v>
      </c>
    </row>
    <row r="1271" spans="1:144" s="99" customFormat="1" x14ac:dyDescent="0.25">
      <c r="A1271" s="99">
        <v>59</v>
      </c>
      <c r="B1271" s="99" t="s">
        <v>1158</v>
      </c>
      <c r="C1271" s="99" t="s">
        <v>1159</v>
      </c>
      <c r="D1271" s="99">
        <v>1997</v>
      </c>
      <c r="E1271" s="99">
        <v>1992</v>
      </c>
      <c r="F1271" s="99" t="s">
        <v>1160</v>
      </c>
      <c r="G1271" s="99" t="s">
        <v>1187</v>
      </c>
      <c r="H1271" s="99">
        <v>38.92</v>
      </c>
      <c r="I1271" s="99">
        <v>-76.150000000000006</v>
      </c>
      <c r="J1271" s="99">
        <v>5</v>
      </c>
      <c r="M1271" s="99">
        <v>866</v>
      </c>
      <c r="P1271" s="100" t="s">
        <v>207</v>
      </c>
      <c r="Q1271" s="100" t="s">
        <v>1161</v>
      </c>
      <c r="R1271" s="100"/>
      <c r="S1271" s="100" t="s">
        <v>668</v>
      </c>
      <c r="T1271" s="99">
        <v>1.5</v>
      </c>
      <c r="W1271" s="99" t="s">
        <v>175</v>
      </c>
      <c r="AA1271" s="99" t="s">
        <v>1713</v>
      </c>
      <c r="AB1271" s="99" t="s">
        <v>173</v>
      </c>
      <c r="AC1271" s="99" t="s">
        <v>174</v>
      </c>
      <c r="AG1271" s="99" t="s">
        <v>217</v>
      </c>
      <c r="AH1271" s="99" t="s">
        <v>217</v>
      </c>
      <c r="AI1271" s="99" t="s">
        <v>252</v>
      </c>
      <c r="AJ1271" s="99" t="s">
        <v>1190</v>
      </c>
      <c r="AK1271" s="99" t="s">
        <v>1190</v>
      </c>
      <c r="AL1271" s="99" t="s">
        <v>252</v>
      </c>
      <c r="AM1271" s="99" t="s">
        <v>160</v>
      </c>
      <c r="AN1271" s="99">
        <v>4</v>
      </c>
      <c r="AO1271" s="99">
        <v>4</v>
      </c>
      <c r="AP1271" s="99" t="s">
        <v>448</v>
      </c>
      <c r="AR1271" s="99">
        <v>2053</v>
      </c>
      <c r="AS1271" s="99">
        <v>50.691358024691361</v>
      </c>
      <c r="CU1271" s="99">
        <v>5.12</v>
      </c>
      <c r="CV1271" s="99">
        <v>0.55000000000000004</v>
      </c>
      <c r="CW1271" s="99" t="s">
        <v>1195</v>
      </c>
      <c r="EN1271" s="99">
        <v>59</v>
      </c>
    </row>
    <row r="1272" spans="1:144" s="99" customFormat="1" x14ac:dyDescent="0.25">
      <c r="A1272" s="99">
        <v>59</v>
      </c>
      <c r="B1272" s="99" t="s">
        <v>1158</v>
      </c>
      <c r="C1272" s="99" t="s">
        <v>1159</v>
      </c>
      <c r="D1272" s="99">
        <v>1997</v>
      </c>
      <c r="E1272" s="99">
        <v>1992</v>
      </c>
      <c r="F1272" s="99" t="s">
        <v>1160</v>
      </c>
      <c r="G1272" s="99" t="s">
        <v>1187</v>
      </c>
      <c r="H1272" s="99">
        <v>38.92</v>
      </c>
      <c r="I1272" s="99">
        <v>-76.150000000000006</v>
      </c>
      <c r="J1272" s="99">
        <v>5</v>
      </c>
      <c r="M1272" s="99">
        <v>866</v>
      </c>
      <c r="P1272" s="100" t="s">
        <v>207</v>
      </c>
      <c r="Q1272" s="100" t="s">
        <v>1161</v>
      </c>
      <c r="R1272" s="100"/>
      <c r="S1272" s="100" t="s">
        <v>668</v>
      </c>
      <c r="T1272" s="99">
        <v>1.5</v>
      </c>
      <c r="W1272" s="99" t="s">
        <v>175</v>
      </c>
      <c r="AA1272" s="99" t="s">
        <v>1713</v>
      </c>
      <c r="AB1272" s="99" t="s">
        <v>173</v>
      </c>
      <c r="AC1272" s="99" t="s">
        <v>174</v>
      </c>
      <c r="AG1272" s="99" t="s">
        <v>217</v>
      </c>
      <c r="AH1272" s="99" t="s">
        <v>217</v>
      </c>
      <c r="AI1272" s="99" t="s">
        <v>252</v>
      </c>
      <c r="AJ1272" s="99" t="s">
        <v>1190</v>
      </c>
      <c r="AK1272" s="99" t="s">
        <v>1190</v>
      </c>
      <c r="AL1272" s="99" t="s">
        <v>252</v>
      </c>
      <c r="AM1272" s="99" t="s">
        <v>160</v>
      </c>
      <c r="AN1272" s="99">
        <v>4</v>
      </c>
      <c r="AO1272" s="99">
        <v>4</v>
      </c>
      <c r="AP1272" s="99" t="s">
        <v>448</v>
      </c>
      <c r="AR1272" s="99">
        <v>2053</v>
      </c>
      <c r="AS1272" s="99">
        <v>50.691358024691361</v>
      </c>
      <c r="CU1272" s="99">
        <v>12.96</v>
      </c>
      <c r="CV1272" s="99">
        <v>1.23</v>
      </c>
      <c r="CW1272" s="99" t="s">
        <v>1195</v>
      </c>
      <c r="EN1272" s="99">
        <v>59</v>
      </c>
    </row>
    <row r="1273" spans="1:144" s="26" customFormat="1" x14ac:dyDescent="0.25">
      <c r="A1273" s="26">
        <v>59</v>
      </c>
      <c r="B1273" s="26" t="s">
        <v>1158</v>
      </c>
      <c r="C1273" s="26" t="s">
        <v>1159</v>
      </c>
      <c r="D1273" s="26">
        <v>1997</v>
      </c>
      <c r="E1273" s="26">
        <v>1993</v>
      </c>
      <c r="F1273" s="26" t="s">
        <v>1160</v>
      </c>
      <c r="G1273" s="26" t="s">
        <v>1187</v>
      </c>
      <c r="H1273" s="26">
        <v>38.92</v>
      </c>
      <c r="I1273" s="26">
        <v>-76.150000000000006</v>
      </c>
      <c r="J1273" s="26">
        <v>5</v>
      </c>
      <c r="M1273" s="26">
        <v>972</v>
      </c>
      <c r="P1273" s="52" t="s">
        <v>1125</v>
      </c>
      <c r="Q1273" s="52" t="s">
        <v>1161</v>
      </c>
      <c r="R1273" s="52"/>
      <c r="S1273" s="52" t="s">
        <v>668</v>
      </c>
      <c r="T1273" s="26">
        <v>1.5</v>
      </c>
      <c r="W1273" s="26" t="s">
        <v>175</v>
      </c>
      <c r="AA1273" s="26" t="s">
        <v>1713</v>
      </c>
      <c r="AB1273" s="26" t="s">
        <v>173</v>
      </c>
      <c r="AC1273" s="26" t="s">
        <v>174</v>
      </c>
      <c r="AG1273" s="26" t="s">
        <v>217</v>
      </c>
      <c r="AH1273" s="26" t="s">
        <v>217</v>
      </c>
      <c r="AI1273" s="26" t="s">
        <v>252</v>
      </c>
      <c r="AJ1273" s="26" t="s">
        <v>1190</v>
      </c>
      <c r="AK1273" s="26" t="s">
        <v>1190</v>
      </c>
      <c r="AL1273" s="26" t="s">
        <v>252</v>
      </c>
      <c r="AM1273" s="26" t="s">
        <v>160</v>
      </c>
      <c r="AN1273" s="26">
        <v>4</v>
      </c>
      <c r="AO1273" s="26">
        <v>4</v>
      </c>
      <c r="AP1273" s="26" t="s">
        <v>448</v>
      </c>
      <c r="AR1273" s="26">
        <v>1873</v>
      </c>
      <c r="AS1273" s="26">
        <v>50.21447721179625</v>
      </c>
      <c r="CU1273" s="26">
        <v>8.82</v>
      </c>
      <c r="CV1273" s="26">
        <v>3.97</v>
      </c>
      <c r="CW1273" s="26" t="s">
        <v>1195</v>
      </c>
      <c r="EN1273" s="26">
        <v>59</v>
      </c>
    </row>
    <row r="1274" spans="1:144" s="26" customFormat="1" x14ac:dyDescent="0.25">
      <c r="A1274" s="26">
        <v>59</v>
      </c>
      <c r="B1274" s="26" t="s">
        <v>1158</v>
      </c>
      <c r="C1274" s="26" t="s">
        <v>1159</v>
      </c>
      <c r="D1274" s="26">
        <v>1997</v>
      </c>
      <c r="E1274" s="26">
        <v>1993</v>
      </c>
      <c r="F1274" s="26" t="s">
        <v>1160</v>
      </c>
      <c r="G1274" s="26" t="s">
        <v>1187</v>
      </c>
      <c r="H1274" s="26">
        <v>38.92</v>
      </c>
      <c r="I1274" s="26">
        <v>-76.150000000000006</v>
      </c>
      <c r="J1274" s="26">
        <v>5</v>
      </c>
      <c r="M1274" s="26">
        <v>972</v>
      </c>
      <c r="P1274" s="52" t="s">
        <v>1125</v>
      </c>
      <c r="Q1274" s="52" t="s">
        <v>1161</v>
      </c>
      <c r="R1274" s="52"/>
      <c r="S1274" s="52" t="s">
        <v>668</v>
      </c>
      <c r="T1274" s="26">
        <v>1.5</v>
      </c>
      <c r="W1274" s="26" t="s">
        <v>175</v>
      </c>
      <c r="AA1274" s="26" t="s">
        <v>1713</v>
      </c>
      <c r="AB1274" s="26" t="s">
        <v>173</v>
      </c>
      <c r="AC1274" s="26" t="s">
        <v>174</v>
      </c>
      <c r="AG1274" s="26" t="s">
        <v>217</v>
      </c>
      <c r="AH1274" s="26" t="s">
        <v>217</v>
      </c>
      <c r="AI1274" s="26" t="s">
        <v>252</v>
      </c>
      <c r="AJ1274" s="26" t="s">
        <v>1190</v>
      </c>
      <c r="AK1274" s="26" t="s">
        <v>1190</v>
      </c>
      <c r="AL1274" s="26" t="s">
        <v>252</v>
      </c>
      <c r="AM1274" s="26" t="s">
        <v>160</v>
      </c>
      <c r="AN1274" s="26">
        <v>4</v>
      </c>
      <c r="AO1274" s="26">
        <v>4</v>
      </c>
      <c r="AP1274" s="26" t="s">
        <v>448</v>
      </c>
      <c r="AR1274" s="26">
        <v>1873</v>
      </c>
      <c r="AS1274" s="26">
        <v>50.21447721179625</v>
      </c>
      <c r="CU1274" s="26">
        <v>6.88</v>
      </c>
      <c r="CV1274" s="26">
        <v>5.72</v>
      </c>
      <c r="CW1274" s="26" t="s">
        <v>1195</v>
      </c>
      <c r="EN1274" s="26">
        <v>59</v>
      </c>
    </row>
    <row r="1275" spans="1:144" s="26" customFormat="1" x14ac:dyDescent="0.25">
      <c r="A1275" s="26">
        <v>59</v>
      </c>
      <c r="B1275" s="26" t="s">
        <v>1158</v>
      </c>
      <c r="C1275" s="26" t="s">
        <v>1159</v>
      </c>
      <c r="D1275" s="26">
        <v>1997</v>
      </c>
      <c r="E1275" s="26">
        <v>1993</v>
      </c>
      <c r="F1275" s="26" t="s">
        <v>1160</v>
      </c>
      <c r="G1275" s="26" t="s">
        <v>1187</v>
      </c>
      <c r="H1275" s="26">
        <v>38.92</v>
      </c>
      <c r="I1275" s="26">
        <v>-76.150000000000006</v>
      </c>
      <c r="J1275" s="26">
        <v>5</v>
      </c>
      <c r="M1275" s="26">
        <v>972</v>
      </c>
      <c r="P1275" s="52" t="s">
        <v>1125</v>
      </c>
      <c r="Q1275" s="52" t="s">
        <v>1161</v>
      </c>
      <c r="R1275" s="52"/>
      <c r="S1275" s="52" t="s">
        <v>668</v>
      </c>
      <c r="T1275" s="26">
        <v>1.5</v>
      </c>
      <c r="W1275" s="26" t="s">
        <v>175</v>
      </c>
      <c r="AA1275" s="26" t="s">
        <v>1713</v>
      </c>
      <c r="AB1275" s="26" t="s">
        <v>173</v>
      </c>
      <c r="AC1275" s="26" t="s">
        <v>174</v>
      </c>
      <c r="AG1275" s="26" t="s">
        <v>217</v>
      </c>
      <c r="AH1275" s="26" t="s">
        <v>217</v>
      </c>
      <c r="AI1275" s="26" t="s">
        <v>252</v>
      </c>
      <c r="AJ1275" s="26" t="s">
        <v>1190</v>
      </c>
      <c r="AK1275" s="26" t="s">
        <v>1190</v>
      </c>
      <c r="AL1275" s="26" t="s">
        <v>252</v>
      </c>
      <c r="AM1275" s="26" t="s">
        <v>160</v>
      </c>
      <c r="AN1275" s="26">
        <v>4</v>
      </c>
      <c r="AO1275" s="26">
        <v>4</v>
      </c>
      <c r="AP1275" s="26" t="s">
        <v>448</v>
      </c>
      <c r="AR1275" s="26">
        <v>1873</v>
      </c>
      <c r="AS1275" s="26">
        <v>50.21447721179625</v>
      </c>
      <c r="CU1275" s="26">
        <v>10.47</v>
      </c>
      <c r="CV1275" s="26">
        <v>2.72</v>
      </c>
      <c r="CW1275" s="26" t="s">
        <v>1195</v>
      </c>
      <c r="EN1275" s="26">
        <v>59</v>
      </c>
    </row>
    <row r="1276" spans="1:144" s="26" customFormat="1" x14ac:dyDescent="0.25">
      <c r="A1276" s="26">
        <v>59</v>
      </c>
      <c r="B1276" s="26" t="s">
        <v>1158</v>
      </c>
      <c r="C1276" s="26" t="s">
        <v>1159</v>
      </c>
      <c r="D1276" s="26">
        <v>1997</v>
      </c>
      <c r="E1276" s="26">
        <v>1993</v>
      </c>
      <c r="F1276" s="26" t="s">
        <v>1160</v>
      </c>
      <c r="G1276" s="26" t="s">
        <v>1187</v>
      </c>
      <c r="H1276" s="26">
        <v>38.92</v>
      </c>
      <c r="I1276" s="26">
        <v>-76.150000000000006</v>
      </c>
      <c r="J1276" s="26">
        <v>5</v>
      </c>
      <c r="M1276" s="26">
        <v>972</v>
      </c>
      <c r="P1276" s="52" t="s">
        <v>1125</v>
      </c>
      <c r="Q1276" s="52" t="s">
        <v>1161</v>
      </c>
      <c r="R1276" s="52"/>
      <c r="S1276" s="52" t="s">
        <v>668</v>
      </c>
      <c r="T1276" s="26">
        <v>1.5</v>
      </c>
      <c r="W1276" s="26" t="s">
        <v>175</v>
      </c>
      <c r="AA1276" s="26" t="s">
        <v>1713</v>
      </c>
      <c r="AB1276" s="26" t="s">
        <v>173</v>
      </c>
      <c r="AC1276" s="26" t="s">
        <v>174</v>
      </c>
      <c r="AG1276" s="26" t="s">
        <v>217</v>
      </c>
      <c r="AH1276" s="26" t="s">
        <v>217</v>
      </c>
      <c r="AI1276" s="26" t="s">
        <v>252</v>
      </c>
      <c r="AJ1276" s="26" t="s">
        <v>1190</v>
      </c>
      <c r="AK1276" s="26" t="s">
        <v>1190</v>
      </c>
      <c r="AL1276" s="26" t="s">
        <v>252</v>
      </c>
      <c r="AM1276" s="26" t="s">
        <v>160</v>
      </c>
      <c r="AN1276" s="26">
        <v>4</v>
      </c>
      <c r="AO1276" s="26">
        <v>4</v>
      </c>
      <c r="AP1276" s="26" t="s">
        <v>448</v>
      </c>
      <c r="AR1276" s="26">
        <v>1873</v>
      </c>
      <c r="AS1276" s="26">
        <v>50.21447721179625</v>
      </c>
      <c r="CU1276" s="26">
        <v>7.95</v>
      </c>
      <c r="CV1276" s="26">
        <v>1.72</v>
      </c>
      <c r="CW1276" s="26" t="s">
        <v>1195</v>
      </c>
      <c r="EN1276" s="26">
        <v>59</v>
      </c>
    </row>
    <row r="1277" spans="1:144" s="26" customFormat="1" x14ac:dyDescent="0.25">
      <c r="A1277" s="26">
        <v>59</v>
      </c>
      <c r="B1277" s="26" t="s">
        <v>1158</v>
      </c>
      <c r="C1277" s="26" t="s">
        <v>1159</v>
      </c>
      <c r="D1277" s="26">
        <v>1997</v>
      </c>
      <c r="E1277" s="26">
        <v>1993</v>
      </c>
      <c r="F1277" s="26" t="s">
        <v>1160</v>
      </c>
      <c r="G1277" s="26" t="s">
        <v>1187</v>
      </c>
      <c r="H1277" s="26">
        <v>38.92</v>
      </c>
      <c r="I1277" s="26">
        <v>-76.150000000000006</v>
      </c>
      <c r="J1277" s="26">
        <v>5</v>
      </c>
      <c r="M1277" s="26">
        <v>972</v>
      </c>
      <c r="P1277" s="52" t="s">
        <v>1125</v>
      </c>
      <c r="Q1277" s="52" t="s">
        <v>1161</v>
      </c>
      <c r="R1277" s="52"/>
      <c r="S1277" s="52" t="s">
        <v>668</v>
      </c>
      <c r="T1277" s="26">
        <v>1.5</v>
      </c>
      <c r="W1277" s="26" t="s">
        <v>175</v>
      </c>
      <c r="AA1277" s="26" t="s">
        <v>1713</v>
      </c>
      <c r="AB1277" s="26" t="s">
        <v>173</v>
      </c>
      <c r="AC1277" s="26" t="s">
        <v>174</v>
      </c>
      <c r="AG1277" s="26" t="s">
        <v>217</v>
      </c>
      <c r="AH1277" s="26" t="s">
        <v>217</v>
      </c>
      <c r="AI1277" s="26" t="s">
        <v>252</v>
      </c>
      <c r="AJ1277" s="26" t="s">
        <v>1190</v>
      </c>
      <c r="AK1277" s="26" t="s">
        <v>1190</v>
      </c>
      <c r="AL1277" s="26" t="s">
        <v>252</v>
      </c>
      <c r="AM1277" s="26" t="s">
        <v>160</v>
      </c>
      <c r="AN1277" s="26">
        <v>4</v>
      </c>
      <c r="AO1277" s="26">
        <v>4</v>
      </c>
      <c r="AP1277" s="26" t="s">
        <v>448</v>
      </c>
      <c r="AR1277" s="26">
        <v>1873</v>
      </c>
      <c r="AS1277" s="26">
        <v>50.21447721179625</v>
      </c>
      <c r="CU1277" s="26">
        <v>10.62</v>
      </c>
      <c r="CV1277" s="26">
        <v>0.45</v>
      </c>
      <c r="CW1277" s="26" t="s">
        <v>1195</v>
      </c>
      <c r="EN1277" s="26">
        <v>59</v>
      </c>
    </row>
    <row r="1278" spans="1:144" s="26" customFormat="1" x14ac:dyDescent="0.25">
      <c r="A1278" s="26">
        <v>59</v>
      </c>
      <c r="B1278" s="26" t="s">
        <v>1158</v>
      </c>
      <c r="C1278" s="26" t="s">
        <v>1159</v>
      </c>
      <c r="D1278" s="26">
        <v>1997</v>
      </c>
      <c r="E1278" s="26">
        <v>1993</v>
      </c>
      <c r="F1278" s="26" t="s">
        <v>1160</v>
      </c>
      <c r="G1278" s="26" t="s">
        <v>1187</v>
      </c>
      <c r="H1278" s="26">
        <v>38.92</v>
      </c>
      <c r="I1278" s="26">
        <v>-76.150000000000006</v>
      </c>
      <c r="J1278" s="26">
        <v>5</v>
      </c>
      <c r="M1278" s="26">
        <v>972</v>
      </c>
      <c r="P1278" s="52" t="s">
        <v>1125</v>
      </c>
      <c r="Q1278" s="52" t="s">
        <v>1161</v>
      </c>
      <c r="R1278" s="52"/>
      <c r="S1278" s="52" t="s">
        <v>668</v>
      </c>
      <c r="T1278" s="26">
        <v>1.5</v>
      </c>
      <c r="W1278" s="26" t="s">
        <v>175</v>
      </c>
      <c r="AA1278" s="26" t="s">
        <v>1713</v>
      </c>
      <c r="AB1278" s="26" t="s">
        <v>173</v>
      </c>
      <c r="AC1278" s="26" t="s">
        <v>174</v>
      </c>
      <c r="AG1278" s="26" t="s">
        <v>217</v>
      </c>
      <c r="AH1278" s="26" t="s">
        <v>217</v>
      </c>
      <c r="AI1278" s="26" t="s">
        <v>252</v>
      </c>
      <c r="AJ1278" s="26" t="s">
        <v>1190</v>
      </c>
      <c r="AK1278" s="26" t="s">
        <v>1190</v>
      </c>
      <c r="AL1278" s="26" t="s">
        <v>252</v>
      </c>
      <c r="AM1278" s="26" t="s">
        <v>160</v>
      </c>
      <c r="AN1278" s="26">
        <v>4</v>
      </c>
      <c r="AO1278" s="26">
        <v>4</v>
      </c>
      <c r="AP1278" s="26" t="s">
        <v>448</v>
      </c>
      <c r="AR1278" s="26">
        <v>1873</v>
      </c>
      <c r="AS1278" s="26">
        <v>50.21447721179625</v>
      </c>
      <c r="CU1278" s="26">
        <v>7.33</v>
      </c>
      <c r="CV1278" s="26">
        <v>0.26</v>
      </c>
      <c r="CW1278" s="26" t="s">
        <v>1195</v>
      </c>
      <c r="EN1278" s="26">
        <v>59</v>
      </c>
    </row>
    <row r="1279" spans="1:144" s="26" customFormat="1" x14ac:dyDescent="0.25">
      <c r="A1279" s="26">
        <v>59</v>
      </c>
      <c r="B1279" s="26" t="s">
        <v>1158</v>
      </c>
      <c r="C1279" s="26" t="s">
        <v>1159</v>
      </c>
      <c r="D1279" s="26">
        <v>1997</v>
      </c>
      <c r="E1279" s="26">
        <v>1993</v>
      </c>
      <c r="F1279" s="26" t="s">
        <v>1160</v>
      </c>
      <c r="G1279" s="26" t="s">
        <v>1187</v>
      </c>
      <c r="H1279" s="26">
        <v>38.92</v>
      </c>
      <c r="I1279" s="26">
        <v>-76.150000000000006</v>
      </c>
      <c r="J1279" s="26">
        <v>5</v>
      </c>
      <c r="M1279" s="26">
        <v>972</v>
      </c>
      <c r="P1279" s="52" t="s">
        <v>1125</v>
      </c>
      <c r="Q1279" s="52" t="s">
        <v>1161</v>
      </c>
      <c r="R1279" s="52"/>
      <c r="S1279" s="52" t="s">
        <v>668</v>
      </c>
      <c r="T1279" s="26">
        <v>1.5</v>
      </c>
      <c r="W1279" s="26" t="s">
        <v>175</v>
      </c>
      <c r="AA1279" s="26" t="s">
        <v>1713</v>
      </c>
      <c r="AB1279" s="26" t="s">
        <v>173</v>
      </c>
      <c r="AC1279" s="26" t="s">
        <v>174</v>
      </c>
      <c r="AG1279" s="26" t="s">
        <v>217</v>
      </c>
      <c r="AH1279" s="26" t="s">
        <v>217</v>
      </c>
      <c r="AI1279" s="26" t="s">
        <v>252</v>
      </c>
      <c r="AJ1279" s="26" t="s">
        <v>1190</v>
      </c>
      <c r="AK1279" s="26" t="s">
        <v>1190</v>
      </c>
      <c r="AL1279" s="26" t="s">
        <v>252</v>
      </c>
      <c r="AM1279" s="26" t="s">
        <v>160</v>
      </c>
      <c r="AN1279" s="26">
        <v>4</v>
      </c>
      <c r="AO1279" s="26">
        <v>4</v>
      </c>
      <c r="AP1279" s="26" t="s">
        <v>448</v>
      </c>
      <c r="AR1279" s="26">
        <v>1873</v>
      </c>
      <c r="AS1279" s="26">
        <v>50.21447721179625</v>
      </c>
      <c r="CU1279" s="26">
        <v>8.69</v>
      </c>
      <c r="CV1279" s="26">
        <v>0.46</v>
      </c>
      <c r="CW1279" s="26" t="s">
        <v>1195</v>
      </c>
      <c r="EN1279" s="26">
        <v>59</v>
      </c>
    </row>
    <row r="1280" spans="1:144" s="26" customFormat="1" x14ac:dyDescent="0.25">
      <c r="A1280" s="26">
        <v>59</v>
      </c>
      <c r="B1280" s="26" t="s">
        <v>1158</v>
      </c>
      <c r="C1280" s="26" t="s">
        <v>1159</v>
      </c>
      <c r="D1280" s="26">
        <v>1997</v>
      </c>
      <c r="E1280" s="26">
        <v>1993</v>
      </c>
      <c r="F1280" s="26" t="s">
        <v>1160</v>
      </c>
      <c r="G1280" s="26" t="s">
        <v>1187</v>
      </c>
      <c r="H1280" s="26">
        <v>38.92</v>
      </c>
      <c r="I1280" s="26">
        <v>-76.150000000000006</v>
      </c>
      <c r="J1280" s="26">
        <v>5</v>
      </c>
      <c r="M1280" s="26">
        <v>972</v>
      </c>
      <c r="P1280" s="52" t="s">
        <v>1125</v>
      </c>
      <c r="Q1280" s="52" t="s">
        <v>1161</v>
      </c>
      <c r="R1280" s="52"/>
      <c r="S1280" s="52" t="s">
        <v>668</v>
      </c>
      <c r="T1280" s="26">
        <v>1.5</v>
      </c>
      <c r="W1280" s="26" t="s">
        <v>175</v>
      </c>
      <c r="AA1280" s="26" t="s">
        <v>1713</v>
      </c>
      <c r="AB1280" s="26" t="s">
        <v>173</v>
      </c>
      <c r="AC1280" s="26" t="s">
        <v>174</v>
      </c>
      <c r="AG1280" s="26" t="s">
        <v>217</v>
      </c>
      <c r="AH1280" s="26" t="s">
        <v>217</v>
      </c>
      <c r="AI1280" s="26" t="s">
        <v>252</v>
      </c>
      <c r="AJ1280" s="26" t="s">
        <v>1190</v>
      </c>
      <c r="AK1280" s="26" t="s">
        <v>1190</v>
      </c>
      <c r="AL1280" s="26" t="s">
        <v>252</v>
      </c>
      <c r="AM1280" s="26" t="s">
        <v>160</v>
      </c>
      <c r="AN1280" s="26">
        <v>4</v>
      </c>
      <c r="AO1280" s="26">
        <v>4</v>
      </c>
      <c r="AP1280" s="26" t="s">
        <v>448</v>
      </c>
      <c r="AR1280" s="26">
        <v>1873</v>
      </c>
      <c r="AS1280" s="26">
        <v>50.21447721179625</v>
      </c>
      <c r="CU1280" s="26">
        <v>12.95</v>
      </c>
      <c r="CV1280" s="26">
        <v>2.98</v>
      </c>
      <c r="CW1280" s="26" t="s">
        <v>1195</v>
      </c>
      <c r="EN1280" s="26">
        <v>59</v>
      </c>
    </row>
    <row r="1281" spans="1:144" s="99" customFormat="1" x14ac:dyDescent="0.25">
      <c r="A1281" s="99">
        <v>59</v>
      </c>
      <c r="B1281" s="99" t="s">
        <v>1158</v>
      </c>
      <c r="C1281" s="99" t="s">
        <v>1159</v>
      </c>
      <c r="D1281" s="99">
        <v>1997</v>
      </c>
      <c r="E1281" s="99">
        <v>1994</v>
      </c>
      <c r="F1281" s="99" t="s">
        <v>1160</v>
      </c>
      <c r="G1281" s="99" t="s">
        <v>1187</v>
      </c>
      <c r="H1281" s="99">
        <v>38.92</v>
      </c>
      <c r="I1281" s="99">
        <v>-76.150000000000006</v>
      </c>
      <c r="J1281" s="99">
        <v>5</v>
      </c>
      <c r="M1281" s="99">
        <v>1275</v>
      </c>
      <c r="P1281" s="100" t="s">
        <v>1126</v>
      </c>
      <c r="Q1281" s="100" t="s">
        <v>1161</v>
      </c>
      <c r="R1281" s="100"/>
      <c r="S1281" s="100" t="s">
        <v>668</v>
      </c>
      <c r="T1281" s="99">
        <v>1.5</v>
      </c>
      <c r="W1281" s="99" t="s">
        <v>175</v>
      </c>
      <c r="AA1281" s="99" t="s">
        <v>1713</v>
      </c>
      <c r="AB1281" s="99" t="s">
        <v>173</v>
      </c>
      <c r="AC1281" s="99" t="s">
        <v>174</v>
      </c>
      <c r="AG1281" s="99" t="s">
        <v>217</v>
      </c>
      <c r="AH1281" s="99" t="s">
        <v>217</v>
      </c>
      <c r="AI1281" s="99" t="s">
        <v>252</v>
      </c>
      <c r="AJ1281" s="99" t="s">
        <v>1190</v>
      </c>
      <c r="AK1281" s="99" t="s">
        <v>1190</v>
      </c>
      <c r="AL1281" s="99" t="s">
        <v>252</v>
      </c>
      <c r="AM1281" s="99" t="s">
        <v>160</v>
      </c>
      <c r="AN1281" s="99">
        <v>4</v>
      </c>
      <c r="AO1281" s="99">
        <v>4</v>
      </c>
      <c r="AP1281" s="99" t="s">
        <v>448</v>
      </c>
      <c r="AR1281" s="99">
        <v>3645</v>
      </c>
      <c r="AS1281" s="99">
        <v>61.570945945945944</v>
      </c>
      <c r="CU1281" s="99">
        <v>16.27</v>
      </c>
      <c r="CV1281" s="99">
        <v>6</v>
      </c>
      <c r="CW1281" s="99" t="s">
        <v>1195</v>
      </c>
      <c r="EN1281" s="99">
        <v>59</v>
      </c>
    </row>
    <row r="1282" spans="1:144" s="99" customFormat="1" x14ac:dyDescent="0.25">
      <c r="A1282" s="99">
        <v>59</v>
      </c>
      <c r="B1282" s="99" t="s">
        <v>1158</v>
      </c>
      <c r="C1282" s="99" t="s">
        <v>1159</v>
      </c>
      <c r="D1282" s="99">
        <v>1997</v>
      </c>
      <c r="E1282" s="99">
        <v>1994</v>
      </c>
      <c r="F1282" s="99" t="s">
        <v>1160</v>
      </c>
      <c r="G1282" s="99" t="s">
        <v>1187</v>
      </c>
      <c r="H1282" s="99">
        <v>38.92</v>
      </c>
      <c r="I1282" s="99">
        <v>-76.150000000000006</v>
      </c>
      <c r="J1282" s="99">
        <v>5</v>
      </c>
      <c r="M1282" s="99">
        <v>1275</v>
      </c>
      <c r="P1282" s="100" t="s">
        <v>1126</v>
      </c>
      <c r="Q1282" s="100" t="s">
        <v>1161</v>
      </c>
      <c r="R1282" s="100"/>
      <c r="S1282" s="100" t="s">
        <v>668</v>
      </c>
      <c r="T1282" s="99">
        <v>1.5</v>
      </c>
      <c r="W1282" s="99" t="s">
        <v>175</v>
      </c>
      <c r="AA1282" s="99" t="s">
        <v>1713</v>
      </c>
      <c r="AB1282" s="99" t="s">
        <v>173</v>
      </c>
      <c r="AC1282" s="99" t="s">
        <v>174</v>
      </c>
      <c r="AG1282" s="99" t="s">
        <v>217</v>
      </c>
      <c r="AH1282" s="99" t="s">
        <v>217</v>
      </c>
      <c r="AI1282" s="99" t="s">
        <v>252</v>
      </c>
      <c r="AJ1282" s="99" t="s">
        <v>1190</v>
      </c>
      <c r="AK1282" s="99" t="s">
        <v>1190</v>
      </c>
      <c r="AL1282" s="99" t="s">
        <v>252</v>
      </c>
      <c r="AM1282" s="99" t="s">
        <v>160</v>
      </c>
      <c r="AN1282" s="99">
        <v>4</v>
      </c>
      <c r="AO1282" s="99">
        <v>4</v>
      </c>
      <c r="AP1282" s="99" t="s">
        <v>448</v>
      </c>
      <c r="AR1282" s="99">
        <v>3645</v>
      </c>
      <c r="AS1282" s="99">
        <v>61.570945945945944</v>
      </c>
      <c r="CU1282" s="99">
        <v>15.46</v>
      </c>
      <c r="CV1282" s="99">
        <v>2.19</v>
      </c>
      <c r="CW1282" s="99" t="s">
        <v>1195</v>
      </c>
      <c r="EN1282" s="99">
        <v>59</v>
      </c>
    </row>
    <row r="1283" spans="1:144" s="99" customFormat="1" x14ac:dyDescent="0.25">
      <c r="A1283" s="99">
        <v>59</v>
      </c>
      <c r="B1283" s="99" t="s">
        <v>1158</v>
      </c>
      <c r="C1283" s="99" t="s">
        <v>1159</v>
      </c>
      <c r="D1283" s="99">
        <v>1997</v>
      </c>
      <c r="E1283" s="99">
        <v>1994</v>
      </c>
      <c r="F1283" s="99" t="s">
        <v>1160</v>
      </c>
      <c r="G1283" s="99" t="s">
        <v>1187</v>
      </c>
      <c r="H1283" s="99">
        <v>38.92</v>
      </c>
      <c r="I1283" s="99">
        <v>-76.150000000000006</v>
      </c>
      <c r="J1283" s="99">
        <v>5</v>
      </c>
      <c r="M1283" s="99">
        <v>1275</v>
      </c>
      <c r="P1283" s="100" t="s">
        <v>1126</v>
      </c>
      <c r="Q1283" s="100" t="s">
        <v>1161</v>
      </c>
      <c r="R1283" s="100"/>
      <c r="S1283" s="100" t="s">
        <v>668</v>
      </c>
      <c r="T1283" s="99">
        <v>1.5</v>
      </c>
      <c r="W1283" s="99" t="s">
        <v>175</v>
      </c>
      <c r="AA1283" s="99" t="s">
        <v>1713</v>
      </c>
      <c r="AB1283" s="99" t="s">
        <v>173</v>
      </c>
      <c r="AC1283" s="99" t="s">
        <v>174</v>
      </c>
      <c r="AG1283" s="99" t="s">
        <v>217</v>
      </c>
      <c r="AH1283" s="99" t="s">
        <v>217</v>
      </c>
      <c r="AI1283" s="99" t="s">
        <v>252</v>
      </c>
      <c r="AJ1283" s="99" t="s">
        <v>1190</v>
      </c>
      <c r="AK1283" s="99" t="s">
        <v>1190</v>
      </c>
      <c r="AL1283" s="99" t="s">
        <v>252</v>
      </c>
      <c r="AM1283" s="99" t="s">
        <v>160</v>
      </c>
      <c r="AN1283" s="99">
        <v>4</v>
      </c>
      <c r="AO1283" s="99">
        <v>4</v>
      </c>
      <c r="AP1283" s="99" t="s">
        <v>448</v>
      </c>
      <c r="AR1283" s="99">
        <v>3645</v>
      </c>
      <c r="AS1283" s="99">
        <v>61.570945945945944</v>
      </c>
      <c r="CU1283" s="99">
        <v>23.55</v>
      </c>
      <c r="CV1283" s="99">
        <v>1.56</v>
      </c>
      <c r="CW1283" s="99" t="s">
        <v>1195</v>
      </c>
      <c r="EN1283" s="99">
        <v>59</v>
      </c>
    </row>
    <row r="1284" spans="1:144" s="99" customFormat="1" x14ac:dyDescent="0.25">
      <c r="A1284" s="99">
        <v>59</v>
      </c>
      <c r="B1284" s="99" t="s">
        <v>1158</v>
      </c>
      <c r="C1284" s="99" t="s">
        <v>1159</v>
      </c>
      <c r="D1284" s="99">
        <v>1997</v>
      </c>
      <c r="E1284" s="99">
        <v>1994</v>
      </c>
      <c r="F1284" s="99" t="s">
        <v>1160</v>
      </c>
      <c r="G1284" s="99" t="s">
        <v>1187</v>
      </c>
      <c r="H1284" s="99">
        <v>38.92</v>
      </c>
      <c r="I1284" s="99">
        <v>-76.150000000000006</v>
      </c>
      <c r="J1284" s="99">
        <v>5</v>
      </c>
      <c r="M1284" s="99">
        <v>1275</v>
      </c>
      <c r="P1284" s="100" t="s">
        <v>1126</v>
      </c>
      <c r="Q1284" s="100" t="s">
        <v>1161</v>
      </c>
      <c r="R1284" s="100"/>
      <c r="S1284" s="100" t="s">
        <v>668</v>
      </c>
      <c r="T1284" s="99">
        <v>1.5</v>
      </c>
      <c r="W1284" s="99" t="s">
        <v>175</v>
      </c>
      <c r="AA1284" s="99" t="s">
        <v>1713</v>
      </c>
      <c r="AB1284" s="99" t="s">
        <v>173</v>
      </c>
      <c r="AC1284" s="99" t="s">
        <v>174</v>
      </c>
      <c r="AG1284" s="99" t="s">
        <v>217</v>
      </c>
      <c r="AH1284" s="99" t="s">
        <v>217</v>
      </c>
      <c r="AI1284" s="99" t="s">
        <v>252</v>
      </c>
      <c r="AJ1284" s="99" t="s">
        <v>1190</v>
      </c>
      <c r="AK1284" s="99" t="s">
        <v>1190</v>
      </c>
      <c r="AL1284" s="99" t="s">
        <v>252</v>
      </c>
      <c r="AM1284" s="99" t="s">
        <v>160</v>
      </c>
      <c r="AN1284" s="99">
        <v>4</v>
      </c>
      <c r="AO1284" s="99">
        <v>4</v>
      </c>
      <c r="AP1284" s="99" t="s">
        <v>448</v>
      </c>
      <c r="AR1284" s="99">
        <v>3645</v>
      </c>
      <c r="AS1284" s="99">
        <v>61.570945945945944</v>
      </c>
      <c r="CU1284" s="99">
        <v>7.28</v>
      </c>
      <c r="CV1284" s="99">
        <v>0.3</v>
      </c>
      <c r="CW1284" s="99" t="s">
        <v>1195</v>
      </c>
      <c r="EN1284" s="99">
        <v>59</v>
      </c>
    </row>
    <row r="1285" spans="1:144" s="99" customFormat="1" x14ac:dyDescent="0.25">
      <c r="A1285" s="99">
        <v>59</v>
      </c>
      <c r="B1285" s="99" t="s">
        <v>1158</v>
      </c>
      <c r="C1285" s="99" t="s">
        <v>1159</v>
      </c>
      <c r="D1285" s="99">
        <v>1997</v>
      </c>
      <c r="E1285" s="99">
        <v>1994</v>
      </c>
      <c r="F1285" s="99" t="s">
        <v>1160</v>
      </c>
      <c r="G1285" s="99" t="s">
        <v>1187</v>
      </c>
      <c r="H1285" s="99">
        <v>38.92</v>
      </c>
      <c r="I1285" s="99">
        <v>-76.150000000000006</v>
      </c>
      <c r="J1285" s="99">
        <v>5</v>
      </c>
      <c r="M1285" s="99">
        <v>1275</v>
      </c>
      <c r="P1285" s="100" t="s">
        <v>1126</v>
      </c>
      <c r="Q1285" s="100" t="s">
        <v>1161</v>
      </c>
      <c r="R1285" s="100"/>
      <c r="S1285" s="100" t="s">
        <v>668</v>
      </c>
      <c r="T1285" s="99">
        <v>1.5</v>
      </c>
      <c r="W1285" s="99" t="s">
        <v>175</v>
      </c>
      <c r="AA1285" s="99" t="s">
        <v>1713</v>
      </c>
      <c r="AB1285" s="99" t="s">
        <v>173</v>
      </c>
      <c r="AC1285" s="99" t="s">
        <v>174</v>
      </c>
      <c r="AG1285" s="99" t="s">
        <v>217</v>
      </c>
      <c r="AH1285" s="99" t="s">
        <v>217</v>
      </c>
      <c r="AI1285" s="99" t="s">
        <v>252</v>
      </c>
      <c r="AJ1285" s="99" t="s">
        <v>1190</v>
      </c>
      <c r="AK1285" s="99" t="s">
        <v>1190</v>
      </c>
      <c r="AL1285" s="99" t="s">
        <v>252</v>
      </c>
      <c r="AM1285" s="99" t="s">
        <v>160</v>
      </c>
      <c r="AN1285" s="99">
        <v>4</v>
      </c>
      <c r="AO1285" s="99">
        <v>4</v>
      </c>
      <c r="AP1285" s="99" t="s">
        <v>448</v>
      </c>
      <c r="AR1285" s="99">
        <v>3645</v>
      </c>
      <c r="AS1285" s="99">
        <v>61.570945945945944</v>
      </c>
      <c r="CU1285" s="99">
        <v>7.38</v>
      </c>
      <c r="CV1285" s="99">
        <v>0.21</v>
      </c>
      <c r="CW1285" s="99" t="s">
        <v>1195</v>
      </c>
      <c r="EN1285" s="99">
        <v>59</v>
      </c>
    </row>
    <row r="1286" spans="1:144" s="99" customFormat="1" x14ac:dyDescent="0.25">
      <c r="A1286" s="99">
        <v>59</v>
      </c>
      <c r="B1286" s="99" t="s">
        <v>1158</v>
      </c>
      <c r="C1286" s="99" t="s">
        <v>1159</v>
      </c>
      <c r="D1286" s="99">
        <v>1997</v>
      </c>
      <c r="E1286" s="99">
        <v>1994</v>
      </c>
      <c r="F1286" s="99" t="s">
        <v>1160</v>
      </c>
      <c r="G1286" s="99" t="s">
        <v>1187</v>
      </c>
      <c r="H1286" s="99">
        <v>38.92</v>
      </c>
      <c r="I1286" s="99">
        <v>-76.150000000000006</v>
      </c>
      <c r="J1286" s="99">
        <v>5</v>
      </c>
      <c r="M1286" s="99">
        <v>1275</v>
      </c>
      <c r="P1286" s="100" t="s">
        <v>1126</v>
      </c>
      <c r="Q1286" s="100" t="s">
        <v>1161</v>
      </c>
      <c r="R1286" s="100"/>
      <c r="S1286" s="100" t="s">
        <v>668</v>
      </c>
      <c r="T1286" s="99">
        <v>1.5</v>
      </c>
      <c r="W1286" s="99" t="s">
        <v>175</v>
      </c>
      <c r="AA1286" s="99" t="s">
        <v>1713</v>
      </c>
      <c r="AB1286" s="99" t="s">
        <v>173</v>
      </c>
      <c r="AC1286" s="99" t="s">
        <v>174</v>
      </c>
      <c r="AG1286" s="99" t="s">
        <v>217</v>
      </c>
      <c r="AH1286" s="99" t="s">
        <v>217</v>
      </c>
      <c r="AI1286" s="99" t="s">
        <v>252</v>
      </c>
      <c r="AJ1286" s="99" t="s">
        <v>1190</v>
      </c>
      <c r="AK1286" s="99" t="s">
        <v>1190</v>
      </c>
      <c r="AL1286" s="99" t="s">
        <v>252</v>
      </c>
      <c r="AM1286" s="99" t="s">
        <v>160</v>
      </c>
      <c r="AN1286" s="99">
        <v>4</v>
      </c>
      <c r="AO1286" s="99">
        <v>4</v>
      </c>
      <c r="AP1286" s="99" t="s">
        <v>448</v>
      </c>
      <c r="AR1286" s="99">
        <v>3645</v>
      </c>
      <c r="AS1286" s="99">
        <v>61.570945945945944</v>
      </c>
      <c r="CU1286" s="99">
        <v>12.85</v>
      </c>
      <c r="CV1286" s="99">
        <v>0.16</v>
      </c>
      <c r="CW1286" s="99" t="s">
        <v>1195</v>
      </c>
      <c r="EN1286" s="99">
        <v>59</v>
      </c>
    </row>
    <row r="1287" spans="1:144" s="99" customFormat="1" x14ac:dyDescent="0.25">
      <c r="A1287" s="99">
        <v>59</v>
      </c>
      <c r="B1287" s="99" t="s">
        <v>1158</v>
      </c>
      <c r="C1287" s="99" t="s">
        <v>1159</v>
      </c>
      <c r="D1287" s="99">
        <v>1997</v>
      </c>
      <c r="E1287" s="99">
        <v>1994</v>
      </c>
      <c r="F1287" s="99" t="s">
        <v>1160</v>
      </c>
      <c r="G1287" s="99" t="s">
        <v>1187</v>
      </c>
      <c r="H1287" s="99">
        <v>38.92</v>
      </c>
      <c r="I1287" s="99">
        <v>-76.150000000000006</v>
      </c>
      <c r="J1287" s="99">
        <v>5</v>
      </c>
      <c r="M1287" s="99">
        <v>1275</v>
      </c>
      <c r="P1287" s="100" t="s">
        <v>1126</v>
      </c>
      <c r="Q1287" s="100" t="s">
        <v>1161</v>
      </c>
      <c r="R1287" s="100"/>
      <c r="S1287" s="100" t="s">
        <v>668</v>
      </c>
      <c r="T1287" s="99">
        <v>1.5</v>
      </c>
      <c r="W1287" s="99" t="s">
        <v>175</v>
      </c>
      <c r="AA1287" s="99" t="s">
        <v>1713</v>
      </c>
      <c r="AB1287" s="99" t="s">
        <v>173</v>
      </c>
      <c r="AC1287" s="99" t="s">
        <v>174</v>
      </c>
      <c r="AG1287" s="99" t="s">
        <v>217</v>
      </c>
      <c r="AH1287" s="99" t="s">
        <v>217</v>
      </c>
      <c r="AI1287" s="99" t="s">
        <v>252</v>
      </c>
      <c r="AJ1287" s="99" t="s">
        <v>1190</v>
      </c>
      <c r="AK1287" s="99" t="s">
        <v>1190</v>
      </c>
      <c r="AL1287" s="99" t="s">
        <v>252</v>
      </c>
      <c r="AM1287" s="99" t="s">
        <v>160</v>
      </c>
      <c r="AN1287" s="99">
        <v>4</v>
      </c>
      <c r="AO1287" s="99">
        <v>4</v>
      </c>
      <c r="AP1287" s="99" t="s">
        <v>448</v>
      </c>
      <c r="AR1287" s="99">
        <v>3645</v>
      </c>
      <c r="AS1287" s="99">
        <v>61.570945945945944</v>
      </c>
      <c r="CU1287" s="99">
        <v>5</v>
      </c>
      <c r="CV1287" s="99">
        <v>0.16</v>
      </c>
      <c r="CW1287" s="99" t="s">
        <v>1195</v>
      </c>
      <c r="EN1287" s="99">
        <v>59</v>
      </c>
    </row>
    <row r="1288" spans="1:144" s="99" customFormat="1" x14ac:dyDescent="0.25">
      <c r="A1288" s="99">
        <v>59</v>
      </c>
      <c r="B1288" s="99" t="s">
        <v>1158</v>
      </c>
      <c r="C1288" s="99" t="s">
        <v>1159</v>
      </c>
      <c r="D1288" s="99">
        <v>1997</v>
      </c>
      <c r="E1288" s="99">
        <v>1994</v>
      </c>
      <c r="F1288" s="99" t="s">
        <v>1160</v>
      </c>
      <c r="G1288" s="99" t="s">
        <v>1187</v>
      </c>
      <c r="H1288" s="99">
        <v>38.92</v>
      </c>
      <c r="I1288" s="99">
        <v>-76.150000000000006</v>
      </c>
      <c r="J1288" s="99">
        <v>5</v>
      </c>
      <c r="M1288" s="99">
        <v>1275</v>
      </c>
      <c r="P1288" s="100" t="s">
        <v>1126</v>
      </c>
      <c r="Q1288" s="100" t="s">
        <v>1161</v>
      </c>
      <c r="R1288" s="100"/>
      <c r="S1288" s="100" t="s">
        <v>668</v>
      </c>
      <c r="T1288" s="99">
        <v>1.5</v>
      </c>
      <c r="W1288" s="99" t="s">
        <v>175</v>
      </c>
      <c r="AA1288" s="99" t="s">
        <v>1713</v>
      </c>
      <c r="AB1288" s="99" t="s">
        <v>173</v>
      </c>
      <c r="AC1288" s="99" t="s">
        <v>174</v>
      </c>
      <c r="AG1288" s="99" t="s">
        <v>217</v>
      </c>
      <c r="AH1288" s="99" t="s">
        <v>217</v>
      </c>
      <c r="AI1288" s="99" t="s">
        <v>252</v>
      </c>
      <c r="AJ1288" s="99" t="s">
        <v>1190</v>
      </c>
      <c r="AK1288" s="99" t="s">
        <v>1190</v>
      </c>
      <c r="AL1288" s="99" t="s">
        <v>252</v>
      </c>
      <c r="AM1288" s="99" t="s">
        <v>160</v>
      </c>
      <c r="AN1288" s="99">
        <v>4</v>
      </c>
      <c r="AO1288" s="99">
        <v>4</v>
      </c>
      <c r="AP1288" s="99" t="s">
        <v>448</v>
      </c>
      <c r="AR1288" s="99">
        <v>3645</v>
      </c>
      <c r="AS1288" s="99">
        <v>61.570945945945944</v>
      </c>
      <c r="CU1288" s="99">
        <v>0.55000000000000004</v>
      </c>
      <c r="CV1288" s="99">
        <v>0.36</v>
      </c>
      <c r="CW1288" s="99" t="s">
        <v>1195</v>
      </c>
      <c r="EN1288" s="99">
        <v>59</v>
      </c>
    </row>
    <row r="1289" spans="1:144" s="26" customFormat="1" x14ac:dyDescent="0.25">
      <c r="A1289" s="26">
        <v>59</v>
      </c>
      <c r="B1289" s="26" t="s">
        <v>1158</v>
      </c>
      <c r="C1289" s="26" t="s">
        <v>1159</v>
      </c>
      <c r="D1289" s="26">
        <v>1997</v>
      </c>
      <c r="E1289" s="26">
        <v>1995</v>
      </c>
      <c r="F1289" s="26" t="s">
        <v>1160</v>
      </c>
      <c r="G1289" s="26" t="s">
        <v>1187</v>
      </c>
      <c r="H1289" s="26">
        <v>38.92</v>
      </c>
      <c r="I1289" s="26">
        <v>-76.150000000000006</v>
      </c>
      <c r="J1289" s="26">
        <v>5</v>
      </c>
      <c r="M1289" s="26">
        <v>755</v>
      </c>
      <c r="P1289" s="52" t="s">
        <v>1127</v>
      </c>
      <c r="Q1289" s="52" t="s">
        <v>1161</v>
      </c>
      <c r="R1289" s="52"/>
      <c r="S1289" s="52" t="s">
        <v>668</v>
      </c>
      <c r="T1289" s="26">
        <v>1.5</v>
      </c>
      <c r="W1289" s="26" t="s">
        <v>175</v>
      </c>
      <c r="AA1289" s="26" t="s">
        <v>1713</v>
      </c>
      <c r="AB1289" s="26" t="s">
        <v>173</v>
      </c>
      <c r="AC1289" s="26" t="s">
        <v>174</v>
      </c>
      <c r="AG1289" s="26" t="s">
        <v>217</v>
      </c>
      <c r="AH1289" s="26" t="s">
        <v>217</v>
      </c>
      <c r="AI1289" s="26" t="s">
        <v>252</v>
      </c>
      <c r="AJ1289" s="26" t="s">
        <v>1190</v>
      </c>
      <c r="AK1289" s="26" t="s">
        <v>1190</v>
      </c>
      <c r="AL1289" s="26" t="s">
        <v>252</v>
      </c>
      <c r="AM1289" s="26" t="s">
        <v>160</v>
      </c>
      <c r="AN1289" s="26">
        <v>4</v>
      </c>
      <c r="AO1289" s="26">
        <v>4</v>
      </c>
      <c r="AP1289" s="26" t="s">
        <v>448</v>
      </c>
      <c r="AR1289" s="26">
        <v>3645</v>
      </c>
      <c r="AS1289" s="26">
        <v>61.570945945945944</v>
      </c>
      <c r="CU1289" s="26">
        <v>5.81</v>
      </c>
      <c r="CV1289" s="26">
        <v>3.78</v>
      </c>
      <c r="CW1289" s="26" t="s">
        <v>1195</v>
      </c>
      <c r="EN1289" s="26">
        <v>59</v>
      </c>
    </row>
    <row r="1290" spans="1:144" s="26" customFormat="1" x14ac:dyDescent="0.25">
      <c r="A1290" s="26">
        <v>59</v>
      </c>
      <c r="B1290" s="26" t="s">
        <v>1158</v>
      </c>
      <c r="C1290" s="26" t="s">
        <v>1159</v>
      </c>
      <c r="D1290" s="26">
        <v>1997</v>
      </c>
      <c r="E1290" s="26">
        <v>1995</v>
      </c>
      <c r="F1290" s="26" t="s">
        <v>1160</v>
      </c>
      <c r="G1290" s="26" t="s">
        <v>1187</v>
      </c>
      <c r="H1290" s="26">
        <v>38.92</v>
      </c>
      <c r="I1290" s="26">
        <v>-76.150000000000006</v>
      </c>
      <c r="J1290" s="26">
        <v>5</v>
      </c>
      <c r="M1290" s="26">
        <v>755</v>
      </c>
      <c r="P1290" s="52" t="s">
        <v>1127</v>
      </c>
      <c r="Q1290" s="52" t="s">
        <v>1161</v>
      </c>
      <c r="R1290" s="52"/>
      <c r="S1290" s="52" t="s">
        <v>668</v>
      </c>
      <c r="T1290" s="26">
        <v>1.5</v>
      </c>
      <c r="W1290" s="26" t="s">
        <v>175</v>
      </c>
      <c r="AA1290" s="26" t="s">
        <v>1713</v>
      </c>
      <c r="AB1290" s="26" t="s">
        <v>173</v>
      </c>
      <c r="AC1290" s="26" t="s">
        <v>174</v>
      </c>
      <c r="AG1290" s="26" t="s">
        <v>217</v>
      </c>
      <c r="AH1290" s="26" t="s">
        <v>217</v>
      </c>
      <c r="AI1290" s="26" t="s">
        <v>252</v>
      </c>
      <c r="AJ1290" s="26" t="s">
        <v>1190</v>
      </c>
      <c r="AK1290" s="26" t="s">
        <v>1190</v>
      </c>
      <c r="AL1290" s="26" t="s">
        <v>252</v>
      </c>
      <c r="AM1290" s="26" t="s">
        <v>160</v>
      </c>
      <c r="AN1290" s="26">
        <v>4</v>
      </c>
      <c r="AO1290" s="26">
        <v>4</v>
      </c>
      <c r="AP1290" s="26" t="s">
        <v>448</v>
      </c>
      <c r="AR1290" s="26">
        <v>3645</v>
      </c>
      <c r="AS1290" s="26">
        <v>61.570945945945944</v>
      </c>
      <c r="CU1290" s="26">
        <v>16.760000000000002</v>
      </c>
      <c r="CV1290" s="26">
        <v>0.39</v>
      </c>
      <c r="CW1290" s="26" t="s">
        <v>1195</v>
      </c>
      <c r="EN1290" s="26">
        <v>59</v>
      </c>
    </row>
    <row r="1291" spans="1:144" s="26" customFormat="1" x14ac:dyDescent="0.25">
      <c r="A1291" s="26">
        <v>59</v>
      </c>
      <c r="B1291" s="26" t="s">
        <v>1158</v>
      </c>
      <c r="C1291" s="26" t="s">
        <v>1159</v>
      </c>
      <c r="D1291" s="26">
        <v>1997</v>
      </c>
      <c r="E1291" s="26">
        <v>1995</v>
      </c>
      <c r="F1291" s="26" t="s">
        <v>1160</v>
      </c>
      <c r="G1291" s="26" t="s">
        <v>1187</v>
      </c>
      <c r="H1291" s="26">
        <v>38.92</v>
      </c>
      <c r="I1291" s="26">
        <v>-76.150000000000006</v>
      </c>
      <c r="J1291" s="26">
        <v>5</v>
      </c>
      <c r="M1291" s="26">
        <v>755</v>
      </c>
      <c r="P1291" s="52" t="s">
        <v>1127</v>
      </c>
      <c r="Q1291" s="52" t="s">
        <v>1161</v>
      </c>
      <c r="R1291" s="52"/>
      <c r="S1291" s="52" t="s">
        <v>668</v>
      </c>
      <c r="T1291" s="26">
        <v>1.5</v>
      </c>
      <c r="W1291" s="26" t="s">
        <v>175</v>
      </c>
      <c r="AA1291" s="26" t="s">
        <v>1713</v>
      </c>
      <c r="AB1291" s="26" t="s">
        <v>173</v>
      </c>
      <c r="AC1291" s="26" t="s">
        <v>174</v>
      </c>
      <c r="AG1291" s="26" t="s">
        <v>217</v>
      </c>
      <c r="AH1291" s="26" t="s">
        <v>217</v>
      </c>
      <c r="AI1291" s="26" t="s">
        <v>252</v>
      </c>
      <c r="AJ1291" s="26" t="s">
        <v>1190</v>
      </c>
      <c r="AK1291" s="26" t="s">
        <v>1190</v>
      </c>
      <c r="AL1291" s="26" t="s">
        <v>252</v>
      </c>
      <c r="AM1291" s="26" t="s">
        <v>160</v>
      </c>
      <c r="AN1291" s="26">
        <v>4</v>
      </c>
      <c r="AO1291" s="26">
        <v>4</v>
      </c>
      <c r="AP1291" s="26" t="s">
        <v>448</v>
      </c>
      <c r="AR1291" s="26">
        <v>3645</v>
      </c>
      <c r="AS1291" s="26">
        <v>61.570945945945944</v>
      </c>
      <c r="CU1291" s="26">
        <v>15.75</v>
      </c>
      <c r="CV1291" s="26">
        <v>0.44</v>
      </c>
      <c r="CW1291" s="26" t="s">
        <v>1195</v>
      </c>
      <c r="EN1291" s="26">
        <v>59</v>
      </c>
    </row>
    <row r="1292" spans="1:144" s="26" customFormat="1" x14ac:dyDescent="0.25">
      <c r="A1292" s="26">
        <v>59</v>
      </c>
      <c r="B1292" s="26" t="s">
        <v>1158</v>
      </c>
      <c r="C1292" s="26" t="s">
        <v>1159</v>
      </c>
      <c r="D1292" s="26">
        <v>1997</v>
      </c>
      <c r="E1292" s="26">
        <v>1995</v>
      </c>
      <c r="F1292" s="26" t="s">
        <v>1160</v>
      </c>
      <c r="G1292" s="26" t="s">
        <v>1187</v>
      </c>
      <c r="H1292" s="26">
        <v>38.92</v>
      </c>
      <c r="I1292" s="26">
        <v>-76.150000000000006</v>
      </c>
      <c r="J1292" s="26">
        <v>5</v>
      </c>
      <c r="M1292" s="26">
        <v>755</v>
      </c>
      <c r="P1292" s="52" t="s">
        <v>1127</v>
      </c>
      <c r="Q1292" s="52" t="s">
        <v>1161</v>
      </c>
      <c r="R1292" s="52"/>
      <c r="S1292" s="52" t="s">
        <v>668</v>
      </c>
      <c r="T1292" s="26">
        <v>1.5</v>
      </c>
      <c r="W1292" s="26" t="s">
        <v>175</v>
      </c>
      <c r="AA1292" s="26" t="s">
        <v>1713</v>
      </c>
      <c r="AB1292" s="26" t="s">
        <v>173</v>
      </c>
      <c r="AC1292" s="26" t="s">
        <v>174</v>
      </c>
      <c r="AG1292" s="26" t="s">
        <v>217</v>
      </c>
      <c r="AH1292" s="26" t="s">
        <v>217</v>
      </c>
      <c r="AI1292" s="26" t="s">
        <v>252</v>
      </c>
      <c r="AJ1292" s="26" t="s">
        <v>1190</v>
      </c>
      <c r="AK1292" s="26" t="s">
        <v>1190</v>
      </c>
      <c r="AL1292" s="26" t="s">
        <v>252</v>
      </c>
      <c r="AM1292" s="26" t="s">
        <v>160</v>
      </c>
      <c r="AN1292" s="26">
        <v>4</v>
      </c>
      <c r="AO1292" s="26">
        <v>4</v>
      </c>
      <c r="AP1292" s="26" t="s">
        <v>448</v>
      </c>
      <c r="AR1292" s="26">
        <v>3645</v>
      </c>
      <c r="AS1292" s="26">
        <v>61.570945945945944</v>
      </c>
      <c r="CU1292" s="26">
        <v>20.45</v>
      </c>
      <c r="CV1292" s="26">
        <v>0.31</v>
      </c>
      <c r="CW1292" s="26" t="s">
        <v>1195</v>
      </c>
      <c r="EN1292" s="26">
        <v>59</v>
      </c>
    </row>
    <row r="1293" spans="1:144" s="26" customFormat="1" x14ac:dyDescent="0.25">
      <c r="A1293" s="26">
        <v>59</v>
      </c>
      <c r="B1293" s="26" t="s">
        <v>1158</v>
      </c>
      <c r="C1293" s="26" t="s">
        <v>1159</v>
      </c>
      <c r="D1293" s="26">
        <v>1997</v>
      </c>
      <c r="E1293" s="26">
        <v>1995</v>
      </c>
      <c r="F1293" s="26" t="s">
        <v>1160</v>
      </c>
      <c r="G1293" s="26" t="s">
        <v>1187</v>
      </c>
      <c r="H1293" s="26">
        <v>38.92</v>
      </c>
      <c r="I1293" s="26">
        <v>-76.150000000000006</v>
      </c>
      <c r="J1293" s="26">
        <v>5</v>
      </c>
      <c r="M1293" s="26">
        <v>755</v>
      </c>
      <c r="P1293" s="52" t="s">
        <v>1127</v>
      </c>
      <c r="Q1293" s="52" t="s">
        <v>1161</v>
      </c>
      <c r="R1293" s="52"/>
      <c r="S1293" s="52" t="s">
        <v>668</v>
      </c>
      <c r="T1293" s="26">
        <v>1.5</v>
      </c>
      <c r="W1293" s="26" t="s">
        <v>175</v>
      </c>
      <c r="AA1293" s="26" t="s">
        <v>1713</v>
      </c>
      <c r="AB1293" s="26" t="s">
        <v>173</v>
      </c>
      <c r="AC1293" s="26" t="s">
        <v>174</v>
      </c>
      <c r="AG1293" s="26" t="s">
        <v>217</v>
      </c>
      <c r="AH1293" s="26" t="s">
        <v>217</v>
      </c>
      <c r="AI1293" s="26" t="s">
        <v>252</v>
      </c>
      <c r="AJ1293" s="26" t="s">
        <v>1190</v>
      </c>
      <c r="AK1293" s="26" t="s">
        <v>1190</v>
      </c>
      <c r="AL1293" s="26" t="s">
        <v>252</v>
      </c>
      <c r="AM1293" s="26" t="s">
        <v>160</v>
      </c>
      <c r="AN1293" s="26">
        <v>4</v>
      </c>
      <c r="AO1293" s="26">
        <v>4</v>
      </c>
      <c r="AP1293" s="26" t="s">
        <v>448</v>
      </c>
      <c r="AR1293" s="26">
        <v>3645</v>
      </c>
      <c r="AS1293" s="26">
        <v>61.570945945945944</v>
      </c>
      <c r="CU1293" s="26">
        <v>14.45</v>
      </c>
      <c r="CV1293" s="26">
        <v>0.21</v>
      </c>
      <c r="CW1293" s="26" t="s">
        <v>1195</v>
      </c>
      <c r="EN1293" s="26">
        <v>59</v>
      </c>
    </row>
    <row r="1294" spans="1:144" s="26" customFormat="1" x14ac:dyDescent="0.25">
      <c r="A1294" s="26">
        <v>59</v>
      </c>
      <c r="B1294" s="26" t="s">
        <v>1158</v>
      </c>
      <c r="C1294" s="26" t="s">
        <v>1159</v>
      </c>
      <c r="D1294" s="26">
        <v>1997</v>
      </c>
      <c r="E1294" s="26">
        <v>1995</v>
      </c>
      <c r="F1294" s="26" t="s">
        <v>1160</v>
      </c>
      <c r="G1294" s="26" t="s">
        <v>1187</v>
      </c>
      <c r="H1294" s="26">
        <v>38.92</v>
      </c>
      <c r="I1294" s="26">
        <v>-76.150000000000006</v>
      </c>
      <c r="J1294" s="26">
        <v>5</v>
      </c>
      <c r="M1294" s="26">
        <v>755</v>
      </c>
      <c r="P1294" s="52" t="s">
        <v>1127</v>
      </c>
      <c r="Q1294" s="52" t="s">
        <v>1161</v>
      </c>
      <c r="R1294" s="52"/>
      <c r="S1294" s="52" t="s">
        <v>668</v>
      </c>
      <c r="T1294" s="26">
        <v>1.5</v>
      </c>
      <c r="W1294" s="26" t="s">
        <v>175</v>
      </c>
      <c r="AA1294" s="26" t="s">
        <v>1713</v>
      </c>
      <c r="AB1294" s="26" t="s">
        <v>173</v>
      </c>
      <c r="AC1294" s="26" t="s">
        <v>174</v>
      </c>
      <c r="AG1294" s="26" t="s">
        <v>217</v>
      </c>
      <c r="AH1294" s="26" t="s">
        <v>217</v>
      </c>
      <c r="AI1294" s="26" t="s">
        <v>252</v>
      </c>
      <c r="AJ1294" s="26" t="s">
        <v>1190</v>
      </c>
      <c r="AK1294" s="26" t="s">
        <v>1190</v>
      </c>
      <c r="AL1294" s="26" t="s">
        <v>252</v>
      </c>
      <c r="AM1294" s="26" t="s">
        <v>160</v>
      </c>
      <c r="AN1294" s="26">
        <v>4</v>
      </c>
      <c r="AO1294" s="26">
        <v>4</v>
      </c>
      <c r="AP1294" s="26" t="s">
        <v>448</v>
      </c>
      <c r="AR1294" s="26">
        <v>3645</v>
      </c>
      <c r="AS1294" s="26">
        <v>61.570945945945944</v>
      </c>
      <c r="CU1294" s="26">
        <v>9.17</v>
      </c>
      <c r="CV1294" s="26">
        <v>0.1</v>
      </c>
      <c r="CW1294" s="26" t="s">
        <v>1195</v>
      </c>
      <c r="EN1294" s="26">
        <v>59</v>
      </c>
    </row>
    <row r="1295" spans="1:144" s="26" customFormat="1" x14ac:dyDescent="0.25">
      <c r="A1295" s="26">
        <v>59</v>
      </c>
      <c r="B1295" s="26" t="s">
        <v>1158</v>
      </c>
      <c r="C1295" s="26" t="s">
        <v>1159</v>
      </c>
      <c r="D1295" s="26">
        <v>1997</v>
      </c>
      <c r="E1295" s="26">
        <v>1995</v>
      </c>
      <c r="F1295" s="26" t="s">
        <v>1160</v>
      </c>
      <c r="G1295" s="26" t="s">
        <v>1187</v>
      </c>
      <c r="H1295" s="26">
        <v>38.92</v>
      </c>
      <c r="I1295" s="26">
        <v>-76.150000000000006</v>
      </c>
      <c r="J1295" s="26">
        <v>5</v>
      </c>
      <c r="M1295" s="26">
        <v>755</v>
      </c>
      <c r="P1295" s="52" t="s">
        <v>1127</v>
      </c>
      <c r="Q1295" s="52" t="s">
        <v>1161</v>
      </c>
      <c r="R1295" s="52"/>
      <c r="S1295" s="52" t="s">
        <v>668</v>
      </c>
      <c r="T1295" s="26">
        <v>1.5</v>
      </c>
      <c r="W1295" s="26" t="s">
        <v>175</v>
      </c>
      <c r="AA1295" s="26" t="s">
        <v>1713</v>
      </c>
      <c r="AB1295" s="26" t="s">
        <v>173</v>
      </c>
      <c r="AC1295" s="26" t="s">
        <v>174</v>
      </c>
      <c r="AG1295" s="26" t="s">
        <v>217</v>
      </c>
      <c r="AH1295" s="26" t="s">
        <v>217</v>
      </c>
      <c r="AI1295" s="26" t="s">
        <v>252</v>
      </c>
      <c r="AJ1295" s="26" t="s">
        <v>1190</v>
      </c>
      <c r="AK1295" s="26" t="s">
        <v>1190</v>
      </c>
      <c r="AL1295" s="26" t="s">
        <v>252</v>
      </c>
      <c r="AM1295" s="26" t="s">
        <v>160</v>
      </c>
      <c r="AN1295" s="26">
        <v>4</v>
      </c>
      <c r="AO1295" s="26">
        <v>4</v>
      </c>
      <c r="AP1295" s="26" t="s">
        <v>448</v>
      </c>
      <c r="AR1295" s="26">
        <v>3645</v>
      </c>
      <c r="AS1295" s="26">
        <v>61.570945945945944</v>
      </c>
      <c r="CU1295" s="26">
        <v>12.47</v>
      </c>
      <c r="CV1295" s="26">
        <v>0.56000000000000005</v>
      </c>
      <c r="CW1295" s="26" t="s">
        <v>1195</v>
      </c>
      <c r="EN1295" s="26">
        <v>59</v>
      </c>
    </row>
    <row r="1296" spans="1:144" s="26" customFormat="1" x14ac:dyDescent="0.25">
      <c r="A1296" s="26">
        <v>59</v>
      </c>
      <c r="B1296" s="26" t="s">
        <v>1158</v>
      </c>
      <c r="C1296" s="26" t="s">
        <v>1159</v>
      </c>
      <c r="D1296" s="26">
        <v>1997</v>
      </c>
      <c r="E1296" s="26">
        <v>1995</v>
      </c>
      <c r="F1296" s="26" t="s">
        <v>1160</v>
      </c>
      <c r="G1296" s="26" t="s">
        <v>1187</v>
      </c>
      <c r="H1296" s="26">
        <v>38.92</v>
      </c>
      <c r="I1296" s="26">
        <v>-76.150000000000006</v>
      </c>
      <c r="J1296" s="26">
        <v>5</v>
      </c>
      <c r="M1296" s="26">
        <v>755</v>
      </c>
      <c r="P1296" s="52" t="s">
        <v>1127</v>
      </c>
      <c r="Q1296" s="52" t="s">
        <v>1161</v>
      </c>
      <c r="R1296" s="52"/>
      <c r="S1296" s="52" t="s">
        <v>668</v>
      </c>
      <c r="T1296" s="26">
        <v>1.5</v>
      </c>
      <c r="W1296" s="26" t="s">
        <v>175</v>
      </c>
      <c r="AA1296" s="26" t="s">
        <v>1713</v>
      </c>
      <c r="AB1296" s="26" t="s">
        <v>173</v>
      </c>
      <c r="AC1296" s="26" t="s">
        <v>174</v>
      </c>
      <c r="AG1296" s="26" t="s">
        <v>217</v>
      </c>
      <c r="AH1296" s="26" t="s">
        <v>217</v>
      </c>
      <c r="AI1296" s="26" t="s">
        <v>252</v>
      </c>
      <c r="AJ1296" s="26" t="s">
        <v>1190</v>
      </c>
      <c r="AK1296" s="26" t="s">
        <v>1190</v>
      </c>
      <c r="AL1296" s="26" t="s">
        <v>252</v>
      </c>
      <c r="AM1296" s="26" t="s">
        <v>160</v>
      </c>
      <c r="AN1296" s="26">
        <v>4</v>
      </c>
      <c r="AO1296" s="26">
        <v>4</v>
      </c>
      <c r="AP1296" s="26" t="s">
        <v>448</v>
      </c>
      <c r="AR1296" s="26">
        <v>3645</v>
      </c>
      <c r="AS1296" s="26">
        <v>61.570945945945944</v>
      </c>
      <c r="CU1296" s="26">
        <v>12.86</v>
      </c>
      <c r="CV1296" s="26">
        <v>1.23</v>
      </c>
      <c r="CW1296" s="26" t="s">
        <v>1195</v>
      </c>
      <c r="EN1296" s="26">
        <v>59</v>
      </c>
    </row>
    <row r="1297" spans="1:144" s="25" customFormat="1" x14ac:dyDescent="0.25">
      <c r="A1297" s="25">
        <v>59</v>
      </c>
      <c r="B1297" s="25" t="s">
        <v>1158</v>
      </c>
      <c r="C1297" s="25" t="s">
        <v>1159</v>
      </c>
      <c r="D1297" s="25">
        <v>1997</v>
      </c>
      <c r="E1297" s="25">
        <v>1988</v>
      </c>
      <c r="F1297" s="25" t="s">
        <v>1160</v>
      </c>
      <c r="G1297" s="25" t="s">
        <v>1187</v>
      </c>
      <c r="H1297" s="25">
        <v>38.92</v>
      </c>
      <c r="I1297" s="25">
        <v>-76.150000000000006</v>
      </c>
      <c r="J1297" s="25">
        <v>5</v>
      </c>
      <c r="M1297" s="25">
        <v>866</v>
      </c>
      <c r="P1297" s="101" t="s">
        <v>187</v>
      </c>
      <c r="Q1297" s="101" t="s">
        <v>1161</v>
      </c>
      <c r="R1297" s="101" t="s">
        <v>1197</v>
      </c>
      <c r="S1297" s="101" t="s">
        <v>1188</v>
      </c>
      <c r="T1297" s="25">
        <v>1.5</v>
      </c>
      <c r="W1297" s="25" t="s">
        <v>175</v>
      </c>
      <c r="AA1297" s="25" t="s">
        <v>1713</v>
      </c>
      <c r="AB1297" s="25" t="s">
        <v>173</v>
      </c>
      <c r="AC1297" s="25" t="s">
        <v>174</v>
      </c>
      <c r="AG1297" s="25" t="s">
        <v>312</v>
      </c>
      <c r="AH1297" s="25" t="s">
        <v>312</v>
      </c>
      <c r="AI1297" s="25" t="s">
        <v>252</v>
      </c>
      <c r="AJ1297" s="25" t="s">
        <v>1190</v>
      </c>
      <c r="AK1297" s="25" t="s">
        <v>1190</v>
      </c>
      <c r="AL1297" s="25" t="s">
        <v>252</v>
      </c>
      <c r="AM1297" s="25" t="s">
        <v>160</v>
      </c>
      <c r="AN1297" s="25">
        <v>4</v>
      </c>
      <c r="AO1297" s="25">
        <v>4</v>
      </c>
      <c r="AP1297" s="25" t="s">
        <v>448</v>
      </c>
      <c r="BH1297" s="25">
        <v>6.96</v>
      </c>
      <c r="BI1297" s="25">
        <v>6.96</v>
      </c>
      <c r="BJ1297" s="25" t="s">
        <v>1198</v>
      </c>
      <c r="EN1297" s="25">
        <v>59</v>
      </c>
    </row>
    <row r="1298" spans="1:144" s="25" customFormat="1" x14ac:dyDescent="0.25">
      <c r="A1298" s="25">
        <v>59</v>
      </c>
      <c r="B1298" s="25" t="s">
        <v>1158</v>
      </c>
      <c r="C1298" s="25" t="s">
        <v>1159</v>
      </c>
      <c r="D1298" s="25">
        <v>1997</v>
      </c>
      <c r="E1298" s="25">
        <v>1989</v>
      </c>
      <c r="F1298" s="25" t="s">
        <v>1160</v>
      </c>
      <c r="G1298" s="25" t="s">
        <v>1187</v>
      </c>
      <c r="H1298" s="25">
        <v>38.92</v>
      </c>
      <c r="I1298" s="25">
        <v>-76.150000000000006</v>
      </c>
      <c r="J1298" s="25">
        <v>5</v>
      </c>
      <c r="M1298" s="25">
        <v>1300</v>
      </c>
      <c r="P1298" s="101" t="s">
        <v>188</v>
      </c>
      <c r="Q1298" s="101" t="s">
        <v>1161</v>
      </c>
      <c r="R1298" s="101" t="s">
        <v>1196</v>
      </c>
      <c r="S1298" s="101" t="s">
        <v>1188</v>
      </c>
      <c r="T1298" s="25">
        <v>1.5</v>
      </c>
      <c r="W1298" s="25" t="s">
        <v>175</v>
      </c>
      <c r="AA1298" s="25" t="s">
        <v>1713</v>
      </c>
      <c r="AB1298" s="25" t="s">
        <v>173</v>
      </c>
      <c r="AC1298" s="25" t="s">
        <v>174</v>
      </c>
      <c r="AG1298" s="25" t="s">
        <v>312</v>
      </c>
      <c r="AH1298" s="25" t="s">
        <v>312</v>
      </c>
      <c r="AI1298" s="25" t="s">
        <v>252</v>
      </c>
      <c r="AJ1298" s="25" t="s">
        <v>1190</v>
      </c>
      <c r="AK1298" s="25" t="s">
        <v>1190</v>
      </c>
      <c r="AL1298" s="25" t="s">
        <v>252</v>
      </c>
      <c r="AM1298" s="25" t="s">
        <v>160</v>
      </c>
      <c r="AN1298" s="25">
        <v>4</v>
      </c>
      <c r="AO1298" s="25">
        <v>4</v>
      </c>
      <c r="AP1298" s="25" t="s">
        <v>448</v>
      </c>
      <c r="BH1298" s="25">
        <v>4.62</v>
      </c>
      <c r="BI1298" s="25">
        <v>0.77</v>
      </c>
      <c r="BJ1298" s="25" t="s">
        <v>1198</v>
      </c>
      <c r="EN1298" s="25">
        <v>59</v>
      </c>
    </row>
    <row r="1299" spans="1:144" s="25" customFormat="1" x14ac:dyDescent="0.25">
      <c r="A1299" s="25">
        <v>59</v>
      </c>
      <c r="B1299" s="25" t="s">
        <v>1158</v>
      </c>
      <c r="C1299" s="25" t="s">
        <v>1159</v>
      </c>
      <c r="D1299" s="25">
        <v>1997</v>
      </c>
      <c r="E1299" s="25">
        <v>1989</v>
      </c>
      <c r="F1299" s="25" t="s">
        <v>1160</v>
      </c>
      <c r="G1299" s="25" t="s">
        <v>1187</v>
      </c>
      <c r="H1299" s="25">
        <v>38.92</v>
      </c>
      <c r="I1299" s="25">
        <v>-76.150000000000006</v>
      </c>
      <c r="J1299" s="25">
        <v>5</v>
      </c>
      <c r="M1299" s="25">
        <v>1300</v>
      </c>
      <c r="P1299" s="101" t="s">
        <v>188</v>
      </c>
      <c r="Q1299" s="101" t="s">
        <v>1161</v>
      </c>
      <c r="R1299" s="101" t="s">
        <v>1197</v>
      </c>
      <c r="S1299" s="101" t="s">
        <v>1188</v>
      </c>
      <c r="T1299" s="25">
        <v>1.5</v>
      </c>
      <c r="W1299" s="25" t="s">
        <v>175</v>
      </c>
      <c r="AA1299" s="25" t="s">
        <v>1713</v>
      </c>
      <c r="AB1299" s="25" t="s">
        <v>173</v>
      </c>
      <c r="AC1299" s="25" t="s">
        <v>174</v>
      </c>
      <c r="AG1299" s="25" t="s">
        <v>312</v>
      </c>
      <c r="AH1299" s="25" t="s">
        <v>312</v>
      </c>
      <c r="AI1299" s="25" t="s">
        <v>252</v>
      </c>
      <c r="AJ1299" s="25" t="s">
        <v>1190</v>
      </c>
      <c r="AK1299" s="25" t="s">
        <v>1190</v>
      </c>
      <c r="AL1299" s="25" t="s">
        <v>252</v>
      </c>
      <c r="AM1299" s="25" t="s">
        <v>160</v>
      </c>
      <c r="AN1299" s="25">
        <v>4</v>
      </c>
      <c r="AO1299" s="25">
        <v>4</v>
      </c>
      <c r="AP1299" s="25" t="s">
        <v>448</v>
      </c>
      <c r="BH1299" s="25">
        <v>4.3</v>
      </c>
      <c r="BI1299" s="25">
        <v>1.06</v>
      </c>
      <c r="BJ1299" s="25" t="s">
        <v>1198</v>
      </c>
      <c r="EN1299" s="25">
        <v>59</v>
      </c>
    </row>
    <row r="1300" spans="1:144" s="25" customFormat="1" x14ac:dyDescent="0.25">
      <c r="A1300" s="25">
        <v>59</v>
      </c>
      <c r="B1300" s="25" t="s">
        <v>1158</v>
      </c>
      <c r="C1300" s="25" t="s">
        <v>1159</v>
      </c>
      <c r="D1300" s="25">
        <v>1997</v>
      </c>
      <c r="E1300" s="25">
        <v>1990</v>
      </c>
      <c r="F1300" s="25" t="s">
        <v>1160</v>
      </c>
      <c r="G1300" s="25" t="s">
        <v>1187</v>
      </c>
      <c r="H1300" s="25">
        <v>38.92</v>
      </c>
      <c r="I1300" s="25">
        <v>-76.150000000000006</v>
      </c>
      <c r="J1300" s="25">
        <v>5</v>
      </c>
      <c r="M1300" s="25">
        <v>1007</v>
      </c>
      <c r="P1300" s="101" t="s">
        <v>189</v>
      </c>
      <c r="Q1300" s="101" t="s">
        <v>1161</v>
      </c>
      <c r="R1300" s="101" t="s">
        <v>1196</v>
      </c>
      <c r="S1300" s="101" t="s">
        <v>1188</v>
      </c>
      <c r="T1300" s="25">
        <v>1.5</v>
      </c>
      <c r="W1300" s="25" t="s">
        <v>175</v>
      </c>
      <c r="AA1300" s="25" t="s">
        <v>1713</v>
      </c>
      <c r="AB1300" s="25" t="s">
        <v>173</v>
      </c>
      <c r="AC1300" s="25" t="s">
        <v>174</v>
      </c>
      <c r="AG1300" s="25" t="s">
        <v>312</v>
      </c>
      <c r="AH1300" s="25" t="s">
        <v>312</v>
      </c>
      <c r="AI1300" s="25" t="s">
        <v>252</v>
      </c>
      <c r="AJ1300" s="25" t="s">
        <v>1190</v>
      </c>
      <c r="AK1300" s="25" t="s">
        <v>1190</v>
      </c>
      <c r="AL1300" s="25" t="s">
        <v>252</v>
      </c>
      <c r="AM1300" s="25" t="s">
        <v>160</v>
      </c>
      <c r="AN1300" s="25">
        <v>4</v>
      </c>
      <c r="AO1300" s="25">
        <v>4</v>
      </c>
      <c r="AP1300" s="25" t="s">
        <v>448</v>
      </c>
      <c r="AR1300" s="25">
        <v>4048</v>
      </c>
      <c r="AS1300" s="25">
        <f>AR1300/85</f>
        <v>47.623529411764707</v>
      </c>
      <c r="BH1300" s="25">
        <v>3.68</v>
      </c>
      <c r="BI1300" s="25">
        <v>0.9</v>
      </c>
      <c r="BJ1300" s="25" t="s">
        <v>1198</v>
      </c>
      <c r="EN1300" s="25">
        <v>59</v>
      </c>
    </row>
    <row r="1301" spans="1:144" s="25" customFormat="1" x14ac:dyDescent="0.25">
      <c r="A1301" s="25">
        <v>59</v>
      </c>
      <c r="B1301" s="25" t="s">
        <v>1158</v>
      </c>
      <c r="C1301" s="25" t="s">
        <v>1159</v>
      </c>
      <c r="D1301" s="25">
        <v>1997</v>
      </c>
      <c r="E1301" s="25">
        <v>1990</v>
      </c>
      <c r="F1301" s="25" t="s">
        <v>1160</v>
      </c>
      <c r="G1301" s="25" t="s">
        <v>1187</v>
      </c>
      <c r="H1301" s="25">
        <v>38.92</v>
      </c>
      <c r="I1301" s="25">
        <v>-76.150000000000006</v>
      </c>
      <c r="J1301" s="25">
        <v>5</v>
      </c>
      <c r="M1301" s="25">
        <v>1007</v>
      </c>
      <c r="P1301" s="101" t="s">
        <v>189</v>
      </c>
      <c r="Q1301" s="101" t="s">
        <v>1161</v>
      </c>
      <c r="R1301" s="101" t="s">
        <v>1197</v>
      </c>
      <c r="S1301" s="101" t="s">
        <v>1188</v>
      </c>
      <c r="T1301" s="25">
        <v>1.5</v>
      </c>
      <c r="W1301" s="25" t="s">
        <v>175</v>
      </c>
      <c r="AA1301" s="25" t="s">
        <v>1713</v>
      </c>
      <c r="AB1301" s="25" t="s">
        <v>173</v>
      </c>
      <c r="AC1301" s="25" t="s">
        <v>174</v>
      </c>
      <c r="AG1301" s="25" t="s">
        <v>312</v>
      </c>
      <c r="AH1301" s="25" t="s">
        <v>312</v>
      </c>
      <c r="AI1301" s="25" t="s">
        <v>252</v>
      </c>
      <c r="AJ1301" s="25" t="s">
        <v>1190</v>
      </c>
      <c r="AK1301" s="25" t="s">
        <v>1190</v>
      </c>
      <c r="AL1301" s="25" t="s">
        <v>252</v>
      </c>
      <c r="AM1301" s="25" t="s">
        <v>160</v>
      </c>
      <c r="AN1301" s="25">
        <v>4</v>
      </c>
      <c r="AO1301" s="25">
        <v>4</v>
      </c>
      <c r="AP1301" s="25" t="s">
        <v>448</v>
      </c>
      <c r="AR1301" s="25">
        <v>4048</v>
      </c>
      <c r="AS1301" s="25">
        <f>AR1301/85</f>
        <v>47.623529411764707</v>
      </c>
      <c r="BH1301" s="25">
        <v>2.2799999999999998</v>
      </c>
      <c r="BI1301" s="25">
        <v>1.44</v>
      </c>
      <c r="BJ1301" s="25" t="s">
        <v>1198</v>
      </c>
      <c r="EN1301" s="25">
        <v>59</v>
      </c>
    </row>
    <row r="1302" spans="1:144" s="25" customFormat="1" x14ac:dyDescent="0.25">
      <c r="A1302" s="25">
        <v>59</v>
      </c>
      <c r="B1302" s="25" t="s">
        <v>1158</v>
      </c>
      <c r="C1302" s="25" t="s">
        <v>1159</v>
      </c>
      <c r="D1302" s="25">
        <v>1997</v>
      </c>
      <c r="E1302" s="25">
        <v>1991</v>
      </c>
      <c r="F1302" s="25" t="s">
        <v>1160</v>
      </c>
      <c r="G1302" s="25" t="s">
        <v>1187</v>
      </c>
      <c r="H1302" s="25">
        <v>38.92</v>
      </c>
      <c r="I1302" s="25">
        <v>-76.150000000000006</v>
      </c>
      <c r="J1302" s="25">
        <v>5</v>
      </c>
      <c r="M1302" s="25">
        <v>997</v>
      </c>
      <c r="P1302" s="101" t="s">
        <v>190</v>
      </c>
      <c r="Q1302" s="101" t="s">
        <v>1161</v>
      </c>
      <c r="R1302" s="101" t="s">
        <v>1196</v>
      </c>
      <c r="S1302" s="101" t="s">
        <v>1188</v>
      </c>
      <c r="T1302" s="25">
        <v>1.5</v>
      </c>
      <c r="W1302" s="25" t="s">
        <v>175</v>
      </c>
      <c r="AA1302" s="25" t="s">
        <v>1713</v>
      </c>
      <c r="AB1302" s="25" t="s">
        <v>173</v>
      </c>
      <c r="AC1302" s="25" t="s">
        <v>174</v>
      </c>
      <c r="AG1302" s="25" t="s">
        <v>312</v>
      </c>
      <c r="AH1302" s="25" t="s">
        <v>312</v>
      </c>
      <c r="AI1302" s="25" t="s">
        <v>252</v>
      </c>
      <c r="AJ1302" s="25" t="s">
        <v>1190</v>
      </c>
      <c r="AK1302" s="25" t="s">
        <v>1190</v>
      </c>
      <c r="AL1302" s="25" t="s">
        <v>252</v>
      </c>
      <c r="AM1302" s="25" t="s">
        <v>160</v>
      </c>
      <c r="AN1302" s="25">
        <v>4</v>
      </c>
      <c r="AO1302" s="25">
        <v>4</v>
      </c>
      <c r="AP1302" s="25" t="s">
        <v>448</v>
      </c>
      <c r="AR1302" s="25">
        <v>1793</v>
      </c>
      <c r="AS1302" s="25">
        <f>AR1302/25.9</f>
        <v>69.227799227799238</v>
      </c>
      <c r="BH1302" s="25">
        <v>4.57</v>
      </c>
      <c r="BI1302" s="25">
        <v>0.32</v>
      </c>
      <c r="BJ1302" s="25" t="s">
        <v>1198</v>
      </c>
      <c r="EN1302" s="25">
        <v>59</v>
      </c>
    </row>
    <row r="1303" spans="1:144" s="25" customFormat="1" x14ac:dyDescent="0.25">
      <c r="A1303" s="25">
        <v>59</v>
      </c>
      <c r="B1303" s="25" t="s">
        <v>1158</v>
      </c>
      <c r="C1303" s="25" t="s">
        <v>1159</v>
      </c>
      <c r="D1303" s="25">
        <v>1997</v>
      </c>
      <c r="E1303" s="25">
        <v>1991</v>
      </c>
      <c r="F1303" s="25" t="s">
        <v>1160</v>
      </c>
      <c r="G1303" s="25" t="s">
        <v>1187</v>
      </c>
      <c r="H1303" s="25">
        <v>38.92</v>
      </c>
      <c r="I1303" s="25">
        <v>-76.150000000000006</v>
      </c>
      <c r="J1303" s="25">
        <v>5</v>
      </c>
      <c r="M1303" s="25">
        <v>997</v>
      </c>
      <c r="P1303" s="101" t="s">
        <v>190</v>
      </c>
      <c r="Q1303" s="101" t="s">
        <v>1161</v>
      </c>
      <c r="R1303" s="101" t="s">
        <v>1197</v>
      </c>
      <c r="S1303" s="101" t="s">
        <v>1188</v>
      </c>
      <c r="T1303" s="25">
        <v>1.5</v>
      </c>
      <c r="W1303" s="25" t="s">
        <v>175</v>
      </c>
      <c r="AA1303" s="25" t="s">
        <v>1713</v>
      </c>
      <c r="AB1303" s="25" t="s">
        <v>173</v>
      </c>
      <c r="AC1303" s="25" t="s">
        <v>174</v>
      </c>
      <c r="AG1303" s="25" t="s">
        <v>312</v>
      </c>
      <c r="AH1303" s="25" t="s">
        <v>312</v>
      </c>
      <c r="AI1303" s="25" t="s">
        <v>252</v>
      </c>
      <c r="AJ1303" s="25" t="s">
        <v>1190</v>
      </c>
      <c r="AK1303" s="25" t="s">
        <v>1190</v>
      </c>
      <c r="AL1303" s="25" t="s">
        <v>252</v>
      </c>
      <c r="AM1303" s="25" t="s">
        <v>160</v>
      </c>
      <c r="AN1303" s="25">
        <v>4</v>
      </c>
      <c r="AO1303" s="25">
        <v>4</v>
      </c>
      <c r="AP1303" s="25" t="s">
        <v>448</v>
      </c>
      <c r="AR1303" s="25">
        <v>1793</v>
      </c>
      <c r="AS1303" s="25">
        <f>AR1303/25.9</f>
        <v>69.227799227799238</v>
      </c>
      <c r="BH1303" s="25">
        <v>2.2400000000000002</v>
      </c>
      <c r="BI1303" s="25">
        <v>1.68</v>
      </c>
      <c r="BJ1303" s="25" t="s">
        <v>1198</v>
      </c>
      <c r="EN1303" s="25">
        <v>59</v>
      </c>
    </row>
    <row r="1304" spans="1:144" s="25" customFormat="1" x14ac:dyDescent="0.25">
      <c r="A1304" s="25">
        <v>59</v>
      </c>
      <c r="B1304" s="25" t="s">
        <v>1158</v>
      </c>
      <c r="C1304" s="25" t="s">
        <v>1159</v>
      </c>
      <c r="D1304" s="25">
        <v>1997</v>
      </c>
      <c r="E1304" s="25">
        <v>1992</v>
      </c>
      <c r="F1304" s="25" t="s">
        <v>1160</v>
      </c>
      <c r="G1304" s="25" t="s">
        <v>1187</v>
      </c>
      <c r="H1304" s="25">
        <v>38.92</v>
      </c>
      <c r="I1304" s="25">
        <v>-76.150000000000006</v>
      </c>
      <c r="J1304" s="25">
        <v>5</v>
      </c>
      <c r="M1304" s="25">
        <v>866</v>
      </c>
      <c r="P1304" s="101" t="s">
        <v>207</v>
      </c>
      <c r="Q1304" s="101" t="s">
        <v>1161</v>
      </c>
      <c r="R1304" s="101" t="s">
        <v>1196</v>
      </c>
      <c r="S1304" s="101" t="s">
        <v>1188</v>
      </c>
      <c r="T1304" s="25">
        <v>1.5</v>
      </c>
      <c r="W1304" s="25" t="s">
        <v>175</v>
      </c>
      <c r="AA1304" s="25" t="s">
        <v>1713</v>
      </c>
      <c r="AB1304" s="25" t="s">
        <v>173</v>
      </c>
      <c r="AC1304" s="25" t="s">
        <v>174</v>
      </c>
      <c r="AG1304" s="25" t="s">
        <v>312</v>
      </c>
      <c r="AH1304" s="25" t="s">
        <v>312</v>
      </c>
      <c r="AI1304" s="25" t="s">
        <v>252</v>
      </c>
      <c r="AJ1304" s="25" t="s">
        <v>1190</v>
      </c>
      <c r="AK1304" s="25" t="s">
        <v>1190</v>
      </c>
      <c r="AL1304" s="25" t="s">
        <v>252</v>
      </c>
      <c r="AM1304" s="25" t="s">
        <v>160</v>
      </c>
      <c r="AN1304" s="25">
        <v>4</v>
      </c>
      <c r="AO1304" s="25">
        <v>4</v>
      </c>
      <c r="AP1304" s="25" t="s">
        <v>448</v>
      </c>
      <c r="AR1304" s="25">
        <v>2053</v>
      </c>
      <c r="AS1304" s="25">
        <f>AR1304/40.5</f>
        <v>50.691358024691361</v>
      </c>
      <c r="BH1304" s="25">
        <v>4.51</v>
      </c>
      <c r="BI1304" s="25">
        <v>0.33</v>
      </c>
      <c r="BJ1304" s="25" t="s">
        <v>1198</v>
      </c>
      <c r="EN1304" s="25">
        <v>59</v>
      </c>
    </row>
    <row r="1305" spans="1:144" s="25" customFormat="1" x14ac:dyDescent="0.25">
      <c r="A1305" s="25">
        <v>59</v>
      </c>
      <c r="B1305" s="25" t="s">
        <v>1158</v>
      </c>
      <c r="C1305" s="25" t="s">
        <v>1159</v>
      </c>
      <c r="D1305" s="25">
        <v>1997</v>
      </c>
      <c r="E1305" s="25">
        <v>1992</v>
      </c>
      <c r="F1305" s="25" t="s">
        <v>1160</v>
      </c>
      <c r="G1305" s="25" t="s">
        <v>1187</v>
      </c>
      <c r="H1305" s="25">
        <v>38.92</v>
      </c>
      <c r="I1305" s="25">
        <v>-76.150000000000006</v>
      </c>
      <c r="J1305" s="25">
        <v>5</v>
      </c>
      <c r="M1305" s="25">
        <v>866</v>
      </c>
      <c r="P1305" s="101" t="s">
        <v>207</v>
      </c>
      <c r="Q1305" s="101" t="s">
        <v>1161</v>
      </c>
      <c r="R1305" s="101" t="s">
        <v>1197</v>
      </c>
      <c r="S1305" s="101" t="s">
        <v>1188</v>
      </c>
      <c r="T1305" s="25">
        <v>1.5</v>
      </c>
      <c r="W1305" s="25" t="s">
        <v>175</v>
      </c>
      <c r="AA1305" s="25" t="s">
        <v>1713</v>
      </c>
      <c r="AB1305" s="25" t="s">
        <v>173</v>
      </c>
      <c r="AC1305" s="25" t="s">
        <v>174</v>
      </c>
      <c r="AG1305" s="25" t="s">
        <v>312</v>
      </c>
      <c r="AH1305" s="25" t="s">
        <v>312</v>
      </c>
      <c r="AI1305" s="25" t="s">
        <v>252</v>
      </c>
      <c r="AJ1305" s="25" t="s">
        <v>1190</v>
      </c>
      <c r="AK1305" s="25" t="s">
        <v>1190</v>
      </c>
      <c r="AL1305" s="25" t="s">
        <v>252</v>
      </c>
      <c r="AM1305" s="25" t="s">
        <v>160</v>
      </c>
      <c r="AN1305" s="25">
        <v>4</v>
      </c>
      <c r="AO1305" s="25">
        <v>4</v>
      </c>
      <c r="AP1305" s="25" t="s">
        <v>448</v>
      </c>
      <c r="AR1305" s="25">
        <v>2053</v>
      </c>
      <c r="AS1305" s="25">
        <f>AR1305/40.5</f>
        <v>50.691358024691361</v>
      </c>
      <c r="BH1305" s="25">
        <v>0.62</v>
      </c>
      <c r="BI1305" s="25">
        <v>0.48</v>
      </c>
      <c r="BJ1305" s="25" t="s">
        <v>1198</v>
      </c>
      <c r="EN1305" s="25">
        <v>59</v>
      </c>
    </row>
    <row r="1306" spans="1:144" s="25" customFormat="1" x14ac:dyDescent="0.25">
      <c r="A1306" s="25">
        <v>59</v>
      </c>
      <c r="B1306" s="25" t="s">
        <v>1158</v>
      </c>
      <c r="C1306" s="25" t="s">
        <v>1159</v>
      </c>
      <c r="D1306" s="25">
        <v>1997</v>
      </c>
      <c r="E1306" s="25">
        <v>1993</v>
      </c>
      <c r="F1306" s="25" t="s">
        <v>1160</v>
      </c>
      <c r="G1306" s="25" t="s">
        <v>1187</v>
      </c>
      <c r="H1306" s="25">
        <v>38.92</v>
      </c>
      <c r="I1306" s="25">
        <v>-76.150000000000006</v>
      </c>
      <c r="J1306" s="25">
        <v>5</v>
      </c>
      <c r="M1306" s="25">
        <v>972</v>
      </c>
      <c r="P1306" s="101" t="s">
        <v>1125</v>
      </c>
      <c r="Q1306" s="101" t="s">
        <v>1161</v>
      </c>
      <c r="R1306" s="101" t="s">
        <v>1196</v>
      </c>
      <c r="S1306" s="101" t="s">
        <v>1188</v>
      </c>
      <c r="T1306" s="25">
        <v>1.5</v>
      </c>
      <c r="W1306" s="25" t="s">
        <v>175</v>
      </c>
      <c r="AA1306" s="25" t="s">
        <v>1713</v>
      </c>
      <c r="AB1306" s="25" t="s">
        <v>173</v>
      </c>
      <c r="AC1306" s="25" t="s">
        <v>174</v>
      </c>
      <c r="AG1306" s="25" t="s">
        <v>312</v>
      </c>
      <c r="AH1306" s="25" t="s">
        <v>312</v>
      </c>
      <c r="AI1306" s="25" t="s">
        <v>252</v>
      </c>
      <c r="AJ1306" s="25" t="s">
        <v>1190</v>
      </c>
      <c r="AK1306" s="25" t="s">
        <v>1190</v>
      </c>
      <c r="AL1306" s="25" t="s">
        <v>252</v>
      </c>
      <c r="AM1306" s="25" t="s">
        <v>160</v>
      </c>
      <c r="AN1306" s="25">
        <v>4</v>
      </c>
      <c r="AO1306" s="25">
        <v>4</v>
      </c>
      <c r="AP1306" s="25" t="s">
        <v>448</v>
      </c>
      <c r="AR1306" s="25">
        <v>1873</v>
      </c>
      <c r="AS1306" s="25">
        <f>AR1306/37.3</f>
        <v>50.21447721179625</v>
      </c>
      <c r="BH1306" s="25">
        <v>0.9</v>
      </c>
      <c r="BI1306" s="25">
        <v>0.26</v>
      </c>
      <c r="BJ1306" s="25" t="s">
        <v>1198</v>
      </c>
      <c r="EN1306" s="25">
        <v>59</v>
      </c>
    </row>
    <row r="1307" spans="1:144" s="25" customFormat="1" x14ac:dyDescent="0.25">
      <c r="A1307" s="25">
        <v>59</v>
      </c>
      <c r="B1307" s="25" t="s">
        <v>1158</v>
      </c>
      <c r="C1307" s="25" t="s">
        <v>1159</v>
      </c>
      <c r="D1307" s="25">
        <v>1997</v>
      </c>
      <c r="E1307" s="25">
        <v>1993</v>
      </c>
      <c r="F1307" s="25" t="s">
        <v>1160</v>
      </c>
      <c r="G1307" s="25" t="s">
        <v>1187</v>
      </c>
      <c r="H1307" s="25">
        <v>38.92</v>
      </c>
      <c r="I1307" s="25">
        <v>-76.150000000000006</v>
      </c>
      <c r="J1307" s="25">
        <v>5</v>
      </c>
      <c r="M1307" s="25">
        <v>972</v>
      </c>
      <c r="P1307" s="101" t="s">
        <v>1125</v>
      </c>
      <c r="Q1307" s="101" t="s">
        <v>1161</v>
      </c>
      <c r="R1307" s="101" t="s">
        <v>1197</v>
      </c>
      <c r="S1307" s="101" t="s">
        <v>1188</v>
      </c>
      <c r="T1307" s="25">
        <v>1.5</v>
      </c>
      <c r="W1307" s="25" t="s">
        <v>175</v>
      </c>
      <c r="AA1307" s="25" t="s">
        <v>1713</v>
      </c>
      <c r="AB1307" s="25" t="s">
        <v>173</v>
      </c>
      <c r="AC1307" s="25" t="s">
        <v>174</v>
      </c>
      <c r="AG1307" s="25" t="s">
        <v>312</v>
      </c>
      <c r="AH1307" s="25" t="s">
        <v>312</v>
      </c>
      <c r="AI1307" s="25" t="s">
        <v>252</v>
      </c>
      <c r="AJ1307" s="25" t="s">
        <v>1190</v>
      </c>
      <c r="AK1307" s="25" t="s">
        <v>1190</v>
      </c>
      <c r="AL1307" s="25" t="s">
        <v>252</v>
      </c>
      <c r="AM1307" s="25" t="s">
        <v>160</v>
      </c>
      <c r="AN1307" s="25">
        <v>4</v>
      </c>
      <c r="AO1307" s="25">
        <v>4</v>
      </c>
      <c r="AP1307" s="25" t="s">
        <v>448</v>
      </c>
      <c r="AR1307" s="25">
        <v>1873</v>
      </c>
      <c r="AS1307" s="25">
        <f>AR1307/37.3</f>
        <v>50.21447721179625</v>
      </c>
      <c r="BH1307" s="25">
        <v>0.39</v>
      </c>
      <c r="BI1307" s="25">
        <v>0.28000000000000003</v>
      </c>
      <c r="BJ1307" s="25" t="s">
        <v>1198</v>
      </c>
      <c r="EN1307" s="25">
        <v>59</v>
      </c>
    </row>
    <row r="1308" spans="1:144" s="25" customFormat="1" x14ac:dyDescent="0.25">
      <c r="A1308" s="25">
        <v>59</v>
      </c>
      <c r="B1308" s="25" t="s">
        <v>1158</v>
      </c>
      <c r="C1308" s="25" t="s">
        <v>1159</v>
      </c>
      <c r="D1308" s="25">
        <v>1997</v>
      </c>
      <c r="E1308" s="25">
        <v>1994</v>
      </c>
      <c r="F1308" s="25" t="s">
        <v>1160</v>
      </c>
      <c r="G1308" s="25" t="s">
        <v>1187</v>
      </c>
      <c r="H1308" s="25">
        <v>38.92</v>
      </c>
      <c r="I1308" s="25">
        <v>-76.150000000000006</v>
      </c>
      <c r="J1308" s="25">
        <v>5</v>
      </c>
      <c r="M1308" s="25">
        <v>1275</v>
      </c>
      <c r="P1308" s="101" t="s">
        <v>1126</v>
      </c>
      <c r="Q1308" s="101" t="s">
        <v>1161</v>
      </c>
      <c r="R1308" s="101" t="s">
        <v>1196</v>
      </c>
      <c r="S1308" s="101" t="s">
        <v>1188</v>
      </c>
      <c r="T1308" s="25">
        <v>1.5</v>
      </c>
      <c r="W1308" s="25" t="s">
        <v>175</v>
      </c>
      <c r="AA1308" s="25" t="s">
        <v>1713</v>
      </c>
      <c r="AB1308" s="25" t="s">
        <v>173</v>
      </c>
      <c r="AC1308" s="25" t="s">
        <v>174</v>
      </c>
      <c r="AG1308" s="25" t="s">
        <v>312</v>
      </c>
      <c r="AH1308" s="25" t="s">
        <v>312</v>
      </c>
      <c r="AI1308" s="25" t="s">
        <v>252</v>
      </c>
      <c r="AJ1308" s="25" t="s">
        <v>1190</v>
      </c>
      <c r="AK1308" s="25" t="s">
        <v>1190</v>
      </c>
      <c r="AL1308" s="25" t="s">
        <v>252</v>
      </c>
      <c r="AM1308" s="25" t="s">
        <v>160</v>
      </c>
      <c r="AN1308" s="25">
        <v>4</v>
      </c>
      <c r="AO1308" s="25">
        <v>4</v>
      </c>
      <c r="AP1308" s="25" t="s">
        <v>448</v>
      </c>
      <c r="AR1308" s="25">
        <v>3645</v>
      </c>
      <c r="AS1308" s="25">
        <f>AR1308/59.2</f>
        <v>61.570945945945944</v>
      </c>
      <c r="BH1308" s="25">
        <v>1.77</v>
      </c>
      <c r="BI1308" s="25">
        <v>0.44</v>
      </c>
      <c r="BJ1308" s="25" t="s">
        <v>1198</v>
      </c>
      <c r="EN1308" s="25">
        <v>59</v>
      </c>
    </row>
    <row r="1309" spans="1:144" s="25" customFormat="1" x14ac:dyDescent="0.25">
      <c r="A1309" s="25">
        <v>59</v>
      </c>
      <c r="B1309" s="25" t="s">
        <v>1158</v>
      </c>
      <c r="C1309" s="25" t="s">
        <v>1159</v>
      </c>
      <c r="D1309" s="25">
        <v>1997</v>
      </c>
      <c r="E1309" s="25">
        <v>1994</v>
      </c>
      <c r="F1309" s="25" t="s">
        <v>1160</v>
      </c>
      <c r="G1309" s="25" t="s">
        <v>1187</v>
      </c>
      <c r="H1309" s="25">
        <v>38.92</v>
      </c>
      <c r="I1309" s="25">
        <v>-76.150000000000006</v>
      </c>
      <c r="J1309" s="25">
        <v>5</v>
      </c>
      <c r="M1309" s="25">
        <v>1275</v>
      </c>
      <c r="P1309" s="101" t="s">
        <v>1126</v>
      </c>
      <c r="Q1309" s="101" t="s">
        <v>1161</v>
      </c>
      <c r="R1309" s="101" t="s">
        <v>1197</v>
      </c>
      <c r="S1309" s="101" t="s">
        <v>1188</v>
      </c>
      <c r="T1309" s="25">
        <v>1.5</v>
      </c>
      <c r="W1309" s="25" t="s">
        <v>175</v>
      </c>
      <c r="AA1309" s="25" t="s">
        <v>1713</v>
      </c>
      <c r="AB1309" s="25" t="s">
        <v>173</v>
      </c>
      <c r="AC1309" s="25" t="s">
        <v>174</v>
      </c>
      <c r="AG1309" s="25" t="s">
        <v>312</v>
      </c>
      <c r="AH1309" s="25" t="s">
        <v>312</v>
      </c>
      <c r="AI1309" s="25" t="s">
        <v>252</v>
      </c>
      <c r="AJ1309" s="25" t="s">
        <v>1190</v>
      </c>
      <c r="AK1309" s="25" t="s">
        <v>1190</v>
      </c>
      <c r="AL1309" s="25" t="s">
        <v>252</v>
      </c>
      <c r="AM1309" s="25" t="s">
        <v>160</v>
      </c>
      <c r="AN1309" s="25">
        <v>4</v>
      </c>
      <c r="AO1309" s="25">
        <v>4</v>
      </c>
      <c r="AP1309" s="25" t="s">
        <v>448</v>
      </c>
      <c r="AR1309" s="25">
        <v>3645</v>
      </c>
      <c r="AS1309" s="25">
        <f>AR1309/59.2</f>
        <v>61.570945945945944</v>
      </c>
      <c r="BH1309" s="25">
        <v>0.84</v>
      </c>
      <c r="BI1309" s="25">
        <v>0.35</v>
      </c>
      <c r="BJ1309" s="25" t="s">
        <v>1198</v>
      </c>
      <c r="EN1309" s="25">
        <v>59</v>
      </c>
    </row>
    <row r="1310" spans="1:144" s="97" customFormat="1" x14ac:dyDescent="0.25">
      <c r="A1310" s="97">
        <v>59</v>
      </c>
      <c r="B1310" s="97" t="s">
        <v>1158</v>
      </c>
      <c r="C1310" s="97" t="s">
        <v>1159</v>
      </c>
      <c r="D1310" s="97">
        <v>1997</v>
      </c>
      <c r="E1310" s="97">
        <v>1989</v>
      </c>
      <c r="F1310" s="97" t="s">
        <v>1160</v>
      </c>
      <c r="G1310" s="97" t="s">
        <v>1187</v>
      </c>
      <c r="H1310" s="97">
        <v>38.92</v>
      </c>
      <c r="I1310" s="97">
        <v>-76.150000000000006</v>
      </c>
      <c r="J1310" s="97">
        <v>5</v>
      </c>
      <c r="M1310" s="97">
        <v>1300</v>
      </c>
      <c r="P1310" s="98" t="s">
        <v>188</v>
      </c>
      <c r="Q1310" s="98" t="s">
        <v>1161</v>
      </c>
      <c r="R1310" s="98" t="s">
        <v>1196</v>
      </c>
      <c r="S1310" s="98" t="s">
        <v>1188</v>
      </c>
      <c r="T1310" s="97">
        <v>1.5</v>
      </c>
      <c r="W1310" s="97" t="s">
        <v>175</v>
      </c>
      <c r="AA1310" s="97" t="s">
        <v>1713</v>
      </c>
      <c r="AB1310" s="97" t="s">
        <v>173</v>
      </c>
      <c r="AC1310" s="97" t="s">
        <v>174</v>
      </c>
      <c r="AG1310" s="97" t="s">
        <v>217</v>
      </c>
      <c r="AH1310" s="97" t="s">
        <v>217</v>
      </c>
      <c r="AI1310" s="97" t="s">
        <v>252</v>
      </c>
      <c r="AJ1310" s="97" t="s">
        <v>1190</v>
      </c>
      <c r="AK1310" s="97" t="s">
        <v>1190</v>
      </c>
      <c r="AL1310" s="97" t="s">
        <v>252</v>
      </c>
      <c r="AM1310" s="97" t="s">
        <v>160</v>
      </c>
      <c r="AN1310" s="97">
        <v>4</v>
      </c>
      <c r="AO1310" s="97">
        <v>4</v>
      </c>
      <c r="AP1310" s="97" t="s">
        <v>448</v>
      </c>
      <c r="BH1310" s="97">
        <v>1.82</v>
      </c>
      <c r="BI1310" s="97">
        <v>0.37</v>
      </c>
      <c r="BJ1310" s="97" t="s">
        <v>1198</v>
      </c>
      <c r="EN1310" s="97">
        <v>59</v>
      </c>
    </row>
    <row r="1311" spans="1:144" s="97" customFormat="1" x14ac:dyDescent="0.25">
      <c r="A1311" s="97">
        <v>59</v>
      </c>
      <c r="B1311" s="97" t="s">
        <v>1158</v>
      </c>
      <c r="C1311" s="97" t="s">
        <v>1159</v>
      </c>
      <c r="D1311" s="97">
        <v>1997</v>
      </c>
      <c r="E1311" s="97">
        <v>1989</v>
      </c>
      <c r="F1311" s="97" t="s">
        <v>1160</v>
      </c>
      <c r="G1311" s="97" t="s">
        <v>1187</v>
      </c>
      <c r="H1311" s="97">
        <v>38.92</v>
      </c>
      <c r="I1311" s="97">
        <v>-76.150000000000006</v>
      </c>
      <c r="J1311" s="97">
        <v>5</v>
      </c>
      <c r="M1311" s="97">
        <v>1300</v>
      </c>
      <c r="P1311" s="98" t="s">
        <v>188</v>
      </c>
      <c r="Q1311" s="98" t="s">
        <v>1161</v>
      </c>
      <c r="R1311" s="98" t="s">
        <v>1197</v>
      </c>
      <c r="S1311" s="98" t="s">
        <v>1188</v>
      </c>
      <c r="T1311" s="97">
        <v>1.5</v>
      </c>
      <c r="W1311" s="97" t="s">
        <v>175</v>
      </c>
      <c r="AA1311" s="97" t="s">
        <v>1713</v>
      </c>
      <c r="AB1311" s="97" t="s">
        <v>173</v>
      </c>
      <c r="AC1311" s="97" t="s">
        <v>174</v>
      </c>
      <c r="AG1311" s="97" t="s">
        <v>217</v>
      </c>
      <c r="AH1311" s="97" t="s">
        <v>217</v>
      </c>
      <c r="AI1311" s="97" t="s">
        <v>252</v>
      </c>
      <c r="AJ1311" s="97" t="s">
        <v>1190</v>
      </c>
      <c r="AK1311" s="97" t="s">
        <v>1190</v>
      </c>
      <c r="AL1311" s="97" t="s">
        <v>252</v>
      </c>
      <c r="AM1311" s="97" t="s">
        <v>160</v>
      </c>
      <c r="AN1311" s="97">
        <v>4</v>
      </c>
      <c r="AO1311" s="97">
        <v>4</v>
      </c>
      <c r="AP1311" s="97" t="s">
        <v>448</v>
      </c>
      <c r="BH1311" s="97">
        <v>2.92</v>
      </c>
      <c r="BI1311" s="97">
        <v>2.67</v>
      </c>
      <c r="BJ1311" s="97" t="s">
        <v>1198</v>
      </c>
      <c r="EN1311" s="97">
        <v>59</v>
      </c>
    </row>
    <row r="1312" spans="1:144" s="97" customFormat="1" x14ac:dyDescent="0.25">
      <c r="A1312" s="97">
        <v>59</v>
      </c>
      <c r="B1312" s="97" t="s">
        <v>1158</v>
      </c>
      <c r="C1312" s="97" t="s">
        <v>1159</v>
      </c>
      <c r="D1312" s="97">
        <v>1997</v>
      </c>
      <c r="E1312" s="97">
        <v>1990</v>
      </c>
      <c r="F1312" s="97" t="s">
        <v>1160</v>
      </c>
      <c r="G1312" s="97" t="s">
        <v>1187</v>
      </c>
      <c r="H1312" s="97">
        <v>38.92</v>
      </c>
      <c r="I1312" s="97">
        <v>-76.150000000000006</v>
      </c>
      <c r="J1312" s="97">
        <v>5</v>
      </c>
      <c r="M1312" s="97">
        <v>1007</v>
      </c>
      <c r="P1312" s="98" t="s">
        <v>189</v>
      </c>
      <c r="Q1312" s="98" t="s">
        <v>1161</v>
      </c>
      <c r="R1312" s="98" t="s">
        <v>1196</v>
      </c>
      <c r="S1312" s="98" t="s">
        <v>1188</v>
      </c>
      <c r="T1312" s="97">
        <v>1.5</v>
      </c>
      <c r="W1312" s="97" t="s">
        <v>175</v>
      </c>
      <c r="AA1312" s="97" t="s">
        <v>1713</v>
      </c>
      <c r="AB1312" s="97" t="s">
        <v>173</v>
      </c>
      <c r="AC1312" s="97" t="s">
        <v>174</v>
      </c>
      <c r="AG1312" s="97" t="s">
        <v>217</v>
      </c>
      <c r="AH1312" s="97" t="s">
        <v>217</v>
      </c>
      <c r="AI1312" s="97" t="s">
        <v>252</v>
      </c>
      <c r="AJ1312" s="97" t="s">
        <v>1190</v>
      </c>
      <c r="AK1312" s="97" t="s">
        <v>1190</v>
      </c>
      <c r="AL1312" s="97" t="s">
        <v>252</v>
      </c>
      <c r="AM1312" s="97" t="s">
        <v>160</v>
      </c>
      <c r="AN1312" s="97">
        <v>4</v>
      </c>
      <c r="AO1312" s="97">
        <v>4</v>
      </c>
      <c r="AP1312" s="97" t="s">
        <v>448</v>
      </c>
      <c r="AR1312" s="97">
        <v>4048</v>
      </c>
      <c r="AS1312" s="97">
        <f>AR1312/85</f>
        <v>47.623529411764707</v>
      </c>
      <c r="BH1312" s="97">
        <v>3.03</v>
      </c>
      <c r="BI1312" s="97">
        <v>0.49</v>
      </c>
      <c r="BJ1312" s="97" t="s">
        <v>1198</v>
      </c>
      <c r="EN1312" s="97">
        <v>59</v>
      </c>
    </row>
    <row r="1313" spans="1:144" s="97" customFormat="1" x14ac:dyDescent="0.25">
      <c r="A1313" s="97">
        <v>59</v>
      </c>
      <c r="B1313" s="97" t="s">
        <v>1158</v>
      </c>
      <c r="C1313" s="97" t="s">
        <v>1159</v>
      </c>
      <c r="D1313" s="97">
        <v>1997</v>
      </c>
      <c r="E1313" s="97">
        <v>1990</v>
      </c>
      <c r="F1313" s="97" t="s">
        <v>1160</v>
      </c>
      <c r="G1313" s="97" t="s">
        <v>1187</v>
      </c>
      <c r="H1313" s="97">
        <v>38.92</v>
      </c>
      <c r="I1313" s="97">
        <v>-76.150000000000006</v>
      </c>
      <c r="J1313" s="97">
        <v>5</v>
      </c>
      <c r="M1313" s="97">
        <v>1007</v>
      </c>
      <c r="P1313" s="98" t="s">
        <v>189</v>
      </c>
      <c r="Q1313" s="98" t="s">
        <v>1161</v>
      </c>
      <c r="R1313" s="98" t="s">
        <v>1197</v>
      </c>
      <c r="S1313" s="98" t="s">
        <v>1188</v>
      </c>
      <c r="T1313" s="97">
        <v>1.5</v>
      </c>
      <c r="W1313" s="97" t="s">
        <v>175</v>
      </c>
      <c r="AA1313" s="97" t="s">
        <v>1713</v>
      </c>
      <c r="AB1313" s="97" t="s">
        <v>173</v>
      </c>
      <c r="AC1313" s="97" t="s">
        <v>174</v>
      </c>
      <c r="AG1313" s="97" t="s">
        <v>217</v>
      </c>
      <c r="AH1313" s="97" t="s">
        <v>217</v>
      </c>
      <c r="AI1313" s="97" t="s">
        <v>252</v>
      </c>
      <c r="AJ1313" s="97" t="s">
        <v>1190</v>
      </c>
      <c r="AK1313" s="97" t="s">
        <v>1190</v>
      </c>
      <c r="AL1313" s="97" t="s">
        <v>252</v>
      </c>
      <c r="AM1313" s="97" t="s">
        <v>160</v>
      </c>
      <c r="AN1313" s="97">
        <v>4</v>
      </c>
      <c r="AO1313" s="97">
        <v>4</v>
      </c>
      <c r="AP1313" s="97" t="s">
        <v>448</v>
      </c>
      <c r="AR1313" s="97">
        <v>4048</v>
      </c>
      <c r="AS1313" s="97">
        <f>AR1313/85</f>
        <v>47.623529411764707</v>
      </c>
      <c r="BH1313" s="97">
        <v>1.54</v>
      </c>
      <c r="BI1313" s="97">
        <v>0.73</v>
      </c>
      <c r="BJ1313" s="97" t="s">
        <v>1198</v>
      </c>
      <c r="EN1313" s="97">
        <v>59</v>
      </c>
    </row>
    <row r="1314" spans="1:144" s="97" customFormat="1" x14ac:dyDescent="0.25">
      <c r="A1314" s="97">
        <v>59</v>
      </c>
      <c r="B1314" s="97" t="s">
        <v>1158</v>
      </c>
      <c r="C1314" s="97" t="s">
        <v>1159</v>
      </c>
      <c r="D1314" s="97">
        <v>1997</v>
      </c>
      <c r="E1314" s="97">
        <v>1991</v>
      </c>
      <c r="F1314" s="97" t="s">
        <v>1160</v>
      </c>
      <c r="G1314" s="97" t="s">
        <v>1187</v>
      </c>
      <c r="H1314" s="97">
        <v>38.92</v>
      </c>
      <c r="I1314" s="97">
        <v>-76.150000000000006</v>
      </c>
      <c r="J1314" s="97">
        <v>5</v>
      </c>
      <c r="M1314" s="97">
        <v>997</v>
      </c>
      <c r="P1314" s="98" t="s">
        <v>190</v>
      </c>
      <c r="Q1314" s="98" t="s">
        <v>1161</v>
      </c>
      <c r="R1314" s="98" t="s">
        <v>1196</v>
      </c>
      <c r="S1314" s="98" t="s">
        <v>1188</v>
      </c>
      <c r="T1314" s="97">
        <v>1.5</v>
      </c>
      <c r="W1314" s="97" t="s">
        <v>175</v>
      </c>
      <c r="AA1314" s="97" t="s">
        <v>1713</v>
      </c>
      <c r="AB1314" s="97" t="s">
        <v>173</v>
      </c>
      <c r="AC1314" s="97" t="s">
        <v>174</v>
      </c>
      <c r="AG1314" s="97" t="s">
        <v>217</v>
      </c>
      <c r="AH1314" s="97" t="s">
        <v>217</v>
      </c>
      <c r="AI1314" s="97" t="s">
        <v>252</v>
      </c>
      <c r="AJ1314" s="97" t="s">
        <v>1190</v>
      </c>
      <c r="AK1314" s="97" t="s">
        <v>1190</v>
      </c>
      <c r="AL1314" s="97" t="s">
        <v>252</v>
      </c>
      <c r="AM1314" s="97" t="s">
        <v>160</v>
      </c>
      <c r="AN1314" s="97">
        <v>4</v>
      </c>
      <c r="AO1314" s="97">
        <v>4</v>
      </c>
      <c r="AP1314" s="97" t="s">
        <v>448</v>
      </c>
      <c r="AR1314" s="97">
        <v>1793</v>
      </c>
      <c r="AS1314" s="97">
        <f>AR1314/25.9</f>
        <v>69.227799227799238</v>
      </c>
      <c r="BH1314" s="97">
        <v>3.64</v>
      </c>
      <c r="BI1314" s="97">
        <v>0.22</v>
      </c>
      <c r="BJ1314" s="97" t="s">
        <v>1198</v>
      </c>
      <c r="EN1314" s="97">
        <v>59</v>
      </c>
    </row>
    <row r="1315" spans="1:144" s="97" customFormat="1" x14ac:dyDescent="0.25">
      <c r="A1315" s="97">
        <v>59</v>
      </c>
      <c r="B1315" s="97" t="s">
        <v>1158</v>
      </c>
      <c r="C1315" s="97" t="s">
        <v>1159</v>
      </c>
      <c r="D1315" s="97">
        <v>1997</v>
      </c>
      <c r="E1315" s="97">
        <v>1991</v>
      </c>
      <c r="F1315" s="97" t="s">
        <v>1160</v>
      </c>
      <c r="G1315" s="97" t="s">
        <v>1187</v>
      </c>
      <c r="H1315" s="97">
        <v>38.92</v>
      </c>
      <c r="I1315" s="97">
        <v>-76.150000000000006</v>
      </c>
      <c r="J1315" s="97">
        <v>5</v>
      </c>
      <c r="M1315" s="97">
        <v>997</v>
      </c>
      <c r="P1315" s="98" t="s">
        <v>190</v>
      </c>
      <c r="Q1315" s="98" t="s">
        <v>1161</v>
      </c>
      <c r="R1315" s="98" t="s">
        <v>1197</v>
      </c>
      <c r="S1315" s="98" t="s">
        <v>1188</v>
      </c>
      <c r="T1315" s="97">
        <v>1.5</v>
      </c>
      <c r="W1315" s="97" t="s">
        <v>175</v>
      </c>
      <c r="AA1315" s="97" t="s">
        <v>1713</v>
      </c>
      <c r="AB1315" s="97" t="s">
        <v>173</v>
      </c>
      <c r="AC1315" s="97" t="s">
        <v>174</v>
      </c>
      <c r="AG1315" s="97" t="s">
        <v>217</v>
      </c>
      <c r="AH1315" s="97" t="s">
        <v>217</v>
      </c>
      <c r="AI1315" s="97" t="s">
        <v>252</v>
      </c>
      <c r="AJ1315" s="97" t="s">
        <v>1190</v>
      </c>
      <c r="AK1315" s="97" t="s">
        <v>1190</v>
      </c>
      <c r="AL1315" s="97" t="s">
        <v>252</v>
      </c>
      <c r="AM1315" s="97" t="s">
        <v>160</v>
      </c>
      <c r="AN1315" s="97">
        <v>4</v>
      </c>
      <c r="AO1315" s="97">
        <v>4</v>
      </c>
      <c r="AP1315" s="97" t="s">
        <v>448</v>
      </c>
      <c r="AR1315" s="97">
        <v>1793</v>
      </c>
      <c r="AS1315" s="97">
        <f>AR1315/25.9</f>
        <v>69.227799227799238</v>
      </c>
      <c r="BH1315" s="97">
        <v>2.57</v>
      </c>
      <c r="BI1315" s="97">
        <v>1.03</v>
      </c>
      <c r="BJ1315" s="97" t="s">
        <v>1198</v>
      </c>
      <c r="EN1315" s="97">
        <v>59</v>
      </c>
    </row>
    <row r="1316" spans="1:144" s="97" customFormat="1" x14ac:dyDescent="0.25">
      <c r="A1316" s="97">
        <v>59</v>
      </c>
      <c r="B1316" s="97" t="s">
        <v>1158</v>
      </c>
      <c r="C1316" s="97" t="s">
        <v>1159</v>
      </c>
      <c r="D1316" s="97">
        <v>1997</v>
      </c>
      <c r="E1316" s="97">
        <v>1992</v>
      </c>
      <c r="F1316" s="97" t="s">
        <v>1160</v>
      </c>
      <c r="G1316" s="97" t="s">
        <v>1187</v>
      </c>
      <c r="H1316" s="97">
        <v>38.92</v>
      </c>
      <c r="I1316" s="97">
        <v>-76.150000000000006</v>
      </c>
      <c r="J1316" s="97">
        <v>5</v>
      </c>
      <c r="M1316" s="97">
        <v>866</v>
      </c>
      <c r="P1316" s="98" t="s">
        <v>207</v>
      </c>
      <c r="Q1316" s="98" t="s">
        <v>1161</v>
      </c>
      <c r="R1316" s="98" t="s">
        <v>1196</v>
      </c>
      <c r="S1316" s="98" t="s">
        <v>1188</v>
      </c>
      <c r="T1316" s="97">
        <v>1.5</v>
      </c>
      <c r="W1316" s="97" t="s">
        <v>175</v>
      </c>
      <c r="AA1316" s="97" t="s">
        <v>1713</v>
      </c>
      <c r="AB1316" s="97" t="s">
        <v>173</v>
      </c>
      <c r="AC1316" s="97" t="s">
        <v>174</v>
      </c>
      <c r="AG1316" s="97" t="s">
        <v>217</v>
      </c>
      <c r="AH1316" s="97" t="s">
        <v>217</v>
      </c>
      <c r="AI1316" s="97" t="s">
        <v>252</v>
      </c>
      <c r="AJ1316" s="97" t="s">
        <v>1190</v>
      </c>
      <c r="AK1316" s="97" t="s">
        <v>1190</v>
      </c>
      <c r="AL1316" s="97" t="s">
        <v>252</v>
      </c>
      <c r="AM1316" s="97" t="s">
        <v>160</v>
      </c>
      <c r="AN1316" s="97">
        <v>4</v>
      </c>
      <c r="AO1316" s="97">
        <v>4</v>
      </c>
      <c r="AP1316" s="97" t="s">
        <v>448</v>
      </c>
      <c r="AR1316" s="97">
        <v>2053</v>
      </c>
      <c r="AS1316" s="97">
        <f>AR1316/40.5</f>
        <v>50.691358024691361</v>
      </c>
      <c r="BH1316" s="97">
        <v>3.67</v>
      </c>
      <c r="BI1316" s="97">
        <v>0.14000000000000001</v>
      </c>
      <c r="BJ1316" s="97" t="s">
        <v>1198</v>
      </c>
      <c r="EN1316" s="97">
        <v>59</v>
      </c>
    </row>
    <row r="1317" spans="1:144" s="97" customFormat="1" x14ac:dyDescent="0.25">
      <c r="A1317" s="97">
        <v>59</v>
      </c>
      <c r="B1317" s="97" t="s">
        <v>1158</v>
      </c>
      <c r="C1317" s="97" t="s">
        <v>1159</v>
      </c>
      <c r="D1317" s="97">
        <v>1997</v>
      </c>
      <c r="E1317" s="97">
        <v>1992</v>
      </c>
      <c r="F1317" s="97" t="s">
        <v>1160</v>
      </c>
      <c r="G1317" s="97" t="s">
        <v>1187</v>
      </c>
      <c r="H1317" s="97">
        <v>38.92</v>
      </c>
      <c r="I1317" s="97">
        <v>-76.150000000000006</v>
      </c>
      <c r="J1317" s="97">
        <v>5</v>
      </c>
      <c r="M1317" s="97">
        <v>866</v>
      </c>
      <c r="P1317" s="98" t="s">
        <v>207</v>
      </c>
      <c r="Q1317" s="98" t="s">
        <v>1161</v>
      </c>
      <c r="R1317" s="98" t="s">
        <v>1197</v>
      </c>
      <c r="S1317" s="98" t="s">
        <v>1188</v>
      </c>
      <c r="T1317" s="97">
        <v>1.5</v>
      </c>
      <c r="W1317" s="97" t="s">
        <v>175</v>
      </c>
      <c r="AA1317" s="97" t="s">
        <v>1713</v>
      </c>
      <c r="AB1317" s="97" t="s">
        <v>173</v>
      </c>
      <c r="AC1317" s="97" t="s">
        <v>174</v>
      </c>
      <c r="AG1317" s="97" t="s">
        <v>217</v>
      </c>
      <c r="AH1317" s="97" t="s">
        <v>217</v>
      </c>
      <c r="AI1317" s="97" t="s">
        <v>252</v>
      </c>
      <c r="AJ1317" s="97" t="s">
        <v>1190</v>
      </c>
      <c r="AK1317" s="97" t="s">
        <v>1190</v>
      </c>
      <c r="AL1317" s="97" t="s">
        <v>252</v>
      </c>
      <c r="AM1317" s="97" t="s">
        <v>160</v>
      </c>
      <c r="AN1317" s="97">
        <v>4</v>
      </c>
      <c r="AO1317" s="97">
        <v>4</v>
      </c>
      <c r="AP1317" s="97" t="s">
        <v>448</v>
      </c>
      <c r="AR1317" s="97">
        <v>2053</v>
      </c>
      <c r="AS1317" s="97">
        <f>AR1317/40.5</f>
        <v>50.691358024691361</v>
      </c>
      <c r="BH1317" s="97">
        <v>0.81</v>
      </c>
      <c r="BI1317" s="97">
        <v>0.34</v>
      </c>
      <c r="BJ1317" s="97" t="s">
        <v>1198</v>
      </c>
      <c r="EN1317" s="97">
        <v>59</v>
      </c>
    </row>
    <row r="1318" spans="1:144" s="97" customFormat="1" x14ac:dyDescent="0.25">
      <c r="A1318" s="97">
        <v>59</v>
      </c>
      <c r="B1318" s="97" t="s">
        <v>1158</v>
      </c>
      <c r="C1318" s="97" t="s">
        <v>1159</v>
      </c>
      <c r="D1318" s="97">
        <v>1997</v>
      </c>
      <c r="E1318" s="97">
        <v>1993</v>
      </c>
      <c r="F1318" s="97" t="s">
        <v>1160</v>
      </c>
      <c r="G1318" s="97" t="s">
        <v>1187</v>
      </c>
      <c r="H1318" s="97">
        <v>38.92</v>
      </c>
      <c r="I1318" s="97">
        <v>-76.150000000000006</v>
      </c>
      <c r="J1318" s="97">
        <v>5</v>
      </c>
      <c r="M1318" s="97">
        <v>972</v>
      </c>
      <c r="P1318" s="98" t="s">
        <v>1125</v>
      </c>
      <c r="Q1318" s="98" t="s">
        <v>1161</v>
      </c>
      <c r="R1318" s="98" t="s">
        <v>1196</v>
      </c>
      <c r="S1318" s="98" t="s">
        <v>1188</v>
      </c>
      <c r="T1318" s="97">
        <v>1.5</v>
      </c>
      <c r="W1318" s="97" t="s">
        <v>175</v>
      </c>
      <c r="AA1318" s="97" t="s">
        <v>1713</v>
      </c>
      <c r="AB1318" s="97" t="s">
        <v>173</v>
      </c>
      <c r="AC1318" s="97" t="s">
        <v>174</v>
      </c>
      <c r="AG1318" s="97" t="s">
        <v>217</v>
      </c>
      <c r="AH1318" s="97" t="s">
        <v>217</v>
      </c>
      <c r="AI1318" s="97" t="s">
        <v>252</v>
      </c>
      <c r="AJ1318" s="97" t="s">
        <v>1190</v>
      </c>
      <c r="AK1318" s="97" t="s">
        <v>1190</v>
      </c>
      <c r="AL1318" s="97" t="s">
        <v>252</v>
      </c>
      <c r="AM1318" s="97" t="s">
        <v>160</v>
      </c>
      <c r="AN1318" s="97">
        <v>4</v>
      </c>
      <c r="AO1318" s="97">
        <v>4</v>
      </c>
      <c r="AP1318" s="97" t="s">
        <v>448</v>
      </c>
      <c r="AR1318" s="97">
        <v>1873</v>
      </c>
      <c r="AS1318" s="97">
        <f>AR1318/37.3</f>
        <v>50.21447721179625</v>
      </c>
      <c r="BH1318" s="97">
        <v>2.04</v>
      </c>
      <c r="BI1318" s="97">
        <v>0.3</v>
      </c>
      <c r="BJ1318" s="97" t="s">
        <v>1198</v>
      </c>
      <c r="EN1318" s="97">
        <v>59</v>
      </c>
    </row>
    <row r="1319" spans="1:144" s="97" customFormat="1" x14ac:dyDescent="0.25">
      <c r="A1319" s="97">
        <v>59</v>
      </c>
      <c r="B1319" s="97" t="s">
        <v>1158</v>
      </c>
      <c r="C1319" s="97" t="s">
        <v>1159</v>
      </c>
      <c r="D1319" s="97">
        <v>1997</v>
      </c>
      <c r="E1319" s="97">
        <v>1993</v>
      </c>
      <c r="F1319" s="97" t="s">
        <v>1160</v>
      </c>
      <c r="G1319" s="97" t="s">
        <v>1187</v>
      </c>
      <c r="H1319" s="97">
        <v>38.92</v>
      </c>
      <c r="I1319" s="97">
        <v>-76.150000000000006</v>
      </c>
      <c r="J1319" s="97">
        <v>5</v>
      </c>
      <c r="M1319" s="97">
        <v>972</v>
      </c>
      <c r="P1319" s="98" t="s">
        <v>1125</v>
      </c>
      <c r="Q1319" s="98" t="s">
        <v>1161</v>
      </c>
      <c r="R1319" s="98" t="s">
        <v>1197</v>
      </c>
      <c r="S1319" s="98" t="s">
        <v>1188</v>
      </c>
      <c r="T1319" s="97">
        <v>1.5</v>
      </c>
      <c r="W1319" s="97" t="s">
        <v>175</v>
      </c>
      <c r="AA1319" s="97" t="s">
        <v>1713</v>
      </c>
      <c r="AB1319" s="97" t="s">
        <v>173</v>
      </c>
      <c r="AC1319" s="97" t="s">
        <v>174</v>
      </c>
      <c r="AG1319" s="97" t="s">
        <v>217</v>
      </c>
      <c r="AH1319" s="97" t="s">
        <v>217</v>
      </c>
      <c r="AI1319" s="97" t="s">
        <v>252</v>
      </c>
      <c r="AJ1319" s="97" t="s">
        <v>1190</v>
      </c>
      <c r="AK1319" s="97" t="s">
        <v>1190</v>
      </c>
      <c r="AL1319" s="97" t="s">
        <v>252</v>
      </c>
      <c r="AM1319" s="97" t="s">
        <v>160</v>
      </c>
      <c r="AN1319" s="97">
        <v>4</v>
      </c>
      <c r="AO1319" s="97">
        <v>4</v>
      </c>
      <c r="AP1319" s="97" t="s">
        <v>448</v>
      </c>
      <c r="AR1319" s="97">
        <v>1873</v>
      </c>
      <c r="AS1319" s="97">
        <f>AR1319/37.3</f>
        <v>50.21447721179625</v>
      </c>
      <c r="BH1319" s="97">
        <v>0.48</v>
      </c>
      <c r="BI1319" s="97">
        <v>0.19</v>
      </c>
      <c r="BJ1319" s="97" t="s">
        <v>1198</v>
      </c>
      <c r="EN1319" s="97">
        <v>59</v>
      </c>
    </row>
    <row r="1320" spans="1:144" s="97" customFormat="1" x14ac:dyDescent="0.25">
      <c r="A1320" s="97">
        <v>59</v>
      </c>
      <c r="B1320" s="97" t="s">
        <v>1158</v>
      </c>
      <c r="C1320" s="97" t="s">
        <v>1159</v>
      </c>
      <c r="D1320" s="97">
        <v>1997</v>
      </c>
      <c r="E1320" s="97">
        <v>1994</v>
      </c>
      <c r="F1320" s="97" t="s">
        <v>1160</v>
      </c>
      <c r="G1320" s="97" t="s">
        <v>1187</v>
      </c>
      <c r="H1320" s="97">
        <v>38.92</v>
      </c>
      <c r="I1320" s="97">
        <v>-76.150000000000006</v>
      </c>
      <c r="J1320" s="97">
        <v>5</v>
      </c>
      <c r="M1320" s="97">
        <v>1275</v>
      </c>
      <c r="P1320" s="98" t="s">
        <v>1126</v>
      </c>
      <c r="Q1320" s="98" t="s">
        <v>1161</v>
      </c>
      <c r="R1320" s="98" t="s">
        <v>1196</v>
      </c>
      <c r="S1320" s="98" t="s">
        <v>1188</v>
      </c>
      <c r="T1320" s="97">
        <v>1.5</v>
      </c>
      <c r="W1320" s="97" t="s">
        <v>175</v>
      </c>
      <c r="AA1320" s="97" t="s">
        <v>1713</v>
      </c>
      <c r="AB1320" s="97" t="s">
        <v>173</v>
      </c>
      <c r="AC1320" s="97" t="s">
        <v>174</v>
      </c>
      <c r="AG1320" s="97" t="s">
        <v>217</v>
      </c>
      <c r="AH1320" s="97" t="s">
        <v>217</v>
      </c>
      <c r="AI1320" s="97" t="s">
        <v>252</v>
      </c>
      <c r="AJ1320" s="97" t="s">
        <v>1190</v>
      </c>
      <c r="AK1320" s="97" t="s">
        <v>1190</v>
      </c>
      <c r="AL1320" s="97" t="s">
        <v>252</v>
      </c>
      <c r="AM1320" s="97" t="s">
        <v>160</v>
      </c>
      <c r="AN1320" s="97">
        <v>4</v>
      </c>
      <c r="AO1320" s="97">
        <v>4</v>
      </c>
      <c r="AP1320" s="97" t="s">
        <v>448</v>
      </c>
      <c r="AR1320" s="97">
        <v>3645</v>
      </c>
      <c r="AS1320" s="97">
        <f>AR1320/59.2</f>
        <v>61.570945945945944</v>
      </c>
      <c r="BH1320" s="97">
        <v>1.53</v>
      </c>
      <c r="BI1320" s="97">
        <v>0.19</v>
      </c>
      <c r="BJ1320" s="97" t="s">
        <v>1198</v>
      </c>
      <c r="EN1320" s="97">
        <v>59</v>
      </c>
    </row>
    <row r="1321" spans="1:144" s="97" customFormat="1" x14ac:dyDescent="0.25">
      <c r="A1321" s="97">
        <v>59</v>
      </c>
      <c r="B1321" s="97" t="s">
        <v>1158</v>
      </c>
      <c r="C1321" s="97" t="s">
        <v>1159</v>
      </c>
      <c r="D1321" s="97">
        <v>1997</v>
      </c>
      <c r="E1321" s="97">
        <v>1994</v>
      </c>
      <c r="F1321" s="97" t="s">
        <v>1160</v>
      </c>
      <c r="G1321" s="97" t="s">
        <v>1187</v>
      </c>
      <c r="H1321" s="97">
        <v>38.92</v>
      </c>
      <c r="I1321" s="97">
        <v>-76.150000000000006</v>
      </c>
      <c r="J1321" s="97">
        <v>5</v>
      </c>
      <c r="M1321" s="97">
        <v>1275</v>
      </c>
      <c r="P1321" s="98" t="s">
        <v>1126</v>
      </c>
      <c r="Q1321" s="98" t="s">
        <v>1161</v>
      </c>
      <c r="R1321" s="98" t="s">
        <v>1197</v>
      </c>
      <c r="S1321" s="98" t="s">
        <v>1188</v>
      </c>
      <c r="T1321" s="97">
        <v>1.5</v>
      </c>
      <c r="W1321" s="97" t="s">
        <v>175</v>
      </c>
      <c r="AA1321" s="97" t="s">
        <v>1713</v>
      </c>
      <c r="AB1321" s="97" t="s">
        <v>173</v>
      </c>
      <c r="AC1321" s="97" t="s">
        <v>174</v>
      </c>
      <c r="AG1321" s="97" t="s">
        <v>217</v>
      </c>
      <c r="AH1321" s="97" t="s">
        <v>217</v>
      </c>
      <c r="AI1321" s="97" t="s">
        <v>252</v>
      </c>
      <c r="AJ1321" s="97" t="s">
        <v>1190</v>
      </c>
      <c r="AK1321" s="97" t="s">
        <v>1190</v>
      </c>
      <c r="AL1321" s="97" t="s">
        <v>252</v>
      </c>
      <c r="AM1321" s="97" t="s">
        <v>160</v>
      </c>
      <c r="AN1321" s="97">
        <v>4</v>
      </c>
      <c r="AO1321" s="97">
        <v>4</v>
      </c>
      <c r="AP1321" s="97" t="s">
        <v>448</v>
      </c>
      <c r="AR1321" s="97">
        <v>3645</v>
      </c>
      <c r="AS1321" s="97">
        <f>AR1321/59.2</f>
        <v>61.570945945945944</v>
      </c>
      <c r="BH1321" s="97">
        <v>0.24</v>
      </c>
      <c r="BI1321" s="97">
        <v>0.24</v>
      </c>
      <c r="BJ1321" s="97" t="s">
        <v>1198</v>
      </c>
      <c r="EN1321" s="97">
        <v>59</v>
      </c>
    </row>
    <row r="1322" spans="1:144" x14ac:dyDescent="0.25">
      <c r="A1322" s="46">
        <v>60</v>
      </c>
      <c r="B1322" s="46" t="s">
        <v>1199</v>
      </c>
      <c r="C1322" s="46" t="s">
        <v>1200</v>
      </c>
      <c r="D1322" s="46">
        <v>2012</v>
      </c>
      <c r="E1322" s="46">
        <v>2005</v>
      </c>
      <c r="F1322" s="46" t="s">
        <v>200</v>
      </c>
      <c r="G1322" s="46" t="s">
        <v>1201</v>
      </c>
      <c r="H1322" s="46">
        <f t="shared" ref="H1322:H1329" si="237">38+37/60</f>
        <v>38.616666666666667</v>
      </c>
      <c r="I1322" s="46">
        <f t="shared" ref="I1322:I1329" si="238">-76-44/60</f>
        <v>-76.733333333333334</v>
      </c>
      <c r="J1322" s="46">
        <v>25.4</v>
      </c>
      <c r="P1322" s="81" t="s">
        <v>186</v>
      </c>
      <c r="Q1322" s="81" t="s">
        <v>1161</v>
      </c>
      <c r="R1322" s="81" t="s">
        <v>1204</v>
      </c>
      <c r="S1322" s="81" t="s">
        <v>667</v>
      </c>
      <c r="T1322" s="46">
        <v>1.37</v>
      </c>
      <c r="W1322" s="46" t="s">
        <v>175</v>
      </c>
      <c r="AA1322" s="46" t="s">
        <v>1714</v>
      </c>
      <c r="AB1322" s="46" t="s">
        <v>173</v>
      </c>
      <c r="AC1322" s="46" t="s">
        <v>612</v>
      </c>
      <c r="AG1322" s="46" t="s">
        <v>217</v>
      </c>
      <c r="AH1322" s="46" t="s">
        <v>217</v>
      </c>
      <c r="AI1322" s="46" t="s">
        <v>252</v>
      </c>
      <c r="AJ1322" s="46" t="s">
        <v>1203</v>
      </c>
      <c r="AK1322" s="46">
        <v>0</v>
      </c>
      <c r="AL1322" s="46" t="s">
        <v>693</v>
      </c>
      <c r="AM1322" s="46" t="s">
        <v>222</v>
      </c>
      <c r="AN1322" s="46">
        <v>4</v>
      </c>
      <c r="AO1322" s="46">
        <v>4</v>
      </c>
      <c r="AP1322" s="46" t="s">
        <v>184</v>
      </c>
      <c r="AU1322" s="46" t="s">
        <v>1206</v>
      </c>
      <c r="BB1322" s="46">
        <v>1.41</v>
      </c>
      <c r="BC1322" s="46">
        <v>1.427</v>
      </c>
      <c r="BE1322" s="46">
        <v>0.186</v>
      </c>
      <c r="BF1322" s="46">
        <v>0.20899999999999999</v>
      </c>
      <c r="BG1322" s="46" t="s">
        <v>1213</v>
      </c>
      <c r="CC1322" s="46">
        <v>44.55</v>
      </c>
      <c r="CD1322" s="46">
        <v>59.59</v>
      </c>
      <c r="CE1322" s="46" t="s">
        <v>1209</v>
      </c>
      <c r="CF1322" s="46">
        <v>5.94</v>
      </c>
      <c r="CG1322" s="46">
        <v>4.67</v>
      </c>
      <c r="CH1322" s="46" t="s">
        <v>1221</v>
      </c>
      <c r="CL1322" s="46">
        <f>0.868*3600</f>
        <v>3124.8</v>
      </c>
      <c r="CM1322" s="46">
        <f>2.3*3600</f>
        <v>8280</v>
      </c>
      <c r="CN1322" s="46" t="s">
        <v>1215</v>
      </c>
      <c r="CO1322" s="46">
        <f>0.013*360</f>
        <v>4.68</v>
      </c>
      <c r="CP1322" s="46">
        <f>0.013*360</f>
        <v>4.68</v>
      </c>
      <c r="CQ1322" s="46" t="s">
        <v>1220</v>
      </c>
      <c r="EN1322" s="46">
        <v>60</v>
      </c>
    </row>
    <row r="1323" spans="1:144" x14ac:dyDescent="0.25">
      <c r="A1323" s="46">
        <v>60</v>
      </c>
      <c r="B1323" s="46" t="s">
        <v>1199</v>
      </c>
      <c r="C1323" s="46" t="s">
        <v>1200</v>
      </c>
      <c r="D1323" s="46">
        <v>2012</v>
      </c>
      <c r="E1323" s="46">
        <v>2005</v>
      </c>
      <c r="F1323" s="46" t="s">
        <v>200</v>
      </c>
      <c r="G1323" s="46" t="s">
        <v>1201</v>
      </c>
      <c r="H1323" s="46">
        <f t="shared" si="237"/>
        <v>38.616666666666667</v>
      </c>
      <c r="I1323" s="46">
        <f t="shared" si="238"/>
        <v>-76.733333333333334</v>
      </c>
      <c r="J1323" s="46">
        <v>25.4</v>
      </c>
      <c r="P1323" s="81" t="s">
        <v>186</v>
      </c>
      <c r="Q1323" s="81" t="s">
        <v>1161</v>
      </c>
      <c r="R1323" s="81" t="s">
        <v>1204</v>
      </c>
      <c r="S1323" s="81" t="s">
        <v>667</v>
      </c>
      <c r="T1323" s="46">
        <v>1.37</v>
      </c>
      <c r="W1323" s="46" t="s">
        <v>175</v>
      </c>
      <c r="AA1323" s="46" t="s">
        <v>1714</v>
      </c>
      <c r="AB1323" s="46" t="s">
        <v>173</v>
      </c>
      <c r="AC1323" s="46" t="s">
        <v>612</v>
      </c>
      <c r="AG1323" s="46" t="s">
        <v>217</v>
      </c>
      <c r="AH1323" s="46" t="s">
        <v>217</v>
      </c>
      <c r="AI1323" s="46" t="s">
        <v>252</v>
      </c>
      <c r="AJ1323" s="46" t="s">
        <v>1203</v>
      </c>
      <c r="AK1323" s="46">
        <v>0</v>
      </c>
      <c r="AL1323" s="46" t="s">
        <v>693</v>
      </c>
      <c r="AM1323" s="46" t="s">
        <v>222</v>
      </c>
      <c r="AN1323" s="46">
        <v>4</v>
      </c>
      <c r="AO1323" s="46">
        <v>4</v>
      </c>
      <c r="AP1323" s="46" t="s">
        <v>184</v>
      </c>
      <c r="AU1323" s="46" t="s">
        <v>1207</v>
      </c>
      <c r="BB1323" s="46">
        <v>1.41</v>
      </c>
      <c r="BC1323" s="46">
        <v>1.427</v>
      </c>
      <c r="BE1323" s="46">
        <v>0.186</v>
      </c>
      <c r="BF1323" s="46">
        <v>0.193</v>
      </c>
      <c r="BG1323" s="46" t="s">
        <v>1213</v>
      </c>
      <c r="CC1323" s="46">
        <v>24.64</v>
      </c>
      <c r="CD1323" s="46">
        <v>35.22</v>
      </c>
      <c r="CE1323" s="46" t="s">
        <v>1209</v>
      </c>
      <c r="CF1323" s="46">
        <v>1.76</v>
      </c>
      <c r="CG1323" s="46">
        <v>10.68</v>
      </c>
      <c r="CH1323" s="46" t="s">
        <v>1221</v>
      </c>
      <c r="CL1323" s="46">
        <f>0.3*3600</f>
        <v>1080</v>
      </c>
      <c r="CM1323" s="46">
        <f>0.307*3600</f>
        <v>1105.2</v>
      </c>
      <c r="CN1323" s="46" t="s">
        <v>1215</v>
      </c>
      <c r="CO1323" s="46">
        <f>0.0084*360</f>
        <v>3.024</v>
      </c>
      <c r="CP1323" s="46">
        <f>0.0044*360</f>
        <v>1.5840000000000001</v>
      </c>
      <c r="CQ1323" s="46" t="s">
        <v>1220</v>
      </c>
      <c r="EN1323" s="46">
        <v>60</v>
      </c>
    </row>
    <row r="1324" spans="1:144" x14ac:dyDescent="0.25">
      <c r="A1324" s="46">
        <v>60</v>
      </c>
      <c r="B1324" s="46" t="s">
        <v>1199</v>
      </c>
      <c r="C1324" s="46" t="s">
        <v>1200</v>
      </c>
      <c r="D1324" s="46">
        <v>2012</v>
      </c>
      <c r="E1324" s="46">
        <v>2006</v>
      </c>
      <c r="F1324" s="46" t="s">
        <v>200</v>
      </c>
      <c r="G1324" s="46" t="s">
        <v>1201</v>
      </c>
      <c r="H1324" s="46">
        <f t="shared" si="237"/>
        <v>38.616666666666667</v>
      </c>
      <c r="I1324" s="46">
        <f t="shared" si="238"/>
        <v>-76.733333333333334</v>
      </c>
      <c r="J1324" s="46">
        <v>25.4</v>
      </c>
      <c r="P1324" s="81" t="s">
        <v>187</v>
      </c>
      <c r="Q1324" s="81" t="s">
        <v>1161</v>
      </c>
      <c r="R1324" s="81" t="s">
        <v>1204</v>
      </c>
      <c r="S1324" s="81" t="s">
        <v>667</v>
      </c>
      <c r="T1324" s="46">
        <v>1.37</v>
      </c>
      <c r="W1324" s="46" t="s">
        <v>175</v>
      </c>
      <c r="AA1324" s="46" t="s">
        <v>1714</v>
      </c>
      <c r="AB1324" s="46" t="s">
        <v>173</v>
      </c>
      <c r="AC1324" s="46" t="s">
        <v>612</v>
      </c>
      <c r="AG1324" s="46" t="s">
        <v>217</v>
      </c>
      <c r="AH1324" s="46" t="s">
        <v>217</v>
      </c>
      <c r="AI1324" s="46" t="s">
        <v>252</v>
      </c>
      <c r="AJ1324" s="46" t="s">
        <v>1203</v>
      </c>
      <c r="AK1324" s="46">
        <v>0</v>
      </c>
      <c r="AL1324" s="46" t="s">
        <v>693</v>
      </c>
      <c r="AM1324" s="46" t="s">
        <v>222</v>
      </c>
      <c r="AN1324" s="46">
        <v>4</v>
      </c>
      <c r="AO1324" s="46">
        <v>4</v>
      </c>
      <c r="AP1324" s="46" t="s">
        <v>184</v>
      </c>
      <c r="AU1324" s="46" t="s">
        <v>1206</v>
      </c>
      <c r="BB1324" s="46">
        <v>1.4</v>
      </c>
      <c r="BC1324" s="46">
        <v>1.258</v>
      </c>
      <c r="BE1324" s="46">
        <v>0.17599999999999999</v>
      </c>
      <c r="BF1324" s="46">
        <v>0.185</v>
      </c>
      <c r="BG1324" s="46" t="s">
        <v>1213</v>
      </c>
      <c r="CC1324" s="46">
        <v>42.71</v>
      </c>
      <c r="CD1324" s="46">
        <v>60.16</v>
      </c>
      <c r="CE1324" s="46" t="s">
        <v>1209</v>
      </c>
      <c r="CF1324" s="46">
        <v>2.87</v>
      </c>
      <c r="CG1324" s="46">
        <v>3.99</v>
      </c>
      <c r="CH1324" s="46" t="s">
        <v>1221</v>
      </c>
      <c r="CL1324" s="46">
        <f>0.023*3600</f>
        <v>82.8</v>
      </c>
      <c r="CM1324" s="46">
        <f>0.0833*3600</f>
        <v>299.88</v>
      </c>
      <c r="CN1324" s="46" t="s">
        <v>1215</v>
      </c>
      <c r="CO1324" s="46">
        <f>0.00037*360</f>
        <v>0.13319999999999999</v>
      </c>
      <c r="CP1324" s="46">
        <f>0.0023*360</f>
        <v>0.82799999999999996</v>
      </c>
      <c r="CQ1324" s="46" t="s">
        <v>1220</v>
      </c>
      <c r="EN1324" s="46">
        <v>60</v>
      </c>
    </row>
    <row r="1325" spans="1:144" x14ac:dyDescent="0.25">
      <c r="A1325" s="46">
        <v>60</v>
      </c>
      <c r="B1325" s="46" t="s">
        <v>1199</v>
      </c>
      <c r="C1325" s="46" t="s">
        <v>1200</v>
      </c>
      <c r="D1325" s="46">
        <v>2012</v>
      </c>
      <c r="E1325" s="46">
        <v>2006</v>
      </c>
      <c r="F1325" s="46" t="s">
        <v>200</v>
      </c>
      <c r="G1325" s="46" t="s">
        <v>1201</v>
      </c>
      <c r="H1325" s="46">
        <f t="shared" si="237"/>
        <v>38.616666666666667</v>
      </c>
      <c r="I1325" s="46">
        <f t="shared" si="238"/>
        <v>-76.733333333333334</v>
      </c>
      <c r="J1325" s="46">
        <v>25.4</v>
      </c>
      <c r="P1325" s="81" t="s">
        <v>187</v>
      </c>
      <c r="Q1325" s="81" t="s">
        <v>1161</v>
      </c>
      <c r="R1325" s="81" t="s">
        <v>1204</v>
      </c>
      <c r="S1325" s="81" t="s">
        <v>667</v>
      </c>
      <c r="T1325" s="46">
        <v>1.37</v>
      </c>
      <c r="W1325" s="46" t="s">
        <v>175</v>
      </c>
      <c r="AA1325" s="46" t="s">
        <v>1714</v>
      </c>
      <c r="AB1325" s="46" t="s">
        <v>173</v>
      </c>
      <c r="AC1325" s="46" t="s">
        <v>612</v>
      </c>
      <c r="AG1325" s="46" t="s">
        <v>217</v>
      </c>
      <c r="AH1325" s="46" t="s">
        <v>217</v>
      </c>
      <c r="AI1325" s="46" t="s">
        <v>252</v>
      </c>
      <c r="AJ1325" s="46" t="s">
        <v>1203</v>
      </c>
      <c r="AK1325" s="46">
        <v>0</v>
      </c>
      <c r="AL1325" s="46" t="s">
        <v>693</v>
      </c>
      <c r="AM1325" s="46" t="s">
        <v>222</v>
      </c>
      <c r="AN1325" s="46">
        <v>4</v>
      </c>
      <c r="AO1325" s="46">
        <v>4</v>
      </c>
      <c r="AP1325" s="46" t="s">
        <v>184</v>
      </c>
      <c r="AU1325" s="46" t="s">
        <v>1207</v>
      </c>
      <c r="BB1325" s="46">
        <v>1.4</v>
      </c>
      <c r="BC1325" s="46">
        <v>1.258</v>
      </c>
      <c r="BE1325" s="46">
        <v>0.188</v>
      </c>
      <c r="BF1325" s="46">
        <v>0.184</v>
      </c>
      <c r="BG1325" s="46" t="s">
        <v>1213</v>
      </c>
      <c r="CC1325" s="46">
        <v>33.700000000000003</v>
      </c>
      <c r="CD1325" s="46">
        <v>48.75</v>
      </c>
      <c r="CE1325" s="46" t="s">
        <v>1209</v>
      </c>
      <c r="CF1325" s="46">
        <v>1.28</v>
      </c>
      <c r="CG1325" s="46">
        <v>4.7</v>
      </c>
      <c r="CH1325" s="46" t="s">
        <v>1221</v>
      </c>
      <c r="EN1325" s="46">
        <v>60</v>
      </c>
    </row>
    <row r="1326" spans="1:144" s="102" customFormat="1" x14ac:dyDescent="0.25">
      <c r="A1326" s="102">
        <v>60</v>
      </c>
      <c r="B1326" s="102" t="s">
        <v>1199</v>
      </c>
      <c r="C1326" s="102" t="s">
        <v>1200</v>
      </c>
      <c r="D1326" s="102">
        <v>2012</v>
      </c>
      <c r="E1326" s="102">
        <v>2005</v>
      </c>
      <c r="F1326" s="102" t="s">
        <v>200</v>
      </c>
      <c r="G1326" s="102" t="s">
        <v>1201</v>
      </c>
      <c r="H1326" s="102">
        <f t="shared" si="237"/>
        <v>38.616666666666667</v>
      </c>
      <c r="I1326" s="102">
        <f t="shared" si="238"/>
        <v>-76.733333333333334</v>
      </c>
      <c r="J1326" s="102">
        <v>25.4</v>
      </c>
      <c r="P1326" s="103" t="s">
        <v>186</v>
      </c>
      <c r="Q1326" s="103" t="s">
        <v>1161</v>
      </c>
      <c r="R1326" s="103" t="s">
        <v>1204</v>
      </c>
      <c r="S1326" s="103" t="s">
        <v>667</v>
      </c>
      <c r="T1326" s="102">
        <v>1.37</v>
      </c>
      <c r="W1326" s="102" t="s">
        <v>175</v>
      </c>
      <c r="AA1326" s="46" t="s">
        <v>1714</v>
      </c>
      <c r="AB1326" s="102" t="s">
        <v>173</v>
      </c>
      <c r="AC1326" s="102" t="s">
        <v>612</v>
      </c>
      <c r="AG1326" s="102" t="s">
        <v>217</v>
      </c>
      <c r="AH1326" s="102" t="s">
        <v>217</v>
      </c>
      <c r="AI1326" s="102" t="s">
        <v>252</v>
      </c>
      <c r="AJ1326" s="102" t="s">
        <v>1203</v>
      </c>
      <c r="AK1326" s="102">
        <v>0</v>
      </c>
      <c r="AL1326" s="102" t="s">
        <v>693</v>
      </c>
      <c r="AM1326" s="102" t="s">
        <v>222</v>
      </c>
      <c r="AN1326" s="102">
        <v>4</v>
      </c>
      <c r="AO1326" s="102">
        <v>4</v>
      </c>
      <c r="AP1326" s="102" t="s">
        <v>184</v>
      </c>
      <c r="AU1326" s="102" t="s">
        <v>1206</v>
      </c>
      <c r="BB1326" s="102">
        <v>1.41</v>
      </c>
      <c r="BC1326" s="102">
        <v>1.381</v>
      </c>
      <c r="BE1326" s="102">
        <f>44.12/100</f>
        <v>0.44119999999999998</v>
      </c>
      <c r="BF1326" s="102">
        <f>48.28/100</f>
        <v>0.48280000000000001</v>
      </c>
      <c r="BG1326" s="102" t="s">
        <v>1502</v>
      </c>
      <c r="CC1326" s="102">
        <v>41.91</v>
      </c>
      <c r="CD1326" s="102">
        <v>60.18</v>
      </c>
      <c r="CE1326" s="102" t="s">
        <v>1208</v>
      </c>
      <c r="CL1326" s="102">
        <v>5040</v>
      </c>
      <c r="CM1326" s="102">
        <f>4.02*3600</f>
        <v>14471.999999999998</v>
      </c>
      <c r="CN1326" s="102" t="s">
        <v>1216</v>
      </c>
      <c r="CO1326" s="102">
        <f>0.064*360</f>
        <v>23.04</v>
      </c>
      <c r="CP1326" s="102">
        <f>0.175*360</f>
        <v>62.999999999999993</v>
      </c>
      <c r="CQ1326" s="102" t="s">
        <v>1220</v>
      </c>
      <c r="EL1326" s="102" t="s">
        <v>1214</v>
      </c>
      <c r="EN1326" s="102">
        <v>60</v>
      </c>
    </row>
    <row r="1327" spans="1:144" s="102" customFormat="1" x14ac:dyDescent="0.25">
      <c r="A1327" s="102">
        <v>60</v>
      </c>
      <c r="B1327" s="102" t="s">
        <v>1199</v>
      </c>
      <c r="C1327" s="102" t="s">
        <v>1200</v>
      </c>
      <c r="D1327" s="102">
        <v>2012</v>
      </c>
      <c r="E1327" s="102">
        <v>2005</v>
      </c>
      <c r="F1327" s="102" t="s">
        <v>200</v>
      </c>
      <c r="G1327" s="102" t="s">
        <v>1201</v>
      </c>
      <c r="H1327" s="102">
        <f t="shared" si="237"/>
        <v>38.616666666666667</v>
      </c>
      <c r="I1327" s="102">
        <f t="shared" si="238"/>
        <v>-76.733333333333334</v>
      </c>
      <c r="J1327" s="102">
        <v>25.4</v>
      </c>
      <c r="P1327" s="103" t="s">
        <v>186</v>
      </c>
      <c r="Q1327" s="103" t="s">
        <v>1161</v>
      </c>
      <c r="R1327" s="103" t="s">
        <v>1204</v>
      </c>
      <c r="S1327" s="103" t="s">
        <v>667</v>
      </c>
      <c r="T1327" s="102">
        <v>1.37</v>
      </c>
      <c r="W1327" s="102" t="s">
        <v>175</v>
      </c>
      <c r="AA1327" s="46" t="s">
        <v>1714</v>
      </c>
      <c r="AB1327" s="102" t="s">
        <v>173</v>
      </c>
      <c r="AC1327" s="102" t="s">
        <v>612</v>
      </c>
      <c r="AG1327" s="102" t="s">
        <v>217</v>
      </c>
      <c r="AH1327" s="102" t="s">
        <v>217</v>
      </c>
      <c r="AI1327" s="102" t="s">
        <v>252</v>
      </c>
      <c r="AJ1327" s="102" t="s">
        <v>1203</v>
      </c>
      <c r="AK1327" s="102">
        <v>0</v>
      </c>
      <c r="AL1327" s="102" t="s">
        <v>693</v>
      </c>
      <c r="AM1327" s="102" t="s">
        <v>222</v>
      </c>
      <c r="AN1327" s="102">
        <v>4</v>
      </c>
      <c r="AO1327" s="102">
        <v>4</v>
      </c>
      <c r="AP1327" s="102" t="s">
        <v>184</v>
      </c>
      <c r="AU1327" s="102" t="s">
        <v>1207</v>
      </c>
      <c r="BB1327" s="102">
        <v>1.41</v>
      </c>
      <c r="BC1327" s="102">
        <v>1.381</v>
      </c>
      <c r="BE1327" s="102">
        <f>42.86/100</f>
        <v>0.42859999999999998</v>
      </c>
      <c r="BF1327" s="102">
        <f>55.85/100</f>
        <v>0.5585</v>
      </c>
      <c r="BG1327" s="102" t="s">
        <v>1502</v>
      </c>
      <c r="CC1327" s="102">
        <v>34.14</v>
      </c>
      <c r="CD1327" s="102">
        <v>47.17</v>
      </c>
      <c r="CE1327" s="102" t="s">
        <v>1208</v>
      </c>
      <c r="CL1327" s="102">
        <f>0.185*3600</f>
        <v>666</v>
      </c>
      <c r="CM1327" s="102">
        <f>0.093*3600</f>
        <v>334.8</v>
      </c>
      <c r="CN1327" s="102" t="s">
        <v>1216</v>
      </c>
      <c r="CO1327" s="102">
        <f>0.0067*360</f>
        <v>2.4119999999999999</v>
      </c>
      <c r="CP1327" s="102">
        <f>0.0031*360</f>
        <v>1.1159999999999999</v>
      </c>
      <c r="CQ1327" s="102" t="s">
        <v>1220</v>
      </c>
      <c r="EL1327" s="102" t="s">
        <v>1214</v>
      </c>
      <c r="EN1327" s="102">
        <v>60</v>
      </c>
    </row>
    <row r="1328" spans="1:144" s="102" customFormat="1" x14ac:dyDescent="0.25">
      <c r="A1328" s="102">
        <v>60</v>
      </c>
      <c r="B1328" s="102" t="s">
        <v>1199</v>
      </c>
      <c r="C1328" s="102" t="s">
        <v>1200</v>
      </c>
      <c r="D1328" s="102">
        <v>2012</v>
      </c>
      <c r="E1328" s="102">
        <v>2006</v>
      </c>
      <c r="F1328" s="102" t="s">
        <v>200</v>
      </c>
      <c r="G1328" s="102" t="s">
        <v>1201</v>
      </c>
      <c r="H1328" s="102">
        <f t="shared" si="237"/>
        <v>38.616666666666667</v>
      </c>
      <c r="I1328" s="102">
        <f t="shared" si="238"/>
        <v>-76.733333333333334</v>
      </c>
      <c r="J1328" s="102">
        <v>25.4</v>
      </c>
      <c r="P1328" s="103" t="s">
        <v>187</v>
      </c>
      <c r="Q1328" s="103" t="s">
        <v>1161</v>
      </c>
      <c r="R1328" s="103" t="s">
        <v>1204</v>
      </c>
      <c r="S1328" s="103" t="s">
        <v>667</v>
      </c>
      <c r="T1328" s="102">
        <v>1.37</v>
      </c>
      <c r="W1328" s="102" t="s">
        <v>175</v>
      </c>
      <c r="AA1328" s="46" t="s">
        <v>1714</v>
      </c>
      <c r="AB1328" s="102" t="s">
        <v>173</v>
      </c>
      <c r="AC1328" s="102" t="s">
        <v>612</v>
      </c>
      <c r="AG1328" s="102" t="s">
        <v>217</v>
      </c>
      <c r="AH1328" s="102" t="s">
        <v>217</v>
      </c>
      <c r="AI1328" s="102" t="s">
        <v>252</v>
      </c>
      <c r="AJ1328" s="102" t="s">
        <v>1203</v>
      </c>
      <c r="AK1328" s="102">
        <v>0</v>
      </c>
      <c r="AL1328" s="102" t="s">
        <v>693</v>
      </c>
      <c r="AM1328" s="102" t="s">
        <v>222</v>
      </c>
      <c r="AN1328" s="102">
        <v>4</v>
      </c>
      <c r="AO1328" s="102">
        <v>4</v>
      </c>
      <c r="AP1328" s="102" t="s">
        <v>184</v>
      </c>
      <c r="AU1328" s="102" t="s">
        <v>1206</v>
      </c>
      <c r="BB1328" s="102">
        <v>1.405</v>
      </c>
      <c r="BC1328" s="102">
        <v>1.2649999999999999</v>
      </c>
      <c r="BE1328" s="102">
        <f>37.2/100</f>
        <v>0.37200000000000005</v>
      </c>
      <c r="BF1328" s="102">
        <f>39.15/100</f>
        <v>0.39149999999999996</v>
      </c>
      <c r="BG1328" s="102" t="s">
        <v>1502</v>
      </c>
      <c r="CC1328" s="102">
        <v>64.34</v>
      </c>
      <c r="CD1328" s="102">
        <v>78.959999999999994</v>
      </c>
      <c r="CE1328" s="102" t="s">
        <v>1208</v>
      </c>
      <c r="CL1328" s="102">
        <f>0.317*3600</f>
        <v>1141.2</v>
      </c>
      <c r="CM1328" s="102">
        <f>1.78*3600</f>
        <v>6408</v>
      </c>
      <c r="CN1328" s="102" t="s">
        <v>1216</v>
      </c>
      <c r="CO1328" s="102">
        <f>0.017*360</f>
        <v>6.12</v>
      </c>
      <c r="CP1328" s="102">
        <f>0.763*360</f>
        <v>274.68</v>
      </c>
      <c r="CQ1328" s="102" t="s">
        <v>1220</v>
      </c>
      <c r="EL1328" s="102" t="s">
        <v>1214</v>
      </c>
      <c r="EN1328" s="102">
        <v>60</v>
      </c>
    </row>
    <row r="1329" spans="1:144" s="102" customFormat="1" x14ac:dyDescent="0.25">
      <c r="A1329" s="102">
        <v>60</v>
      </c>
      <c r="B1329" s="102" t="s">
        <v>1199</v>
      </c>
      <c r="C1329" s="102" t="s">
        <v>1200</v>
      </c>
      <c r="D1329" s="102">
        <v>2012</v>
      </c>
      <c r="E1329" s="102">
        <v>2006</v>
      </c>
      <c r="F1329" s="102" t="s">
        <v>200</v>
      </c>
      <c r="G1329" s="102" t="s">
        <v>1201</v>
      </c>
      <c r="H1329" s="102">
        <f t="shared" si="237"/>
        <v>38.616666666666667</v>
      </c>
      <c r="I1329" s="102">
        <f t="shared" si="238"/>
        <v>-76.733333333333334</v>
      </c>
      <c r="J1329" s="102">
        <v>25.4</v>
      </c>
      <c r="P1329" s="103" t="s">
        <v>187</v>
      </c>
      <c r="Q1329" s="103" t="s">
        <v>1161</v>
      </c>
      <c r="R1329" s="103" t="s">
        <v>1204</v>
      </c>
      <c r="S1329" s="103" t="s">
        <v>667</v>
      </c>
      <c r="T1329" s="102">
        <v>1.37</v>
      </c>
      <c r="W1329" s="102" t="s">
        <v>175</v>
      </c>
      <c r="AA1329" s="46" t="s">
        <v>1714</v>
      </c>
      <c r="AB1329" s="102" t="s">
        <v>173</v>
      </c>
      <c r="AC1329" s="102" t="s">
        <v>612</v>
      </c>
      <c r="AG1329" s="102" t="s">
        <v>217</v>
      </c>
      <c r="AH1329" s="102" t="s">
        <v>217</v>
      </c>
      <c r="AI1329" s="102" t="s">
        <v>252</v>
      </c>
      <c r="AJ1329" s="102" t="s">
        <v>1203</v>
      </c>
      <c r="AK1329" s="102">
        <v>0</v>
      </c>
      <c r="AL1329" s="102" t="s">
        <v>693</v>
      </c>
      <c r="AM1329" s="102" t="s">
        <v>222</v>
      </c>
      <c r="AN1329" s="102">
        <v>4</v>
      </c>
      <c r="AO1329" s="102">
        <v>4</v>
      </c>
      <c r="AP1329" s="102" t="s">
        <v>184</v>
      </c>
      <c r="AU1329" s="102" t="s">
        <v>1207</v>
      </c>
      <c r="BB1329" s="102">
        <v>1.405</v>
      </c>
      <c r="BC1329" s="102">
        <v>1.2649999999999999</v>
      </c>
      <c r="BE1329" s="102">
        <f>42.32/100</f>
        <v>0.42320000000000002</v>
      </c>
      <c r="BF1329" s="102">
        <f>45.49/100</f>
        <v>0.45490000000000003</v>
      </c>
      <c r="BG1329" s="102" t="s">
        <v>1502</v>
      </c>
      <c r="CC1329" s="102">
        <v>51.72</v>
      </c>
      <c r="CD1329" s="102">
        <v>63.54</v>
      </c>
      <c r="CE1329" s="102" t="s">
        <v>1208</v>
      </c>
      <c r="EL1329" s="102" t="s">
        <v>1214</v>
      </c>
      <c r="EN1329" s="102">
        <v>60</v>
      </c>
    </row>
    <row r="1330" spans="1:144" s="31" customFormat="1" x14ac:dyDescent="0.25">
      <c r="A1330" s="31">
        <v>60</v>
      </c>
      <c r="B1330" s="31" t="s">
        <v>1199</v>
      </c>
      <c r="C1330" s="31" t="s">
        <v>1200</v>
      </c>
      <c r="D1330" s="31">
        <v>2012</v>
      </c>
      <c r="E1330" s="31">
        <v>2005</v>
      </c>
      <c r="F1330" s="31" t="s">
        <v>200</v>
      </c>
      <c r="G1330" s="31" t="s">
        <v>1202</v>
      </c>
      <c r="H1330" s="31">
        <f t="shared" ref="H1330:H1335" si="239">39+14/60</f>
        <v>39.233333333333334</v>
      </c>
      <c r="I1330" s="31">
        <f t="shared" ref="I1330:I1335" si="240">-76-55/60</f>
        <v>-76.916666666666671</v>
      </c>
      <c r="J1330" s="31">
        <v>109.2</v>
      </c>
      <c r="P1330" s="56" t="s">
        <v>186</v>
      </c>
      <c r="Q1330" s="56" t="s">
        <v>1161</v>
      </c>
      <c r="R1330" s="56" t="s">
        <v>1205</v>
      </c>
      <c r="S1330" s="56" t="s">
        <v>667</v>
      </c>
      <c r="T1330" s="31">
        <v>1.21</v>
      </c>
      <c r="W1330" s="31" t="s">
        <v>175</v>
      </c>
      <c r="AA1330" s="31" t="s">
        <v>1714</v>
      </c>
      <c r="AB1330" s="31" t="s">
        <v>173</v>
      </c>
      <c r="AC1330" s="31" t="s">
        <v>612</v>
      </c>
      <c r="AG1330" s="31" t="s">
        <v>217</v>
      </c>
      <c r="AH1330" s="31" t="s">
        <v>217</v>
      </c>
      <c r="AI1330" s="31" t="s">
        <v>252</v>
      </c>
      <c r="AJ1330" s="31" t="s">
        <v>1203</v>
      </c>
      <c r="AK1330" s="31">
        <v>0</v>
      </c>
      <c r="AL1330" s="31" t="s">
        <v>693</v>
      </c>
      <c r="AM1330" s="31" t="s">
        <v>222</v>
      </c>
      <c r="AN1330" s="31">
        <v>4</v>
      </c>
      <c r="AO1330" s="31">
        <v>4</v>
      </c>
      <c r="AP1330" s="31" t="s">
        <v>184</v>
      </c>
      <c r="AU1330" s="31" t="s">
        <v>1206</v>
      </c>
      <c r="BB1330" s="31">
        <v>1.208</v>
      </c>
      <c r="BC1330" s="31">
        <v>1.22</v>
      </c>
      <c r="BE1330" s="31">
        <v>0.23400000000000001</v>
      </c>
      <c r="BF1330" s="31">
        <v>0.25</v>
      </c>
      <c r="BG1330" s="31" t="s">
        <v>1213</v>
      </c>
      <c r="CC1330" s="31">
        <v>55.21</v>
      </c>
      <c r="CD1330" s="31">
        <v>66.87</v>
      </c>
      <c r="CE1330" s="31" t="s">
        <v>1209</v>
      </c>
      <c r="CF1330" s="31">
        <v>7.05</v>
      </c>
      <c r="CG1330" s="31">
        <v>4.03</v>
      </c>
      <c r="CH1330" s="31" t="s">
        <v>1221</v>
      </c>
      <c r="CL1330" s="31">
        <f>0.87*3600</f>
        <v>3132</v>
      </c>
      <c r="CM1330" s="31">
        <f>2.3*3600</f>
        <v>8280</v>
      </c>
      <c r="CN1330" s="31" t="s">
        <v>1217</v>
      </c>
      <c r="CO1330" s="31">
        <f>0.083*360</f>
        <v>29.880000000000003</v>
      </c>
      <c r="CP1330" s="31">
        <f>0.0097*360</f>
        <v>3.492</v>
      </c>
      <c r="CQ1330" s="31" t="s">
        <v>1220</v>
      </c>
      <c r="EN1330" s="31">
        <v>60</v>
      </c>
    </row>
    <row r="1331" spans="1:144" s="31" customFormat="1" x14ac:dyDescent="0.25">
      <c r="A1331" s="31">
        <v>60</v>
      </c>
      <c r="B1331" s="31" t="s">
        <v>1199</v>
      </c>
      <c r="C1331" s="31" t="s">
        <v>1200</v>
      </c>
      <c r="D1331" s="31">
        <v>2012</v>
      </c>
      <c r="E1331" s="31">
        <v>2005</v>
      </c>
      <c r="F1331" s="31" t="s">
        <v>200</v>
      </c>
      <c r="G1331" s="31" t="s">
        <v>1202</v>
      </c>
      <c r="H1331" s="31">
        <f t="shared" si="239"/>
        <v>39.233333333333334</v>
      </c>
      <c r="I1331" s="31">
        <f t="shared" si="240"/>
        <v>-76.916666666666671</v>
      </c>
      <c r="J1331" s="31">
        <v>109.2</v>
      </c>
      <c r="P1331" s="56" t="s">
        <v>186</v>
      </c>
      <c r="Q1331" s="56" t="s">
        <v>1161</v>
      </c>
      <c r="R1331" s="56" t="s">
        <v>1205</v>
      </c>
      <c r="S1331" s="56" t="s">
        <v>667</v>
      </c>
      <c r="T1331" s="31">
        <v>1.21</v>
      </c>
      <c r="W1331" s="31" t="s">
        <v>175</v>
      </c>
      <c r="AA1331" s="31" t="s">
        <v>1714</v>
      </c>
      <c r="AB1331" s="31" t="s">
        <v>173</v>
      </c>
      <c r="AC1331" s="31" t="s">
        <v>612</v>
      </c>
      <c r="AG1331" s="31" t="s">
        <v>217</v>
      </c>
      <c r="AH1331" s="31" t="s">
        <v>217</v>
      </c>
      <c r="AI1331" s="31" t="s">
        <v>252</v>
      </c>
      <c r="AJ1331" s="31" t="s">
        <v>1203</v>
      </c>
      <c r="AK1331" s="31">
        <v>0</v>
      </c>
      <c r="AL1331" s="31" t="s">
        <v>693</v>
      </c>
      <c r="AM1331" s="31" t="s">
        <v>222</v>
      </c>
      <c r="AN1331" s="31">
        <v>4</v>
      </c>
      <c r="AO1331" s="31">
        <v>4</v>
      </c>
      <c r="AP1331" s="31" t="s">
        <v>184</v>
      </c>
      <c r="AU1331" s="31" t="s">
        <v>1207</v>
      </c>
      <c r="BB1331" s="31">
        <v>1.208</v>
      </c>
      <c r="BC1331" s="31">
        <v>1.22</v>
      </c>
      <c r="BE1331" s="31">
        <v>0.23799999999999999</v>
      </c>
      <c r="BF1331" s="31">
        <v>0.25</v>
      </c>
      <c r="BG1331" s="31" t="s">
        <v>1213</v>
      </c>
      <c r="CC1331" s="31">
        <v>24.64</v>
      </c>
      <c r="CD1331" s="31">
        <v>33.200000000000003</v>
      </c>
      <c r="CE1331" s="31" t="s">
        <v>1209</v>
      </c>
      <c r="CF1331" s="31">
        <v>2.64</v>
      </c>
      <c r="CG1331" s="31">
        <v>9.4600000000000009</v>
      </c>
      <c r="CH1331" s="31" t="s">
        <v>1221</v>
      </c>
      <c r="CL1331" s="31">
        <f>2.32*3600</f>
        <v>8352</v>
      </c>
      <c r="CM1331" s="31">
        <f>4.5*3600</f>
        <v>16200</v>
      </c>
      <c r="CN1331" s="31" t="s">
        <v>1217</v>
      </c>
      <c r="CO1331" s="31">
        <f>0.109*360</f>
        <v>39.24</v>
      </c>
      <c r="CP1331" s="31">
        <f>0.119*360</f>
        <v>42.839999999999996</v>
      </c>
      <c r="CQ1331" s="31" t="s">
        <v>1220</v>
      </c>
      <c r="EN1331" s="31">
        <v>60</v>
      </c>
    </row>
    <row r="1332" spans="1:144" s="31" customFormat="1" x14ac:dyDescent="0.25">
      <c r="A1332" s="31">
        <v>60</v>
      </c>
      <c r="B1332" s="31" t="s">
        <v>1199</v>
      </c>
      <c r="C1332" s="31" t="s">
        <v>1200</v>
      </c>
      <c r="D1332" s="31">
        <v>2012</v>
      </c>
      <c r="E1332" s="31">
        <v>2006</v>
      </c>
      <c r="F1332" s="31" t="s">
        <v>200</v>
      </c>
      <c r="G1332" s="31" t="s">
        <v>1202</v>
      </c>
      <c r="H1332" s="31">
        <f t="shared" si="239"/>
        <v>39.233333333333334</v>
      </c>
      <c r="I1332" s="31">
        <f t="shared" si="240"/>
        <v>-76.916666666666671</v>
      </c>
      <c r="J1332" s="31">
        <v>109.2</v>
      </c>
      <c r="P1332" s="56" t="s">
        <v>187</v>
      </c>
      <c r="Q1332" s="56" t="s">
        <v>1161</v>
      </c>
      <c r="R1332" s="56" t="s">
        <v>1205</v>
      </c>
      <c r="S1332" s="56" t="s">
        <v>667</v>
      </c>
      <c r="T1332" s="31">
        <v>1.21</v>
      </c>
      <c r="W1332" s="31" t="s">
        <v>175</v>
      </c>
      <c r="AA1332" s="31" t="s">
        <v>1714</v>
      </c>
      <c r="AB1332" s="31" t="s">
        <v>173</v>
      </c>
      <c r="AC1332" s="31" t="s">
        <v>612</v>
      </c>
      <c r="AG1332" s="31" t="s">
        <v>217</v>
      </c>
      <c r="AH1332" s="31" t="s">
        <v>217</v>
      </c>
      <c r="AI1332" s="31" t="s">
        <v>252</v>
      </c>
      <c r="AJ1332" s="31" t="s">
        <v>1203</v>
      </c>
      <c r="AK1332" s="31">
        <v>0</v>
      </c>
      <c r="AL1332" s="31" t="s">
        <v>693</v>
      </c>
      <c r="AM1332" s="31" t="s">
        <v>222</v>
      </c>
      <c r="AN1332" s="31">
        <v>4</v>
      </c>
      <c r="AO1332" s="31">
        <v>4</v>
      </c>
      <c r="AP1332" s="31" t="s">
        <v>184</v>
      </c>
      <c r="AU1332" s="31" t="s">
        <v>1206</v>
      </c>
      <c r="BB1332" s="31">
        <v>1.206</v>
      </c>
      <c r="BC1332" s="31">
        <v>1.1599999999999999</v>
      </c>
      <c r="BE1332" s="31">
        <v>0.23499999999999999</v>
      </c>
      <c r="BF1332" s="31">
        <v>0.23499999999999999</v>
      </c>
      <c r="BG1332" s="31" t="s">
        <v>1213</v>
      </c>
      <c r="CC1332" s="31">
        <v>39.31</v>
      </c>
      <c r="CD1332" s="31">
        <v>44.1</v>
      </c>
      <c r="CE1332" s="31" t="s">
        <v>1209</v>
      </c>
      <c r="CF1332" s="31">
        <v>7.02</v>
      </c>
      <c r="CG1332" s="31">
        <v>3.42</v>
      </c>
      <c r="CH1332" s="31" t="s">
        <v>1221</v>
      </c>
      <c r="EN1332" s="31">
        <v>60</v>
      </c>
    </row>
    <row r="1333" spans="1:144" s="104" customFormat="1" x14ac:dyDescent="0.25">
      <c r="A1333" s="104">
        <v>60</v>
      </c>
      <c r="B1333" s="104" t="s">
        <v>1199</v>
      </c>
      <c r="C1333" s="104" t="s">
        <v>1200</v>
      </c>
      <c r="D1333" s="104">
        <v>2012</v>
      </c>
      <c r="E1333" s="104">
        <v>2005</v>
      </c>
      <c r="F1333" s="104" t="s">
        <v>200</v>
      </c>
      <c r="G1333" s="104" t="s">
        <v>1202</v>
      </c>
      <c r="H1333" s="104">
        <f t="shared" si="239"/>
        <v>39.233333333333334</v>
      </c>
      <c r="I1333" s="104">
        <f t="shared" si="240"/>
        <v>-76.916666666666671</v>
      </c>
      <c r="J1333" s="104">
        <v>109.2</v>
      </c>
      <c r="P1333" s="105" t="s">
        <v>186</v>
      </c>
      <c r="Q1333" s="105" t="s">
        <v>1161</v>
      </c>
      <c r="R1333" s="105" t="s">
        <v>1205</v>
      </c>
      <c r="S1333" s="105" t="s">
        <v>667</v>
      </c>
      <c r="T1333" s="104">
        <v>1.21</v>
      </c>
      <c r="W1333" s="104" t="s">
        <v>175</v>
      </c>
      <c r="AA1333" s="104" t="s">
        <v>1714</v>
      </c>
      <c r="AB1333" s="104" t="s">
        <v>173</v>
      </c>
      <c r="AC1333" s="104" t="s">
        <v>612</v>
      </c>
      <c r="AG1333" s="104" t="s">
        <v>217</v>
      </c>
      <c r="AH1333" s="104" t="s">
        <v>217</v>
      </c>
      <c r="AI1333" s="104" t="s">
        <v>252</v>
      </c>
      <c r="AJ1333" s="104" t="s">
        <v>1203</v>
      </c>
      <c r="AK1333" s="104">
        <v>0</v>
      </c>
      <c r="AL1333" s="104" t="s">
        <v>693</v>
      </c>
      <c r="AM1333" s="104" t="s">
        <v>222</v>
      </c>
      <c r="AN1333" s="104">
        <v>4</v>
      </c>
      <c r="AO1333" s="104">
        <v>4</v>
      </c>
      <c r="AP1333" s="104" t="s">
        <v>184</v>
      </c>
      <c r="AU1333" s="104" t="s">
        <v>1206</v>
      </c>
      <c r="BB1333" s="104">
        <v>1.2050000000000001</v>
      </c>
      <c r="BC1333" s="104">
        <v>1.22</v>
      </c>
      <c r="BE1333" s="104">
        <f>43.19/100</f>
        <v>0.43189999999999995</v>
      </c>
      <c r="BF1333" s="104">
        <f>44.5/100</f>
        <v>0.44500000000000001</v>
      </c>
      <c r="BG1333" s="104" t="s">
        <v>1502</v>
      </c>
      <c r="CC1333" s="104">
        <v>73.38</v>
      </c>
      <c r="CD1333" s="104">
        <v>80.430000000000007</v>
      </c>
      <c r="CE1333" s="104" t="s">
        <v>1208</v>
      </c>
      <c r="EL1333" s="104" t="s">
        <v>1214</v>
      </c>
      <c r="EN1333" s="104">
        <v>60</v>
      </c>
    </row>
    <row r="1334" spans="1:144" s="104" customFormat="1" x14ac:dyDescent="0.25">
      <c r="A1334" s="104">
        <v>60</v>
      </c>
      <c r="B1334" s="104" t="s">
        <v>1199</v>
      </c>
      <c r="C1334" s="104" t="s">
        <v>1200</v>
      </c>
      <c r="D1334" s="104">
        <v>2012</v>
      </c>
      <c r="E1334" s="104">
        <v>2005</v>
      </c>
      <c r="F1334" s="104" t="s">
        <v>200</v>
      </c>
      <c r="G1334" s="104" t="s">
        <v>1202</v>
      </c>
      <c r="H1334" s="104">
        <f t="shared" si="239"/>
        <v>39.233333333333334</v>
      </c>
      <c r="I1334" s="104">
        <f t="shared" si="240"/>
        <v>-76.916666666666671</v>
      </c>
      <c r="J1334" s="104">
        <v>109.2</v>
      </c>
      <c r="P1334" s="105" t="s">
        <v>186</v>
      </c>
      <c r="Q1334" s="105" t="s">
        <v>1161</v>
      </c>
      <c r="R1334" s="105" t="s">
        <v>1205</v>
      </c>
      <c r="S1334" s="105" t="s">
        <v>667</v>
      </c>
      <c r="T1334" s="104">
        <v>1.21</v>
      </c>
      <c r="W1334" s="104" t="s">
        <v>175</v>
      </c>
      <c r="AA1334" s="104" t="s">
        <v>1714</v>
      </c>
      <c r="AB1334" s="104" t="s">
        <v>173</v>
      </c>
      <c r="AC1334" s="104" t="s">
        <v>612</v>
      </c>
      <c r="AG1334" s="104" t="s">
        <v>217</v>
      </c>
      <c r="AH1334" s="104" t="s">
        <v>217</v>
      </c>
      <c r="AI1334" s="104" t="s">
        <v>252</v>
      </c>
      <c r="AJ1334" s="104" t="s">
        <v>1203</v>
      </c>
      <c r="AK1334" s="104">
        <v>0</v>
      </c>
      <c r="AL1334" s="104" t="s">
        <v>693</v>
      </c>
      <c r="AM1334" s="104" t="s">
        <v>222</v>
      </c>
      <c r="AN1334" s="104">
        <v>4</v>
      </c>
      <c r="AO1334" s="104">
        <v>4</v>
      </c>
      <c r="AP1334" s="104" t="s">
        <v>184</v>
      </c>
      <c r="AU1334" s="104" t="s">
        <v>1207</v>
      </c>
      <c r="BB1334" s="104">
        <v>1.2050000000000001</v>
      </c>
      <c r="BC1334" s="104">
        <v>1.22</v>
      </c>
      <c r="BE1334" s="104">
        <f>48.69/100</f>
        <v>0.4869</v>
      </c>
      <c r="BF1334" s="104">
        <f>51.31/100</f>
        <v>0.5131</v>
      </c>
      <c r="BG1334" s="104" t="s">
        <v>1502</v>
      </c>
      <c r="CC1334" s="104">
        <v>51.65</v>
      </c>
      <c r="CD1334" s="104">
        <v>59.7</v>
      </c>
      <c r="CE1334" s="104" t="s">
        <v>1208</v>
      </c>
      <c r="EL1334" s="104" t="s">
        <v>1214</v>
      </c>
      <c r="EN1334" s="104">
        <v>60</v>
      </c>
    </row>
    <row r="1335" spans="1:144" s="104" customFormat="1" x14ac:dyDescent="0.25">
      <c r="A1335" s="104">
        <v>60</v>
      </c>
      <c r="B1335" s="104" t="s">
        <v>1199</v>
      </c>
      <c r="C1335" s="104" t="s">
        <v>1200</v>
      </c>
      <c r="D1335" s="104">
        <v>2012</v>
      </c>
      <c r="E1335" s="104">
        <v>2006</v>
      </c>
      <c r="F1335" s="104" t="s">
        <v>200</v>
      </c>
      <c r="G1335" s="104" t="s">
        <v>1202</v>
      </c>
      <c r="H1335" s="104">
        <f t="shared" si="239"/>
        <v>39.233333333333334</v>
      </c>
      <c r="I1335" s="104">
        <f t="shared" si="240"/>
        <v>-76.916666666666671</v>
      </c>
      <c r="J1335" s="104">
        <v>109.2</v>
      </c>
      <c r="P1335" s="105" t="s">
        <v>187</v>
      </c>
      <c r="Q1335" s="105" t="s">
        <v>1161</v>
      </c>
      <c r="R1335" s="105" t="s">
        <v>1205</v>
      </c>
      <c r="S1335" s="105" t="s">
        <v>667</v>
      </c>
      <c r="T1335" s="104">
        <v>1.21</v>
      </c>
      <c r="W1335" s="104" t="s">
        <v>175</v>
      </c>
      <c r="AA1335" s="104" t="s">
        <v>1714</v>
      </c>
      <c r="AB1335" s="104" t="s">
        <v>173</v>
      </c>
      <c r="AC1335" s="104" t="s">
        <v>612</v>
      </c>
      <c r="AG1335" s="104" t="s">
        <v>217</v>
      </c>
      <c r="AH1335" s="104" t="s">
        <v>217</v>
      </c>
      <c r="AI1335" s="104" t="s">
        <v>252</v>
      </c>
      <c r="AJ1335" s="104" t="s">
        <v>1203</v>
      </c>
      <c r="AK1335" s="104">
        <v>0</v>
      </c>
      <c r="AL1335" s="104" t="s">
        <v>693</v>
      </c>
      <c r="AM1335" s="104" t="s">
        <v>222</v>
      </c>
      <c r="AN1335" s="104">
        <v>4</v>
      </c>
      <c r="AO1335" s="104">
        <v>4</v>
      </c>
      <c r="AP1335" s="104" t="s">
        <v>184</v>
      </c>
      <c r="AU1335" s="104" t="s">
        <v>1206</v>
      </c>
      <c r="BB1335" s="104">
        <v>1.2050000000000001</v>
      </c>
      <c r="BC1335" s="104">
        <v>1.22</v>
      </c>
      <c r="BE1335" s="104">
        <f>40.67/100</f>
        <v>0.40670000000000001</v>
      </c>
      <c r="BF1335" s="104">
        <f>46.42/100</f>
        <v>0.4642</v>
      </c>
      <c r="BG1335" s="104" t="s">
        <v>1502</v>
      </c>
      <c r="CC1335" s="104">
        <v>64.8</v>
      </c>
      <c r="CD1335" s="104">
        <v>68.16</v>
      </c>
      <c r="CE1335" s="104" t="s">
        <v>1208</v>
      </c>
      <c r="EL1335" s="104" t="s">
        <v>1214</v>
      </c>
      <c r="EN1335" s="104">
        <v>60</v>
      </c>
    </row>
    <row r="1336" spans="1:144" s="47" customFormat="1" x14ac:dyDescent="0.25">
      <c r="A1336" s="47">
        <v>61</v>
      </c>
      <c r="B1336" s="47" t="s">
        <v>1228</v>
      </c>
      <c r="C1336" s="47" t="s">
        <v>1229</v>
      </c>
      <c r="D1336" s="47">
        <v>2003</v>
      </c>
      <c r="E1336" s="47">
        <v>2000</v>
      </c>
      <c r="F1336" s="47" t="s">
        <v>1230</v>
      </c>
      <c r="G1336" s="47" t="s">
        <v>1231</v>
      </c>
      <c r="H1336" s="47">
        <v>38.74</v>
      </c>
      <c r="I1336" s="47">
        <v>-87.49</v>
      </c>
      <c r="J1336" s="47">
        <v>130</v>
      </c>
      <c r="M1336" s="47">
        <v>143.9</v>
      </c>
      <c r="P1336" s="82" t="s">
        <v>186</v>
      </c>
      <c r="Q1336" s="82" t="s">
        <v>1161</v>
      </c>
      <c r="R1336" s="82" t="s">
        <v>1235</v>
      </c>
      <c r="S1336" s="82" t="s">
        <v>657</v>
      </c>
      <c r="T1336" s="47">
        <v>1.44</v>
      </c>
      <c r="W1336" s="47" t="s">
        <v>175</v>
      </c>
      <c r="AA1336" s="47" t="s">
        <v>1690</v>
      </c>
      <c r="AB1336" s="47" t="s">
        <v>613</v>
      </c>
      <c r="AC1336" s="47" t="s">
        <v>219</v>
      </c>
      <c r="AD1336" s="47" t="s">
        <v>1251</v>
      </c>
      <c r="AE1336" s="47" t="s">
        <v>1251</v>
      </c>
      <c r="AF1336" s="47" t="s">
        <v>252</v>
      </c>
      <c r="AG1336" s="47" t="s">
        <v>312</v>
      </c>
      <c r="AH1336" s="47" t="s">
        <v>312</v>
      </c>
      <c r="AI1336" s="47" t="s">
        <v>252</v>
      </c>
      <c r="AM1336" s="47" t="s">
        <v>222</v>
      </c>
      <c r="AN1336" s="47">
        <v>4</v>
      </c>
      <c r="AO1336" s="47">
        <v>4</v>
      </c>
      <c r="AP1336" s="47" t="s">
        <v>184</v>
      </c>
      <c r="AR1336" s="47">
        <v>1027</v>
      </c>
      <c r="AT1336" s="47" t="s">
        <v>1233</v>
      </c>
      <c r="AV1336" s="47">
        <v>7.4</v>
      </c>
      <c r="AW1336" s="47">
        <v>6.6</v>
      </c>
      <c r="AX1336" s="47" t="s">
        <v>1253</v>
      </c>
      <c r="BB1336" s="47">
        <v>1.4</v>
      </c>
      <c r="BC1336" s="47">
        <v>1.36</v>
      </c>
      <c r="CC1336" s="47">
        <v>1.65</v>
      </c>
      <c r="CD1336" s="47">
        <v>1.95</v>
      </c>
      <c r="CE1336" s="47" t="s">
        <v>1239</v>
      </c>
      <c r="CF1336" s="47">
        <v>49.1</v>
      </c>
      <c r="CG1336" s="47">
        <v>51.25</v>
      </c>
      <c r="CH1336" s="47" t="s">
        <v>1237</v>
      </c>
      <c r="CI1336" s="47">
        <v>4.931E-2</v>
      </c>
      <c r="CJ1336" s="47">
        <v>4.897E-2</v>
      </c>
      <c r="CK1336" s="47" t="s">
        <v>1252</v>
      </c>
      <c r="CL1336" s="47">
        <v>12.6</v>
      </c>
      <c r="CM1336" s="47">
        <v>17.399999999999999</v>
      </c>
      <c r="CN1336" s="47" t="s">
        <v>1240</v>
      </c>
      <c r="CO1336" s="47">
        <v>75</v>
      </c>
      <c r="CP1336" s="47">
        <v>150.6</v>
      </c>
      <c r="DD1336" s="47">
        <f>30/1.44</f>
        <v>20.833333333333336</v>
      </c>
      <c r="DE1336" s="47">
        <f>33.4/1.44</f>
        <v>23.194444444444443</v>
      </c>
      <c r="DF1336" s="47" t="s">
        <v>1242</v>
      </c>
      <c r="EL1336" s="47" t="s">
        <v>1250</v>
      </c>
      <c r="EN1336" s="47">
        <v>61</v>
      </c>
    </row>
    <row r="1337" spans="1:144" s="47" customFormat="1" x14ac:dyDescent="0.25">
      <c r="A1337" s="47">
        <v>61</v>
      </c>
      <c r="B1337" s="47" t="s">
        <v>1228</v>
      </c>
      <c r="C1337" s="47" t="s">
        <v>1229</v>
      </c>
      <c r="D1337" s="47">
        <v>2003</v>
      </c>
      <c r="E1337" s="47">
        <v>2000</v>
      </c>
      <c r="F1337" s="47" t="s">
        <v>1230</v>
      </c>
      <c r="G1337" s="47" t="s">
        <v>1231</v>
      </c>
      <c r="H1337" s="47">
        <v>38.74</v>
      </c>
      <c r="I1337" s="47">
        <v>-87.49</v>
      </c>
      <c r="J1337" s="47">
        <v>130</v>
      </c>
      <c r="M1337" s="47">
        <v>143.9</v>
      </c>
      <c r="P1337" s="82" t="s">
        <v>186</v>
      </c>
      <c r="Q1337" s="82" t="s">
        <v>1161</v>
      </c>
      <c r="R1337" s="82" t="s">
        <v>1235</v>
      </c>
      <c r="S1337" s="82" t="s">
        <v>657</v>
      </c>
      <c r="T1337" s="47">
        <v>1.44</v>
      </c>
      <c r="W1337" s="47" t="s">
        <v>175</v>
      </c>
      <c r="AA1337" s="47" t="s">
        <v>1690</v>
      </c>
      <c r="AB1337" s="47" t="s">
        <v>613</v>
      </c>
      <c r="AC1337" s="47" t="s">
        <v>174</v>
      </c>
      <c r="AD1337" s="47" t="s">
        <v>1251</v>
      </c>
      <c r="AE1337" s="47" t="s">
        <v>1251</v>
      </c>
      <c r="AF1337" s="47" t="s">
        <v>252</v>
      </c>
      <c r="AG1337" s="47" t="s">
        <v>312</v>
      </c>
      <c r="AH1337" s="47" t="s">
        <v>312</v>
      </c>
      <c r="AI1337" s="47" t="s">
        <v>252</v>
      </c>
      <c r="AM1337" s="47" t="s">
        <v>222</v>
      </c>
      <c r="AN1337" s="47">
        <v>4</v>
      </c>
      <c r="AO1337" s="47">
        <v>4</v>
      </c>
      <c r="AP1337" s="47" t="s">
        <v>184</v>
      </c>
      <c r="AR1337" s="47">
        <v>895</v>
      </c>
      <c r="AT1337" s="47" t="s">
        <v>1234</v>
      </c>
      <c r="AV1337" s="47">
        <v>7.4</v>
      </c>
      <c r="AW1337" s="47">
        <v>6.4</v>
      </c>
      <c r="AX1337" s="47" t="s">
        <v>1253</v>
      </c>
      <c r="BB1337" s="47">
        <v>1.4</v>
      </c>
      <c r="BC1337" s="47">
        <v>1.34</v>
      </c>
      <c r="CC1337" s="47">
        <v>1.65</v>
      </c>
      <c r="CD1337" s="47">
        <v>2.59</v>
      </c>
      <c r="CE1337" s="47" t="s">
        <v>1239</v>
      </c>
      <c r="CF1337" s="47">
        <v>49.1</v>
      </c>
      <c r="CG1337" s="47">
        <v>50.33</v>
      </c>
      <c r="CH1337" s="47" t="s">
        <v>1237</v>
      </c>
      <c r="CI1337" s="47">
        <v>4.623E-2</v>
      </c>
      <c r="CJ1337" s="47">
        <v>4.3950000000000003E-2</v>
      </c>
      <c r="CK1337" s="47" t="s">
        <v>1252</v>
      </c>
      <c r="CO1337" s="47">
        <v>75</v>
      </c>
      <c r="CP1337" s="47">
        <v>117</v>
      </c>
      <c r="DD1337" s="47">
        <f>30/1.44</f>
        <v>20.833333333333336</v>
      </c>
      <c r="DE1337" s="47">
        <f>34.1/1.44</f>
        <v>23.680555555555557</v>
      </c>
      <c r="DF1337" s="47" t="s">
        <v>1242</v>
      </c>
      <c r="EL1337" s="47" t="s">
        <v>1250</v>
      </c>
      <c r="EN1337" s="47">
        <v>61</v>
      </c>
    </row>
    <row r="1338" spans="1:144" s="47" customFormat="1" x14ac:dyDescent="0.25">
      <c r="A1338" s="47">
        <v>61</v>
      </c>
      <c r="B1338" s="47" t="s">
        <v>1228</v>
      </c>
      <c r="C1338" s="47" t="s">
        <v>1229</v>
      </c>
      <c r="D1338" s="47">
        <v>2003</v>
      </c>
      <c r="E1338" s="47">
        <v>2000</v>
      </c>
      <c r="F1338" s="47" t="s">
        <v>1230</v>
      </c>
      <c r="G1338" s="47" t="s">
        <v>1231</v>
      </c>
      <c r="H1338" s="47">
        <v>38.74</v>
      </c>
      <c r="I1338" s="47">
        <v>-87.49</v>
      </c>
      <c r="J1338" s="47">
        <v>130</v>
      </c>
      <c r="M1338" s="47">
        <v>143.9</v>
      </c>
      <c r="P1338" s="82" t="s">
        <v>186</v>
      </c>
      <c r="Q1338" s="82" t="s">
        <v>1161</v>
      </c>
      <c r="R1338" s="82" t="s">
        <v>1235</v>
      </c>
      <c r="S1338" s="82" t="s">
        <v>657</v>
      </c>
      <c r="T1338" s="47">
        <v>1.44</v>
      </c>
      <c r="W1338" s="47" t="s">
        <v>175</v>
      </c>
      <c r="AA1338" s="47" t="s">
        <v>1690</v>
      </c>
      <c r="AB1338" s="47" t="s">
        <v>613</v>
      </c>
      <c r="AC1338" s="47" t="s">
        <v>219</v>
      </c>
      <c r="AD1338" s="47" t="s">
        <v>1251</v>
      </c>
      <c r="AE1338" s="47" t="s">
        <v>1251</v>
      </c>
      <c r="AF1338" s="47" t="s">
        <v>252</v>
      </c>
      <c r="AG1338" s="47" t="s">
        <v>217</v>
      </c>
      <c r="AH1338" s="47" t="s">
        <v>217</v>
      </c>
      <c r="AI1338" s="47" t="s">
        <v>252</v>
      </c>
      <c r="AM1338" s="47" t="s">
        <v>222</v>
      </c>
      <c r="AN1338" s="47">
        <v>4</v>
      </c>
      <c r="AO1338" s="47">
        <v>4</v>
      </c>
      <c r="AP1338" s="47" t="s">
        <v>184</v>
      </c>
      <c r="AR1338" s="47">
        <v>418</v>
      </c>
      <c r="AT1338" s="47" t="s">
        <v>1233</v>
      </c>
      <c r="AV1338" s="47">
        <v>7.9</v>
      </c>
      <c r="AW1338" s="47">
        <v>9.4</v>
      </c>
      <c r="AX1338" s="47" t="s">
        <v>1253</v>
      </c>
      <c r="BB1338" s="47">
        <v>1.55</v>
      </c>
      <c r="BC1338" s="47">
        <v>1.5</v>
      </c>
      <c r="CC1338" s="47">
        <v>1.48</v>
      </c>
      <c r="CD1338" s="47">
        <v>2.08</v>
      </c>
      <c r="CE1338" s="47" t="s">
        <v>1239</v>
      </c>
      <c r="CF1338" s="47">
        <v>41.26</v>
      </c>
      <c r="CG1338" s="47">
        <v>42.24</v>
      </c>
      <c r="CH1338" s="47" t="s">
        <v>1237</v>
      </c>
      <c r="CI1338" s="47">
        <v>4.931E-2</v>
      </c>
      <c r="CJ1338" s="47">
        <v>6.1400000000000003E-2</v>
      </c>
      <c r="CK1338" s="47" t="s">
        <v>1252</v>
      </c>
      <c r="CL1338" s="47">
        <v>18</v>
      </c>
      <c r="CM1338" s="47">
        <v>21.6</v>
      </c>
      <c r="CN1338" s="47" t="s">
        <v>1240</v>
      </c>
      <c r="DD1338" s="47">
        <f>33.9/1.44</f>
        <v>23.541666666666668</v>
      </c>
      <c r="DE1338" s="47">
        <f>36/1.44</f>
        <v>25</v>
      </c>
      <c r="DF1338" s="47" t="s">
        <v>1242</v>
      </c>
      <c r="EL1338" s="47" t="s">
        <v>1250</v>
      </c>
      <c r="EN1338" s="47">
        <v>61</v>
      </c>
    </row>
    <row r="1339" spans="1:144" s="47" customFormat="1" x14ac:dyDescent="0.25">
      <c r="A1339" s="47">
        <v>61</v>
      </c>
      <c r="B1339" s="47" t="s">
        <v>1228</v>
      </c>
      <c r="C1339" s="47" t="s">
        <v>1229</v>
      </c>
      <c r="D1339" s="47">
        <v>2003</v>
      </c>
      <c r="E1339" s="47">
        <v>2000</v>
      </c>
      <c r="F1339" s="47" t="s">
        <v>1230</v>
      </c>
      <c r="G1339" s="47" t="s">
        <v>1231</v>
      </c>
      <c r="H1339" s="47">
        <v>38.74</v>
      </c>
      <c r="I1339" s="47">
        <v>-87.49</v>
      </c>
      <c r="J1339" s="47">
        <v>130</v>
      </c>
      <c r="M1339" s="47">
        <v>143.9</v>
      </c>
      <c r="P1339" s="82" t="s">
        <v>186</v>
      </c>
      <c r="Q1339" s="82" t="s">
        <v>1161</v>
      </c>
      <c r="R1339" s="82" t="s">
        <v>1235</v>
      </c>
      <c r="S1339" s="82" t="s">
        <v>657</v>
      </c>
      <c r="T1339" s="47">
        <v>1.44</v>
      </c>
      <c r="W1339" s="47" t="s">
        <v>175</v>
      </c>
      <c r="AA1339" s="47" t="s">
        <v>1690</v>
      </c>
      <c r="AB1339" s="47" t="s">
        <v>613</v>
      </c>
      <c r="AC1339" s="47" t="s">
        <v>174</v>
      </c>
      <c r="AD1339" s="47" t="s">
        <v>1251</v>
      </c>
      <c r="AE1339" s="47" t="s">
        <v>1251</v>
      </c>
      <c r="AF1339" s="47" t="s">
        <v>252</v>
      </c>
      <c r="AG1339" s="47" t="s">
        <v>217</v>
      </c>
      <c r="AH1339" s="47" t="s">
        <v>217</v>
      </c>
      <c r="AI1339" s="47" t="s">
        <v>252</v>
      </c>
      <c r="AM1339" s="47" t="s">
        <v>222</v>
      </c>
      <c r="AN1339" s="47">
        <v>4</v>
      </c>
      <c r="AO1339" s="47">
        <v>4</v>
      </c>
      <c r="AP1339" s="47" t="s">
        <v>184</v>
      </c>
      <c r="AR1339" s="47">
        <v>743</v>
      </c>
      <c r="AT1339" s="47" t="s">
        <v>1234</v>
      </c>
      <c r="AV1339" s="47">
        <v>7.9</v>
      </c>
      <c r="AW1339" s="47">
        <v>11.4</v>
      </c>
      <c r="AX1339" s="47" t="s">
        <v>1253</v>
      </c>
      <c r="BB1339" s="47">
        <v>1.55</v>
      </c>
      <c r="BC1339" s="47">
        <v>1.48</v>
      </c>
      <c r="CC1339" s="47">
        <v>1.48</v>
      </c>
      <c r="CD1339" s="47">
        <v>2.7</v>
      </c>
      <c r="CE1339" s="47" t="s">
        <v>1239</v>
      </c>
      <c r="CF1339" s="47">
        <v>41.26</v>
      </c>
      <c r="CG1339" s="47">
        <v>41.55</v>
      </c>
      <c r="CH1339" s="47" t="s">
        <v>1237</v>
      </c>
      <c r="CI1339" s="47">
        <v>4.623E-2</v>
      </c>
      <c r="CJ1339" s="47">
        <v>4.1669999999999999E-2</v>
      </c>
      <c r="CK1339" s="47" t="s">
        <v>1252</v>
      </c>
      <c r="DD1339" s="47">
        <f>33.9/1.44</f>
        <v>23.541666666666668</v>
      </c>
      <c r="DE1339" s="47">
        <f>37.7/1.44</f>
        <v>26.180555555555557</v>
      </c>
      <c r="DF1339" s="47" t="s">
        <v>1242</v>
      </c>
      <c r="EL1339" s="47" t="s">
        <v>1250</v>
      </c>
      <c r="EN1339" s="47">
        <v>61</v>
      </c>
    </row>
    <row r="1340" spans="1:144" s="47" customFormat="1" x14ac:dyDescent="0.25">
      <c r="A1340" s="47">
        <v>61</v>
      </c>
      <c r="B1340" s="47" t="s">
        <v>1228</v>
      </c>
      <c r="C1340" s="47" t="s">
        <v>1229</v>
      </c>
      <c r="D1340" s="47">
        <v>2003</v>
      </c>
      <c r="E1340" s="47">
        <v>2000</v>
      </c>
      <c r="F1340" s="47" t="s">
        <v>1230</v>
      </c>
      <c r="G1340" s="47" t="s">
        <v>1231</v>
      </c>
      <c r="H1340" s="47">
        <v>38.74</v>
      </c>
      <c r="I1340" s="47">
        <v>-87.49</v>
      </c>
      <c r="J1340" s="47">
        <v>130</v>
      </c>
      <c r="M1340" s="47">
        <v>143.9</v>
      </c>
      <c r="P1340" s="82" t="s">
        <v>186</v>
      </c>
      <c r="Q1340" s="82" t="s">
        <v>1161</v>
      </c>
      <c r="R1340" s="82" t="s">
        <v>1236</v>
      </c>
      <c r="S1340" s="82" t="s">
        <v>657</v>
      </c>
      <c r="T1340" s="47">
        <v>1.44</v>
      </c>
      <c r="W1340" s="47" t="s">
        <v>175</v>
      </c>
      <c r="AA1340" s="47" t="s">
        <v>1690</v>
      </c>
      <c r="AB1340" s="47" t="s">
        <v>613</v>
      </c>
      <c r="AC1340" s="47" t="s">
        <v>219</v>
      </c>
      <c r="AD1340" s="47" t="s">
        <v>1251</v>
      </c>
      <c r="AE1340" s="47" t="s">
        <v>1251</v>
      </c>
      <c r="AF1340" s="47" t="s">
        <v>252</v>
      </c>
      <c r="AG1340" s="47" t="s">
        <v>312</v>
      </c>
      <c r="AH1340" s="47" t="s">
        <v>312</v>
      </c>
      <c r="AI1340" s="47" t="s">
        <v>252</v>
      </c>
      <c r="AM1340" s="47" t="s">
        <v>222</v>
      </c>
      <c r="AN1340" s="47">
        <v>4</v>
      </c>
      <c r="AO1340" s="47">
        <v>4</v>
      </c>
      <c r="AP1340" s="47" t="s">
        <v>184</v>
      </c>
      <c r="AR1340" s="47">
        <v>3096</v>
      </c>
      <c r="AT1340" s="47" t="s">
        <v>1233</v>
      </c>
      <c r="AV1340" s="47">
        <v>24.2</v>
      </c>
      <c r="AW1340" s="47">
        <v>23.1</v>
      </c>
      <c r="AX1340" s="47" t="s">
        <v>1253</v>
      </c>
      <c r="BB1340" s="47">
        <v>1.35</v>
      </c>
      <c r="BC1340" s="47">
        <v>1.29</v>
      </c>
      <c r="CC1340" s="47">
        <v>2.38</v>
      </c>
      <c r="CD1340" s="47">
        <v>2.5</v>
      </c>
      <c r="CE1340" s="47" t="s">
        <v>1239</v>
      </c>
      <c r="CF1340" s="47">
        <v>13.93</v>
      </c>
      <c r="CG1340" s="47">
        <v>15.24</v>
      </c>
      <c r="CH1340" s="47" t="s">
        <v>1238</v>
      </c>
      <c r="CO1340" s="47">
        <v>58.2</v>
      </c>
      <c r="CP1340" s="47">
        <v>22.2</v>
      </c>
      <c r="DD1340" s="47">
        <f>26.5/1.44</f>
        <v>18.402777777777779</v>
      </c>
      <c r="DE1340" s="47">
        <f>29.1/1.44</f>
        <v>20.208333333333336</v>
      </c>
      <c r="DF1340" s="47" t="s">
        <v>1243</v>
      </c>
      <c r="EL1340" s="47" t="s">
        <v>1250</v>
      </c>
      <c r="EN1340" s="47">
        <v>61</v>
      </c>
    </row>
    <row r="1341" spans="1:144" s="47" customFormat="1" x14ac:dyDescent="0.25">
      <c r="A1341" s="47">
        <v>61</v>
      </c>
      <c r="B1341" s="47" t="s">
        <v>1228</v>
      </c>
      <c r="C1341" s="47" t="s">
        <v>1229</v>
      </c>
      <c r="D1341" s="47">
        <v>2003</v>
      </c>
      <c r="E1341" s="47">
        <v>2000</v>
      </c>
      <c r="F1341" s="47" t="s">
        <v>1230</v>
      </c>
      <c r="G1341" s="47" t="s">
        <v>1231</v>
      </c>
      <c r="H1341" s="47">
        <v>38.74</v>
      </c>
      <c r="I1341" s="47">
        <v>-87.49</v>
      </c>
      <c r="J1341" s="47">
        <v>130</v>
      </c>
      <c r="M1341" s="47">
        <v>143.9</v>
      </c>
      <c r="P1341" s="82" t="s">
        <v>186</v>
      </c>
      <c r="Q1341" s="82" t="s">
        <v>1161</v>
      </c>
      <c r="R1341" s="82" t="s">
        <v>1236</v>
      </c>
      <c r="S1341" s="82" t="s">
        <v>657</v>
      </c>
      <c r="T1341" s="47">
        <v>1.44</v>
      </c>
      <c r="W1341" s="47" t="s">
        <v>175</v>
      </c>
      <c r="AA1341" s="47" t="s">
        <v>1690</v>
      </c>
      <c r="AB1341" s="47" t="s">
        <v>613</v>
      </c>
      <c r="AC1341" s="47" t="s">
        <v>174</v>
      </c>
      <c r="AD1341" s="47" t="s">
        <v>1251</v>
      </c>
      <c r="AE1341" s="47" t="s">
        <v>1251</v>
      </c>
      <c r="AF1341" s="47" t="s">
        <v>252</v>
      </c>
      <c r="AG1341" s="47" t="s">
        <v>312</v>
      </c>
      <c r="AH1341" s="47" t="s">
        <v>312</v>
      </c>
      <c r="AI1341" s="47" t="s">
        <v>252</v>
      </c>
      <c r="AM1341" s="47" t="s">
        <v>222</v>
      </c>
      <c r="AN1341" s="47">
        <v>4</v>
      </c>
      <c r="AO1341" s="47">
        <v>4</v>
      </c>
      <c r="AP1341" s="47" t="s">
        <v>184</v>
      </c>
      <c r="AR1341" s="47">
        <v>3047</v>
      </c>
      <c r="AT1341" s="47" t="s">
        <v>1234</v>
      </c>
      <c r="AV1341" s="47">
        <v>24.2</v>
      </c>
      <c r="AW1341" s="47">
        <v>21.4</v>
      </c>
      <c r="AX1341" s="47" t="s">
        <v>1253</v>
      </c>
      <c r="BB1341" s="47">
        <v>1.35</v>
      </c>
      <c r="BC1341" s="47">
        <v>1.32</v>
      </c>
      <c r="CC1341" s="47">
        <v>2.38</v>
      </c>
      <c r="CD1341" s="47">
        <v>3.24</v>
      </c>
      <c r="CE1341" s="47" t="s">
        <v>1239</v>
      </c>
      <c r="CF1341" s="47">
        <v>13.93</v>
      </c>
      <c r="CG1341" s="47">
        <v>13</v>
      </c>
      <c r="CH1341" s="47" t="s">
        <v>1238</v>
      </c>
      <c r="CO1341" s="47">
        <v>58.2</v>
      </c>
      <c r="CP1341" s="47">
        <v>40.799999999999997</v>
      </c>
      <c r="DD1341" s="47">
        <f>26.5/1.44</f>
        <v>18.402777777777779</v>
      </c>
      <c r="DE1341" s="47">
        <f>29.5/1.44</f>
        <v>20.486111111111111</v>
      </c>
      <c r="DF1341" s="47" t="s">
        <v>1243</v>
      </c>
      <c r="EL1341" s="47" t="s">
        <v>1250</v>
      </c>
      <c r="EN1341" s="47">
        <v>61</v>
      </c>
    </row>
    <row r="1342" spans="1:144" s="47" customFormat="1" x14ac:dyDescent="0.25">
      <c r="A1342" s="47">
        <v>61</v>
      </c>
      <c r="B1342" s="47" t="s">
        <v>1228</v>
      </c>
      <c r="C1342" s="47" t="s">
        <v>1229</v>
      </c>
      <c r="D1342" s="47">
        <v>2003</v>
      </c>
      <c r="E1342" s="47">
        <v>2000</v>
      </c>
      <c r="F1342" s="47" t="s">
        <v>1230</v>
      </c>
      <c r="G1342" s="47" t="s">
        <v>1231</v>
      </c>
      <c r="H1342" s="47">
        <v>38.74</v>
      </c>
      <c r="I1342" s="47">
        <v>-87.49</v>
      </c>
      <c r="J1342" s="47">
        <v>130</v>
      </c>
      <c r="M1342" s="47">
        <v>143.9</v>
      </c>
      <c r="P1342" s="82" t="s">
        <v>186</v>
      </c>
      <c r="Q1342" s="82" t="s">
        <v>1161</v>
      </c>
      <c r="R1342" s="82" t="s">
        <v>1236</v>
      </c>
      <c r="S1342" s="82" t="s">
        <v>657</v>
      </c>
      <c r="T1342" s="47">
        <v>1.44</v>
      </c>
      <c r="W1342" s="47" t="s">
        <v>175</v>
      </c>
      <c r="AA1342" s="47" t="s">
        <v>1690</v>
      </c>
      <c r="AB1342" s="47" t="s">
        <v>613</v>
      </c>
      <c r="AC1342" s="47" t="s">
        <v>219</v>
      </c>
      <c r="AD1342" s="47" t="s">
        <v>1251</v>
      </c>
      <c r="AE1342" s="47" t="s">
        <v>1251</v>
      </c>
      <c r="AF1342" s="47" t="s">
        <v>252</v>
      </c>
      <c r="AG1342" s="47" t="s">
        <v>217</v>
      </c>
      <c r="AH1342" s="47" t="s">
        <v>217</v>
      </c>
      <c r="AI1342" s="47" t="s">
        <v>252</v>
      </c>
      <c r="AM1342" s="47" t="s">
        <v>222</v>
      </c>
      <c r="AN1342" s="47">
        <v>4</v>
      </c>
      <c r="AO1342" s="47">
        <v>4</v>
      </c>
      <c r="AP1342" s="47" t="s">
        <v>184</v>
      </c>
      <c r="AR1342" s="47">
        <v>1823</v>
      </c>
      <c r="AT1342" s="47" t="s">
        <v>1233</v>
      </c>
      <c r="AV1342" s="47">
        <v>26.2</v>
      </c>
      <c r="AW1342" s="47">
        <v>31.8</v>
      </c>
      <c r="AX1342" s="47" t="s">
        <v>1253</v>
      </c>
      <c r="BB1342" s="47">
        <v>1.56</v>
      </c>
      <c r="BC1342" s="47">
        <v>1.53</v>
      </c>
      <c r="CC1342" s="47">
        <v>2.4500000000000002</v>
      </c>
      <c r="CD1342" s="47">
        <v>2.63</v>
      </c>
      <c r="CE1342" s="47" t="s">
        <v>1239</v>
      </c>
      <c r="CF1342" s="47">
        <v>5.62</v>
      </c>
      <c r="CG1342" s="47">
        <v>5.0599999999999996</v>
      </c>
      <c r="CH1342" s="47" t="s">
        <v>1238</v>
      </c>
      <c r="DD1342" s="47">
        <f>38.2/1.44</f>
        <v>26.527777777777782</v>
      </c>
      <c r="DE1342" s="47">
        <f>35.2/1.44</f>
        <v>24.444444444444446</v>
      </c>
      <c r="DF1342" s="47" t="s">
        <v>1243</v>
      </c>
      <c r="EL1342" s="47" t="s">
        <v>1250</v>
      </c>
      <c r="EN1342" s="47">
        <v>61</v>
      </c>
    </row>
    <row r="1343" spans="1:144" s="47" customFormat="1" x14ac:dyDescent="0.25">
      <c r="A1343" s="47">
        <v>61</v>
      </c>
      <c r="B1343" s="47" t="s">
        <v>1228</v>
      </c>
      <c r="C1343" s="47" t="s">
        <v>1229</v>
      </c>
      <c r="D1343" s="47">
        <v>2003</v>
      </c>
      <c r="E1343" s="47">
        <v>2000</v>
      </c>
      <c r="F1343" s="47" t="s">
        <v>1230</v>
      </c>
      <c r="G1343" s="47" t="s">
        <v>1231</v>
      </c>
      <c r="H1343" s="47">
        <v>38.74</v>
      </c>
      <c r="I1343" s="47">
        <v>-87.49</v>
      </c>
      <c r="J1343" s="47">
        <v>130</v>
      </c>
      <c r="M1343" s="47">
        <v>143.9</v>
      </c>
      <c r="P1343" s="82" t="s">
        <v>186</v>
      </c>
      <c r="Q1343" s="82" t="s">
        <v>1161</v>
      </c>
      <c r="R1343" s="82" t="s">
        <v>1236</v>
      </c>
      <c r="S1343" s="82" t="s">
        <v>657</v>
      </c>
      <c r="T1343" s="47">
        <v>1.44</v>
      </c>
      <c r="W1343" s="47" t="s">
        <v>175</v>
      </c>
      <c r="AA1343" s="47" t="s">
        <v>1690</v>
      </c>
      <c r="AB1343" s="47" t="s">
        <v>613</v>
      </c>
      <c r="AC1343" s="47" t="s">
        <v>174</v>
      </c>
      <c r="AD1343" s="47" t="s">
        <v>1251</v>
      </c>
      <c r="AE1343" s="47" t="s">
        <v>1251</v>
      </c>
      <c r="AF1343" s="47" t="s">
        <v>252</v>
      </c>
      <c r="AG1343" s="47" t="s">
        <v>217</v>
      </c>
      <c r="AH1343" s="47" t="s">
        <v>217</v>
      </c>
      <c r="AI1343" s="47" t="s">
        <v>252</v>
      </c>
      <c r="AM1343" s="47" t="s">
        <v>222</v>
      </c>
      <c r="AN1343" s="47">
        <v>4</v>
      </c>
      <c r="AO1343" s="47">
        <v>4</v>
      </c>
      <c r="AP1343" s="47" t="s">
        <v>184</v>
      </c>
      <c r="AR1343" s="47">
        <v>2494</v>
      </c>
      <c r="AT1343" s="47" t="s">
        <v>1234</v>
      </c>
      <c r="AV1343" s="47">
        <v>26.2</v>
      </c>
      <c r="AW1343" s="47">
        <v>37.9</v>
      </c>
      <c r="AX1343" s="47" t="s">
        <v>1253</v>
      </c>
      <c r="BB1343" s="47">
        <v>1.56</v>
      </c>
      <c r="BC1343" s="47">
        <v>1.55</v>
      </c>
      <c r="CC1343" s="47">
        <v>2.4500000000000002</v>
      </c>
      <c r="CD1343" s="47">
        <v>3.07</v>
      </c>
      <c r="CE1343" s="47" t="s">
        <v>1239</v>
      </c>
      <c r="CF1343" s="47">
        <v>5.62</v>
      </c>
      <c r="CG1343" s="47">
        <v>4.72</v>
      </c>
      <c r="CH1343" s="47" t="s">
        <v>1238</v>
      </c>
      <c r="DD1343" s="47">
        <f>38.2/1.44</f>
        <v>26.527777777777782</v>
      </c>
      <c r="DE1343" s="47">
        <f>36.7/1.44</f>
        <v>25.486111111111114</v>
      </c>
      <c r="DF1343" s="47" t="s">
        <v>1243</v>
      </c>
      <c r="EL1343" s="47" t="s">
        <v>1250</v>
      </c>
      <c r="EN1343" s="47">
        <v>61</v>
      </c>
    </row>
    <row r="1344" spans="1:144" s="91" customFormat="1" x14ac:dyDescent="0.25">
      <c r="A1344" s="91">
        <v>61</v>
      </c>
      <c r="B1344" s="91" t="s">
        <v>1228</v>
      </c>
      <c r="C1344" s="91" t="s">
        <v>1229</v>
      </c>
      <c r="D1344" s="91">
        <v>2003</v>
      </c>
      <c r="E1344" s="91">
        <v>2000</v>
      </c>
      <c r="F1344" s="91" t="s">
        <v>1230</v>
      </c>
      <c r="G1344" s="91" t="s">
        <v>1232</v>
      </c>
      <c r="H1344" s="91">
        <v>40.299999999999997</v>
      </c>
      <c r="I1344" s="91">
        <v>-86.9</v>
      </c>
      <c r="J1344" s="91">
        <v>221</v>
      </c>
      <c r="M1344" s="47">
        <v>934</v>
      </c>
      <c r="P1344" s="92" t="s">
        <v>186</v>
      </c>
      <c r="Q1344" s="92" t="s">
        <v>1161</v>
      </c>
      <c r="R1344" s="92" t="s">
        <v>1235</v>
      </c>
      <c r="S1344" s="92" t="s">
        <v>657</v>
      </c>
      <c r="T1344" s="91">
        <v>1.42</v>
      </c>
      <c r="W1344" s="47" t="s">
        <v>175</v>
      </c>
      <c r="AA1344" s="47" t="s">
        <v>1690</v>
      </c>
      <c r="AB1344" s="91" t="s">
        <v>613</v>
      </c>
      <c r="AC1344" s="91" t="s">
        <v>219</v>
      </c>
      <c r="AD1344" s="47" t="s">
        <v>1251</v>
      </c>
      <c r="AE1344" s="47" t="s">
        <v>1251</v>
      </c>
      <c r="AF1344" s="47" t="s">
        <v>252</v>
      </c>
      <c r="AG1344" s="91" t="s">
        <v>312</v>
      </c>
      <c r="AH1344" s="91" t="s">
        <v>312</v>
      </c>
      <c r="AI1344" s="91" t="s">
        <v>252</v>
      </c>
      <c r="AM1344" s="91" t="s">
        <v>222</v>
      </c>
      <c r="AN1344" s="91">
        <v>4</v>
      </c>
      <c r="AO1344" s="91">
        <v>4</v>
      </c>
      <c r="AP1344" s="91" t="s">
        <v>184</v>
      </c>
      <c r="AR1344" s="91">
        <v>337</v>
      </c>
      <c r="AT1344" s="91" t="s">
        <v>1233</v>
      </c>
      <c r="AV1344" s="91">
        <v>8.8000000000000007</v>
      </c>
      <c r="AW1344" s="91">
        <v>9.3000000000000007</v>
      </c>
      <c r="AX1344" s="47" t="s">
        <v>1253</v>
      </c>
      <c r="BB1344" s="91">
        <v>1.21</v>
      </c>
      <c r="BC1344" s="91">
        <v>1.21</v>
      </c>
      <c r="CC1344" s="91">
        <v>0.88</v>
      </c>
      <c r="CD1344" s="91">
        <v>1.38</v>
      </c>
      <c r="CE1344" s="91" t="s">
        <v>1239</v>
      </c>
      <c r="CF1344" s="91">
        <v>50.67</v>
      </c>
      <c r="CG1344" s="91">
        <v>52.25</v>
      </c>
      <c r="CH1344" s="91" t="s">
        <v>1237</v>
      </c>
      <c r="CK1344" s="47"/>
      <c r="CL1344" s="91">
        <v>39</v>
      </c>
      <c r="CM1344" s="91">
        <v>50.4</v>
      </c>
      <c r="CN1344" s="47" t="s">
        <v>1240</v>
      </c>
      <c r="CO1344" s="91">
        <v>15.2</v>
      </c>
      <c r="CP1344" s="91">
        <v>106</v>
      </c>
      <c r="DD1344" s="91">
        <f>22.3/1.42</f>
        <v>15.704225352112678</v>
      </c>
      <c r="DE1344" s="91">
        <f>22.4/1.42</f>
        <v>15.774647887323944</v>
      </c>
      <c r="DF1344" s="91" t="s">
        <v>1242</v>
      </c>
      <c r="EL1344" s="47" t="s">
        <v>1250</v>
      </c>
      <c r="EN1344" s="91">
        <v>61</v>
      </c>
    </row>
    <row r="1345" spans="1:144" s="91" customFormat="1" x14ac:dyDescent="0.25">
      <c r="A1345" s="91">
        <v>61</v>
      </c>
      <c r="B1345" s="91" t="s">
        <v>1228</v>
      </c>
      <c r="C1345" s="91" t="s">
        <v>1229</v>
      </c>
      <c r="D1345" s="91">
        <v>2003</v>
      </c>
      <c r="E1345" s="91">
        <v>2000</v>
      </c>
      <c r="F1345" s="91" t="s">
        <v>1230</v>
      </c>
      <c r="G1345" s="91" t="s">
        <v>1232</v>
      </c>
      <c r="H1345" s="91">
        <v>40.299999999999997</v>
      </c>
      <c r="I1345" s="91">
        <v>-86.9</v>
      </c>
      <c r="J1345" s="91">
        <v>221</v>
      </c>
      <c r="M1345" s="47">
        <v>934</v>
      </c>
      <c r="P1345" s="92" t="s">
        <v>186</v>
      </c>
      <c r="Q1345" s="92" t="s">
        <v>1161</v>
      </c>
      <c r="R1345" s="92" t="s">
        <v>1235</v>
      </c>
      <c r="S1345" s="92" t="s">
        <v>657</v>
      </c>
      <c r="T1345" s="91">
        <v>1.42</v>
      </c>
      <c r="W1345" s="47" t="s">
        <v>175</v>
      </c>
      <c r="AA1345" s="47" t="s">
        <v>1690</v>
      </c>
      <c r="AB1345" s="91" t="s">
        <v>613</v>
      </c>
      <c r="AC1345" s="91" t="s">
        <v>174</v>
      </c>
      <c r="AD1345" s="47" t="s">
        <v>1251</v>
      </c>
      <c r="AE1345" s="47" t="s">
        <v>1251</v>
      </c>
      <c r="AF1345" s="47" t="s">
        <v>252</v>
      </c>
      <c r="AG1345" s="91" t="s">
        <v>312</v>
      </c>
      <c r="AH1345" s="91" t="s">
        <v>312</v>
      </c>
      <c r="AI1345" s="91" t="s">
        <v>252</v>
      </c>
      <c r="AM1345" s="91" t="s">
        <v>222</v>
      </c>
      <c r="AN1345" s="91">
        <v>4</v>
      </c>
      <c r="AO1345" s="91">
        <v>4</v>
      </c>
      <c r="AP1345" s="91" t="s">
        <v>184</v>
      </c>
      <c r="AR1345" s="91">
        <v>718</v>
      </c>
      <c r="AT1345" s="91" t="s">
        <v>1234</v>
      </c>
      <c r="AV1345" s="91">
        <v>8.8000000000000007</v>
      </c>
      <c r="AW1345" s="91">
        <v>8.6</v>
      </c>
      <c r="AX1345" s="47" t="s">
        <v>1253</v>
      </c>
      <c r="BB1345" s="91">
        <v>1.21</v>
      </c>
      <c r="BC1345" s="91">
        <v>1.21</v>
      </c>
      <c r="CC1345" s="91">
        <v>0.88</v>
      </c>
      <c r="CD1345" s="91">
        <v>1.22</v>
      </c>
      <c r="CE1345" s="91" t="s">
        <v>1239</v>
      </c>
      <c r="CF1345" s="91">
        <v>50.67</v>
      </c>
      <c r="CG1345" s="91">
        <v>50.97</v>
      </c>
      <c r="CH1345" s="91" t="s">
        <v>1237</v>
      </c>
      <c r="CK1345" s="47"/>
      <c r="CN1345" s="47"/>
      <c r="CO1345" s="91">
        <v>15.2</v>
      </c>
      <c r="CP1345" s="91">
        <v>6.5</v>
      </c>
      <c r="DD1345" s="91">
        <f>22.3/1.42</f>
        <v>15.704225352112678</v>
      </c>
      <c r="DE1345" s="91">
        <f>24.2/1.42</f>
        <v>17.04225352112676</v>
      </c>
      <c r="DF1345" s="91" t="s">
        <v>1242</v>
      </c>
      <c r="EL1345" s="47" t="s">
        <v>1250</v>
      </c>
      <c r="EN1345" s="91">
        <v>61</v>
      </c>
    </row>
    <row r="1346" spans="1:144" s="91" customFormat="1" x14ac:dyDescent="0.25">
      <c r="A1346" s="91">
        <v>61</v>
      </c>
      <c r="B1346" s="91" t="s">
        <v>1228</v>
      </c>
      <c r="C1346" s="91" t="s">
        <v>1229</v>
      </c>
      <c r="D1346" s="91">
        <v>2003</v>
      </c>
      <c r="E1346" s="91">
        <v>2000</v>
      </c>
      <c r="F1346" s="91" t="s">
        <v>1230</v>
      </c>
      <c r="G1346" s="91" t="s">
        <v>1232</v>
      </c>
      <c r="H1346" s="91">
        <v>40.299999999999997</v>
      </c>
      <c r="I1346" s="91">
        <v>-86.9</v>
      </c>
      <c r="J1346" s="91">
        <v>221</v>
      </c>
      <c r="M1346" s="47">
        <v>934</v>
      </c>
      <c r="P1346" s="92" t="s">
        <v>186</v>
      </c>
      <c r="Q1346" s="92" t="s">
        <v>1161</v>
      </c>
      <c r="R1346" s="92" t="s">
        <v>1235</v>
      </c>
      <c r="S1346" s="92" t="s">
        <v>657</v>
      </c>
      <c r="T1346" s="91">
        <v>1.42</v>
      </c>
      <c r="W1346" s="47" t="s">
        <v>175</v>
      </c>
      <c r="AA1346" s="47" t="s">
        <v>1690</v>
      </c>
      <c r="AB1346" s="91" t="s">
        <v>613</v>
      </c>
      <c r="AC1346" s="91" t="s">
        <v>219</v>
      </c>
      <c r="AD1346" s="47" t="s">
        <v>1251</v>
      </c>
      <c r="AE1346" s="47" t="s">
        <v>1251</v>
      </c>
      <c r="AF1346" s="47" t="s">
        <v>252</v>
      </c>
      <c r="AG1346" s="91" t="s">
        <v>217</v>
      </c>
      <c r="AH1346" s="91" t="s">
        <v>217</v>
      </c>
      <c r="AI1346" s="91" t="s">
        <v>252</v>
      </c>
      <c r="AM1346" s="91" t="s">
        <v>222</v>
      </c>
      <c r="AN1346" s="91">
        <v>4</v>
      </c>
      <c r="AO1346" s="91">
        <v>4</v>
      </c>
      <c r="AP1346" s="91" t="s">
        <v>184</v>
      </c>
      <c r="AR1346" s="91">
        <v>175</v>
      </c>
      <c r="AT1346" s="91" t="s">
        <v>1233</v>
      </c>
      <c r="AV1346" s="91">
        <v>10.1</v>
      </c>
      <c r="AW1346" s="91">
        <v>10.3</v>
      </c>
      <c r="AX1346" s="47" t="s">
        <v>1253</v>
      </c>
      <c r="BB1346" s="91">
        <v>1.31</v>
      </c>
      <c r="BC1346" s="91">
        <v>1.38</v>
      </c>
      <c r="CC1346" s="91">
        <v>1.0900000000000001</v>
      </c>
      <c r="CD1346" s="91">
        <v>1.25</v>
      </c>
      <c r="CE1346" s="91" t="s">
        <v>1239</v>
      </c>
      <c r="CF1346" s="91">
        <v>43.68</v>
      </c>
      <c r="CG1346" s="91">
        <v>41.8</v>
      </c>
      <c r="CH1346" s="91" t="s">
        <v>1237</v>
      </c>
      <c r="CK1346" s="47"/>
      <c r="CL1346" s="91">
        <v>62.400000000000006</v>
      </c>
      <c r="CM1346" s="91">
        <v>57</v>
      </c>
      <c r="CN1346" s="47" t="s">
        <v>1240</v>
      </c>
      <c r="DD1346" s="91">
        <f>24.5/1.42</f>
        <v>17.253521126760564</v>
      </c>
      <c r="DE1346" s="91">
        <f>27.4/1.42</f>
        <v>19.295774647887324</v>
      </c>
      <c r="DF1346" s="91" t="s">
        <v>1242</v>
      </c>
      <c r="EL1346" s="47" t="s">
        <v>1250</v>
      </c>
      <c r="EN1346" s="91">
        <v>61</v>
      </c>
    </row>
    <row r="1347" spans="1:144" s="91" customFormat="1" x14ac:dyDescent="0.25">
      <c r="A1347" s="91">
        <v>61</v>
      </c>
      <c r="B1347" s="91" t="s">
        <v>1228</v>
      </c>
      <c r="C1347" s="91" t="s">
        <v>1229</v>
      </c>
      <c r="D1347" s="91">
        <v>2003</v>
      </c>
      <c r="E1347" s="91">
        <v>2000</v>
      </c>
      <c r="F1347" s="91" t="s">
        <v>1230</v>
      </c>
      <c r="G1347" s="91" t="s">
        <v>1232</v>
      </c>
      <c r="H1347" s="91">
        <v>40.299999999999997</v>
      </c>
      <c r="I1347" s="91">
        <v>-86.9</v>
      </c>
      <c r="J1347" s="91">
        <v>221</v>
      </c>
      <c r="M1347" s="47">
        <v>934</v>
      </c>
      <c r="P1347" s="92" t="s">
        <v>186</v>
      </c>
      <c r="Q1347" s="92" t="s">
        <v>1161</v>
      </c>
      <c r="R1347" s="92" t="s">
        <v>1235</v>
      </c>
      <c r="S1347" s="92" t="s">
        <v>657</v>
      </c>
      <c r="T1347" s="91">
        <v>1.42</v>
      </c>
      <c r="W1347" s="47" t="s">
        <v>175</v>
      </c>
      <c r="AA1347" s="47" t="s">
        <v>1690</v>
      </c>
      <c r="AB1347" s="91" t="s">
        <v>613</v>
      </c>
      <c r="AC1347" s="91" t="s">
        <v>174</v>
      </c>
      <c r="AD1347" s="47" t="s">
        <v>1251</v>
      </c>
      <c r="AE1347" s="47" t="s">
        <v>1251</v>
      </c>
      <c r="AF1347" s="47" t="s">
        <v>252</v>
      </c>
      <c r="AG1347" s="91" t="s">
        <v>217</v>
      </c>
      <c r="AH1347" s="91" t="s">
        <v>217</v>
      </c>
      <c r="AI1347" s="91" t="s">
        <v>252</v>
      </c>
      <c r="AM1347" s="91" t="s">
        <v>222</v>
      </c>
      <c r="AN1347" s="91">
        <v>4</v>
      </c>
      <c r="AO1347" s="91">
        <v>4</v>
      </c>
      <c r="AP1347" s="91" t="s">
        <v>184</v>
      </c>
      <c r="AR1347" s="91">
        <v>411</v>
      </c>
      <c r="AT1347" s="91" t="s">
        <v>1234</v>
      </c>
      <c r="AV1347" s="91">
        <v>10.1</v>
      </c>
      <c r="AW1347" s="91">
        <v>10.7</v>
      </c>
      <c r="AX1347" s="47" t="s">
        <v>1253</v>
      </c>
      <c r="BB1347" s="91">
        <v>1.31</v>
      </c>
      <c r="BC1347" s="91">
        <v>1.34</v>
      </c>
      <c r="CC1347" s="91">
        <v>1.0900000000000001</v>
      </c>
      <c r="CD1347" s="91">
        <v>1.32</v>
      </c>
      <c r="CE1347" s="91" t="s">
        <v>1239</v>
      </c>
      <c r="CF1347" s="91">
        <v>43.68</v>
      </c>
      <c r="CG1347" s="91">
        <v>41.93</v>
      </c>
      <c r="CH1347" s="91" t="s">
        <v>1237</v>
      </c>
      <c r="DD1347" s="91">
        <f>24.5/1.42</f>
        <v>17.253521126760564</v>
      </c>
      <c r="DE1347" s="91">
        <f>29/1.42</f>
        <v>20.422535211267608</v>
      </c>
      <c r="DF1347" s="91" t="s">
        <v>1242</v>
      </c>
      <c r="EL1347" s="47" t="s">
        <v>1250</v>
      </c>
      <c r="EN1347" s="91">
        <v>61</v>
      </c>
    </row>
    <row r="1348" spans="1:144" s="91" customFormat="1" x14ac:dyDescent="0.25">
      <c r="A1348" s="91">
        <v>61</v>
      </c>
      <c r="B1348" s="91" t="s">
        <v>1228</v>
      </c>
      <c r="C1348" s="91" t="s">
        <v>1229</v>
      </c>
      <c r="D1348" s="91">
        <v>2003</v>
      </c>
      <c r="E1348" s="91">
        <v>2000</v>
      </c>
      <c r="F1348" s="91" t="s">
        <v>1230</v>
      </c>
      <c r="G1348" s="91" t="s">
        <v>1232</v>
      </c>
      <c r="H1348" s="91">
        <v>40.299999999999997</v>
      </c>
      <c r="I1348" s="91">
        <v>-86.9</v>
      </c>
      <c r="J1348" s="91">
        <v>221</v>
      </c>
      <c r="M1348" s="47">
        <v>934</v>
      </c>
      <c r="P1348" s="92" t="s">
        <v>186</v>
      </c>
      <c r="Q1348" s="92" t="s">
        <v>1161</v>
      </c>
      <c r="R1348" s="92" t="s">
        <v>1236</v>
      </c>
      <c r="S1348" s="92" t="s">
        <v>657</v>
      </c>
      <c r="T1348" s="91">
        <v>1.42</v>
      </c>
      <c r="W1348" s="47" t="s">
        <v>175</v>
      </c>
      <c r="AA1348" s="47" t="s">
        <v>1690</v>
      </c>
      <c r="AB1348" s="91" t="s">
        <v>613</v>
      </c>
      <c r="AC1348" s="91" t="s">
        <v>219</v>
      </c>
      <c r="AD1348" s="47" t="s">
        <v>1251</v>
      </c>
      <c r="AE1348" s="47" t="s">
        <v>1251</v>
      </c>
      <c r="AF1348" s="47" t="s">
        <v>252</v>
      </c>
      <c r="AG1348" s="91" t="s">
        <v>312</v>
      </c>
      <c r="AH1348" s="91" t="s">
        <v>312</v>
      </c>
      <c r="AI1348" s="91" t="s">
        <v>252</v>
      </c>
      <c r="AM1348" s="91" t="s">
        <v>222</v>
      </c>
      <c r="AN1348" s="91">
        <v>4</v>
      </c>
      <c r="AO1348" s="91">
        <v>4</v>
      </c>
      <c r="AP1348" s="91" t="s">
        <v>184</v>
      </c>
      <c r="AR1348" s="91">
        <v>965</v>
      </c>
      <c r="AT1348" s="91" t="s">
        <v>1233</v>
      </c>
      <c r="AV1348" s="91">
        <v>15.9</v>
      </c>
      <c r="AW1348" s="91">
        <v>16.8</v>
      </c>
      <c r="AX1348" s="47" t="s">
        <v>1253</v>
      </c>
      <c r="BB1348" s="91">
        <v>1.31</v>
      </c>
      <c r="BC1348" s="91">
        <v>1.27</v>
      </c>
      <c r="CC1348" s="91">
        <v>1.88</v>
      </c>
      <c r="CD1348" s="91">
        <v>2.4</v>
      </c>
      <c r="CE1348" s="91" t="s">
        <v>1239</v>
      </c>
      <c r="CF1348" s="91">
        <v>16.95</v>
      </c>
      <c r="CG1348" s="91">
        <v>20.34</v>
      </c>
      <c r="CH1348" s="91" t="s">
        <v>1237</v>
      </c>
      <c r="CO1348" s="91">
        <v>14.1</v>
      </c>
      <c r="CP1348" s="91">
        <v>5.6</v>
      </c>
      <c r="DD1348" s="91">
        <f>24.1/1.42</f>
        <v>16.971830985915496</v>
      </c>
      <c r="DE1348" s="91">
        <f>24.1/1.42</f>
        <v>16.971830985915496</v>
      </c>
      <c r="DF1348" s="91" t="s">
        <v>1243</v>
      </c>
      <c r="EL1348" s="47" t="s">
        <v>1250</v>
      </c>
      <c r="EN1348" s="91">
        <v>61</v>
      </c>
    </row>
    <row r="1349" spans="1:144" s="91" customFormat="1" x14ac:dyDescent="0.25">
      <c r="A1349" s="91">
        <v>61</v>
      </c>
      <c r="B1349" s="91" t="s">
        <v>1228</v>
      </c>
      <c r="C1349" s="91" t="s">
        <v>1229</v>
      </c>
      <c r="D1349" s="91">
        <v>2003</v>
      </c>
      <c r="E1349" s="91">
        <v>2000</v>
      </c>
      <c r="F1349" s="91" t="s">
        <v>1230</v>
      </c>
      <c r="G1349" s="91" t="s">
        <v>1232</v>
      </c>
      <c r="H1349" s="91">
        <v>40.299999999999997</v>
      </c>
      <c r="I1349" s="91">
        <v>-86.9</v>
      </c>
      <c r="J1349" s="91">
        <v>221</v>
      </c>
      <c r="M1349" s="47">
        <v>934</v>
      </c>
      <c r="P1349" s="92" t="s">
        <v>186</v>
      </c>
      <c r="Q1349" s="92" t="s">
        <v>1161</v>
      </c>
      <c r="R1349" s="92" t="s">
        <v>1236</v>
      </c>
      <c r="S1349" s="92" t="s">
        <v>657</v>
      </c>
      <c r="T1349" s="91">
        <v>1.42</v>
      </c>
      <c r="W1349" s="47" t="s">
        <v>175</v>
      </c>
      <c r="AA1349" s="47" t="s">
        <v>1690</v>
      </c>
      <c r="AB1349" s="91" t="s">
        <v>613</v>
      </c>
      <c r="AC1349" s="91" t="s">
        <v>174</v>
      </c>
      <c r="AD1349" s="47" t="s">
        <v>1251</v>
      </c>
      <c r="AE1349" s="47" t="s">
        <v>1251</v>
      </c>
      <c r="AF1349" s="47" t="s">
        <v>252</v>
      </c>
      <c r="AG1349" s="91" t="s">
        <v>312</v>
      </c>
      <c r="AH1349" s="91" t="s">
        <v>312</v>
      </c>
      <c r="AI1349" s="91" t="s">
        <v>252</v>
      </c>
      <c r="AM1349" s="91" t="s">
        <v>222</v>
      </c>
      <c r="AN1349" s="91">
        <v>4</v>
      </c>
      <c r="AO1349" s="91">
        <v>4</v>
      </c>
      <c r="AP1349" s="91" t="s">
        <v>184</v>
      </c>
      <c r="AR1349" s="91">
        <v>1672</v>
      </c>
      <c r="AT1349" s="91" t="s">
        <v>1234</v>
      </c>
      <c r="AV1349" s="91">
        <v>15.9</v>
      </c>
      <c r="AW1349" s="91">
        <v>15.5</v>
      </c>
      <c r="AX1349" s="47" t="s">
        <v>1253</v>
      </c>
      <c r="BB1349" s="91">
        <v>1.31</v>
      </c>
      <c r="BC1349" s="91">
        <v>1.3</v>
      </c>
      <c r="CC1349" s="91">
        <v>1.88</v>
      </c>
      <c r="CD1349" s="91">
        <v>2.2799999999999998</v>
      </c>
      <c r="CE1349" s="91" t="s">
        <v>1239</v>
      </c>
      <c r="CF1349" s="91">
        <v>16.95</v>
      </c>
      <c r="CG1349" s="91">
        <v>17.91</v>
      </c>
      <c r="CH1349" s="91" t="s">
        <v>1237</v>
      </c>
      <c r="CO1349" s="91">
        <v>14.1</v>
      </c>
      <c r="CP1349" s="91">
        <v>5.8</v>
      </c>
      <c r="DD1349" s="91">
        <f>24.1/1.42</f>
        <v>16.971830985915496</v>
      </c>
      <c r="DE1349" s="91">
        <f>27/1.42</f>
        <v>19.014084507042256</v>
      </c>
      <c r="DF1349" s="91" t="s">
        <v>1243</v>
      </c>
      <c r="EL1349" s="47" t="s">
        <v>1250</v>
      </c>
      <c r="EN1349" s="91">
        <v>61</v>
      </c>
    </row>
    <row r="1350" spans="1:144" s="91" customFormat="1" x14ac:dyDescent="0.25">
      <c r="A1350" s="91">
        <v>61</v>
      </c>
      <c r="B1350" s="91" t="s">
        <v>1228</v>
      </c>
      <c r="C1350" s="91" t="s">
        <v>1229</v>
      </c>
      <c r="D1350" s="91">
        <v>2003</v>
      </c>
      <c r="E1350" s="91">
        <v>2000</v>
      </c>
      <c r="F1350" s="91" t="s">
        <v>1230</v>
      </c>
      <c r="G1350" s="91" t="s">
        <v>1232</v>
      </c>
      <c r="H1350" s="91">
        <v>40.299999999999997</v>
      </c>
      <c r="I1350" s="91">
        <v>-86.9</v>
      </c>
      <c r="J1350" s="91">
        <v>221</v>
      </c>
      <c r="M1350" s="47">
        <v>934</v>
      </c>
      <c r="P1350" s="92" t="s">
        <v>186</v>
      </c>
      <c r="Q1350" s="92" t="s">
        <v>1161</v>
      </c>
      <c r="R1350" s="92" t="s">
        <v>1236</v>
      </c>
      <c r="S1350" s="92" t="s">
        <v>657</v>
      </c>
      <c r="T1350" s="91">
        <v>1.42</v>
      </c>
      <c r="W1350" s="47" t="s">
        <v>175</v>
      </c>
      <c r="AA1350" s="47" t="s">
        <v>1690</v>
      </c>
      <c r="AB1350" s="91" t="s">
        <v>613</v>
      </c>
      <c r="AC1350" s="91" t="s">
        <v>219</v>
      </c>
      <c r="AD1350" s="47" t="s">
        <v>1251</v>
      </c>
      <c r="AE1350" s="47" t="s">
        <v>1251</v>
      </c>
      <c r="AF1350" s="47" t="s">
        <v>252</v>
      </c>
      <c r="AG1350" s="91" t="s">
        <v>217</v>
      </c>
      <c r="AH1350" s="91" t="s">
        <v>217</v>
      </c>
      <c r="AI1350" s="91" t="s">
        <v>252</v>
      </c>
      <c r="AM1350" s="91" t="s">
        <v>222</v>
      </c>
      <c r="AN1350" s="91">
        <v>4</v>
      </c>
      <c r="AO1350" s="91">
        <v>4</v>
      </c>
      <c r="AP1350" s="91" t="s">
        <v>184</v>
      </c>
      <c r="AR1350" s="91">
        <v>568</v>
      </c>
      <c r="AT1350" s="91" t="s">
        <v>1233</v>
      </c>
      <c r="AV1350" s="91">
        <v>16.899999999999999</v>
      </c>
      <c r="AW1350" s="91">
        <v>17.5</v>
      </c>
      <c r="AX1350" s="47" t="s">
        <v>1253</v>
      </c>
      <c r="BB1350" s="91">
        <v>1.49</v>
      </c>
      <c r="BC1350" s="91">
        <v>1.54</v>
      </c>
      <c r="CC1350" s="91">
        <v>1.73</v>
      </c>
      <c r="CD1350" s="91">
        <v>2.11</v>
      </c>
      <c r="CE1350" s="91" t="s">
        <v>1239</v>
      </c>
      <c r="CF1350" s="91">
        <v>10.64</v>
      </c>
      <c r="CG1350" s="91">
        <v>7.78</v>
      </c>
      <c r="CH1350" s="91" t="s">
        <v>1237</v>
      </c>
      <c r="DD1350" s="91">
        <f>26.6/1.42</f>
        <v>18.732394366197184</v>
      </c>
      <c r="DE1350" s="91">
        <f>28.1/1.42</f>
        <v>19.7887323943662</v>
      </c>
      <c r="DF1350" s="91" t="s">
        <v>1243</v>
      </c>
      <c r="EL1350" s="47" t="s">
        <v>1250</v>
      </c>
      <c r="EN1350" s="91">
        <v>61</v>
      </c>
    </row>
    <row r="1351" spans="1:144" s="91" customFormat="1" x14ac:dyDescent="0.25">
      <c r="A1351" s="91">
        <v>61</v>
      </c>
      <c r="B1351" s="91" t="s">
        <v>1228</v>
      </c>
      <c r="C1351" s="91" t="s">
        <v>1229</v>
      </c>
      <c r="D1351" s="91">
        <v>2003</v>
      </c>
      <c r="E1351" s="91">
        <v>2000</v>
      </c>
      <c r="F1351" s="91" t="s">
        <v>1230</v>
      </c>
      <c r="G1351" s="91" t="s">
        <v>1232</v>
      </c>
      <c r="H1351" s="91">
        <v>40.299999999999997</v>
      </c>
      <c r="I1351" s="91">
        <v>-86.9</v>
      </c>
      <c r="J1351" s="91">
        <v>221</v>
      </c>
      <c r="M1351" s="47">
        <v>934</v>
      </c>
      <c r="P1351" s="92" t="s">
        <v>186</v>
      </c>
      <c r="Q1351" s="92" t="s">
        <v>1161</v>
      </c>
      <c r="R1351" s="92" t="s">
        <v>1236</v>
      </c>
      <c r="S1351" s="92" t="s">
        <v>657</v>
      </c>
      <c r="T1351" s="91">
        <v>1.42</v>
      </c>
      <c r="W1351" s="47" t="s">
        <v>175</v>
      </c>
      <c r="AA1351" s="47" t="s">
        <v>1690</v>
      </c>
      <c r="AB1351" s="91" t="s">
        <v>613</v>
      </c>
      <c r="AC1351" s="91" t="s">
        <v>174</v>
      </c>
      <c r="AD1351" s="47" t="s">
        <v>1251</v>
      </c>
      <c r="AE1351" s="47" t="s">
        <v>1251</v>
      </c>
      <c r="AF1351" s="47" t="s">
        <v>252</v>
      </c>
      <c r="AG1351" s="91" t="s">
        <v>217</v>
      </c>
      <c r="AH1351" s="91" t="s">
        <v>217</v>
      </c>
      <c r="AI1351" s="91" t="s">
        <v>252</v>
      </c>
      <c r="AM1351" s="91" t="s">
        <v>222</v>
      </c>
      <c r="AN1351" s="91">
        <v>4</v>
      </c>
      <c r="AO1351" s="91">
        <v>4</v>
      </c>
      <c r="AP1351" s="91" t="s">
        <v>184</v>
      </c>
      <c r="AR1351" s="91">
        <v>1160</v>
      </c>
      <c r="AT1351" s="91" t="s">
        <v>1234</v>
      </c>
      <c r="AV1351" s="91">
        <v>16.899999999999999</v>
      </c>
      <c r="AW1351" s="91">
        <v>17.3</v>
      </c>
      <c r="AX1351" s="47" t="s">
        <v>1253</v>
      </c>
      <c r="BB1351" s="91">
        <v>1.49</v>
      </c>
      <c r="BC1351" s="91">
        <v>1.54</v>
      </c>
      <c r="CC1351" s="91">
        <v>1.73</v>
      </c>
      <c r="CD1351" s="91">
        <v>1.93</v>
      </c>
      <c r="CE1351" s="91" t="s">
        <v>1239</v>
      </c>
      <c r="CF1351" s="91">
        <v>10.64</v>
      </c>
      <c r="CG1351" s="91">
        <v>7</v>
      </c>
      <c r="CH1351" s="91" t="s">
        <v>1237</v>
      </c>
      <c r="DD1351" s="91">
        <f>26.6/1.42</f>
        <v>18.732394366197184</v>
      </c>
      <c r="DE1351" s="91">
        <f>29.3/1.42</f>
        <v>20.633802816901412</v>
      </c>
      <c r="DF1351" s="91" t="s">
        <v>1243</v>
      </c>
      <c r="EL1351" s="47" t="s">
        <v>1250</v>
      </c>
      <c r="EN1351" s="91">
        <v>61</v>
      </c>
    </row>
    <row r="1352" spans="1:144" s="26" customFormat="1" x14ac:dyDescent="0.25">
      <c r="A1352" s="26">
        <v>61</v>
      </c>
      <c r="B1352" s="26" t="s">
        <v>1228</v>
      </c>
      <c r="C1352" s="26" t="s">
        <v>1229</v>
      </c>
      <c r="D1352" s="26">
        <v>2003</v>
      </c>
      <c r="E1352" s="26">
        <v>2001</v>
      </c>
      <c r="F1352" s="26" t="s">
        <v>1230</v>
      </c>
      <c r="G1352" s="26" t="s">
        <v>1231</v>
      </c>
      <c r="H1352" s="26">
        <v>38.74</v>
      </c>
      <c r="I1352" s="26">
        <v>-87.49</v>
      </c>
      <c r="J1352" s="26">
        <v>130</v>
      </c>
      <c r="M1352" s="26">
        <v>1272</v>
      </c>
      <c r="P1352" s="52" t="s">
        <v>187</v>
      </c>
      <c r="Q1352" s="52" t="s">
        <v>1161</v>
      </c>
      <c r="R1352" s="52" t="s">
        <v>1235</v>
      </c>
      <c r="S1352" s="52" t="s">
        <v>657</v>
      </c>
      <c r="T1352" s="26">
        <v>1.44</v>
      </c>
      <c r="W1352" s="26" t="s">
        <v>175</v>
      </c>
      <c r="AA1352" s="26" t="s">
        <v>1690</v>
      </c>
      <c r="AB1352" s="26" t="s">
        <v>613</v>
      </c>
      <c r="AC1352" s="26" t="s">
        <v>219</v>
      </c>
      <c r="AD1352" s="26" t="s">
        <v>1251</v>
      </c>
      <c r="AE1352" s="26" t="s">
        <v>1251</v>
      </c>
      <c r="AF1352" s="26" t="s">
        <v>252</v>
      </c>
      <c r="AG1352" s="26" t="s">
        <v>312</v>
      </c>
      <c r="AH1352" s="26" t="s">
        <v>312</v>
      </c>
      <c r="AI1352" s="26" t="s">
        <v>252</v>
      </c>
      <c r="AM1352" s="26" t="s">
        <v>222</v>
      </c>
      <c r="AN1352" s="26">
        <v>4</v>
      </c>
      <c r="AO1352" s="26">
        <v>4</v>
      </c>
      <c r="AP1352" s="26" t="s">
        <v>184</v>
      </c>
      <c r="AT1352" s="26" t="s">
        <v>1233</v>
      </c>
      <c r="AV1352" s="26">
        <v>9.5</v>
      </c>
      <c r="AW1352" s="26">
        <v>10.1</v>
      </c>
      <c r="AX1352" s="26" t="s">
        <v>1253</v>
      </c>
      <c r="BB1352" s="26">
        <v>1.41</v>
      </c>
      <c r="BC1352" s="26">
        <v>1.39</v>
      </c>
      <c r="CC1352" s="26">
        <v>2.2400000000000002</v>
      </c>
      <c r="CD1352" s="26">
        <v>2.97</v>
      </c>
      <c r="CE1352" s="26" t="s">
        <v>1239</v>
      </c>
      <c r="CF1352" s="26">
        <v>46.87</v>
      </c>
      <c r="CG1352" s="26">
        <v>50.08</v>
      </c>
      <c r="CH1352" s="26" t="s">
        <v>1237</v>
      </c>
      <c r="CI1352" s="26">
        <v>1.32</v>
      </c>
      <c r="CJ1352" s="26">
        <v>1.2</v>
      </c>
      <c r="CK1352" s="26" t="s">
        <v>1252</v>
      </c>
      <c r="DA1352" s="26">
        <v>19.5</v>
      </c>
      <c r="DB1352" s="26">
        <v>18.7</v>
      </c>
      <c r="EL1352" s="26" t="s">
        <v>1250</v>
      </c>
      <c r="EN1352" s="26">
        <v>61</v>
      </c>
    </row>
    <row r="1353" spans="1:144" s="26" customFormat="1" x14ac:dyDescent="0.25">
      <c r="A1353" s="26">
        <v>61</v>
      </c>
      <c r="B1353" s="26" t="s">
        <v>1228</v>
      </c>
      <c r="C1353" s="26" t="s">
        <v>1229</v>
      </c>
      <c r="D1353" s="26">
        <v>2003</v>
      </c>
      <c r="E1353" s="26">
        <v>2001</v>
      </c>
      <c r="F1353" s="26" t="s">
        <v>1230</v>
      </c>
      <c r="G1353" s="26" t="s">
        <v>1231</v>
      </c>
      <c r="H1353" s="26">
        <v>38.74</v>
      </c>
      <c r="I1353" s="26">
        <v>-87.49</v>
      </c>
      <c r="J1353" s="26">
        <v>130</v>
      </c>
      <c r="M1353" s="26">
        <v>1272</v>
      </c>
      <c r="P1353" s="52" t="s">
        <v>187</v>
      </c>
      <c r="Q1353" s="52" t="s">
        <v>1161</v>
      </c>
      <c r="R1353" s="52" t="s">
        <v>1235</v>
      </c>
      <c r="S1353" s="52" t="s">
        <v>657</v>
      </c>
      <c r="T1353" s="26">
        <v>1.44</v>
      </c>
      <c r="W1353" s="26" t="s">
        <v>175</v>
      </c>
      <c r="AA1353" s="26" t="s">
        <v>1690</v>
      </c>
      <c r="AB1353" s="26" t="s">
        <v>613</v>
      </c>
      <c r="AC1353" s="26" t="s">
        <v>174</v>
      </c>
      <c r="AD1353" s="26" t="s">
        <v>1251</v>
      </c>
      <c r="AE1353" s="26" t="s">
        <v>1251</v>
      </c>
      <c r="AF1353" s="26" t="s">
        <v>252</v>
      </c>
      <c r="AG1353" s="26" t="s">
        <v>312</v>
      </c>
      <c r="AH1353" s="26" t="s">
        <v>312</v>
      </c>
      <c r="AI1353" s="26" t="s">
        <v>252</v>
      </c>
      <c r="AM1353" s="26" t="s">
        <v>222</v>
      </c>
      <c r="AN1353" s="26">
        <v>4</v>
      </c>
      <c r="AO1353" s="26">
        <v>4</v>
      </c>
      <c r="AP1353" s="26" t="s">
        <v>184</v>
      </c>
      <c r="AT1353" s="26" t="s">
        <v>1234</v>
      </c>
      <c r="AV1353" s="26">
        <v>9.5</v>
      </c>
      <c r="AW1353" s="26">
        <v>8.4</v>
      </c>
      <c r="AX1353" s="26" t="s">
        <v>1253</v>
      </c>
      <c r="BB1353" s="26">
        <v>1.41</v>
      </c>
      <c r="BC1353" s="26">
        <v>1.37</v>
      </c>
      <c r="CC1353" s="26">
        <v>2.2400000000000002</v>
      </c>
      <c r="CD1353" s="26">
        <v>3.53</v>
      </c>
      <c r="CE1353" s="26" t="s">
        <v>1239</v>
      </c>
      <c r="CF1353" s="26">
        <v>46.87</v>
      </c>
      <c r="CG1353" s="26">
        <v>50.6</v>
      </c>
      <c r="CH1353" s="26" t="s">
        <v>1237</v>
      </c>
      <c r="CI1353" s="26">
        <v>1.32</v>
      </c>
      <c r="CJ1353" s="26">
        <v>1.41</v>
      </c>
      <c r="CK1353" s="26" t="s">
        <v>1252</v>
      </c>
      <c r="DA1353" s="26">
        <v>19.5</v>
      </c>
      <c r="DB1353" s="26">
        <v>17.600000000000001</v>
      </c>
      <c r="EL1353" s="26" t="s">
        <v>1250</v>
      </c>
      <c r="EN1353" s="26">
        <v>61</v>
      </c>
    </row>
    <row r="1354" spans="1:144" s="26" customFormat="1" x14ac:dyDescent="0.25">
      <c r="A1354" s="26">
        <v>61</v>
      </c>
      <c r="B1354" s="26" t="s">
        <v>1228</v>
      </c>
      <c r="C1354" s="26" t="s">
        <v>1229</v>
      </c>
      <c r="D1354" s="26">
        <v>2003</v>
      </c>
      <c r="E1354" s="26">
        <v>2001</v>
      </c>
      <c r="F1354" s="26" t="s">
        <v>1230</v>
      </c>
      <c r="G1354" s="26" t="s">
        <v>1231</v>
      </c>
      <c r="H1354" s="26">
        <v>38.74</v>
      </c>
      <c r="I1354" s="26">
        <v>-87.49</v>
      </c>
      <c r="J1354" s="26">
        <v>130</v>
      </c>
      <c r="M1354" s="26">
        <v>1272</v>
      </c>
      <c r="P1354" s="52" t="s">
        <v>187</v>
      </c>
      <c r="Q1354" s="52" t="s">
        <v>1161</v>
      </c>
      <c r="R1354" s="52" t="s">
        <v>1235</v>
      </c>
      <c r="S1354" s="52" t="s">
        <v>657</v>
      </c>
      <c r="T1354" s="26">
        <v>1.44</v>
      </c>
      <c r="W1354" s="26" t="s">
        <v>175</v>
      </c>
      <c r="AA1354" s="26" t="s">
        <v>1690</v>
      </c>
      <c r="AB1354" s="26" t="s">
        <v>613</v>
      </c>
      <c r="AC1354" s="26" t="s">
        <v>219</v>
      </c>
      <c r="AD1354" s="26" t="s">
        <v>1251</v>
      </c>
      <c r="AE1354" s="26" t="s">
        <v>1251</v>
      </c>
      <c r="AF1354" s="26" t="s">
        <v>252</v>
      </c>
      <c r="AG1354" s="26" t="s">
        <v>217</v>
      </c>
      <c r="AH1354" s="26" t="s">
        <v>217</v>
      </c>
      <c r="AI1354" s="26" t="s">
        <v>252</v>
      </c>
      <c r="AM1354" s="26" t="s">
        <v>222</v>
      </c>
      <c r="AN1354" s="26">
        <v>4</v>
      </c>
      <c r="AO1354" s="26">
        <v>4</v>
      </c>
      <c r="AP1354" s="26" t="s">
        <v>184</v>
      </c>
      <c r="AT1354" s="26" t="s">
        <v>1233</v>
      </c>
      <c r="AV1354" s="26">
        <v>10.4</v>
      </c>
      <c r="AW1354" s="26">
        <v>8.5</v>
      </c>
      <c r="AX1354" s="26" t="s">
        <v>1253</v>
      </c>
      <c r="BB1354" s="26">
        <v>1.49</v>
      </c>
      <c r="BC1354" s="26">
        <v>1.49</v>
      </c>
      <c r="CC1354" s="26">
        <v>2.21</v>
      </c>
      <c r="CD1354" s="26">
        <v>2.87</v>
      </c>
      <c r="CE1354" s="26" t="s">
        <v>1239</v>
      </c>
      <c r="CF1354" s="26">
        <v>42.81</v>
      </c>
      <c r="CG1354" s="26">
        <v>41.5</v>
      </c>
      <c r="CH1354" s="26" t="s">
        <v>1237</v>
      </c>
      <c r="CI1354" s="26">
        <v>1.23</v>
      </c>
      <c r="CJ1354" s="26">
        <v>1.1000000000000001</v>
      </c>
      <c r="CK1354" s="26" t="s">
        <v>1252</v>
      </c>
      <c r="DA1354" s="26">
        <v>17.899999999999999</v>
      </c>
      <c r="DB1354" s="26">
        <v>16.3</v>
      </c>
      <c r="EL1354" s="26" t="s">
        <v>1250</v>
      </c>
      <c r="EN1354" s="26">
        <v>61</v>
      </c>
    </row>
    <row r="1355" spans="1:144" s="26" customFormat="1" x14ac:dyDescent="0.25">
      <c r="A1355" s="26">
        <v>61</v>
      </c>
      <c r="B1355" s="26" t="s">
        <v>1228</v>
      </c>
      <c r="C1355" s="26" t="s">
        <v>1229</v>
      </c>
      <c r="D1355" s="26">
        <v>2003</v>
      </c>
      <c r="E1355" s="26">
        <v>2001</v>
      </c>
      <c r="F1355" s="26" t="s">
        <v>1230</v>
      </c>
      <c r="G1355" s="26" t="s">
        <v>1231</v>
      </c>
      <c r="H1355" s="26">
        <v>38.74</v>
      </c>
      <c r="I1355" s="26">
        <v>-87.49</v>
      </c>
      <c r="J1355" s="26">
        <v>130</v>
      </c>
      <c r="M1355" s="26">
        <v>1272</v>
      </c>
      <c r="P1355" s="52" t="s">
        <v>187</v>
      </c>
      <c r="Q1355" s="52" t="s">
        <v>1161</v>
      </c>
      <c r="R1355" s="52" t="s">
        <v>1235</v>
      </c>
      <c r="S1355" s="52" t="s">
        <v>657</v>
      </c>
      <c r="T1355" s="26">
        <v>1.44</v>
      </c>
      <c r="W1355" s="26" t="s">
        <v>175</v>
      </c>
      <c r="AA1355" s="26" t="s">
        <v>1690</v>
      </c>
      <c r="AB1355" s="26" t="s">
        <v>613</v>
      </c>
      <c r="AC1355" s="26" t="s">
        <v>174</v>
      </c>
      <c r="AD1355" s="26" t="s">
        <v>1251</v>
      </c>
      <c r="AE1355" s="26" t="s">
        <v>1251</v>
      </c>
      <c r="AF1355" s="26" t="s">
        <v>252</v>
      </c>
      <c r="AG1355" s="26" t="s">
        <v>217</v>
      </c>
      <c r="AH1355" s="26" t="s">
        <v>217</v>
      </c>
      <c r="AI1355" s="26" t="s">
        <v>252</v>
      </c>
      <c r="AM1355" s="26" t="s">
        <v>222</v>
      </c>
      <c r="AN1355" s="26">
        <v>4</v>
      </c>
      <c r="AO1355" s="26">
        <v>4</v>
      </c>
      <c r="AP1355" s="26" t="s">
        <v>184</v>
      </c>
      <c r="AT1355" s="26" t="s">
        <v>1234</v>
      </c>
      <c r="AV1355" s="26">
        <v>10.4</v>
      </c>
      <c r="AW1355" s="26">
        <v>10.199999999999999</v>
      </c>
      <c r="AX1355" s="26" t="s">
        <v>1253</v>
      </c>
      <c r="BB1355" s="26">
        <v>1.49</v>
      </c>
      <c r="BC1355" s="26">
        <v>1.46</v>
      </c>
      <c r="CC1355" s="26">
        <v>2.21</v>
      </c>
      <c r="CD1355" s="26">
        <v>3.17</v>
      </c>
      <c r="CE1355" s="26" t="s">
        <v>1239</v>
      </c>
      <c r="CF1355" s="26">
        <v>42.81</v>
      </c>
      <c r="CG1355" s="26">
        <v>40.31</v>
      </c>
      <c r="CH1355" s="26" t="s">
        <v>1237</v>
      </c>
      <c r="CI1355" s="26">
        <v>1.23</v>
      </c>
      <c r="CJ1355" s="26">
        <v>1.1299999999999999</v>
      </c>
      <c r="CK1355" s="26" t="s">
        <v>1252</v>
      </c>
      <c r="DA1355" s="26">
        <v>17.899999999999999</v>
      </c>
      <c r="DB1355" s="26">
        <v>15.5</v>
      </c>
      <c r="EL1355" s="26" t="s">
        <v>1250</v>
      </c>
      <c r="EN1355" s="26">
        <v>61</v>
      </c>
    </row>
    <row r="1356" spans="1:144" s="26" customFormat="1" x14ac:dyDescent="0.25">
      <c r="A1356" s="26">
        <v>61</v>
      </c>
      <c r="B1356" s="26" t="s">
        <v>1228</v>
      </c>
      <c r="C1356" s="26" t="s">
        <v>1229</v>
      </c>
      <c r="D1356" s="26">
        <v>2003</v>
      </c>
      <c r="E1356" s="26">
        <v>2001</v>
      </c>
      <c r="F1356" s="26" t="s">
        <v>1230</v>
      </c>
      <c r="G1356" s="26" t="s">
        <v>1231</v>
      </c>
      <c r="H1356" s="26">
        <v>38.74</v>
      </c>
      <c r="I1356" s="26">
        <v>-87.49</v>
      </c>
      <c r="J1356" s="26">
        <v>130</v>
      </c>
      <c r="M1356" s="26">
        <v>1272</v>
      </c>
      <c r="P1356" s="52" t="s">
        <v>187</v>
      </c>
      <c r="Q1356" s="52" t="s">
        <v>1161</v>
      </c>
      <c r="R1356" s="52" t="s">
        <v>1236</v>
      </c>
      <c r="S1356" s="52" t="s">
        <v>657</v>
      </c>
      <c r="T1356" s="26">
        <v>1.44</v>
      </c>
      <c r="W1356" s="26" t="s">
        <v>175</v>
      </c>
      <c r="AA1356" s="26" t="s">
        <v>1690</v>
      </c>
      <c r="AB1356" s="26" t="s">
        <v>613</v>
      </c>
      <c r="AC1356" s="26" t="s">
        <v>219</v>
      </c>
      <c r="AD1356" s="26" t="s">
        <v>1251</v>
      </c>
      <c r="AE1356" s="26" t="s">
        <v>1251</v>
      </c>
      <c r="AF1356" s="26" t="s">
        <v>252</v>
      </c>
      <c r="AG1356" s="26" t="s">
        <v>312</v>
      </c>
      <c r="AH1356" s="26" t="s">
        <v>312</v>
      </c>
      <c r="AI1356" s="26" t="s">
        <v>252</v>
      </c>
      <c r="AM1356" s="26" t="s">
        <v>222</v>
      </c>
      <c r="AN1356" s="26">
        <v>4</v>
      </c>
      <c r="AO1356" s="26">
        <v>4</v>
      </c>
      <c r="AP1356" s="26" t="s">
        <v>184</v>
      </c>
      <c r="AR1356" s="26">
        <v>679</v>
      </c>
      <c r="AT1356" s="26" t="s">
        <v>1233</v>
      </c>
      <c r="AV1356" s="26">
        <v>13.6</v>
      </c>
      <c r="AW1356" s="26">
        <v>14.7</v>
      </c>
      <c r="AX1356" s="26" t="s">
        <v>1253</v>
      </c>
      <c r="BB1356" s="26">
        <v>1.41</v>
      </c>
      <c r="BC1356" s="26">
        <v>1.32</v>
      </c>
      <c r="CC1356" s="26">
        <v>3.03</v>
      </c>
      <c r="CD1356" s="26">
        <v>3.29</v>
      </c>
      <c r="CE1356" s="26" t="s">
        <v>1239</v>
      </c>
      <c r="CF1356" s="26">
        <v>11.49</v>
      </c>
      <c r="CG1356" s="26">
        <v>15.23</v>
      </c>
      <c r="CH1356" s="26" t="s">
        <v>1237</v>
      </c>
      <c r="CI1356" s="26">
        <v>1.43</v>
      </c>
      <c r="CJ1356" s="26">
        <v>1.31</v>
      </c>
      <c r="CK1356" s="26" t="s">
        <v>1252</v>
      </c>
      <c r="CO1356" s="26">
        <v>42</v>
      </c>
      <c r="CP1356" s="26">
        <v>119.4</v>
      </c>
      <c r="DD1356" s="26">
        <f>21.2/1.42</f>
        <v>14.929577464788732</v>
      </c>
      <c r="DE1356" s="26">
        <f>23.9/1.42</f>
        <v>16.830985915492956</v>
      </c>
      <c r="DF1356" s="107" t="s">
        <v>1244</v>
      </c>
      <c r="EL1356" s="26" t="s">
        <v>1250</v>
      </c>
      <c r="EN1356" s="26">
        <v>61</v>
      </c>
    </row>
    <row r="1357" spans="1:144" s="26" customFormat="1" x14ac:dyDescent="0.25">
      <c r="A1357" s="26">
        <v>61</v>
      </c>
      <c r="B1357" s="26" t="s">
        <v>1228</v>
      </c>
      <c r="C1357" s="26" t="s">
        <v>1229</v>
      </c>
      <c r="D1357" s="26">
        <v>2003</v>
      </c>
      <c r="E1357" s="26">
        <v>2001</v>
      </c>
      <c r="F1357" s="26" t="s">
        <v>1230</v>
      </c>
      <c r="G1357" s="26" t="s">
        <v>1231</v>
      </c>
      <c r="H1357" s="26">
        <v>38.74</v>
      </c>
      <c r="I1357" s="26">
        <v>-87.49</v>
      </c>
      <c r="J1357" s="26">
        <v>130</v>
      </c>
      <c r="M1357" s="26">
        <v>1272</v>
      </c>
      <c r="P1357" s="52" t="s">
        <v>187</v>
      </c>
      <c r="Q1357" s="52" t="s">
        <v>1161</v>
      </c>
      <c r="R1357" s="52" t="s">
        <v>1236</v>
      </c>
      <c r="S1357" s="52" t="s">
        <v>657</v>
      </c>
      <c r="T1357" s="26">
        <v>1.44</v>
      </c>
      <c r="W1357" s="26" t="s">
        <v>175</v>
      </c>
      <c r="AA1357" s="26" t="s">
        <v>1690</v>
      </c>
      <c r="AB1357" s="26" t="s">
        <v>613</v>
      </c>
      <c r="AC1357" s="26" t="s">
        <v>174</v>
      </c>
      <c r="AD1357" s="26" t="s">
        <v>1251</v>
      </c>
      <c r="AE1357" s="26" t="s">
        <v>1251</v>
      </c>
      <c r="AF1357" s="26" t="s">
        <v>252</v>
      </c>
      <c r="AG1357" s="26" t="s">
        <v>312</v>
      </c>
      <c r="AH1357" s="26" t="s">
        <v>312</v>
      </c>
      <c r="AI1357" s="26" t="s">
        <v>252</v>
      </c>
      <c r="AM1357" s="26" t="s">
        <v>222</v>
      </c>
      <c r="AN1357" s="26">
        <v>4</v>
      </c>
      <c r="AO1357" s="26">
        <v>4</v>
      </c>
      <c r="AP1357" s="26" t="s">
        <v>184</v>
      </c>
      <c r="AR1357" s="26">
        <v>1426</v>
      </c>
      <c r="AT1357" s="26" t="s">
        <v>1234</v>
      </c>
      <c r="AV1357" s="26">
        <v>13.6</v>
      </c>
      <c r="AW1357" s="26">
        <v>12.9</v>
      </c>
      <c r="AX1357" s="26" t="s">
        <v>1253</v>
      </c>
      <c r="BB1357" s="26">
        <v>1.41</v>
      </c>
      <c r="BC1357" s="26">
        <v>1.31</v>
      </c>
      <c r="CC1357" s="26">
        <v>3.02</v>
      </c>
      <c r="CD1357" s="26">
        <v>3.41</v>
      </c>
      <c r="CE1357" s="26" t="s">
        <v>1239</v>
      </c>
      <c r="CF1357" s="26">
        <v>11.49</v>
      </c>
      <c r="CG1357" s="26">
        <v>14.61</v>
      </c>
      <c r="CH1357" s="26" t="s">
        <v>1237</v>
      </c>
      <c r="CI1357" s="26">
        <v>1.43</v>
      </c>
      <c r="CJ1357" s="26">
        <v>1.47</v>
      </c>
      <c r="CK1357" s="26" t="s">
        <v>1252</v>
      </c>
      <c r="CO1357" s="26">
        <v>42</v>
      </c>
      <c r="CP1357" s="26">
        <v>37.200000000000003</v>
      </c>
      <c r="DD1357" s="26">
        <f>21.2/1.42</f>
        <v>14.929577464788732</v>
      </c>
      <c r="DE1357" s="26">
        <f>22.3/1.42</f>
        <v>15.704225352112678</v>
      </c>
      <c r="DF1357" s="107" t="s">
        <v>1244</v>
      </c>
      <c r="EL1357" s="26" t="s">
        <v>1250</v>
      </c>
      <c r="EN1357" s="26">
        <v>61</v>
      </c>
    </row>
    <row r="1358" spans="1:144" s="26" customFormat="1" x14ac:dyDescent="0.25">
      <c r="A1358" s="26">
        <v>61</v>
      </c>
      <c r="B1358" s="26" t="s">
        <v>1228</v>
      </c>
      <c r="C1358" s="26" t="s">
        <v>1229</v>
      </c>
      <c r="D1358" s="26">
        <v>2003</v>
      </c>
      <c r="E1358" s="26">
        <v>2001</v>
      </c>
      <c r="F1358" s="26" t="s">
        <v>1230</v>
      </c>
      <c r="G1358" s="26" t="s">
        <v>1231</v>
      </c>
      <c r="H1358" s="26">
        <v>38.74</v>
      </c>
      <c r="I1358" s="26">
        <v>-87.49</v>
      </c>
      <c r="J1358" s="26">
        <v>130</v>
      </c>
      <c r="M1358" s="26">
        <v>1272</v>
      </c>
      <c r="P1358" s="52" t="s">
        <v>187</v>
      </c>
      <c r="Q1358" s="52" t="s">
        <v>1161</v>
      </c>
      <c r="R1358" s="52" t="s">
        <v>1236</v>
      </c>
      <c r="S1358" s="52" t="s">
        <v>657</v>
      </c>
      <c r="T1358" s="26">
        <v>1.44</v>
      </c>
      <c r="W1358" s="26" t="s">
        <v>175</v>
      </c>
      <c r="AA1358" s="26" t="s">
        <v>1690</v>
      </c>
      <c r="AB1358" s="26" t="s">
        <v>613</v>
      </c>
      <c r="AC1358" s="26" t="s">
        <v>219</v>
      </c>
      <c r="AD1358" s="26" t="s">
        <v>1251</v>
      </c>
      <c r="AE1358" s="26" t="s">
        <v>1251</v>
      </c>
      <c r="AF1358" s="26" t="s">
        <v>252</v>
      </c>
      <c r="AG1358" s="26" t="s">
        <v>217</v>
      </c>
      <c r="AH1358" s="26" t="s">
        <v>217</v>
      </c>
      <c r="AI1358" s="26" t="s">
        <v>252</v>
      </c>
      <c r="AM1358" s="26" t="s">
        <v>222</v>
      </c>
      <c r="AN1358" s="26">
        <v>4</v>
      </c>
      <c r="AO1358" s="26">
        <v>4</v>
      </c>
      <c r="AP1358" s="26" t="s">
        <v>184</v>
      </c>
      <c r="AR1358" s="26">
        <v>418</v>
      </c>
      <c r="AT1358" s="26" t="s">
        <v>1233</v>
      </c>
      <c r="AV1358" s="26">
        <v>14.9</v>
      </c>
      <c r="AW1358" s="26">
        <v>13.3</v>
      </c>
      <c r="AX1358" s="26" t="s">
        <v>1253</v>
      </c>
      <c r="BB1358" s="26">
        <v>1.52</v>
      </c>
      <c r="BC1358" s="26">
        <v>1.55</v>
      </c>
      <c r="CC1358" s="26">
        <v>2.57</v>
      </c>
      <c r="CD1358" s="26">
        <v>3.14</v>
      </c>
      <c r="CE1358" s="26" t="s">
        <v>1239</v>
      </c>
      <c r="CF1358" s="26">
        <v>7.79</v>
      </c>
      <c r="CG1358" s="26">
        <v>5.93</v>
      </c>
      <c r="CH1358" s="26" t="s">
        <v>1237</v>
      </c>
      <c r="CI1358" s="26">
        <v>1.4</v>
      </c>
      <c r="CJ1358" s="26">
        <v>1.34</v>
      </c>
      <c r="CK1358" s="26" t="s">
        <v>1252</v>
      </c>
      <c r="DD1358" s="26">
        <f>27.2/1.42</f>
        <v>19.154929577464788</v>
      </c>
      <c r="DE1358" s="26">
        <f>32.8/1.42</f>
        <v>23.098591549295772</v>
      </c>
      <c r="DF1358" s="107" t="s">
        <v>1244</v>
      </c>
      <c r="EL1358" s="26" t="s">
        <v>1250</v>
      </c>
      <c r="EN1358" s="26">
        <v>61</v>
      </c>
    </row>
    <row r="1359" spans="1:144" s="26" customFormat="1" x14ac:dyDescent="0.25">
      <c r="A1359" s="26">
        <v>61</v>
      </c>
      <c r="B1359" s="26" t="s">
        <v>1228</v>
      </c>
      <c r="C1359" s="26" t="s">
        <v>1229</v>
      </c>
      <c r="D1359" s="26">
        <v>2003</v>
      </c>
      <c r="E1359" s="26">
        <v>2001</v>
      </c>
      <c r="F1359" s="26" t="s">
        <v>1230</v>
      </c>
      <c r="G1359" s="26" t="s">
        <v>1231</v>
      </c>
      <c r="H1359" s="26">
        <v>38.74</v>
      </c>
      <c r="I1359" s="26">
        <v>-87.49</v>
      </c>
      <c r="J1359" s="26">
        <v>130</v>
      </c>
      <c r="M1359" s="26">
        <v>1272</v>
      </c>
      <c r="P1359" s="52" t="s">
        <v>187</v>
      </c>
      <c r="Q1359" s="52" t="s">
        <v>1161</v>
      </c>
      <c r="R1359" s="52" t="s">
        <v>1236</v>
      </c>
      <c r="S1359" s="52" t="s">
        <v>657</v>
      </c>
      <c r="T1359" s="26">
        <v>1.44</v>
      </c>
      <c r="W1359" s="26" t="s">
        <v>175</v>
      </c>
      <c r="AA1359" s="26" t="s">
        <v>1690</v>
      </c>
      <c r="AB1359" s="26" t="s">
        <v>613</v>
      </c>
      <c r="AC1359" s="26" t="s">
        <v>174</v>
      </c>
      <c r="AD1359" s="26" t="s">
        <v>1251</v>
      </c>
      <c r="AE1359" s="26" t="s">
        <v>1251</v>
      </c>
      <c r="AF1359" s="26" t="s">
        <v>252</v>
      </c>
      <c r="AG1359" s="26" t="s">
        <v>217</v>
      </c>
      <c r="AH1359" s="26" t="s">
        <v>217</v>
      </c>
      <c r="AI1359" s="26" t="s">
        <v>252</v>
      </c>
      <c r="AM1359" s="26" t="s">
        <v>222</v>
      </c>
      <c r="AN1359" s="26">
        <v>4</v>
      </c>
      <c r="AO1359" s="26">
        <v>4</v>
      </c>
      <c r="AP1359" s="26" t="s">
        <v>184</v>
      </c>
      <c r="AR1359" s="26">
        <v>1048</v>
      </c>
      <c r="AT1359" s="26" t="s">
        <v>1234</v>
      </c>
      <c r="AV1359" s="26">
        <v>14.9</v>
      </c>
      <c r="AW1359" s="26">
        <v>16.600000000000001</v>
      </c>
      <c r="AX1359" s="26" t="s">
        <v>1253</v>
      </c>
      <c r="BB1359" s="26">
        <v>1.52</v>
      </c>
      <c r="BC1359" s="26">
        <v>1.58</v>
      </c>
      <c r="CC1359" s="26">
        <v>2.57</v>
      </c>
      <c r="CD1359" s="26">
        <v>3.51</v>
      </c>
      <c r="CE1359" s="26" t="s">
        <v>1239</v>
      </c>
      <c r="CF1359" s="26">
        <v>7.79</v>
      </c>
      <c r="CG1359" s="26">
        <v>4.62</v>
      </c>
      <c r="CH1359" s="26" t="s">
        <v>1237</v>
      </c>
      <c r="CI1359" s="26">
        <v>1.4</v>
      </c>
      <c r="CJ1359" s="26">
        <v>1.4</v>
      </c>
      <c r="CK1359" s="26" t="s">
        <v>1252</v>
      </c>
      <c r="DD1359" s="26">
        <f>27.2/1.42</f>
        <v>19.154929577464788</v>
      </c>
      <c r="DE1359" s="26">
        <f>28.5/1.42</f>
        <v>20.070422535211268</v>
      </c>
      <c r="DF1359" s="107" t="s">
        <v>1244</v>
      </c>
      <c r="EL1359" s="26" t="s">
        <v>1250</v>
      </c>
      <c r="EN1359" s="26">
        <v>61</v>
      </c>
    </row>
    <row r="1360" spans="1:144" s="83" customFormat="1" x14ac:dyDescent="0.25">
      <c r="A1360" s="83">
        <v>61</v>
      </c>
      <c r="B1360" s="83" t="s">
        <v>1228</v>
      </c>
      <c r="C1360" s="83" t="s">
        <v>1229</v>
      </c>
      <c r="D1360" s="83">
        <v>2003</v>
      </c>
      <c r="E1360" s="83">
        <v>2001</v>
      </c>
      <c r="F1360" s="83" t="s">
        <v>1230</v>
      </c>
      <c r="G1360" s="83" t="s">
        <v>1232</v>
      </c>
      <c r="H1360" s="83">
        <v>40.299999999999997</v>
      </c>
      <c r="I1360" s="83">
        <v>-86.9</v>
      </c>
      <c r="J1360" s="83">
        <v>221</v>
      </c>
      <c r="M1360" s="26">
        <v>910</v>
      </c>
      <c r="P1360" s="84" t="s">
        <v>187</v>
      </c>
      <c r="Q1360" s="84" t="s">
        <v>1161</v>
      </c>
      <c r="R1360" s="84" t="s">
        <v>1235</v>
      </c>
      <c r="S1360" s="84" t="s">
        <v>657</v>
      </c>
      <c r="T1360" s="83">
        <v>1.42</v>
      </c>
      <c r="W1360" s="83" t="s">
        <v>175</v>
      </c>
      <c r="AA1360" s="83" t="s">
        <v>1690</v>
      </c>
      <c r="AB1360" s="83" t="s">
        <v>613</v>
      </c>
      <c r="AC1360" s="83" t="s">
        <v>219</v>
      </c>
      <c r="AD1360" s="83" t="s">
        <v>1251</v>
      </c>
      <c r="AE1360" s="83" t="s">
        <v>1251</v>
      </c>
      <c r="AF1360" s="83" t="s">
        <v>252</v>
      </c>
      <c r="AG1360" s="83" t="s">
        <v>312</v>
      </c>
      <c r="AH1360" s="83" t="s">
        <v>312</v>
      </c>
      <c r="AI1360" s="83" t="s">
        <v>252</v>
      </c>
      <c r="AM1360" s="83" t="s">
        <v>222</v>
      </c>
      <c r="AN1360" s="83">
        <v>4</v>
      </c>
      <c r="AO1360" s="83">
        <v>4</v>
      </c>
      <c r="AP1360" s="83" t="s">
        <v>184</v>
      </c>
      <c r="AT1360" s="83" t="s">
        <v>1233</v>
      </c>
      <c r="AV1360" s="83">
        <v>17.5</v>
      </c>
      <c r="AW1360" s="83">
        <v>24.7</v>
      </c>
      <c r="AX1360" s="83" t="s">
        <v>1253</v>
      </c>
      <c r="CF1360" s="83">
        <v>49.51</v>
      </c>
      <c r="CG1360" s="83">
        <v>49.51</v>
      </c>
      <c r="CH1360" s="83" t="s">
        <v>1237</v>
      </c>
      <c r="CI1360" s="83">
        <v>1.43</v>
      </c>
      <c r="CJ1360" s="83">
        <v>1.78</v>
      </c>
      <c r="CK1360" s="26" t="s">
        <v>1252</v>
      </c>
      <c r="CO1360" s="83">
        <v>81.599999999999994</v>
      </c>
      <c r="CP1360" s="83">
        <v>84.6</v>
      </c>
      <c r="DA1360" s="83">
        <v>23</v>
      </c>
      <c r="DB1360" s="83">
        <v>22.1</v>
      </c>
      <c r="DD1360" s="83">
        <f>13.9/1.42</f>
        <v>9.7887323943661979</v>
      </c>
      <c r="DE1360" s="83">
        <f>19.6/1.42</f>
        <v>13.802816901408452</v>
      </c>
      <c r="DF1360" s="107" t="s">
        <v>1245</v>
      </c>
      <c r="EL1360" s="83" t="s">
        <v>1250</v>
      </c>
      <c r="EN1360" s="83">
        <v>61</v>
      </c>
    </row>
    <row r="1361" spans="1:144" s="83" customFormat="1" x14ac:dyDescent="0.25">
      <c r="A1361" s="83">
        <v>61</v>
      </c>
      <c r="B1361" s="83" t="s">
        <v>1228</v>
      </c>
      <c r="C1361" s="83" t="s">
        <v>1229</v>
      </c>
      <c r="D1361" s="83">
        <v>2003</v>
      </c>
      <c r="E1361" s="83">
        <v>2001</v>
      </c>
      <c r="F1361" s="83" t="s">
        <v>1230</v>
      </c>
      <c r="G1361" s="83" t="s">
        <v>1232</v>
      </c>
      <c r="H1361" s="83">
        <v>40.299999999999997</v>
      </c>
      <c r="I1361" s="83">
        <v>-86.9</v>
      </c>
      <c r="J1361" s="83">
        <v>221</v>
      </c>
      <c r="M1361" s="26">
        <v>910</v>
      </c>
      <c r="P1361" s="84" t="s">
        <v>187</v>
      </c>
      <c r="Q1361" s="84" t="s">
        <v>1161</v>
      </c>
      <c r="R1361" s="84" t="s">
        <v>1235</v>
      </c>
      <c r="S1361" s="84" t="s">
        <v>657</v>
      </c>
      <c r="T1361" s="83">
        <v>1.42</v>
      </c>
      <c r="W1361" s="83" t="s">
        <v>175</v>
      </c>
      <c r="AA1361" s="83" t="s">
        <v>1690</v>
      </c>
      <c r="AB1361" s="83" t="s">
        <v>613</v>
      </c>
      <c r="AC1361" s="83" t="s">
        <v>174</v>
      </c>
      <c r="AD1361" s="83" t="s">
        <v>1251</v>
      </c>
      <c r="AE1361" s="83" t="s">
        <v>1251</v>
      </c>
      <c r="AF1361" s="83" t="s">
        <v>252</v>
      </c>
      <c r="AG1361" s="83" t="s">
        <v>312</v>
      </c>
      <c r="AH1361" s="83" t="s">
        <v>312</v>
      </c>
      <c r="AI1361" s="83" t="s">
        <v>252</v>
      </c>
      <c r="AM1361" s="83" t="s">
        <v>222</v>
      </c>
      <c r="AN1361" s="83">
        <v>4</v>
      </c>
      <c r="AO1361" s="83">
        <v>4</v>
      </c>
      <c r="AP1361" s="83" t="s">
        <v>184</v>
      </c>
      <c r="AT1361" s="83" t="s">
        <v>1234</v>
      </c>
      <c r="AV1361" s="83">
        <v>17.5</v>
      </c>
      <c r="AW1361" s="83">
        <v>15</v>
      </c>
      <c r="AX1361" s="83" t="s">
        <v>1253</v>
      </c>
      <c r="CF1361" s="83">
        <v>49.51</v>
      </c>
      <c r="CG1361" s="83">
        <v>50.2</v>
      </c>
      <c r="CH1361" s="83" t="s">
        <v>1237</v>
      </c>
      <c r="CI1361" s="83">
        <v>1.43</v>
      </c>
      <c r="CJ1361" s="83">
        <v>1.93</v>
      </c>
      <c r="CK1361" s="26" t="s">
        <v>1252</v>
      </c>
      <c r="CO1361" s="83">
        <v>81.599999999999994</v>
      </c>
      <c r="CP1361" s="83">
        <v>98.4</v>
      </c>
      <c r="DA1361" s="83">
        <v>23</v>
      </c>
      <c r="DB1361" s="83">
        <v>21.7</v>
      </c>
      <c r="DD1361" s="83">
        <f>13.9/1.42</f>
        <v>9.7887323943661979</v>
      </c>
      <c r="DE1361" s="83">
        <f>12.8/1.42</f>
        <v>9.0140845070422539</v>
      </c>
      <c r="DF1361" s="107" t="s">
        <v>1245</v>
      </c>
      <c r="EL1361" s="83" t="s">
        <v>1250</v>
      </c>
      <c r="EN1361" s="83">
        <v>61</v>
      </c>
    </row>
    <row r="1362" spans="1:144" s="83" customFormat="1" x14ac:dyDescent="0.25">
      <c r="A1362" s="83">
        <v>61</v>
      </c>
      <c r="B1362" s="83" t="s">
        <v>1228</v>
      </c>
      <c r="C1362" s="83" t="s">
        <v>1229</v>
      </c>
      <c r="D1362" s="83">
        <v>2003</v>
      </c>
      <c r="E1362" s="83">
        <v>2001</v>
      </c>
      <c r="F1362" s="83" t="s">
        <v>1230</v>
      </c>
      <c r="G1362" s="83" t="s">
        <v>1232</v>
      </c>
      <c r="H1362" s="83">
        <v>40.299999999999997</v>
      </c>
      <c r="I1362" s="83">
        <v>-86.9</v>
      </c>
      <c r="J1362" s="83">
        <v>221</v>
      </c>
      <c r="M1362" s="26">
        <v>910</v>
      </c>
      <c r="P1362" s="84" t="s">
        <v>187</v>
      </c>
      <c r="Q1362" s="84" t="s">
        <v>1161</v>
      </c>
      <c r="R1362" s="84" t="s">
        <v>1235</v>
      </c>
      <c r="S1362" s="84" t="s">
        <v>657</v>
      </c>
      <c r="T1362" s="83">
        <v>1.42</v>
      </c>
      <c r="W1362" s="83" t="s">
        <v>175</v>
      </c>
      <c r="AA1362" s="83" t="s">
        <v>1690</v>
      </c>
      <c r="AB1362" s="83" t="s">
        <v>613</v>
      </c>
      <c r="AC1362" s="83" t="s">
        <v>219</v>
      </c>
      <c r="AD1362" s="83" t="s">
        <v>1251</v>
      </c>
      <c r="AE1362" s="83" t="s">
        <v>1251</v>
      </c>
      <c r="AF1362" s="83" t="s">
        <v>252</v>
      </c>
      <c r="AG1362" s="83" t="s">
        <v>217</v>
      </c>
      <c r="AH1362" s="83" t="s">
        <v>217</v>
      </c>
      <c r="AI1362" s="83" t="s">
        <v>252</v>
      </c>
      <c r="AM1362" s="83" t="s">
        <v>222</v>
      </c>
      <c r="AN1362" s="83">
        <v>4</v>
      </c>
      <c r="AO1362" s="83">
        <v>4</v>
      </c>
      <c r="AP1362" s="83" t="s">
        <v>184</v>
      </c>
      <c r="AT1362" s="83" t="s">
        <v>1233</v>
      </c>
      <c r="AV1362" s="83">
        <v>17.2</v>
      </c>
      <c r="AW1362" s="83">
        <v>24.8</v>
      </c>
      <c r="AX1362" s="83" t="s">
        <v>1253</v>
      </c>
      <c r="CF1362" s="83">
        <v>40.6</v>
      </c>
      <c r="CG1362" s="83">
        <v>43.77</v>
      </c>
      <c r="CH1362" s="83" t="s">
        <v>1237</v>
      </c>
      <c r="CI1362" s="83">
        <v>1.79</v>
      </c>
      <c r="CJ1362" s="83">
        <v>2.14</v>
      </c>
      <c r="CK1362" s="26" t="s">
        <v>1252</v>
      </c>
      <c r="DA1362" s="83">
        <v>22.1</v>
      </c>
      <c r="DB1362" s="83">
        <v>21</v>
      </c>
      <c r="DD1362" s="83">
        <f>17.2/1.42</f>
        <v>12.112676056338028</v>
      </c>
      <c r="DE1362" s="83">
        <f>28.9/1.42</f>
        <v>20.35211267605634</v>
      </c>
      <c r="DF1362" s="107" t="s">
        <v>1245</v>
      </c>
      <c r="EL1362" s="83" t="s">
        <v>1250</v>
      </c>
      <c r="EN1362" s="83">
        <v>61</v>
      </c>
    </row>
    <row r="1363" spans="1:144" s="83" customFormat="1" x14ac:dyDescent="0.25">
      <c r="A1363" s="83">
        <v>61</v>
      </c>
      <c r="B1363" s="83" t="s">
        <v>1228</v>
      </c>
      <c r="C1363" s="83" t="s">
        <v>1229</v>
      </c>
      <c r="D1363" s="83">
        <v>2003</v>
      </c>
      <c r="E1363" s="83">
        <v>2001</v>
      </c>
      <c r="F1363" s="83" t="s">
        <v>1230</v>
      </c>
      <c r="G1363" s="83" t="s">
        <v>1232</v>
      </c>
      <c r="H1363" s="83">
        <v>40.299999999999997</v>
      </c>
      <c r="I1363" s="83">
        <v>-86.9</v>
      </c>
      <c r="J1363" s="83">
        <v>221</v>
      </c>
      <c r="M1363" s="26">
        <v>910</v>
      </c>
      <c r="P1363" s="84" t="s">
        <v>187</v>
      </c>
      <c r="Q1363" s="84" t="s">
        <v>1161</v>
      </c>
      <c r="R1363" s="84" t="s">
        <v>1235</v>
      </c>
      <c r="S1363" s="84" t="s">
        <v>657</v>
      </c>
      <c r="T1363" s="83">
        <v>1.42</v>
      </c>
      <c r="W1363" s="83" t="s">
        <v>175</v>
      </c>
      <c r="AA1363" s="83" t="s">
        <v>1690</v>
      </c>
      <c r="AB1363" s="83" t="s">
        <v>613</v>
      </c>
      <c r="AC1363" s="83" t="s">
        <v>174</v>
      </c>
      <c r="AD1363" s="83" t="s">
        <v>1251</v>
      </c>
      <c r="AE1363" s="83" t="s">
        <v>1251</v>
      </c>
      <c r="AF1363" s="83" t="s">
        <v>252</v>
      </c>
      <c r="AG1363" s="83" t="s">
        <v>217</v>
      </c>
      <c r="AH1363" s="83" t="s">
        <v>217</v>
      </c>
      <c r="AI1363" s="83" t="s">
        <v>252</v>
      </c>
      <c r="AM1363" s="83" t="s">
        <v>222</v>
      </c>
      <c r="AN1363" s="83">
        <v>4</v>
      </c>
      <c r="AO1363" s="83">
        <v>4</v>
      </c>
      <c r="AP1363" s="83" t="s">
        <v>184</v>
      </c>
      <c r="AT1363" s="83" t="s">
        <v>1234</v>
      </c>
      <c r="AV1363" s="83">
        <v>17.2</v>
      </c>
      <c r="AW1363" s="83">
        <v>17.399999999999999</v>
      </c>
      <c r="AX1363" s="83" t="s">
        <v>1253</v>
      </c>
      <c r="CF1363" s="83">
        <v>40.6</v>
      </c>
      <c r="CG1363" s="83">
        <v>42.64</v>
      </c>
      <c r="CH1363" s="83" t="s">
        <v>1237</v>
      </c>
      <c r="CI1363" s="83">
        <v>1.79</v>
      </c>
      <c r="CJ1363" s="83">
        <v>1.57</v>
      </c>
      <c r="CK1363" s="26" t="s">
        <v>1252</v>
      </c>
      <c r="DA1363" s="83">
        <v>22.1</v>
      </c>
      <c r="DB1363" s="83">
        <v>21</v>
      </c>
      <c r="DD1363" s="83">
        <f>17.2/1.43</f>
        <v>12.027972027972028</v>
      </c>
      <c r="DE1363" s="83">
        <f>17.9/1.42</f>
        <v>12.6056338028169</v>
      </c>
      <c r="DF1363" s="107" t="s">
        <v>1245</v>
      </c>
      <c r="EL1363" s="83" t="s">
        <v>1250</v>
      </c>
      <c r="EN1363" s="83">
        <v>61</v>
      </c>
    </row>
    <row r="1364" spans="1:144" s="83" customFormat="1" x14ac:dyDescent="0.25">
      <c r="A1364" s="83">
        <v>61</v>
      </c>
      <c r="B1364" s="83" t="s">
        <v>1228</v>
      </c>
      <c r="C1364" s="83" t="s">
        <v>1229</v>
      </c>
      <c r="D1364" s="83">
        <v>2003</v>
      </c>
      <c r="E1364" s="83">
        <v>2001</v>
      </c>
      <c r="F1364" s="83" t="s">
        <v>1230</v>
      </c>
      <c r="G1364" s="83" t="s">
        <v>1232</v>
      </c>
      <c r="H1364" s="83">
        <v>40.299999999999997</v>
      </c>
      <c r="I1364" s="83">
        <v>-86.9</v>
      </c>
      <c r="J1364" s="83">
        <v>221</v>
      </c>
      <c r="M1364" s="26">
        <v>910</v>
      </c>
      <c r="P1364" s="84" t="s">
        <v>187</v>
      </c>
      <c r="Q1364" s="84" t="s">
        <v>1161</v>
      </c>
      <c r="R1364" s="84" t="s">
        <v>1236</v>
      </c>
      <c r="S1364" s="84" t="s">
        <v>657</v>
      </c>
      <c r="T1364" s="83">
        <v>1.42</v>
      </c>
      <c r="W1364" s="83" t="s">
        <v>175</v>
      </c>
      <c r="AA1364" s="83" t="s">
        <v>1690</v>
      </c>
      <c r="AB1364" s="83" t="s">
        <v>613</v>
      </c>
      <c r="AC1364" s="83" t="s">
        <v>219</v>
      </c>
      <c r="AD1364" s="83" t="s">
        <v>1251</v>
      </c>
      <c r="AE1364" s="83" t="s">
        <v>1251</v>
      </c>
      <c r="AF1364" s="83" t="s">
        <v>252</v>
      </c>
      <c r="AG1364" s="83" t="s">
        <v>312</v>
      </c>
      <c r="AH1364" s="83" t="s">
        <v>312</v>
      </c>
      <c r="AI1364" s="83" t="s">
        <v>252</v>
      </c>
      <c r="AM1364" s="83" t="s">
        <v>222</v>
      </c>
      <c r="AN1364" s="83">
        <v>4</v>
      </c>
      <c r="AO1364" s="83">
        <v>4</v>
      </c>
      <c r="AP1364" s="83" t="s">
        <v>184</v>
      </c>
      <c r="AR1364" s="83">
        <v>740</v>
      </c>
      <c r="AT1364" s="83" t="s">
        <v>1233</v>
      </c>
      <c r="AV1364" s="83">
        <v>24.2</v>
      </c>
      <c r="AW1364" s="83">
        <v>32.299999999999997</v>
      </c>
      <c r="AX1364" s="83" t="s">
        <v>1253</v>
      </c>
      <c r="BB1364" s="83">
        <v>1.34</v>
      </c>
      <c r="BC1364" s="83">
        <v>1.34</v>
      </c>
      <c r="CF1364" s="83">
        <v>17.28</v>
      </c>
      <c r="CG1364" s="83">
        <v>14.66</v>
      </c>
      <c r="CH1364" s="83" t="s">
        <v>1237</v>
      </c>
      <c r="CI1364" s="83">
        <v>1.83</v>
      </c>
      <c r="CJ1364" s="83">
        <v>2.25</v>
      </c>
      <c r="CK1364" s="26" t="s">
        <v>1252</v>
      </c>
      <c r="CO1364" s="83">
        <v>72.599999999999994</v>
      </c>
      <c r="CP1364" s="83">
        <v>61.8</v>
      </c>
      <c r="DA1364" s="83">
        <v>29.9</v>
      </c>
      <c r="DB1364" s="83">
        <v>28.2</v>
      </c>
      <c r="DD1364" s="83">
        <f>24/1.42</f>
        <v>16.901408450704228</v>
      </c>
      <c r="DE1364" s="83">
        <f>24.4/1.42</f>
        <v>17.183098591549296</v>
      </c>
      <c r="DF1364" s="107" t="s">
        <v>1246</v>
      </c>
      <c r="EL1364" s="83" t="s">
        <v>1250</v>
      </c>
      <c r="EN1364" s="83">
        <v>61</v>
      </c>
    </row>
    <row r="1365" spans="1:144" s="83" customFormat="1" x14ac:dyDescent="0.25">
      <c r="A1365" s="83">
        <v>61</v>
      </c>
      <c r="B1365" s="83" t="s">
        <v>1228</v>
      </c>
      <c r="C1365" s="83" t="s">
        <v>1229</v>
      </c>
      <c r="D1365" s="83">
        <v>2003</v>
      </c>
      <c r="E1365" s="83">
        <v>2001</v>
      </c>
      <c r="F1365" s="83" t="s">
        <v>1230</v>
      </c>
      <c r="G1365" s="83" t="s">
        <v>1232</v>
      </c>
      <c r="H1365" s="83">
        <v>40.299999999999997</v>
      </c>
      <c r="I1365" s="83">
        <v>-86.9</v>
      </c>
      <c r="J1365" s="83">
        <v>221</v>
      </c>
      <c r="M1365" s="26">
        <v>910</v>
      </c>
      <c r="P1365" s="84" t="s">
        <v>187</v>
      </c>
      <c r="Q1365" s="84" t="s">
        <v>1161</v>
      </c>
      <c r="R1365" s="84" t="s">
        <v>1236</v>
      </c>
      <c r="S1365" s="84" t="s">
        <v>657</v>
      </c>
      <c r="T1365" s="83">
        <v>1.42</v>
      </c>
      <c r="W1365" s="83" t="s">
        <v>175</v>
      </c>
      <c r="AA1365" s="83" t="s">
        <v>1690</v>
      </c>
      <c r="AB1365" s="83" t="s">
        <v>613</v>
      </c>
      <c r="AC1365" s="83" t="s">
        <v>174</v>
      </c>
      <c r="AD1365" s="83" t="s">
        <v>1251</v>
      </c>
      <c r="AE1365" s="83" t="s">
        <v>1251</v>
      </c>
      <c r="AF1365" s="83" t="s">
        <v>252</v>
      </c>
      <c r="AG1365" s="83" t="s">
        <v>312</v>
      </c>
      <c r="AH1365" s="83" t="s">
        <v>312</v>
      </c>
      <c r="AI1365" s="83" t="s">
        <v>252</v>
      </c>
      <c r="AM1365" s="83" t="s">
        <v>222</v>
      </c>
      <c r="AN1365" s="83">
        <v>4</v>
      </c>
      <c r="AO1365" s="83">
        <v>4</v>
      </c>
      <c r="AP1365" s="83" t="s">
        <v>184</v>
      </c>
      <c r="AR1365" s="83">
        <v>1624</v>
      </c>
      <c r="AT1365" s="83" t="s">
        <v>1234</v>
      </c>
      <c r="AV1365" s="83">
        <v>24.2</v>
      </c>
      <c r="AW1365" s="83">
        <v>22</v>
      </c>
      <c r="AX1365" s="83" t="s">
        <v>1253</v>
      </c>
      <c r="BB1365" s="83">
        <v>1.34</v>
      </c>
      <c r="BC1365" s="83">
        <v>1.32</v>
      </c>
      <c r="CF1365" s="83">
        <v>17.28</v>
      </c>
      <c r="CG1365" s="83">
        <v>12.91</v>
      </c>
      <c r="CH1365" s="83" t="s">
        <v>1237</v>
      </c>
      <c r="CI1365" s="83">
        <v>1.83</v>
      </c>
      <c r="CJ1365" s="83">
        <v>2.8</v>
      </c>
      <c r="CK1365" s="26" t="s">
        <v>1252</v>
      </c>
      <c r="CO1365" s="83">
        <v>72.599999999999994</v>
      </c>
      <c r="CP1365" s="83">
        <v>71.400000000000006</v>
      </c>
      <c r="DA1365" s="83">
        <v>29.6</v>
      </c>
      <c r="DB1365" s="83">
        <v>28.2</v>
      </c>
      <c r="DD1365" s="83">
        <f>24/1.42</f>
        <v>16.901408450704228</v>
      </c>
      <c r="DE1365" s="83">
        <f>24/1.42</f>
        <v>16.901408450704228</v>
      </c>
      <c r="DF1365" s="107" t="s">
        <v>1246</v>
      </c>
      <c r="EL1365" s="83" t="s">
        <v>1250</v>
      </c>
      <c r="EN1365" s="83">
        <v>61</v>
      </c>
    </row>
    <row r="1366" spans="1:144" s="83" customFormat="1" x14ac:dyDescent="0.25">
      <c r="A1366" s="83">
        <v>61</v>
      </c>
      <c r="B1366" s="83" t="s">
        <v>1228</v>
      </c>
      <c r="C1366" s="83" t="s">
        <v>1229</v>
      </c>
      <c r="D1366" s="83">
        <v>2003</v>
      </c>
      <c r="E1366" s="83">
        <v>2001</v>
      </c>
      <c r="F1366" s="83" t="s">
        <v>1230</v>
      </c>
      <c r="G1366" s="83" t="s">
        <v>1232</v>
      </c>
      <c r="H1366" s="83">
        <v>40.299999999999997</v>
      </c>
      <c r="I1366" s="83">
        <v>-86.9</v>
      </c>
      <c r="J1366" s="83">
        <v>221</v>
      </c>
      <c r="M1366" s="26">
        <v>910</v>
      </c>
      <c r="P1366" s="84" t="s">
        <v>187</v>
      </c>
      <c r="Q1366" s="84" t="s">
        <v>1161</v>
      </c>
      <c r="R1366" s="84" t="s">
        <v>1236</v>
      </c>
      <c r="S1366" s="84" t="s">
        <v>657</v>
      </c>
      <c r="T1366" s="83">
        <v>1.42</v>
      </c>
      <c r="W1366" s="83" t="s">
        <v>175</v>
      </c>
      <c r="AA1366" s="83" t="s">
        <v>1690</v>
      </c>
      <c r="AB1366" s="83" t="s">
        <v>613</v>
      </c>
      <c r="AC1366" s="83" t="s">
        <v>219</v>
      </c>
      <c r="AD1366" s="83" t="s">
        <v>1251</v>
      </c>
      <c r="AE1366" s="83" t="s">
        <v>1251</v>
      </c>
      <c r="AF1366" s="83" t="s">
        <v>252</v>
      </c>
      <c r="AG1366" s="83" t="s">
        <v>217</v>
      </c>
      <c r="AH1366" s="83" t="s">
        <v>217</v>
      </c>
      <c r="AI1366" s="83" t="s">
        <v>252</v>
      </c>
      <c r="AM1366" s="83" t="s">
        <v>222</v>
      </c>
      <c r="AN1366" s="83">
        <v>4</v>
      </c>
      <c r="AO1366" s="83">
        <v>4</v>
      </c>
      <c r="AP1366" s="83" t="s">
        <v>184</v>
      </c>
      <c r="AR1366" s="83">
        <v>413</v>
      </c>
      <c r="AT1366" s="83" t="s">
        <v>1233</v>
      </c>
      <c r="AV1366" s="83">
        <v>24.7</v>
      </c>
      <c r="AW1366" s="83">
        <v>34.4</v>
      </c>
      <c r="AX1366" s="83" t="s">
        <v>1253</v>
      </c>
      <c r="BB1366" s="83">
        <v>1.57</v>
      </c>
      <c r="BC1366" s="83">
        <v>1.49</v>
      </c>
      <c r="CF1366" s="83">
        <v>5.5</v>
      </c>
      <c r="CG1366" s="83">
        <v>6.06</v>
      </c>
      <c r="CH1366" s="83" t="s">
        <v>1237</v>
      </c>
      <c r="CI1366" s="83">
        <v>2</v>
      </c>
      <c r="CJ1366" s="83">
        <v>2.2200000000000002</v>
      </c>
      <c r="CK1366" s="26" t="s">
        <v>1252</v>
      </c>
      <c r="DA1366" s="83">
        <v>28.6</v>
      </c>
      <c r="DB1366" s="83">
        <v>27.8</v>
      </c>
      <c r="DD1366" s="83">
        <f>29.9/1.42</f>
        <v>21.056338028169016</v>
      </c>
      <c r="DE1366" s="83">
        <f>30.7/1.42</f>
        <v>21.619718309859156</v>
      </c>
      <c r="DF1366" s="107" t="s">
        <v>1246</v>
      </c>
      <c r="EL1366" s="83" t="s">
        <v>1250</v>
      </c>
      <c r="EN1366" s="83">
        <v>61</v>
      </c>
    </row>
    <row r="1367" spans="1:144" s="83" customFormat="1" x14ac:dyDescent="0.25">
      <c r="A1367" s="83">
        <v>61</v>
      </c>
      <c r="B1367" s="83" t="s">
        <v>1228</v>
      </c>
      <c r="C1367" s="83" t="s">
        <v>1229</v>
      </c>
      <c r="D1367" s="83">
        <v>2003</v>
      </c>
      <c r="E1367" s="83">
        <v>2001</v>
      </c>
      <c r="F1367" s="83" t="s">
        <v>1230</v>
      </c>
      <c r="G1367" s="83" t="s">
        <v>1232</v>
      </c>
      <c r="H1367" s="83">
        <v>40.299999999999997</v>
      </c>
      <c r="I1367" s="83">
        <v>-86.9</v>
      </c>
      <c r="J1367" s="83">
        <v>221</v>
      </c>
      <c r="M1367" s="26">
        <v>910</v>
      </c>
      <c r="P1367" s="84" t="s">
        <v>187</v>
      </c>
      <c r="Q1367" s="84" t="s">
        <v>1161</v>
      </c>
      <c r="R1367" s="84" t="s">
        <v>1236</v>
      </c>
      <c r="S1367" s="84" t="s">
        <v>657</v>
      </c>
      <c r="T1367" s="83">
        <v>1.42</v>
      </c>
      <c r="W1367" s="83" t="s">
        <v>175</v>
      </c>
      <c r="AA1367" s="83" t="s">
        <v>1690</v>
      </c>
      <c r="AB1367" s="83" t="s">
        <v>613</v>
      </c>
      <c r="AC1367" s="83" t="s">
        <v>174</v>
      </c>
      <c r="AD1367" s="83" t="s">
        <v>1251</v>
      </c>
      <c r="AE1367" s="83" t="s">
        <v>1251</v>
      </c>
      <c r="AF1367" s="83" t="s">
        <v>252</v>
      </c>
      <c r="AG1367" s="83" t="s">
        <v>217</v>
      </c>
      <c r="AH1367" s="83" t="s">
        <v>217</v>
      </c>
      <c r="AI1367" s="83" t="s">
        <v>252</v>
      </c>
      <c r="AM1367" s="83" t="s">
        <v>222</v>
      </c>
      <c r="AN1367" s="83">
        <v>4</v>
      </c>
      <c r="AO1367" s="83">
        <v>4</v>
      </c>
      <c r="AP1367" s="83" t="s">
        <v>184</v>
      </c>
      <c r="AR1367" s="83">
        <v>1509</v>
      </c>
      <c r="AT1367" s="83" t="s">
        <v>1234</v>
      </c>
      <c r="AV1367" s="83">
        <v>24.7</v>
      </c>
      <c r="AW1367" s="83">
        <v>24.8</v>
      </c>
      <c r="AX1367" s="83" t="s">
        <v>1253</v>
      </c>
      <c r="BB1367" s="83">
        <v>1.57</v>
      </c>
      <c r="BC1367" s="83">
        <v>1.52</v>
      </c>
      <c r="CF1367" s="83">
        <v>5.5</v>
      </c>
      <c r="CG1367" s="83">
        <v>5.55</v>
      </c>
      <c r="CH1367" s="83" t="s">
        <v>1237</v>
      </c>
      <c r="CI1367" s="83">
        <v>2</v>
      </c>
      <c r="CJ1367" s="83">
        <v>1.72</v>
      </c>
      <c r="CK1367" s="26" t="s">
        <v>1252</v>
      </c>
      <c r="DA1367" s="83">
        <v>28.6</v>
      </c>
      <c r="DB1367" s="83">
        <v>28</v>
      </c>
      <c r="DD1367" s="83">
        <f>29.9/1.42</f>
        <v>21.056338028169016</v>
      </c>
      <c r="DE1367" s="83">
        <f>34.4/1.42</f>
        <v>24.225352112676056</v>
      </c>
      <c r="DF1367" s="107" t="s">
        <v>1246</v>
      </c>
      <c r="EL1367" s="83" t="s">
        <v>1250</v>
      </c>
      <c r="EN1367" s="83">
        <v>61</v>
      </c>
    </row>
    <row r="1368" spans="1:144" s="35" customFormat="1" x14ac:dyDescent="0.25">
      <c r="A1368" s="35">
        <v>61</v>
      </c>
      <c r="B1368" s="35" t="s">
        <v>1228</v>
      </c>
      <c r="C1368" s="35" t="s">
        <v>1229</v>
      </c>
      <c r="D1368" s="35">
        <v>2003</v>
      </c>
      <c r="E1368" s="35">
        <v>2002</v>
      </c>
      <c r="F1368" s="35" t="s">
        <v>1230</v>
      </c>
      <c r="G1368" s="35" t="s">
        <v>1231</v>
      </c>
      <c r="H1368" s="35">
        <v>38.74</v>
      </c>
      <c r="I1368" s="35">
        <v>-87.49</v>
      </c>
      <c r="J1368" s="35">
        <v>130</v>
      </c>
      <c r="M1368" s="35">
        <v>1420</v>
      </c>
      <c r="P1368" s="54" t="s">
        <v>188</v>
      </c>
      <c r="Q1368" s="54" t="s">
        <v>1161</v>
      </c>
      <c r="R1368" s="54" t="s">
        <v>1235</v>
      </c>
      <c r="S1368" s="54" t="s">
        <v>657</v>
      </c>
      <c r="T1368" s="35">
        <v>1.44</v>
      </c>
      <c r="W1368" s="35" t="s">
        <v>175</v>
      </c>
      <c r="AA1368" s="35" t="s">
        <v>1690</v>
      </c>
      <c r="AB1368" s="35" t="s">
        <v>613</v>
      </c>
      <c r="AC1368" s="35" t="s">
        <v>219</v>
      </c>
      <c r="AD1368" s="35" t="s">
        <v>1251</v>
      </c>
      <c r="AE1368" s="35" t="s">
        <v>1251</v>
      </c>
      <c r="AF1368" s="35" t="s">
        <v>252</v>
      </c>
      <c r="AG1368" s="35" t="s">
        <v>312</v>
      </c>
      <c r="AH1368" s="35" t="s">
        <v>312</v>
      </c>
      <c r="AI1368" s="35" t="s">
        <v>252</v>
      </c>
      <c r="AM1368" s="35" t="s">
        <v>222</v>
      </c>
      <c r="AN1368" s="35">
        <v>4</v>
      </c>
      <c r="AO1368" s="35">
        <v>4</v>
      </c>
      <c r="AP1368" s="35" t="s">
        <v>184</v>
      </c>
      <c r="AT1368" s="35" t="s">
        <v>1233</v>
      </c>
      <c r="AV1368" s="35">
        <v>74.599999999999994</v>
      </c>
      <c r="AW1368" s="35">
        <v>81.5</v>
      </c>
      <c r="AX1368" s="35" t="s">
        <v>1253</v>
      </c>
      <c r="BB1368" s="35">
        <v>1.42</v>
      </c>
      <c r="BC1368" s="35">
        <v>1.37</v>
      </c>
      <c r="CC1368" s="35">
        <v>2.8</v>
      </c>
      <c r="CD1368" s="35">
        <v>2.98</v>
      </c>
      <c r="CE1368" s="35" t="s">
        <v>1239</v>
      </c>
      <c r="CI1368" s="35">
        <v>1.36</v>
      </c>
      <c r="CJ1368" s="35">
        <v>1.04</v>
      </c>
      <c r="CK1368" s="35" t="s">
        <v>1252</v>
      </c>
      <c r="DA1368" s="35">
        <v>13.1</v>
      </c>
      <c r="DB1368" s="35">
        <v>12.4</v>
      </c>
      <c r="DD1368" s="35">
        <f>32.9/1.42</f>
        <v>23.169014084507044</v>
      </c>
      <c r="DE1368" s="35">
        <f>33.6/1.42</f>
        <v>23.661971830985916</v>
      </c>
      <c r="DF1368" s="35" t="s">
        <v>1244</v>
      </c>
      <c r="EL1368" s="35" t="s">
        <v>1250</v>
      </c>
      <c r="EN1368" s="35">
        <v>61</v>
      </c>
    </row>
    <row r="1369" spans="1:144" s="35" customFormat="1" x14ac:dyDescent="0.25">
      <c r="A1369" s="35">
        <v>61</v>
      </c>
      <c r="B1369" s="35" t="s">
        <v>1228</v>
      </c>
      <c r="C1369" s="35" t="s">
        <v>1229</v>
      </c>
      <c r="D1369" s="35">
        <v>2003</v>
      </c>
      <c r="E1369" s="35">
        <v>2002</v>
      </c>
      <c r="F1369" s="35" t="s">
        <v>1230</v>
      </c>
      <c r="G1369" s="35" t="s">
        <v>1231</v>
      </c>
      <c r="H1369" s="35">
        <v>38.74</v>
      </c>
      <c r="I1369" s="35">
        <v>-87.49</v>
      </c>
      <c r="J1369" s="35">
        <v>130</v>
      </c>
      <c r="M1369" s="35">
        <v>1420</v>
      </c>
      <c r="P1369" s="54" t="s">
        <v>188</v>
      </c>
      <c r="Q1369" s="54" t="s">
        <v>1161</v>
      </c>
      <c r="R1369" s="54" t="s">
        <v>1235</v>
      </c>
      <c r="S1369" s="54" t="s">
        <v>657</v>
      </c>
      <c r="T1369" s="35">
        <v>1.44</v>
      </c>
      <c r="W1369" s="35" t="s">
        <v>175</v>
      </c>
      <c r="AA1369" s="35" t="s">
        <v>1690</v>
      </c>
      <c r="AB1369" s="35" t="s">
        <v>613</v>
      </c>
      <c r="AC1369" s="35" t="s">
        <v>174</v>
      </c>
      <c r="AD1369" s="35" t="s">
        <v>1251</v>
      </c>
      <c r="AE1369" s="35" t="s">
        <v>1251</v>
      </c>
      <c r="AF1369" s="35" t="s">
        <v>252</v>
      </c>
      <c r="AG1369" s="35" t="s">
        <v>312</v>
      </c>
      <c r="AH1369" s="35" t="s">
        <v>312</v>
      </c>
      <c r="AI1369" s="35" t="s">
        <v>252</v>
      </c>
      <c r="AM1369" s="35" t="s">
        <v>222</v>
      </c>
      <c r="AN1369" s="35">
        <v>4</v>
      </c>
      <c r="AO1369" s="35">
        <v>4</v>
      </c>
      <c r="AP1369" s="35" t="s">
        <v>184</v>
      </c>
      <c r="AT1369" s="35" t="s">
        <v>1234</v>
      </c>
      <c r="AV1369" s="35">
        <v>74.599999999999994</v>
      </c>
      <c r="AW1369" s="35">
        <v>76.599999999999994</v>
      </c>
      <c r="AX1369" s="35" t="s">
        <v>1253</v>
      </c>
      <c r="BB1369" s="35">
        <v>1.42</v>
      </c>
      <c r="BC1369" s="35">
        <v>1.35</v>
      </c>
      <c r="CC1369" s="35">
        <v>2.8</v>
      </c>
      <c r="CD1369" s="35">
        <v>3.41</v>
      </c>
      <c r="CE1369" s="35" t="s">
        <v>1239</v>
      </c>
      <c r="CI1369" s="35">
        <v>1.36</v>
      </c>
      <c r="CJ1369" s="35">
        <v>1.31</v>
      </c>
      <c r="CK1369" s="35" t="s">
        <v>1252</v>
      </c>
      <c r="DA1369" s="35">
        <v>13.1</v>
      </c>
      <c r="DB1369" s="35">
        <v>12.2</v>
      </c>
      <c r="DD1369" s="35">
        <f>32.9/1.42</f>
        <v>23.169014084507044</v>
      </c>
      <c r="DE1369" s="35">
        <f>36.3/1.42</f>
        <v>25.56338028169014</v>
      </c>
      <c r="DF1369" s="35" t="s">
        <v>1244</v>
      </c>
      <c r="EL1369" s="35" t="s">
        <v>1250</v>
      </c>
      <c r="EN1369" s="35">
        <v>61</v>
      </c>
    </row>
    <row r="1370" spans="1:144" s="35" customFormat="1" x14ac:dyDescent="0.25">
      <c r="A1370" s="35">
        <v>61</v>
      </c>
      <c r="B1370" s="35" t="s">
        <v>1228</v>
      </c>
      <c r="C1370" s="35" t="s">
        <v>1229</v>
      </c>
      <c r="D1370" s="35">
        <v>2003</v>
      </c>
      <c r="E1370" s="35">
        <v>2002</v>
      </c>
      <c r="F1370" s="35" t="s">
        <v>1230</v>
      </c>
      <c r="G1370" s="35" t="s">
        <v>1231</v>
      </c>
      <c r="H1370" s="35">
        <v>38.74</v>
      </c>
      <c r="I1370" s="35">
        <v>-87.49</v>
      </c>
      <c r="J1370" s="35">
        <v>130</v>
      </c>
      <c r="M1370" s="35">
        <v>1420</v>
      </c>
      <c r="P1370" s="54" t="s">
        <v>188</v>
      </c>
      <c r="Q1370" s="54" t="s">
        <v>1161</v>
      </c>
      <c r="R1370" s="54" t="s">
        <v>1235</v>
      </c>
      <c r="S1370" s="54" t="s">
        <v>657</v>
      </c>
      <c r="T1370" s="35">
        <v>1.44</v>
      </c>
      <c r="W1370" s="35" t="s">
        <v>175</v>
      </c>
      <c r="AA1370" s="35" t="s">
        <v>1690</v>
      </c>
      <c r="AB1370" s="35" t="s">
        <v>613</v>
      </c>
      <c r="AC1370" s="35" t="s">
        <v>219</v>
      </c>
      <c r="AD1370" s="35" t="s">
        <v>1251</v>
      </c>
      <c r="AE1370" s="35" t="s">
        <v>1251</v>
      </c>
      <c r="AF1370" s="35" t="s">
        <v>252</v>
      </c>
      <c r="AG1370" s="35" t="s">
        <v>217</v>
      </c>
      <c r="AH1370" s="35" t="s">
        <v>217</v>
      </c>
      <c r="AI1370" s="35" t="s">
        <v>252</v>
      </c>
      <c r="AM1370" s="35" t="s">
        <v>222</v>
      </c>
      <c r="AN1370" s="35">
        <v>4</v>
      </c>
      <c r="AO1370" s="35">
        <v>4</v>
      </c>
      <c r="AP1370" s="35" t="s">
        <v>184</v>
      </c>
      <c r="AT1370" s="35" t="s">
        <v>1233</v>
      </c>
      <c r="AV1370" s="35">
        <v>69.2</v>
      </c>
      <c r="AW1370" s="35">
        <v>62.6</v>
      </c>
      <c r="AX1370" s="35" t="s">
        <v>1253</v>
      </c>
      <c r="BB1370" s="35">
        <v>1.51</v>
      </c>
      <c r="BC1370" s="35">
        <v>1.49</v>
      </c>
      <c r="CC1370" s="35">
        <v>3</v>
      </c>
      <c r="CD1370" s="35">
        <v>2.86</v>
      </c>
      <c r="CE1370" s="35" t="s">
        <v>1239</v>
      </c>
      <c r="CF1370" s="35">
        <v>39.57</v>
      </c>
      <c r="CG1370" s="35">
        <v>41.08</v>
      </c>
      <c r="CH1370" s="35" t="s">
        <v>1237</v>
      </c>
      <c r="CI1370" s="35">
        <v>2.5099999999999998</v>
      </c>
      <c r="CJ1370" s="35">
        <v>2.69</v>
      </c>
      <c r="CK1370" s="35" t="s">
        <v>1252</v>
      </c>
      <c r="DA1370" s="35">
        <v>12.9</v>
      </c>
      <c r="DB1370" s="35">
        <v>12.3</v>
      </c>
      <c r="DD1370" s="35">
        <f>32.2/1.42</f>
        <v>22.676056338028172</v>
      </c>
      <c r="DE1370" s="35">
        <f>33.3/1.42</f>
        <v>23.450704225352112</v>
      </c>
      <c r="DF1370" s="35" t="s">
        <v>1244</v>
      </c>
      <c r="EL1370" s="35" t="s">
        <v>1250</v>
      </c>
      <c r="EN1370" s="35">
        <v>61</v>
      </c>
    </row>
    <row r="1371" spans="1:144" s="35" customFormat="1" x14ac:dyDescent="0.25">
      <c r="A1371" s="35">
        <v>61</v>
      </c>
      <c r="B1371" s="35" t="s">
        <v>1228</v>
      </c>
      <c r="C1371" s="35" t="s">
        <v>1229</v>
      </c>
      <c r="D1371" s="35">
        <v>2003</v>
      </c>
      <c r="E1371" s="35">
        <v>2002</v>
      </c>
      <c r="F1371" s="35" t="s">
        <v>1230</v>
      </c>
      <c r="G1371" s="35" t="s">
        <v>1231</v>
      </c>
      <c r="H1371" s="35">
        <v>38.74</v>
      </c>
      <c r="I1371" s="35">
        <v>-87.49</v>
      </c>
      <c r="J1371" s="35">
        <v>130</v>
      </c>
      <c r="M1371" s="35">
        <v>1420</v>
      </c>
      <c r="P1371" s="54" t="s">
        <v>188</v>
      </c>
      <c r="Q1371" s="54" t="s">
        <v>1161</v>
      </c>
      <c r="R1371" s="54" t="s">
        <v>1235</v>
      </c>
      <c r="S1371" s="54" t="s">
        <v>657</v>
      </c>
      <c r="T1371" s="35">
        <v>1.44</v>
      </c>
      <c r="W1371" s="35" t="s">
        <v>175</v>
      </c>
      <c r="AA1371" s="35" t="s">
        <v>1690</v>
      </c>
      <c r="AB1371" s="35" t="s">
        <v>613</v>
      </c>
      <c r="AC1371" s="35" t="s">
        <v>174</v>
      </c>
      <c r="AD1371" s="35" t="s">
        <v>1251</v>
      </c>
      <c r="AE1371" s="35" t="s">
        <v>1251</v>
      </c>
      <c r="AF1371" s="35" t="s">
        <v>252</v>
      </c>
      <c r="AG1371" s="35" t="s">
        <v>217</v>
      </c>
      <c r="AH1371" s="35" t="s">
        <v>217</v>
      </c>
      <c r="AI1371" s="35" t="s">
        <v>252</v>
      </c>
      <c r="AM1371" s="35" t="s">
        <v>222</v>
      </c>
      <c r="AN1371" s="35">
        <v>4</v>
      </c>
      <c r="AO1371" s="35">
        <v>4</v>
      </c>
      <c r="AP1371" s="35" t="s">
        <v>184</v>
      </c>
      <c r="AT1371" s="35" t="s">
        <v>1234</v>
      </c>
      <c r="AV1371" s="35">
        <v>69.2</v>
      </c>
      <c r="AW1371" s="35">
        <v>68.099999999999994</v>
      </c>
      <c r="AX1371" s="35" t="s">
        <v>1253</v>
      </c>
      <c r="BB1371" s="35">
        <v>1.51</v>
      </c>
      <c r="BC1371" s="35">
        <v>1.46</v>
      </c>
      <c r="CC1371" s="35">
        <v>3</v>
      </c>
      <c r="CD1371" s="35">
        <v>3.22</v>
      </c>
      <c r="CE1371" s="35" t="s">
        <v>1239</v>
      </c>
      <c r="CF1371" s="35">
        <v>39.57</v>
      </c>
      <c r="CG1371" s="35">
        <v>39.049999999999997</v>
      </c>
      <c r="CH1371" s="35" t="s">
        <v>1237</v>
      </c>
      <c r="CI1371" s="35">
        <v>2.5099999999999998</v>
      </c>
      <c r="CJ1371" s="35">
        <v>2.4</v>
      </c>
      <c r="CK1371" s="35" t="s">
        <v>1252</v>
      </c>
      <c r="DA1371" s="35">
        <v>12.9</v>
      </c>
      <c r="DB1371" s="35">
        <v>12.3</v>
      </c>
      <c r="DD1371" s="35">
        <f>32.2/1.42</f>
        <v>22.676056338028172</v>
      </c>
      <c r="DE1371" s="35">
        <f>34.8/1.42</f>
        <v>24.507042253521124</v>
      </c>
      <c r="DF1371" s="35" t="s">
        <v>1244</v>
      </c>
      <c r="EL1371" s="35" t="s">
        <v>1250</v>
      </c>
      <c r="EN1371" s="35">
        <v>61</v>
      </c>
    </row>
    <row r="1372" spans="1:144" s="35" customFormat="1" x14ac:dyDescent="0.25">
      <c r="A1372" s="35">
        <v>61</v>
      </c>
      <c r="B1372" s="35" t="s">
        <v>1228</v>
      </c>
      <c r="C1372" s="35" t="s">
        <v>1229</v>
      </c>
      <c r="D1372" s="35">
        <v>2003</v>
      </c>
      <c r="E1372" s="35">
        <v>2002</v>
      </c>
      <c r="F1372" s="35" t="s">
        <v>1230</v>
      </c>
      <c r="G1372" s="35" t="s">
        <v>1231</v>
      </c>
      <c r="H1372" s="35">
        <v>38.74</v>
      </c>
      <c r="I1372" s="35">
        <v>-87.49</v>
      </c>
      <c r="J1372" s="35">
        <v>130</v>
      </c>
      <c r="M1372" s="35">
        <v>1420</v>
      </c>
      <c r="P1372" s="54" t="s">
        <v>188</v>
      </c>
      <c r="Q1372" s="54" t="s">
        <v>1161</v>
      </c>
      <c r="R1372" s="54" t="s">
        <v>1236</v>
      </c>
      <c r="S1372" s="54" t="s">
        <v>657</v>
      </c>
      <c r="T1372" s="35">
        <v>1.44</v>
      </c>
      <c r="W1372" s="35" t="s">
        <v>175</v>
      </c>
      <c r="AA1372" s="35" t="s">
        <v>1690</v>
      </c>
      <c r="AB1372" s="35" t="s">
        <v>613</v>
      </c>
      <c r="AC1372" s="35" t="s">
        <v>219</v>
      </c>
      <c r="AD1372" s="35" t="s">
        <v>1251</v>
      </c>
      <c r="AE1372" s="35" t="s">
        <v>1251</v>
      </c>
      <c r="AF1372" s="35" t="s">
        <v>252</v>
      </c>
      <c r="AG1372" s="35" t="s">
        <v>312</v>
      </c>
      <c r="AH1372" s="35" t="s">
        <v>312</v>
      </c>
      <c r="AI1372" s="35" t="s">
        <v>252</v>
      </c>
      <c r="AM1372" s="35" t="s">
        <v>222</v>
      </c>
      <c r="AN1372" s="35">
        <v>4</v>
      </c>
      <c r="AO1372" s="35">
        <v>4</v>
      </c>
      <c r="AP1372" s="35" t="s">
        <v>184</v>
      </c>
      <c r="AR1372" s="35">
        <v>927</v>
      </c>
      <c r="AT1372" s="35" t="s">
        <v>1233</v>
      </c>
      <c r="AV1372" s="35">
        <v>46.7</v>
      </c>
      <c r="AW1372" s="35">
        <v>50.6</v>
      </c>
      <c r="AX1372" s="35" t="s">
        <v>1253</v>
      </c>
      <c r="CC1372" s="35">
        <v>3.37</v>
      </c>
      <c r="CD1372" s="35">
        <v>3.21</v>
      </c>
      <c r="CE1372" s="35" t="s">
        <v>1239</v>
      </c>
      <c r="CI1372" s="35">
        <v>2.1</v>
      </c>
      <c r="CJ1372" s="35">
        <v>1.95</v>
      </c>
      <c r="CK1372" s="35" t="s">
        <v>1252</v>
      </c>
      <c r="DA1372" s="35">
        <v>18.100000000000001</v>
      </c>
      <c r="DB1372" s="35">
        <v>17.2</v>
      </c>
      <c r="DD1372" s="35">
        <f>32.7/1.42</f>
        <v>23.028169014084511</v>
      </c>
      <c r="DE1372" s="35">
        <f>34.2/1.42</f>
        <v>24.084507042253524</v>
      </c>
      <c r="DF1372" s="35" t="s">
        <v>1247</v>
      </c>
      <c r="EL1372" s="35" t="s">
        <v>1250</v>
      </c>
      <c r="EN1372" s="35">
        <v>61</v>
      </c>
    </row>
    <row r="1373" spans="1:144" s="35" customFormat="1" x14ac:dyDescent="0.25">
      <c r="A1373" s="35">
        <v>61</v>
      </c>
      <c r="B1373" s="35" t="s">
        <v>1228</v>
      </c>
      <c r="C1373" s="35" t="s">
        <v>1229</v>
      </c>
      <c r="D1373" s="35">
        <v>2003</v>
      </c>
      <c r="E1373" s="35">
        <v>2002</v>
      </c>
      <c r="F1373" s="35" t="s">
        <v>1230</v>
      </c>
      <c r="G1373" s="35" t="s">
        <v>1231</v>
      </c>
      <c r="H1373" s="35">
        <v>38.74</v>
      </c>
      <c r="I1373" s="35">
        <v>-87.49</v>
      </c>
      <c r="J1373" s="35">
        <v>130</v>
      </c>
      <c r="M1373" s="35">
        <v>1420</v>
      </c>
      <c r="P1373" s="54" t="s">
        <v>188</v>
      </c>
      <c r="Q1373" s="54" t="s">
        <v>1161</v>
      </c>
      <c r="R1373" s="54" t="s">
        <v>1236</v>
      </c>
      <c r="S1373" s="54" t="s">
        <v>657</v>
      </c>
      <c r="T1373" s="35">
        <v>1.44</v>
      </c>
      <c r="W1373" s="35" t="s">
        <v>175</v>
      </c>
      <c r="AA1373" s="35" t="s">
        <v>1690</v>
      </c>
      <c r="AB1373" s="35" t="s">
        <v>613</v>
      </c>
      <c r="AC1373" s="35" t="s">
        <v>174</v>
      </c>
      <c r="AD1373" s="35" t="s">
        <v>1251</v>
      </c>
      <c r="AE1373" s="35" t="s">
        <v>1251</v>
      </c>
      <c r="AF1373" s="35" t="s">
        <v>252</v>
      </c>
      <c r="AG1373" s="35" t="s">
        <v>312</v>
      </c>
      <c r="AH1373" s="35" t="s">
        <v>312</v>
      </c>
      <c r="AI1373" s="35" t="s">
        <v>252</v>
      </c>
      <c r="AM1373" s="35" t="s">
        <v>222</v>
      </c>
      <c r="AN1373" s="35">
        <v>4</v>
      </c>
      <c r="AO1373" s="35">
        <v>4</v>
      </c>
      <c r="AP1373" s="35" t="s">
        <v>184</v>
      </c>
      <c r="AR1373" s="35">
        <v>1515</v>
      </c>
      <c r="AT1373" s="35" t="s">
        <v>1234</v>
      </c>
      <c r="AV1373" s="35">
        <v>46.7</v>
      </c>
      <c r="AW1373" s="35">
        <v>50.5</v>
      </c>
      <c r="AX1373" s="35" t="s">
        <v>1253</v>
      </c>
      <c r="CC1373" s="35">
        <v>3.37</v>
      </c>
      <c r="CD1373" s="35">
        <v>3.61</v>
      </c>
      <c r="CE1373" s="35" t="s">
        <v>1239</v>
      </c>
      <c r="CI1373" s="35">
        <v>2.1</v>
      </c>
      <c r="CJ1373" s="35">
        <v>2.27</v>
      </c>
      <c r="CK1373" s="35" t="s">
        <v>1252</v>
      </c>
      <c r="DA1373" s="35">
        <v>18.100000000000001</v>
      </c>
      <c r="DB1373" s="35">
        <v>16</v>
      </c>
      <c r="DD1373" s="35">
        <f>32.7/1.42</f>
        <v>23.028169014084511</v>
      </c>
      <c r="DE1373" s="35">
        <f>36.6/1.42</f>
        <v>25.774647887323948</v>
      </c>
      <c r="DF1373" s="35" t="s">
        <v>1247</v>
      </c>
      <c r="EL1373" s="35" t="s">
        <v>1250</v>
      </c>
      <c r="EN1373" s="35">
        <v>61</v>
      </c>
    </row>
    <row r="1374" spans="1:144" s="35" customFormat="1" x14ac:dyDescent="0.25">
      <c r="A1374" s="35">
        <v>61</v>
      </c>
      <c r="B1374" s="35" t="s">
        <v>1228</v>
      </c>
      <c r="C1374" s="35" t="s">
        <v>1229</v>
      </c>
      <c r="D1374" s="35">
        <v>2003</v>
      </c>
      <c r="E1374" s="35">
        <v>2002</v>
      </c>
      <c r="F1374" s="35" t="s">
        <v>1230</v>
      </c>
      <c r="G1374" s="35" t="s">
        <v>1231</v>
      </c>
      <c r="H1374" s="35">
        <v>38.74</v>
      </c>
      <c r="I1374" s="35">
        <v>-87.49</v>
      </c>
      <c r="J1374" s="35">
        <v>130</v>
      </c>
      <c r="M1374" s="35">
        <v>1420</v>
      </c>
      <c r="P1374" s="54" t="s">
        <v>188</v>
      </c>
      <c r="Q1374" s="54" t="s">
        <v>1161</v>
      </c>
      <c r="R1374" s="54" t="s">
        <v>1236</v>
      </c>
      <c r="S1374" s="54" t="s">
        <v>657</v>
      </c>
      <c r="T1374" s="35">
        <v>1.44</v>
      </c>
      <c r="W1374" s="35" t="s">
        <v>175</v>
      </c>
      <c r="AA1374" s="35" t="s">
        <v>1690</v>
      </c>
      <c r="AB1374" s="35" t="s">
        <v>613</v>
      </c>
      <c r="AC1374" s="35" t="s">
        <v>219</v>
      </c>
      <c r="AD1374" s="35" t="s">
        <v>1251</v>
      </c>
      <c r="AE1374" s="35" t="s">
        <v>1251</v>
      </c>
      <c r="AF1374" s="35" t="s">
        <v>252</v>
      </c>
      <c r="AG1374" s="35" t="s">
        <v>217</v>
      </c>
      <c r="AH1374" s="35" t="s">
        <v>217</v>
      </c>
      <c r="AI1374" s="35" t="s">
        <v>252</v>
      </c>
      <c r="AM1374" s="35" t="s">
        <v>222</v>
      </c>
      <c r="AN1374" s="35">
        <v>4</v>
      </c>
      <c r="AO1374" s="35">
        <v>4</v>
      </c>
      <c r="AP1374" s="35" t="s">
        <v>184</v>
      </c>
      <c r="AR1374" s="35">
        <v>1233</v>
      </c>
      <c r="AT1374" s="35" t="s">
        <v>1233</v>
      </c>
      <c r="AV1374" s="35">
        <v>47.5</v>
      </c>
      <c r="AW1374" s="35">
        <v>52.8</v>
      </c>
      <c r="AX1374" s="35" t="s">
        <v>1253</v>
      </c>
      <c r="BB1374" s="35">
        <v>1.6</v>
      </c>
      <c r="BC1374" s="35">
        <v>1.56</v>
      </c>
      <c r="CC1374" s="35">
        <v>3.17</v>
      </c>
      <c r="CD1374" s="35">
        <v>3.15</v>
      </c>
      <c r="CE1374" s="35" t="s">
        <v>1239</v>
      </c>
      <c r="CF1374" s="35">
        <v>7.22</v>
      </c>
      <c r="CG1374" s="35">
        <v>8.42</v>
      </c>
      <c r="CH1374" s="35" t="s">
        <v>1237</v>
      </c>
      <c r="CI1374" s="35">
        <v>2.66</v>
      </c>
      <c r="CJ1374" s="35">
        <v>2.76</v>
      </c>
      <c r="CK1374" s="35" t="s">
        <v>1252</v>
      </c>
      <c r="DA1374" s="35">
        <v>18.100000000000001</v>
      </c>
      <c r="DB1374" s="35">
        <v>17</v>
      </c>
      <c r="DD1374" s="35">
        <f>30.3/1.42</f>
        <v>21.338028169014088</v>
      </c>
      <c r="DE1374" s="35">
        <f>32.1/1.42</f>
        <v>22.605633802816904</v>
      </c>
      <c r="DF1374" s="35" t="s">
        <v>1247</v>
      </c>
      <c r="EL1374" s="35" t="s">
        <v>1250</v>
      </c>
      <c r="EN1374" s="35">
        <v>61</v>
      </c>
    </row>
    <row r="1375" spans="1:144" s="35" customFormat="1" x14ac:dyDescent="0.25">
      <c r="A1375" s="35">
        <v>61</v>
      </c>
      <c r="B1375" s="35" t="s">
        <v>1228</v>
      </c>
      <c r="C1375" s="35" t="s">
        <v>1229</v>
      </c>
      <c r="D1375" s="35">
        <v>2003</v>
      </c>
      <c r="E1375" s="35">
        <v>2002</v>
      </c>
      <c r="F1375" s="35" t="s">
        <v>1230</v>
      </c>
      <c r="G1375" s="35" t="s">
        <v>1231</v>
      </c>
      <c r="H1375" s="35">
        <v>38.74</v>
      </c>
      <c r="I1375" s="35">
        <v>-87.49</v>
      </c>
      <c r="J1375" s="35">
        <v>130</v>
      </c>
      <c r="M1375" s="35">
        <v>1420</v>
      </c>
      <c r="P1375" s="54" t="s">
        <v>188</v>
      </c>
      <c r="Q1375" s="54" t="s">
        <v>1161</v>
      </c>
      <c r="R1375" s="54" t="s">
        <v>1236</v>
      </c>
      <c r="S1375" s="54" t="s">
        <v>657</v>
      </c>
      <c r="T1375" s="35">
        <v>1.44</v>
      </c>
      <c r="W1375" s="35" t="s">
        <v>175</v>
      </c>
      <c r="AA1375" s="35" t="s">
        <v>1690</v>
      </c>
      <c r="AB1375" s="35" t="s">
        <v>613</v>
      </c>
      <c r="AC1375" s="35" t="s">
        <v>174</v>
      </c>
      <c r="AD1375" s="35" t="s">
        <v>1251</v>
      </c>
      <c r="AE1375" s="35" t="s">
        <v>1251</v>
      </c>
      <c r="AF1375" s="35" t="s">
        <v>252</v>
      </c>
      <c r="AG1375" s="35" t="s">
        <v>217</v>
      </c>
      <c r="AH1375" s="35" t="s">
        <v>217</v>
      </c>
      <c r="AI1375" s="35" t="s">
        <v>252</v>
      </c>
      <c r="AM1375" s="35" t="s">
        <v>222</v>
      </c>
      <c r="AN1375" s="35">
        <v>4</v>
      </c>
      <c r="AO1375" s="35">
        <v>4</v>
      </c>
      <c r="AP1375" s="35" t="s">
        <v>184</v>
      </c>
      <c r="AR1375" s="35">
        <v>1381</v>
      </c>
      <c r="AT1375" s="35" t="s">
        <v>1234</v>
      </c>
      <c r="AV1375" s="35">
        <v>47.5</v>
      </c>
      <c r="AW1375" s="35">
        <v>56.8</v>
      </c>
      <c r="AX1375" s="35" t="s">
        <v>1253</v>
      </c>
      <c r="BB1375" s="35">
        <v>1.6</v>
      </c>
      <c r="BC1375" s="35">
        <v>1.6</v>
      </c>
      <c r="CC1375" s="35">
        <v>3.17</v>
      </c>
      <c r="CD1375" s="35">
        <v>3.29</v>
      </c>
      <c r="CE1375" s="35" t="s">
        <v>1239</v>
      </c>
      <c r="CF1375" s="35">
        <v>7.22</v>
      </c>
      <c r="CG1375" s="35">
        <v>6.85</v>
      </c>
      <c r="CH1375" s="35" t="s">
        <v>1237</v>
      </c>
      <c r="CI1375" s="35">
        <v>2.66</v>
      </c>
      <c r="CJ1375" s="35">
        <v>2.5499999999999998</v>
      </c>
      <c r="CK1375" s="35" t="s">
        <v>1252</v>
      </c>
      <c r="DA1375" s="35">
        <v>18.100000000000001</v>
      </c>
      <c r="DB1375" s="35">
        <v>16.2</v>
      </c>
      <c r="DD1375" s="35">
        <f>30.3/1.42</f>
        <v>21.338028169014088</v>
      </c>
      <c r="DE1375" s="35">
        <f>34.5/1.42</f>
        <v>24.295774647887324</v>
      </c>
      <c r="DF1375" s="35" t="s">
        <v>1247</v>
      </c>
      <c r="EL1375" s="35" t="s">
        <v>1250</v>
      </c>
      <c r="EN1375" s="35">
        <v>61</v>
      </c>
    </row>
    <row r="1376" spans="1:144" s="93" customFormat="1" x14ac:dyDescent="0.25">
      <c r="A1376" s="93">
        <v>61</v>
      </c>
      <c r="B1376" s="93" t="s">
        <v>1228</v>
      </c>
      <c r="C1376" s="93" t="s">
        <v>1229</v>
      </c>
      <c r="D1376" s="93">
        <v>2003</v>
      </c>
      <c r="E1376" s="93">
        <v>2002</v>
      </c>
      <c r="F1376" s="93" t="s">
        <v>1230</v>
      </c>
      <c r="G1376" s="93" t="s">
        <v>1232</v>
      </c>
      <c r="H1376" s="93">
        <v>40.299999999999997</v>
      </c>
      <c r="I1376" s="93">
        <v>-86.9</v>
      </c>
      <c r="J1376" s="93">
        <v>221</v>
      </c>
      <c r="M1376" s="35">
        <v>1118</v>
      </c>
      <c r="P1376" s="94" t="s">
        <v>188</v>
      </c>
      <c r="Q1376" s="94" t="s">
        <v>1161</v>
      </c>
      <c r="R1376" s="94" t="s">
        <v>1235</v>
      </c>
      <c r="S1376" s="94" t="s">
        <v>657</v>
      </c>
      <c r="T1376" s="93">
        <v>1.42</v>
      </c>
      <c r="W1376" s="93" t="s">
        <v>175</v>
      </c>
      <c r="AA1376" s="93" t="s">
        <v>1690</v>
      </c>
      <c r="AB1376" s="93" t="s">
        <v>613</v>
      </c>
      <c r="AC1376" s="93" t="s">
        <v>219</v>
      </c>
      <c r="AD1376" s="93" t="s">
        <v>1251</v>
      </c>
      <c r="AE1376" s="93" t="s">
        <v>1251</v>
      </c>
      <c r="AF1376" s="93" t="s">
        <v>252</v>
      </c>
      <c r="AG1376" s="93" t="s">
        <v>312</v>
      </c>
      <c r="AH1376" s="93" t="s">
        <v>312</v>
      </c>
      <c r="AI1376" s="93" t="s">
        <v>252</v>
      </c>
      <c r="AM1376" s="93" t="s">
        <v>222</v>
      </c>
      <c r="AN1376" s="93">
        <v>4</v>
      </c>
      <c r="AO1376" s="93">
        <v>4</v>
      </c>
      <c r="AP1376" s="93" t="s">
        <v>184</v>
      </c>
      <c r="AT1376" s="93" t="s">
        <v>1233</v>
      </c>
      <c r="AV1376" s="93">
        <v>78.900000000000006</v>
      </c>
      <c r="AW1376" s="93">
        <v>76.5</v>
      </c>
      <c r="AX1376" s="93" t="s">
        <v>1253</v>
      </c>
      <c r="BB1376" s="93">
        <v>1.38</v>
      </c>
      <c r="BC1376" s="93">
        <v>1.35</v>
      </c>
      <c r="CC1376" s="93">
        <v>1.9</v>
      </c>
      <c r="CD1376" s="93">
        <v>2.12</v>
      </c>
      <c r="CE1376" s="93" t="s">
        <v>1239</v>
      </c>
      <c r="CF1376" s="93">
        <v>43.26</v>
      </c>
      <c r="CG1376" s="93">
        <v>43.03</v>
      </c>
      <c r="CH1376" s="93" t="s">
        <v>1237</v>
      </c>
      <c r="CI1376" s="93">
        <v>1.52</v>
      </c>
      <c r="CJ1376" s="93">
        <v>1.52</v>
      </c>
      <c r="CK1376" s="93" t="s">
        <v>1252</v>
      </c>
      <c r="DA1376" s="93">
        <v>17.5</v>
      </c>
      <c r="DB1376" s="93">
        <v>17.600000000000001</v>
      </c>
      <c r="DD1376" s="93">
        <f>35.4/1.42</f>
        <v>24.929577464788732</v>
      </c>
      <c r="DE1376" s="93">
        <f>33/1.42</f>
        <v>23.239436619718312</v>
      </c>
      <c r="DF1376" s="93" t="s">
        <v>1248</v>
      </c>
      <c r="EL1376" s="93" t="s">
        <v>1250</v>
      </c>
      <c r="EN1376" s="93">
        <v>61</v>
      </c>
    </row>
    <row r="1377" spans="1:144" s="93" customFormat="1" x14ac:dyDescent="0.25">
      <c r="A1377" s="93">
        <v>61</v>
      </c>
      <c r="B1377" s="93" t="s">
        <v>1228</v>
      </c>
      <c r="C1377" s="93" t="s">
        <v>1229</v>
      </c>
      <c r="D1377" s="93">
        <v>2003</v>
      </c>
      <c r="E1377" s="93">
        <v>2002</v>
      </c>
      <c r="F1377" s="93" t="s">
        <v>1230</v>
      </c>
      <c r="G1377" s="93" t="s">
        <v>1232</v>
      </c>
      <c r="H1377" s="93">
        <v>40.299999999999997</v>
      </c>
      <c r="I1377" s="93">
        <v>-86.9</v>
      </c>
      <c r="J1377" s="93">
        <v>221</v>
      </c>
      <c r="M1377" s="35">
        <v>1118</v>
      </c>
      <c r="P1377" s="94" t="s">
        <v>188</v>
      </c>
      <c r="Q1377" s="94" t="s">
        <v>1161</v>
      </c>
      <c r="R1377" s="94" t="s">
        <v>1235</v>
      </c>
      <c r="S1377" s="94" t="s">
        <v>657</v>
      </c>
      <c r="T1377" s="93">
        <v>1.42</v>
      </c>
      <c r="W1377" s="93" t="s">
        <v>175</v>
      </c>
      <c r="AA1377" s="93" t="s">
        <v>1690</v>
      </c>
      <c r="AB1377" s="93" t="s">
        <v>613</v>
      </c>
      <c r="AC1377" s="93" t="s">
        <v>174</v>
      </c>
      <c r="AD1377" s="93" t="s">
        <v>1251</v>
      </c>
      <c r="AE1377" s="93" t="s">
        <v>1251</v>
      </c>
      <c r="AF1377" s="93" t="s">
        <v>252</v>
      </c>
      <c r="AG1377" s="93" t="s">
        <v>312</v>
      </c>
      <c r="AH1377" s="93" t="s">
        <v>312</v>
      </c>
      <c r="AI1377" s="93" t="s">
        <v>252</v>
      </c>
      <c r="AM1377" s="93" t="s">
        <v>222</v>
      </c>
      <c r="AN1377" s="93">
        <v>4</v>
      </c>
      <c r="AO1377" s="93">
        <v>4</v>
      </c>
      <c r="AP1377" s="93" t="s">
        <v>184</v>
      </c>
      <c r="AT1377" s="93" t="s">
        <v>1234</v>
      </c>
      <c r="AV1377" s="93">
        <v>78.900000000000006</v>
      </c>
      <c r="AW1377" s="93">
        <v>67.5</v>
      </c>
      <c r="AX1377" s="93" t="s">
        <v>1253</v>
      </c>
      <c r="BB1377" s="93">
        <v>1.38</v>
      </c>
      <c r="BC1377" s="93">
        <v>1.39</v>
      </c>
      <c r="CC1377" s="93">
        <v>1.9</v>
      </c>
      <c r="CD1377" s="93">
        <v>2.39</v>
      </c>
      <c r="CE1377" s="93" t="s">
        <v>1239</v>
      </c>
      <c r="CF1377" s="93">
        <v>43.26</v>
      </c>
      <c r="CG1377" s="93">
        <v>46.55</v>
      </c>
      <c r="CH1377" s="93" t="s">
        <v>1237</v>
      </c>
      <c r="CI1377" s="93">
        <v>1.52</v>
      </c>
      <c r="CJ1377" s="93">
        <v>1.29</v>
      </c>
      <c r="CK1377" s="93" t="s">
        <v>1252</v>
      </c>
      <c r="DA1377" s="93">
        <v>17.5</v>
      </c>
      <c r="DB1377" s="93">
        <v>17.100000000000001</v>
      </c>
      <c r="DD1377" s="93">
        <f>35.4/1.42</f>
        <v>24.929577464788732</v>
      </c>
      <c r="DE1377" s="93">
        <f>36.9/1.42</f>
        <v>25.985915492957748</v>
      </c>
      <c r="DF1377" s="93" t="s">
        <v>1248</v>
      </c>
      <c r="EL1377" s="93" t="s">
        <v>1250</v>
      </c>
      <c r="EN1377" s="93">
        <v>61</v>
      </c>
    </row>
    <row r="1378" spans="1:144" s="93" customFormat="1" x14ac:dyDescent="0.25">
      <c r="A1378" s="93">
        <v>61</v>
      </c>
      <c r="B1378" s="93" t="s">
        <v>1228</v>
      </c>
      <c r="C1378" s="93" t="s">
        <v>1229</v>
      </c>
      <c r="D1378" s="93">
        <v>2003</v>
      </c>
      <c r="E1378" s="93">
        <v>2002</v>
      </c>
      <c r="F1378" s="93" t="s">
        <v>1230</v>
      </c>
      <c r="G1378" s="93" t="s">
        <v>1232</v>
      </c>
      <c r="H1378" s="93">
        <v>40.299999999999997</v>
      </c>
      <c r="I1378" s="93">
        <v>-86.9</v>
      </c>
      <c r="J1378" s="93">
        <v>221</v>
      </c>
      <c r="M1378" s="35">
        <v>1118</v>
      </c>
      <c r="P1378" s="94" t="s">
        <v>188</v>
      </c>
      <c r="Q1378" s="94" t="s">
        <v>1161</v>
      </c>
      <c r="R1378" s="94" t="s">
        <v>1235</v>
      </c>
      <c r="S1378" s="94" t="s">
        <v>657</v>
      </c>
      <c r="T1378" s="93">
        <v>1.42</v>
      </c>
      <c r="W1378" s="93" t="s">
        <v>175</v>
      </c>
      <c r="AA1378" s="93" t="s">
        <v>1690</v>
      </c>
      <c r="AB1378" s="93" t="s">
        <v>613</v>
      </c>
      <c r="AC1378" s="93" t="s">
        <v>219</v>
      </c>
      <c r="AD1378" s="93" t="s">
        <v>1251</v>
      </c>
      <c r="AE1378" s="93" t="s">
        <v>1251</v>
      </c>
      <c r="AF1378" s="93" t="s">
        <v>252</v>
      </c>
      <c r="AG1378" s="93" t="s">
        <v>217</v>
      </c>
      <c r="AH1378" s="93" t="s">
        <v>217</v>
      </c>
      <c r="AI1378" s="93" t="s">
        <v>252</v>
      </c>
      <c r="AM1378" s="93" t="s">
        <v>222</v>
      </c>
      <c r="AN1378" s="93">
        <v>4</v>
      </c>
      <c r="AO1378" s="93">
        <v>4</v>
      </c>
      <c r="AP1378" s="93" t="s">
        <v>184</v>
      </c>
      <c r="AT1378" s="93" t="s">
        <v>1233</v>
      </c>
      <c r="AV1378" s="93">
        <v>87</v>
      </c>
      <c r="AW1378" s="93">
        <v>89.7</v>
      </c>
      <c r="AX1378" s="93" t="s">
        <v>1253</v>
      </c>
      <c r="BB1378" s="93">
        <v>1.52</v>
      </c>
      <c r="BC1378" s="93">
        <v>1.49</v>
      </c>
      <c r="CC1378" s="93">
        <v>1.63</v>
      </c>
      <c r="CD1378" s="93">
        <v>1.72</v>
      </c>
      <c r="CE1378" s="93" t="s">
        <v>1239</v>
      </c>
      <c r="CF1378" s="93">
        <v>38.43</v>
      </c>
      <c r="CG1378" s="93">
        <v>39.76</v>
      </c>
      <c r="CH1378" s="93" t="s">
        <v>1237</v>
      </c>
      <c r="CI1378" s="93">
        <v>3.12</v>
      </c>
      <c r="CJ1378" s="93">
        <v>2.86</v>
      </c>
      <c r="CK1378" s="93" t="s">
        <v>1252</v>
      </c>
      <c r="DA1378" s="93">
        <v>17.600000000000001</v>
      </c>
      <c r="DB1378" s="93">
        <v>16.600000000000001</v>
      </c>
      <c r="DD1378" s="93">
        <f>34.3/1.42</f>
        <v>24.154929577464788</v>
      </c>
      <c r="DE1378" s="93">
        <f>34.4/1.42</f>
        <v>24.225352112676056</v>
      </c>
      <c r="DF1378" s="93" t="s">
        <v>1248</v>
      </c>
      <c r="EL1378" s="93" t="s">
        <v>1250</v>
      </c>
      <c r="EN1378" s="93">
        <v>61</v>
      </c>
    </row>
    <row r="1379" spans="1:144" s="93" customFormat="1" x14ac:dyDescent="0.25">
      <c r="A1379" s="93">
        <v>61</v>
      </c>
      <c r="B1379" s="93" t="s">
        <v>1228</v>
      </c>
      <c r="C1379" s="93" t="s">
        <v>1229</v>
      </c>
      <c r="D1379" s="93">
        <v>2003</v>
      </c>
      <c r="E1379" s="93">
        <v>2002</v>
      </c>
      <c r="F1379" s="93" t="s">
        <v>1230</v>
      </c>
      <c r="G1379" s="93" t="s">
        <v>1232</v>
      </c>
      <c r="H1379" s="93">
        <v>40.299999999999997</v>
      </c>
      <c r="I1379" s="93">
        <v>-86.9</v>
      </c>
      <c r="J1379" s="93">
        <v>221</v>
      </c>
      <c r="M1379" s="35">
        <v>1118</v>
      </c>
      <c r="P1379" s="94" t="s">
        <v>188</v>
      </c>
      <c r="Q1379" s="94" t="s">
        <v>1161</v>
      </c>
      <c r="R1379" s="94" t="s">
        <v>1235</v>
      </c>
      <c r="S1379" s="94" t="s">
        <v>657</v>
      </c>
      <c r="T1379" s="93">
        <v>1.42</v>
      </c>
      <c r="W1379" s="93" t="s">
        <v>175</v>
      </c>
      <c r="AA1379" s="93" t="s">
        <v>1690</v>
      </c>
      <c r="AB1379" s="93" t="s">
        <v>613</v>
      </c>
      <c r="AC1379" s="93" t="s">
        <v>174</v>
      </c>
      <c r="AD1379" s="93" t="s">
        <v>1251</v>
      </c>
      <c r="AE1379" s="93" t="s">
        <v>1251</v>
      </c>
      <c r="AF1379" s="93" t="s">
        <v>252</v>
      </c>
      <c r="AG1379" s="93" t="s">
        <v>217</v>
      </c>
      <c r="AH1379" s="93" t="s">
        <v>217</v>
      </c>
      <c r="AI1379" s="93" t="s">
        <v>252</v>
      </c>
      <c r="AM1379" s="93" t="s">
        <v>222</v>
      </c>
      <c r="AN1379" s="93">
        <v>4</v>
      </c>
      <c r="AO1379" s="93">
        <v>4</v>
      </c>
      <c r="AP1379" s="93" t="s">
        <v>184</v>
      </c>
      <c r="AT1379" s="93" t="s">
        <v>1234</v>
      </c>
      <c r="AV1379" s="93">
        <v>87</v>
      </c>
      <c r="AW1379" s="93">
        <v>91.3</v>
      </c>
      <c r="AX1379" s="93" t="s">
        <v>1253</v>
      </c>
      <c r="BB1379" s="93">
        <v>1.52</v>
      </c>
      <c r="BC1379" s="93">
        <v>1.56</v>
      </c>
      <c r="CC1379" s="93">
        <v>1.63</v>
      </c>
      <c r="CD1379" s="93">
        <v>2.61</v>
      </c>
      <c r="CE1379" s="93" t="s">
        <v>1239</v>
      </c>
      <c r="CF1379" s="93">
        <v>38.43</v>
      </c>
      <c r="CG1379" s="93">
        <v>39.090000000000003</v>
      </c>
      <c r="CH1379" s="93" t="s">
        <v>1237</v>
      </c>
      <c r="CI1379" s="93">
        <v>3.12</v>
      </c>
      <c r="CJ1379" s="93">
        <v>2.36</v>
      </c>
      <c r="CK1379" s="93" t="s">
        <v>1252</v>
      </c>
      <c r="DA1379" s="93">
        <v>17.600000000000001</v>
      </c>
      <c r="DB1379" s="93">
        <v>15.7</v>
      </c>
      <c r="DD1379" s="93">
        <f>34.3/1.42</f>
        <v>24.154929577464788</v>
      </c>
      <c r="DE1379" s="93">
        <f>35.9/1.42</f>
        <v>25.281690140845072</v>
      </c>
      <c r="DF1379" s="93" t="s">
        <v>1248</v>
      </c>
      <c r="EL1379" s="93" t="s">
        <v>1250</v>
      </c>
      <c r="EN1379" s="93">
        <v>61</v>
      </c>
    </row>
    <row r="1380" spans="1:144" s="93" customFormat="1" x14ac:dyDescent="0.25">
      <c r="A1380" s="93">
        <v>61</v>
      </c>
      <c r="B1380" s="93" t="s">
        <v>1228</v>
      </c>
      <c r="C1380" s="93" t="s">
        <v>1229</v>
      </c>
      <c r="D1380" s="93">
        <v>2003</v>
      </c>
      <c r="E1380" s="93">
        <v>2002</v>
      </c>
      <c r="F1380" s="93" t="s">
        <v>1230</v>
      </c>
      <c r="G1380" s="93" t="s">
        <v>1232</v>
      </c>
      <c r="H1380" s="93">
        <v>40.299999999999997</v>
      </c>
      <c r="I1380" s="93">
        <v>-86.9</v>
      </c>
      <c r="J1380" s="93">
        <v>221</v>
      </c>
      <c r="M1380" s="35">
        <v>1118</v>
      </c>
      <c r="P1380" s="94" t="s">
        <v>188</v>
      </c>
      <c r="Q1380" s="94" t="s">
        <v>1161</v>
      </c>
      <c r="R1380" s="94" t="s">
        <v>1236</v>
      </c>
      <c r="S1380" s="94" t="s">
        <v>657</v>
      </c>
      <c r="T1380" s="93">
        <v>1.42</v>
      </c>
      <c r="W1380" s="93" t="s">
        <v>175</v>
      </c>
      <c r="AA1380" s="93" t="s">
        <v>1690</v>
      </c>
      <c r="AB1380" s="93" t="s">
        <v>613</v>
      </c>
      <c r="AC1380" s="93" t="s">
        <v>219</v>
      </c>
      <c r="AD1380" s="93" t="s">
        <v>1251</v>
      </c>
      <c r="AE1380" s="93" t="s">
        <v>1251</v>
      </c>
      <c r="AF1380" s="93" t="s">
        <v>252</v>
      </c>
      <c r="AG1380" s="93" t="s">
        <v>312</v>
      </c>
      <c r="AH1380" s="93" t="s">
        <v>312</v>
      </c>
      <c r="AI1380" s="93" t="s">
        <v>252</v>
      </c>
      <c r="AM1380" s="93" t="s">
        <v>222</v>
      </c>
      <c r="AN1380" s="93">
        <v>4</v>
      </c>
      <c r="AO1380" s="93">
        <v>4</v>
      </c>
      <c r="AP1380" s="93" t="s">
        <v>184</v>
      </c>
      <c r="AR1380" s="93">
        <v>1543</v>
      </c>
      <c r="AT1380" s="93" t="s">
        <v>1233</v>
      </c>
      <c r="AV1380" s="93">
        <v>117.9</v>
      </c>
      <c r="AW1380" s="93">
        <v>114.5</v>
      </c>
      <c r="AX1380" s="93" t="s">
        <v>1253</v>
      </c>
      <c r="BB1380" s="93">
        <v>1.5</v>
      </c>
      <c r="BC1380" s="93">
        <v>1.51</v>
      </c>
      <c r="CC1380" s="93">
        <v>2.74</v>
      </c>
      <c r="CD1380" s="93">
        <v>2.83</v>
      </c>
      <c r="CE1380" s="93" t="s">
        <v>1239</v>
      </c>
      <c r="CF1380" s="93">
        <v>13.76</v>
      </c>
      <c r="CG1380" s="93">
        <v>14.1</v>
      </c>
      <c r="CH1380" s="93" t="s">
        <v>1237</v>
      </c>
      <c r="CI1380" s="93">
        <v>2.08</v>
      </c>
      <c r="CJ1380" s="93">
        <v>2.19</v>
      </c>
      <c r="CK1380" s="93" t="s">
        <v>1252</v>
      </c>
      <c r="DA1380" s="93">
        <v>22.1</v>
      </c>
      <c r="DB1380" s="93">
        <v>21.3</v>
      </c>
      <c r="DD1380" s="93">
        <f>24.8/1.42</f>
        <v>17.464788732394368</v>
      </c>
      <c r="DE1380" s="93">
        <f>26.3/1.42</f>
        <v>18.52112676056338</v>
      </c>
      <c r="DF1380" s="93" t="s">
        <v>1249</v>
      </c>
      <c r="EL1380" s="93" t="s">
        <v>1250</v>
      </c>
      <c r="EN1380" s="93">
        <v>61</v>
      </c>
    </row>
    <row r="1381" spans="1:144" s="93" customFormat="1" x14ac:dyDescent="0.25">
      <c r="A1381" s="93">
        <v>61</v>
      </c>
      <c r="B1381" s="93" t="s">
        <v>1228</v>
      </c>
      <c r="C1381" s="93" t="s">
        <v>1229</v>
      </c>
      <c r="D1381" s="93">
        <v>2003</v>
      </c>
      <c r="E1381" s="93">
        <v>2002</v>
      </c>
      <c r="F1381" s="93" t="s">
        <v>1230</v>
      </c>
      <c r="G1381" s="93" t="s">
        <v>1232</v>
      </c>
      <c r="H1381" s="93">
        <v>40.299999999999997</v>
      </c>
      <c r="I1381" s="93">
        <v>-86.9</v>
      </c>
      <c r="J1381" s="93">
        <v>221</v>
      </c>
      <c r="M1381" s="35">
        <v>1118</v>
      </c>
      <c r="P1381" s="94" t="s">
        <v>188</v>
      </c>
      <c r="Q1381" s="94" t="s">
        <v>1161</v>
      </c>
      <c r="R1381" s="94" t="s">
        <v>1236</v>
      </c>
      <c r="S1381" s="94" t="s">
        <v>657</v>
      </c>
      <c r="T1381" s="93">
        <v>1.42</v>
      </c>
      <c r="W1381" s="93" t="s">
        <v>175</v>
      </c>
      <c r="AA1381" s="93" t="s">
        <v>1690</v>
      </c>
      <c r="AB1381" s="93" t="s">
        <v>613</v>
      </c>
      <c r="AC1381" s="93" t="s">
        <v>174</v>
      </c>
      <c r="AD1381" s="93" t="s">
        <v>1251</v>
      </c>
      <c r="AE1381" s="93" t="s">
        <v>1251</v>
      </c>
      <c r="AF1381" s="93" t="s">
        <v>252</v>
      </c>
      <c r="AG1381" s="93" t="s">
        <v>312</v>
      </c>
      <c r="AH1381" s="93" t="s">
        <v>312</v>
      </c>
      <c r="AI1381" s="93" t="s">
        <v>252</v>
      </c>
      <c r="AM1381" s="93" t="s">
        <v>222</v>
      </c>
      <c r="AN1381" s="93">
        <v>4</v>
      </c>
      <c r="AO1381" s="93">
        <v>4</v>
      </c>
      <c r="AP1381" s="93" t="s">
        <v>184</v>
      </c>
      <c r="AR1381" s="93">
        <v>2513</v>
      </c>
      <c r="AT1381" s="93" t="s">
        <v>1234</v>
      </c>
      <c r="AV1381" s="93">
        <v>117.9</v>
      </c>
      <c r="AW1381" s="93">
        <v>106.1</v>
      </c>
      <c r="AX1381" s="93" t="s">
        <v>1253</v>
      </c>
      <c r="BB1381" s="93">
        <v>1.5</v>
      </c>
      <c r="BC1381" s="93">
        <v>1.42</v>
      </c>
      <c r="CC1381" s="93">
        <v>2.74</v>
      </c>
      <c r="CD1381" s="93">
        <v>3.14</v>
      </c>
      <c r="CE1381" s="93" t="s">
        <v>1239</v>
      </c>
      <c r="CF1381" s="93">
        <v>13.76</v>
      </c>
      <c r="CG1381" s="93">
        <v>17.18</v>
      </c>
      <c r="CH1381" s="93" t="s">
        <v>1237</v>
      </c>
      <c r="CI1381" s="93">
        <v>2.08</v>
      </c>
      <c r="CJ1381" s="93">
        <v>2</v>
      </c>
      <c r="CK1381" s="93" t="s">
        <v>1252</v>
      </c>
      <c r="DA1381" s="93">
        <v>22.1</v>
      </c>
      <c r="DB1381" s="93">
        <v>18.899999999999999</v>
      </c>
      <c r="DD1381" s="93">
        <f>24.8/1.42</f>
        <v>17.464788732394368</v>
      </c>
      <c r="DE1381" s="93">
        <f>29/1.42</f>
        <v>20.422535211267608</v>
      </c>
      <c r="DF1381" s="93" t="s">
        <v>1249</v>
      </c>
      <c r="EL1381" s="93" t="s">
        <v>1250</v>
      </c>
      <c r="EN1381" s="93">
        <v>61</v>
      </c>
    </row>
    <row r="1382" spans="1:144" s="93" customFormat="1" x14ac:dyDescent="0.25">
      <c r="A1382" s="93">
        <v>61</v>
      </c>
      <c r="B1382" s="93" t="s">
        <v>1228</v>
      </c>
      <c r="C1382" s="93" t="s">
        <v>1229</v>
      </c>
      <c r="D1382" s="93">
        <v>2003</v>
      </c>
      <c r="E1382" s="93">
        <v>2002</v>
      </c>
      <c r="F1382" s="93" t="s">
        <v>1230</v>
      </c>
      <c r="G1382" s="93" t="s">
        <v>1232</v>
      </c>
      <c r="H1382" s="93">
        <v>40.299999999999997</v>
      </c>
      <c r="I1382" s="93">
        <v>-86.9</v>
      </c>
      <c r="J1382" s="93">
        <v>221</v>
      </c>
      <c r="M1382" s="35">
        <v>1118</v>
      </c>
      <c r="P1382" s="94" t="s">
        <v>188</v>
      </c>
      <c r="Q1382" s="94" t="s">
        <v>1161</v>
      </c>
      <c r="R1382" s="94" t="s">
        <v>1236</v>
      </c>
      <c r="S1382" s="94" t="s">
        <v>657</v>
      </c>
      <c r="T1382" s="93">
        <v>1.42</v>
      </c>
      <c r="W1382" s="93" t="s">
        <v>175</v>
      </c>
      <c r="AA1382" s="93" t="s">
        <v>1690</v>
      </c>
      <c r="AB1382" s="93" t="s">
        <v>613</v>
      </c>
      <c r="AC1382" s="93" t="s">
        <v>219</v>
      </c>
      <c r="AD1382" s="93" t="s">
        <v>1251</v>
      </c>
      <c r="AE1382" s="93" t="s">
        <v>1251</v>
      </c>
      <c r="AF1382" s="93" t="s">
        <v>252</v>
      </c>
      <c r="AG1382" s="93" t="s">
        <v>217</v>
      </c>
      <c r="AH1382" s="93" t="s">
        <v>217</v>
      </c>
      <c r="AI1382" s="93" t="s">
        <v>252</v>
      </c>
      <c r="AM1382" s="93" t="s">
        <v>222</v>
      </c>
      <c r="AN1382" s="93">
        <v>4</v>
      </c>
      <c r="AO1382" s="93">
        <v>4</v>
      </c>
      <c r="AP1382" s="93" t="s">
        <v>184</v>
      </c>
      <c r="AR1382" s="93">
        <v>2096</v>
      </c>
      <c r="AT1382" s="93" t="s">
        <v>1233</v>
      </c>
      <c r="AV1382" s="93">
        <v>129.5</v>
      </c>
      <c r="AW1382" s="93">
        <v>131.1</v>
      </c>
      <c r="AX1382" s="93" t="s">
        <v>1253</v>
      </c>
      <c r="BB1382" s="93">
        <v>1.63</v>
      </c>
      <c r="BC1382" s="93">
        <v>1.6</v>
      </c>
      <c r="CC1382" s="93">
        <v>3.15</v>
      </c>
      <c r="CD1382" s="93">
        <v>2.79</v>
      </c>
      <c r="CE1382" s="93" t="s">
        <v>1239</v>
      </c>
      <c r="CF1382" s="93">
        <v>9.2899999999999991</v>
      </c>
      <c r="CG1382" s="93">
        <v>10.32</v>
      </c>
      <c r="CH1382" s="93" t="s">
        <v>1237</v>
      </c>
      <c r="CI1382" s="93">
        <v>2.91</v>
      </c>
      <c r="CJ1382" s="93">
        <v>2.64</v>
      </c>
      <c r="CK1382" s="93" t="s">
        <v>1252</v>
      </c>
      <c r="DA1382" s="93">
        <v>22.1</v>
      </c>
      <c r="DB1382" s="93">
        <v>20.6</v>
      </c>
      <c r="DD1382" s="93">
        <f>23.5/1.42</f>
        <v>16.549295774647888</v>
      </c>
      <c r="DE1382" s="93">
        <f>24.5/1.42</f>
        <v>17.253521126760564</v>
      </c>
      <c r="DF1382" s="93" t="s">
        <v>1249</v>
      </c>
      <c r="EL1382" s="93" t="s">
        <v>1250</v>
      </c>
      <c r="EN1382" s="93">
        <v>61</v>
      </c>
    </row>
    <row r="1383" spans="1:144" s="93" customFormat="1" x14ac:dyDescent="0.25">
      <c r="A1383" s="93">
        <v>61</v>
      </c>
      <c r="B1383" s="93" t="s">
        <v>1228</v>
      </c>
      <c r="C1383" s="93" t="s">
        <v>1229</v>
      </c>
      <c r="D1383" s="93">
        <v>2003</v>
      </c>
      <c r="E1383" s="93">
        <v>2002</v>
      </c>
      <c r="F1383" s="93" t="s">
        <v>1230</v>
      </c>
      <c r="G1383" s="93" t="s">
        <v>1232</v>
      </c>
      <c r="H1383" s="93">
        <v>40.299999999999997</v>
      </c>
      <c r="I1383" s="93">
        <v>-86.9</v>
      </c>
      <c r="J1383" s="93">
        <v>221</v>
      </c>
      <c r="M1383" s="35">
        <v>1118</v>
      </c>
      <c r="P1383" s="94" t="s">
        <v>188</v>
      </c>
      <c r="Q1383" s="94" t="s">
        <v>1161</v>
      </c>
      <c r="R1383" s="94" t="s">
        <v>1236</v>
      </c>
      <c r="S1383" s="94" t="s">
        <v>657</v>
      </c>
      <c r="T1383" s="93">
        <v>1.42</v>
      </c>
      <c r="W1383" s="93" t="s">
        <v>175</v>
      </c>
      <c r="AA1383" s="93" t="s">
        <v>1690</v>
      </c>
      <c r="AB1383" s="93" t="s">
        <v>613</v>
      </c>
      <c r="AC1383" s="93" t="s">
        <v>174</v>
      </c>
      <c r="AD1383" s="93" t="s">
        <v>1251</v>
      </c>
      <c r="AE1383" s="93" t="s">
        <v>1251</v>
      </c>
      <c r="AF1383" s="93" t="s">
        <v>252</v>
      </c>
      <c r="AG1383" s="93" t="s">
        <v>217</v>
      </c>
      <c r="AH1383" s="93" t="s">
        <v>217</v>
      </c>
      <c r="AI1383" s="93" t="s">
        <v>252</v>
      </c>
      <c r="AM1383" s="93" t="s">
        <v>222</v>
      </c>
      <c r="AN1383" s="93">
        <v>4</v>
      </c>
      <c r="AO1383" s="93">
        <v>4</v>
      </c>
      <c r="AP1383" s="93" t="s">
        <v>184</v>
      </c>
      <c r="AR1383" s="93">
        <v>2833</v>
      </c>
      <c r="AT1383" s="93" t="s">
        <v>1234</v>
      </c>
      <c r="AV1383" s="93">
        <v>129.5</v>
      </c>
      <c r="AW1383" s="93">
        <v>134</v>
      </c>
      <c r="AX1383" s="93" t="s">
        <v>1253</v>
      </c>
      <c r="BB1383" s="93">
        <v>1.63</v>
      </c>
      <c r="BC1383" s="93">
        <v>1.61</v>
      </c>
      <c r="CC1383" s="93">
        <v>3.15</v>
      </c>
      <c r="CD1383" s="93">
        <v>3.09</v>
      </c>
      <c r="CE1383" s="93" t="s">
        <v>1239</v>
      </c>
      <c r="CF1383" s="93">
        <v>9.2899999999999991</v>
      </c>
      <c r="CG1383" s="93">
        <v>8.94</v>
      </c>
      <c r="CH1383" s="93" t="s">
        <v>1237</v>
      </c>
      <c r="CI1383" s="93">
        <v>2.91</v>
      </c>
      <c r="CJ1383" s="93">
        <v>2.36</v>
      </c>
      <c r="CK1383" s="93" t="s">
        <v>1252</v>
      </c>
      <c r="DA1383" s="93">
        <v>22.1</v>
      </c>
      <c r="DB1383" s="93">
        <v>19.399999999999999</v>
      </c>
      <c r="DD1383" s="93">
        <f>23.5/1.42</f>
        <v>16.549295774647888</v>
      </c>
      <c r="DE1383" s="93">
        <f>26.7/1.42</f>
        <v>18.802816901408452</v>
      </c>
      <c r="DF1383" s="93" t="s">
        <v>1249</v>
      </c>
      <c r="EL1383" s="93" t="s">
        <v>1250</v>
      </c>
      <c r="EN1383" s="93">
        <v>61</v>
      </c>
    </row>
    <row r="1384" spans="1:144" s="31" customFormat="1" x14ac:dyDescent="0.25">
      <c r="A1384" s="31">
        <v>62</v>
      </c>
      <c r="B1384" s="31" t="s">
        <v>1254</v>
      </c>
      <c r="C1384" s="31" t="s">
        <v>1255</v>
      </c>
      <c r="D1384" s="31">
        <v>2004</v>
      </c>
      <c r="E1384" s="31">
        <v>1998</v>
      </c>
      <c r="F1384" s="31" t="s">
        <v>1256</v>
      </c>
      <c r="G1384" s="31" t="s">
        <v>1257</v>
      </c>
      <c r="H1384" s="31">
        <v>44.24</v>
      </c>
      <c r="I1384" s="31">
        <v>-95.31</v>
      </c>
      <c r="J1384" s="31">
        <v>344.5</v>
      </c>
      <c r="N1384" s="31">
        <v>670</v>
      </c>
      <c r="P1384" s="56" t="s">
        <v>186</v>
      </c>
      <c r="Q1384" s="56" t="s">
        <v>1161</v>
      </c>
      <c r="R1384" s="56" t="s">
        <v>1262</v>
      </c>
      <c r="S1384" s="56" t="s">
        <v>1258</v>
      </c>
      <c r="W1384" s="31" t="s">
        <v>895</v>
      </c>
      <c r="AA1384" s="31" t="s">
        <v>1713</v>
      </c>
      <c r="AB1384" s="31" t="s">
        <v>1259</v>
      </c>
      <c r="AC1384" s="31" t="s">
        <v>219</v>
      </c>
      <c r="AG1384" s="31" t="s">
        <v>1261</v>
      </c>
      <c r="AH1384" s="31" t="s">
        <v>1261</v>
      </c>
      <c r="AI1384" s="31" t="s">
        <v>252</v>
      </c>
      <c r="AJ1384" s="31" t="s">
        <v>1260</v>
      </c>
      <c r="AK1384" s="31" t="s">
        <v>1260</v>
      </c>
      <c r="AL1384" s="31" t="s">
        <v>252</v>
      </c>
      <c r="AM1384" s="31" t="s">
        <v>160</v>
      </c>
      <c r="AN1384" s="31">
        <v>4</v>
      </c>
      <c r="AO1384" s="31">
        <v>4</v>
      </c>
      <c r="AP1384" s="31" t="s">
        <v>184</v>
      </c>
      <c r="AR1384" s="31">
        <v>1000</v>
      </c>
      <c r="AS1384" s="31">
        <f>100/2.7</f>
        <v>37.037037037037038</v>
      </c>
      <c r="CX1384" s="31">
        <v>82</v>
      </c>
      <c r="CY1384" s="31">
        <v>66</v>
      </c>
      <c r="CZ1384" s="31" t="s">
        <v>1264</v>
      </c>
      <c r="EN1384" s="31">
        <v>62</v>
      </c>
    </row>
    <row r="1385" spans="1:144" s="31" customFormat="1" x14ac:dyDescent="0.25">
      <c r="A1385" s="31">
        <v>62</v>
      </c>
      <c r="B1385" s="31" t="s">
        <v>1254</v>
      </c>
      <c r="C1385" s="31" t="s">
        <v>1255</v>
      </c>
      <c r="D1385" s="31">
        <v>2004</v>
      </c>
      <c r="E1385" s="31">
        <v>1998</v>
      </c>
      <c r="F1385" s="31" t="s">
        <v>1256</v>
      </c>
      <c r="G1385" s="31" t="s">
        <v>1257</v>
      </c>
      <c r="H1385" s="31">
        <v>44.24</v>
      </c>
      <c r="I1385" s="31">
        <v>-95.31</v>
      </c>
      <c r="J1385" s="31">
        <v>344.5</v>
      </c>
      <c r="N1385" s="31">
        <v>670</v>
      </c>
      <c r="P1385" s="56" t="s">
        <v>186</v>
      </c>
      <c r="Q1385" s="56" t="s">
        <v>1161</v>
      </c>
      <c r="R1385" s="56" t="s">
        <v>1262</v>
      </c>
      <c r="S1385" s="56" t="s">
        <v>1258</v>
      </c>
      <c r="W1385" s="31" t="s">
        <v>895</v>
      </c>
      <c r="AA1385" s="31" t="s">
        <v>1713</v>
      </c>
      <c r="AB1385" s="31" t="s">
        <v>1259</v>
      </c>
      <c r="AC1385" s="31" t="s">
        <v>174</v>
      </c>
      <c r="AG1385" s="31" t="s">
        <v>1261</v>
      </c>
      <c r="AH1385" s="31" t="s">
        <v>1261</v>
      </c>
      <c r="AI1385" s="31" t="s">
        <v>252</v>
      </c>
      <c r="AJ1385" s="31" t="s">
        <v>1260</v>
      </c>
      <c r="AK1385" s="31" t="s">
        <v>1260</v>
      </c>
      <c r="AL1385" s="31" t="s">
        <v>252</v>
      </c>
      <c r="AM1385" s="31" t="s">
        <v>160</v>
      </c>
      <c r="AN1385" s="31">
        <v>4</v>
      </c>
      <c r="AO1385" s="31">
        <v>4</v>
      </c>
      <c r="AP1385" s="31" t="s">
        <v>184</v>
      </c>
      <c r="AR1385" s="31">
        <v>1000</v>
      </c>
      <c r="AS1385" s="31">
        <f>100/2.7</f>
        <v>37.037037037037038</v>
      </c>
      <c r="CX1385" s="31">
        <v>67</v>
      </c>
      <c r="CY1385" s="31">
        <v>69</v>
      </c>
      <c r="CZ1385" s="31" t="s">
        <v>1264</v>
      </c>
      <c r="EN1385" s="31">
        <v>62</v>
      </c>
    </row>
    <row r="1386" spans="1:144" x14ac:dyDescent="0.25">
      <c r="A1386" s="46">
        <v>62</v>
      </c>
      <c r="B1386" s="46" t="s">
        <v>1254</v>
      </c>
      <c r="C1386" s="46" t="s">
        <v>1255</v>
      </c>
      <c r="D1386" s="46">
        <v>2004</v>
      </c>
      <c r="E1386" s="46">
        <v>1999</v>
      </c>
      <c r="F1386" s="46" t="s">
        <v>1256</v>
      </c>
      <c r="G1386" s="46" t="s">
        <v>1257</v>
      </c>
      <c r="H1386" s="46">
        <v>44.24</v>
      </c>
      <c r="I1386" s="46">
        <v>-95.31</v>
      </c>
      <c r="J1386" s="46">
        <v>344.5</v>
      </c>
      <c r="N1386" s="46">
        <v>670</v>
      </c>
      <c r="P1386" s="81" t="s">
        <v>187</v>
      </c>
      <c r="Q1386" s="81" t="s">
        <v>1161</v>
      </c>
      <c r="R1386" s="81" t="s">
        <v>1262</v>
      </c>
      <c r="S1386" s="81" t="s">
        <v>1258</v>
      </c>
      <c r="W1386" s="46" t="s">
        <v>895</v>
      </c>
      <c r="AA1386" s="46" t="s">
        <v>1713</v>
      </c>
      <c r="AB1386" s="46" t="s">
        <v>1259</v>
      </c>
      <c r="AC1386" s="46" t="s">
        <v>219</v>
      </c>
      <c r="AG1386" s="46" t="s">
        <v>1261</v>
      </c>
      <c r="AH1386" s="46" t="s">
        <v>1261</v>
      </c>
      <c r="AI1386" s="46" t="s">
        <v>252</v>
      </c>
      <c r="AJ1386" s="46" t="s">
        <v>1260</v>
      </c>
      <c r="AK1386" s="46" t="s">
        <v>1260</v>
      </c>
      <c r="AL1386" s="46" t="s">
        <v>252</v>
      </c>
      <c r="AM1386" s="46" t="s">
        <v>160</v>
      </c>
      <c r="AN1386" s="46">
        <v>4</v>
      </c>
      <c r="AO1386" s="46">
        <v>4</v>
      </c>
      <c r="AP1386" s="46" t="s">
        <v>184</v>
      </c>
      <c r="AR1386" s="46">
        <v>2700</v>
      </c>
      <c r="AS1386" s="46">
        <f>100/2.5</f>
        <v>40</v>
      </c>
      <c r="AY1386" s="46">
        <v>2700</v>
      </c>
      <c r="AZ1386" s="46">
        <v>2700</v>
      </c>
      <c r="CU1386" s="46">
        <v>24</v>
      </c>
      <c r="CV1386" s="46">
        <v>24</v>
      </c>
      <c r="CW1386" s="46" t="s">
        <v>1263</v>
      </c>
      <c r="CX1386" s="46">
        <v>60</v>
      </c>
      <c r="CY1386" s="46">
        <v>53</v>
      </c>
      <c r="CZ1386" s="46" t="s">
        <v>1264</v>
      </c>
      <c r="EN1386" s="46">
        <v>62</v>
      </c>
    </row>
    <row r="1387" spans="1:144" x14ac:dyDescent="0.25">
      <c r="A1387" s="46">
        <v>62</v>
      </c>
      <c r="B1387" s="46" t="s">
        <v>1254</v>
      </c>
      <c r="C1387" s="46" t="s">
        <v>1255</v>
      </c>
      <c r="D1387" s="46">
        <v>2004</v>
      </c>
      <c r="E1387" s="46">
        <v>1999</v>
      </c>
      <c r="F1387" s="46" t="s">
        <v>1256</v>
      </c>
      <c r="G1387" s="46" t="s">
        <v>1257</v>
      </c>
      <c r="H1387" s="46">
        <v>44.24</v>
      </c>
      <c r="I1387" s="46">
        <v>-95.31</v>
      </c>
      <c r="J1387" s="46">
        <v>344.5</v>
      </c>
      <c r="N1387" s="46">
        <v>670</v>
      </c>
      <c r="P1387" s="81" t="s">
        <v>187</v>
      </c>
      <c r="Q1387" s="81" t="s">
        <v>1161</v>
      </c>
      <c r="R1387" s="81" t="s">
        <v>1262</v>
      </c>
      <c r="S1387" s="81" t="s">
        <v>1258</v>
      </c>
      <c r="W1387" s="46" t="s">
        <v>895</v>
      </c>
      <c r="AA1387" s="46" t="s">
        <v>1713</v>
      </c>
      <c r="AB1387" s="46" t="s">
        <v>1259</v>
      </c>
      <c r="AC1387" s="46" t="s">
        <v>174</v>
      </c>
      <c r="AG1387" s="46" t="s">
        <v>1261</v>
      </c>
      <c r="AH1387" s="46" t="s">
        <v>1261</v>
      </c>
      <c r="AI1387" s="46" t="s">
        <v>252</v>
      </c>
      <c r="AJ1387" s="46" t="s">
        <v>1260</v>
      </c>
      <c r="AK1387" s="46" t="s">
        <v>1260</v>
      </c>
      <c r="AL1387" s="46" t="s">
        <v>252</v>
      </c>
      <c r="AM1387" s="46" t="s">
        <v>160</v>
      </c>
      <c r="AN1387" s="46">
        <v>4</v>
      </c>
      <c r="AO1387" s="46">
        <v>4</v>
      </c>
      <c r="AP1387" s="46" t="s">
        <v>184</v>
      </c>
      <c r="AR1387" s="46">
        <v>2700</v>
      </c>
      <c r="AS1387" s="46">
        <f>100/2.5</f>
        <v>40</v>
      </c>
      <c r="AY1387" s="46">
        <v>10000</v>
      </c>
      <c r="AZ1387" s="46">
        <v>9600</v>
      </c>
      <c r="CU1387" s="46">
        <v>35</v>
      </c>
      <c r="CV1387" s="46">
        <v>18</v>
      </c>
      <c r="CW1387" s="46" t="s">
        <v>1263</v>
      </c>
      <c r="CX1387" s="46">
        <v>58</v>
      </c>
      <c r="CY1387" s="46">
        <v>40</v>
      </c>
      <c r="CZ1387" s="46" t="s">
        <v>1264</v>
      </c>
      <c r="EN1387" s="46">
        <v>62</v>
      </c>
    </row>
    <row r="1388" spans="1:144" s="31" customFormat="1" x14ac:dyDescent="0.25">
      <c r="A1388" s="31">
        <v>62</v>
      </c>
      <c r="B1388" s="31" t="s">
        <v>1254</v>
      </c>
      <c r="C1388" s="31" t="s">
        <v>1255</v>
      </c>
      <c r="D1388" s="31">
        <v>2004</v>
      </c>
      <c r="E1388" s="31">
        <v>2000</v>
      </c>
      <c r="F1388" s="31" t="s">
        <v>1256</v>
      </c>
      <c r="G1388" s="31" t="s">
        <v>1257</v>
      </c>
      <c r="H1388" s="31">
        <v>44.24</v>
      </c>
      <c r="I1388" s="31">
        <v>-95.31</v>
      </c>
      <c r="J1388" s="31">
        <v>344.5</v>
      </c>
      <c r="N1388" s="31">
        <v>670</v>
      </c>
      <c r="P1388" s="56" t="s">
        <v>188</v>
      </c>
      <c r="Q1388" s="56" t="s">
        <v>1161</v>
      </c>
      <c r="R1388" s="56" t="s">
        <v>1262</v>
      </c>
      <c r="S1388" s="56" t="s">
        <v>1258</v>
      </c>
      <c r="W1388" s="31" t="s">
        <v>895</v>
      </c>
      <c r="AA1388" s="31" t="s">
        <v>1713</v>
      </c>
      <c r="AB1388" s="31" t="s">
        <v>1259</v>
      </c>
      <c r="AC1388" s="31" t="s">
        <v>219</v>
      </c>
      <c r="AG1388" s="31" t="s">
        <v>1261</v>
      </c>
      <c r="AH1388" s="31" t="s">
        <v>1261</v>
      </c>
      <c r="AI1388" s="31" t="s">
        <v>252</v>
      </c>
      <c r="AJ1388" s="31" t="s">
        <v>1260</v>
      </c>
      <c r="AK1388" s="31" t="s">
        <v>1260</v>
      </c>
      <c r="AL1388" s="31" t="s">
        <v>252</v>
      </c>
      <c r="AM1388" s="31" t="s">
        <v>160</v>
      </c>
      <c r="AN1388" s="31">
        <v>4</v>
      </c>
      <c r="AO1388" s="31">
        <v>4</v>
      </c>
      <c r="AP1388" s="31" t="s">
        <v>184</v>
      </c>
      <c r="AR1388" s="31">
        <v>1000</v>
      </c>
      <c r="AS1388" s="31">
        <f>100/2.7</f>
        <v>37.037037037037038</v>
      </c>
      <c r="AY1388" s="31">
        <v>3500</v>
      </c>
      <c r="AZ1388" s="31">
        <v>3400</v>
      </c>
      <c r="CU1388" s="31">
        <v>1.2</v>
      </c>
      <c r="CV1388" s="31">
        <v>0</v>
      </c>
      <c r="CW1388" s="31" t="s">
        <v>1263</v>
      </c>
      <c r="CX1388" s="31">
        <v>108</v>
      </c>
      <c r="CY1388" s="31">
        <v>99</v>
      </c>
      <c r="CZ1388" s="31" t="s">
        <v>1264</v>
      </c>
      <c r="EN1388" s="31">
        <v>62</v>
      </c>
    </row>
    <row r="1389" spans="1:144" s="31" customFormat="1" x14ac:dyDescent="0.25">
      <c r="A1389" s="31">
        <v>62</v>
      </c>
      <c r="B1389" s="31" t="s">
        <v>1254</v>
      </c>
      <c r="C1389" s="31" t="s">
        <v>1255</v>
      </c>
      <c r="D1389" s="31">
        <v>2004</v>
      </c>
      <c r="E1389" s="31">
        <v>2000</v>
      </c>
      <c r="F1389" s="31" t="s">
        <v>1256</v>
      </c>
      <c r="G1389" s="31" t="s">
        <v>1257</v>
      </c>
      <c r="H1389" s="31">
        <v>44.24</v>
      </c>
      <c r="I1389" s="31">
        <v>-95.31</v>
      </c>
      <c r="J1389" s="31">
        <v>344.5</v>
      </c>
      <c r="N1389" s="31">
        <v>670</v>
      </c>
      <c r="P1389" s="56" t="s">
        <v>188</v>
      </c>
      <c r="Q1389" s="56" t="s">
        <v>1161</v>
      </c>
      <c r="R1389" s="56" t="s">
        <v>1262</v>
      </c>
      <c r="S1389" s="56" t="s">
        <v>1258</v>
      </c>
      <c r="W1389" s="31" t="s">
        <v>895</v>
      </c>
      <c r="AA1389" s="31" t="s">
        <v>1713</v>
      </c>
      <c r="AB1389" s="31" t="s">
        <v>1259</v>
      </c>
      <c r="AC1389" s="31" t="s">
        <v>174</v>
      </c>
      <c r="AG1389" s="31" t="s">
        <v>1261</v>
      </c>
      <c r="AH1389" s="31" t="s">
        <v>1261</v>
      </c>
      <c r="AI1389" s="31" t="s">
        <v>252</v>
      </c>
      <c r="AJ1389" s="31" t="s">
        <v>1260</v>
      </c>
      <c r="AK1389" s="31" t="s">
        <v>1260</v>
      </c>
      <c r="AL1389" s="31" t="s">
        <v>252</v>
      </c>
      <c r="AM1389" s="31" t="s">
        <v>160</v>
      </c>
      <c r="AN1389" s="31">
        <v>4</v>
      </c>
      <c r="AO1389" s="31">
        <v>4</v>
      </c>
      <c r="AP1389" s="31" t="s">
        <v>184</v>
      </c>
      <c r="AR1389" s="31">
        <v>1000</v>
      </c>
      <c r="AS1389" s="31">
        <f>100/2.7</f>
        <v>37.037037037037038</v>
      </c>
      <c r="AY1389" s="31">
        <v>9800</v>
      </c>
      <c r="AZ1389" s="31">
        <v>9700</v>
      </c>
      <c r="CU1389" s="31">
        <v>0.04</v>
      </c>
      <c r="CV1389" s="31">
        <v>0</v>
      </c>
      <c r="CW1389" s="31" t="s">
        <v>1263</v>
      </c>
      <c r="CX1389" s="31">
        <v>91</v>
      </c>
      <c r="CY1389" s="31">
        <v>102</v>
      </c>
      <c r="CZ1389" s="31" t="s">
        <v>1264</v>
      </c>
      <c r="EN1389" s="31">
        <v>62</v>
      </c>
    </row>
    <row r="1390" spans="1:144" x14ac:dyDescent="0.25">
      <c r="A1390" s="46">
        <v>62</v>
      </c>
      <c r="B1390" s="46" t="s">
        <v>1254</v>
      </c>
      <c r="C1390" s="46" t="s">
        <v>1255</v>
      </c>
      <c r="D1390" s="46">
        <v>2004</v>
      </c>
      <c r="E1390" s="46">
        <v>2001</v>
      </c>
      <c r="F1390" s="46" t="s">
        <v>1256</v>
      </c>
      <c r="G1390" s="46" t="s">
        <v>1257</v>
      </c>
      <c r="H1390" s="46">
        <v>44.24</v>
      </c>
      <c r="I1390" s="46">
        <v>-95.31</v>
      </c>
      <c r="J1390" s="46">
        <v>344.5</v>
      </c>
      <c r="N1390" s="46">
        <v>670</v>
      </c>
      <c r="P1390" s="81" t="s">
        <v>189</v>
      </c>
      <c r="Q1390" s="81" t="s">
        <v>1161</v>
      </c>
      <c r="R1390" s="81" t="s">
        <v>1262</v>
      </c>
      <c r="S1390" s="81" t="s">
        <v>1258</v>
      </c>
      <c r="W1390" s="46" t="s">
        <v>895</v>
      </c>
      <c r="AA1390" s="46" t="s">
        <v>1713</v>
      </c>
      <c r="AB1390" s="46" t="s">
        <v>1259</v>
      </c>
      <c r="AC1390" s="46" t="s">
        <v>219</v>
      </c>
      <c r="AG1390" s="46" t="s">
        <v>1261</v>
      </c>
      <c r="AH1390" s="46" t="s">
        <v>1261</v>
      </c>
      <c r="AI1390" s="46" t="s">
        <v>252</v>
      </c>
      <c r="AJ1390" s="46" t="s">
        <v>1260</v>
      </c>
      <c r="AK1390" s="46" t="s">
        <v>1260</v>
      </c>
      <c r="AL1390" s="46" t="s">
        <v>252</v>
      </c>
      <c r="AM1390" s="46" t="s">
        <v>160</v>
      </c>
      <c r="AN1390" s="46">
        <v>4</v>
      </c>
      <c r="AO1390" s="46">
        <v>4</v>
      </c>
      <c r="AP1390" s="46" t="s">
        <v>184</v>
      </c>
      <c r="AR1390" s="46">
        <v>500</v>
      </c>
      <c r="AS1390" s="46">
        <f>100/3.8</f>
        <v>26.315789473684212</v>
      </c>
      <c r="AY1390" s="46">
        <v>3100</v>
      </c>
      <c r="AZ1390" s="46">
        <v>3100</v>
      </c>
      <c r="CU1390" s="46">
        <v>46</v>
      </c>
      <c r="CV1390" s="46">
        <v>46</v>
      </c>
      <c r="CW1390" s="46" t="s">
        <v>1263</v>
      </c>
      <c r="CX1390" s="46">
        <v>58</v>
      </c>
      <c r="CY1390" s="46">
        <v>75</v>
      </c>
      <c r="CZ1390" s="46" t="s">
        <v>1264</v>
      </c>
      <c r="EN1390" s="46">
        <v>62</v>
      </c>
    </row>
    <row r="1391" spans="1:144" x14ac:dyDescent="0.25">
      <c r="A1391" s="46">
        <v>62</v>
      </c>
      <c r="B1391" s="46" t="s">
        <v>1254</v>
      </c>
      <c r="C1391" s="46" t="s">
        <v>1255</v>
      </c>
      <c r="D1391" s="46">
        <v>2004</v>
      </c>
      <c r="E1391" s="46">
        <v>2001</v>
      </c>
      <c r="F1391" s="46" t="s">
        <v>1256</v>
      </c>
      <c r="G1391" s="46" t="s">
        <v>1257</v>
      </c>
      <c r="H1391" s="46">
        <v>44.24</v>
      </c>
      <c r="I1391" s="46">
        <v>-95.31</v>
      </c>
      <c r="J1391" s="46">
        <v>344.5</v>
      </c>
      <c r="N1391" s="46">
        <v>670</v>
      </c>
      <c r="P1391" s="81" t="s">
        <v>189</v>
      </c>
      <c r="Q1391" s="81" t="s">
        <v>1161</v>
      </c>
      <c r="R1391" s="81" t="s">
        <v>1262</v>
      </c>
      <c r="S1391" s="81" t="s">
        <v>1258</v>
      </c>
      <c r="W1391" s="46" t="s">
        <v>895</v>
      </c>
      <c r="AA1391" s="46" t="s">
        <v>1713</v>
      </c>
      <c r="AB1391" s="46" t="s">
        <v>1259</v>
      </c>
      <c r="AC1391" s="46" t="s">
        <v>174</v>
      </c>
      <c r="AG1391" s="46" t="s">
        <v>1261</v>
      </c>
      <c r="AH1391" s="46" t="s">
        <v>1261</v>
      </c>
      <c r="AI1391" s="46" t="s">
        <v>252</v>
      </c>
      <c r="AJ1391" s="46" t="s">
        <v>1260</v>
      </c>
      <c r="AK1391" s="46" t="s">
        <v>1260</v>
      </c>
      <c r="AL1391" s="46" t="s">
        <v>252</v>
      </c>
      <c r="AM1391" s="46" t="s">
        <v>160</v>
      </c>
      <c r="AN1391" s="46">
        <v>4</v>
      </c>
      <c r="AO1391" s="46">
        <v>4</v>
      </c>
      <c r="AP1391" s="46" t="s">
        <v>184</v>
      </c>
      <c r="AR1391" s="46">
        <v>500</v>
      </c>
      <c r="AS1391" s="46">
        <f>100/3.8</f>
        <v>26.315789473684212</v>
      </c>
      <c r="AY1391" s="46">
        <v>7400</v>
      </c>
      <c r="AZ1391" s="46">
        <v>7600</v>
      </c>
      <c r="CU1391" s="46">
        <v>54</v>
      </c>
      <c r="CV1391" s="46">
        <v>53</v>
      </c>
      <c r="CW1391" s="46" t="s">
        <v>1263</v>
      </c>
      <c r="CX1391" s="46">
        <v>68</v>
      </c>
      <c r="CY1391" s="46">
        <v>60</v>
      </c>
      <c r="CZ1391" s="46" t="s">
        <v>1264</v>
      </c>
      <c r="EN1391" s="46">
        <v>62</v>
      </c>
    </row>
    <row r="1392" spans="1:144" s="35" customFormat="1" x14ac:dyDescent="0.25">
      <c r="A1392" s="35">
        <v>63</v>
      </c>
      <c r="B1392" s="35" t="s">
        <v>1265</v>
      </c>
      <c r="C1392" s="35" t="s">
        <v>1266</v>
      </c>
      <c r="D1392" s="35">
        <v>1993</v>
      </c>
      <c r="E1392" s="35">
        <v>1989</v>
      </c>
      <c r="F1392" s="35" t="s">
        <v>394</v>
      </c>
      <c r="G1392" s="35" t="s">
        <v>1267</v>
      </c>
      <c r="H1392" s="35">
        <v>39.03</v>
      </c>
      <c r="I1392" s="35">
        <v>-76.91</v>
      </c>
      <c r="J1392" s="35">
        <v>34.6</v>
      </c>
      <c r="P1392" s="54" t="s">
        <v>186</v>
      </c>
      <c r="Q1392" s="54" t="s">
        <v>1161</v>
      </c>
      <c r="R1392" s="54" t="s">
        <v>1269</v>
      </c>
      <c r="S1392" s="54" t="s">
        <v>671</v>
      </c>
      <c r="W1392" s="35" t="s">
        <v>175</v>
      </c>
      <c r="AA1392" s="35" t="s">
        <v>1715</v>
      </c>
      <c r="AB1392" s="35" t="s">
        <v>326</v>
      </c>
      <c r="AC1392" s="35" t="s">
        <v>1732</v>
      </c>
      <c r="AM1392" s="35" t="s">
        <v>1270</v>
      </c>
      <c r="AN1392" s="35">
        <v>4</v>
      </c>
      <c r="AO1392" s="35">
        <v>4</v>
      </c>
      <c r="AP1392" s="35" t="s">
        <v>184</v>
      </c>
      <c r="AR1392" s="35">
        <v>4620</v>
      </c>
      <c r="AT1392" s="35" t="s">
        <v>1521</v>
      </c>
      <c r="DA1392" s="35">
        <f>(30.2+20.6)/2</f>
        <v>25.4</v>
      </c>
      <c r="DB1392" s="35">
        <f>(27.6+21.4)/2</f>
        <v>24.5</v>
      </c>
      <c r="EL1392" s="35" t="s">
        <v>1282</v>
      </c>
      <c r="EN1392" s="35">
        <v>63</v>
      </c>
    </row>
    <row r="1393" spans="1:144" s="35" customFormat="1" x14ac:dyDescent="0.25">
      <c r="A1393" s="35">
        <v>63</v>
      </c>
      <c r="B1393" s="35" t="s">
        <v>1265</v>
      </c>
      <c r="C1393" s="35" t="s">
        <v>1266</v>
      </c>
      <c r="D1393" s="35">
        <v>1993</v>
      </c>
      <c r="E1393" s="35">
        <v>1989</v>
      </c>
      <c r="F1393" s="35" t="s">
        <v>394</v>
      </c>
      <c r="G1393" s="35" t="s">
        <v>1267</v>
      </c>
      <c r="H1393" s="35">
        <v>39.03</v>
      </c>
      <c r="I1393" s="35">
        <v>-76.91</v>
      </c>
      <c r="J1393" s="35">
        <v>34.6</v>
      </c>
      <c r="P1393" s="54" t="s">
        <v>186</v>
      </c>
      <c r="Q1393" s="54" t="s">
        <v>1161</v>
      </c>
      <c r="R1393" s="54" t="s">
        <v>1269</v>
      </c>
      <c r="S1393" s="54" t="s">
        <v>671</v>
      </c>
      <c r="W1393" s="35" t="s">
        <v>175</v>
      </c>
      <c r="AA1393" s="35" t="s">
        <v>1715</v>
      </c>
      <c r="AB1393" s="35" t="s">
        <v>326</v>
      </c>
      <c r="AC1393" s="35" t="s">
        <v>1732</v>
      </c>
      <c r="AM1393" s="35" t="s">
        <v>1270</v>
      </c>
      <c r="AN1393" s="35">
        <v>4</v>
      </c>
      <c r="AO1393" s="35">
        <v>4</v>
      </c>
      <c r="AP1393" s="35" t="s">
        <v>184</v>
      </c>
      <c r="AR1393" s="35">
        <v>9240</v>
      </c>
      <c r="AT1393" s="35" t="s">
        <v>1521</v>
      </c>
      <c r="DA1393" s="35">
        <f>(30.2+20.6)/2</f>
        <v>25.4</v>
      </c>
      <c r="DB1393" s="35">
        <f>(26.9+21.1)/2</f>
        <v>24</v>
      </c>
      <c r="EL1393" s="35" t="s">
        <v>1282</v>
      </c>
      <c r="EN1393" s="35">
        <v>63</v>
      </c>
    </row>
    <row r="1394" spans="1:144" s="35" customFormat="1" x14ac:dyDescent="0.25">
      <c r="A1394" s="35">
        <v>63</v>
      </c>
      <c r="B1394" s="35" t="s">
        <v>1265</v>
      </c>
      <c r="C1394" s="35" t="s">
        <v>1266</v>
      </c>
      <c r="D1394" s="35">
        <v>1993</v>
      </c>
      <c r="E1394" s="35">
        <v>1990</v>
      </c>
      <c r="F1394" s="35" t="s">
        <v>394</v>
      </c>
      <c r="G1394" s="35" t="s">
        <v>1267</v>
      </c>
      <c r="H1394" s="35">
        <v>39.03</v>
      </c>
      <c r="I1394" s="35">
        <v>-76.91</v>
      </c>
      <c r="J1394" s="35">
        <v>34.6</v>
      </c>
      <c r="P1394" s="54" t="s">
        <v>187</v>
      </c>
      <c r="Q1394" s="54" t="s">
        <v>1161</v>
      </c>
      <c r="R1394" s="54" t="s">
        <v>1269</v>
      </c>
      <c r="S1394" s="54" t="s">
        <v>671</v>
      </c>
      <c r="W1394" s="35" t="s">
        <v>175</v>
      </c>
      <c r="AA1394" s="35" t="s">
        <v>1715</v>
      </c>
      <c r="AB1394" s="35" t="s">
        <v>326</v>
      </c>
      <c r="AC1394" s="35" t="s">
        <v>1732</v>
      </c>
      <c r="AM1394" s="35" t="s">
        <v>1270</v>
      </c>
      <c r="AN1394" s="35">
        <v>4</v>
      </c>
      <c r="AO1394" s="35">
        <v>4</v>
      </c>
      <c r="AP1394" s="35" t="s">
        <v>184</v>
      </c>
      <c r="AR1394" s="35">
        <v>3190</v>
      </c>
      <c r="AT1394" s="35" t="s">
        <v>1521</v>
      </c>
      <c r="DA1394" s="35">
        <f>(26.3+15.5)/2</f>
        <v>20.9</v>
      </c>
      <c r="DB1394" s="35">
        <f>(23.7+17)/2</f>
        <v>20.350000000000001</v>
      </c>
      <c r="EL1394" s="35" t="s">
        <v>1282</v>
      </c>
      <c r="EN1394" s="35">
        <v>63</v>
      </c>
    </row>
    <row r="1395" spans="1:144" s="35" customFormat="1" x14ac:dyDescent="0.25">
      <c r="A1395" s="35">
        <v>63</v>
      </c>
      <c r="B1395" s="35" t="s">
        <v>1265</v>
      </c>
      <c r="C1395" s="35" t="s">
        <v>1266</v>
      </c>
      <c r="D1395" s="35">
        <v>1993</v>
      </c>
      <c r="E1395" s="35">
        <v>1990</v>
      </c>
      <c r="F1395" s="35" t="s">
        <v>394</v>
      </c>
      <c r="G1395" s="35" t="s">
        <v>1267</v>
      </c>
      <c r="H1395" s="35">
        <v>39.03</v>
      </c>
      <c r="I1395" s="35">
        <v>-76.91</v>
      </c>
      <c r="J1395" s="35">
        <v>34.6</v>
      </c>
      <c r="P1395" s="54" t="s">
        <v>187</v>
      </c>
      <c r="Q1395" s="54" t="s">
        <v>1161</v>
      </c>
      <c r="R1395" s="54" t="s">
        <v>1269</v>
      </c>
      <c r="S1395" s="54" t="s">
        <v>671</v>
      </c>
      <c r="W1395" s="35" t="s">
        <v>175</v>
      </c>
      <c r="AA1395" s="35" t="s">
        <v>1715</v>
      </c>
      <c r="AB1395" s="35" t="s">
        <v>326</v>
      </c>
      <c r="AC1395" s="35" t="s">
        <v>1732</v>
      </c>
      <c r="AM1395" s="35" t="s">
        <v>1270</v>
      </c>
      <c r="AN1395" s="35">
        <v>4</v>
      </c>
      <c r="AO1395" s="35">
        <v>4</v>
      </c>
      <c r="AP1395" s="35" t="s">
        <v>184</v>
      </c>
      <c r="AR1395" s="35">
        <v>6380</v>
      </c>
      <c r="AT1395" s="35" t="s">
        <v>1521</v>
      </c>
      <c r="DA1395" s="35">
        <f>(26.3+15.5)/2</f>
        <v>20.9</v>
      </c>
      <c r="DB1395" s="35">
        <f>(23.6+16.3)/2</f>
        <v>19.950000000000003</v>
      </c>
      <c r="EL1395" s="35" t="s">
        <v>1282</v>
      </c>
      <c r="EN1395" s="35">
        <v>63</v>
      </c>
    </row>
    <row r="1396" spans="1:144" s="26" customFormat="1" x14ac:dyDescent="0.25">
      <c r="A1396" s="26">
        <v>63</v>
      </c>
      <c r="B1396" s="26" t="s">
        <v>1265</v>
      </c>
      <c r="C1396" s="26" t="s">
        <v>1266</v>
      </c>
      <c r="D1396" s="26">
        <v>1993</v>
      </c>
      <c r="E1396" s="26">
        <v>1989</v>
      </c>
      <c r="F1396" s="26" t="s">
        <v>394</v>
      </c>
      <c r="G1396" s="26" t="s">
        <v>1285</v>
      </c>
      <c r="H1396" s="26">
        <v>42.44</v>
      </c>
      <c r="I1396" s="26">
        <v>-76.52</v>
      </c>
      <c r="J1396" s="26">
        <v>188.1</v>
      </c>
      <c r="P1396" s="52" t="s">
        <v>186</v>
      </c>
      <c r="Q1396" s="52" t="s">
        <v>1161</v>
      </c>
      <c r="R1396" s="52" t="s">
        <v>1268</v>
      </c>
      <c r="S1396" s="52" t="s">
        <v>671</v>
      </c>
      <c r="W1396" s="26" t="s">
        <v>175</v>
      </c>
      <c r="AA1396" s="26" t="s">
        <v>1715</v>
      </c>
      <c r="AB1396" s="26" t="s">
        <v>326</v>
      </c>
      <c r="AC1396" s="26" t="s">
        <v>1732</v>
      </c>
      <c r="AM1396" s="26" t="s">
        <v>1270</v>
      </c>
      <c r="AN1396" s="26">
        <v>6</v>
      </c>
      <c r="AO1396" s="26">
        <v>6</v>
      </c>
      <c r="AP1396" s="26" t="s">
        <v>184</v>
      </c>
      <c r="AT1396" s="26" t="s">
        <v>1520</v>
      </c>
      <c r="AU1396" s="26" t="s">
        <v>1271</v>
      </c>
      <c r="DD1396" s="26">
        <v>22.57</v>
      </c>
      <c r="DE1396" s="26">
        <v>25.324999999999999</v>
      </c>
      <c r="EL1396" s="26" t="s">
        <v>1282</v>
      </c>
      <c r="EN1396" s="26">
        <v>63</v>
      </c>
    </row>
    <row r="1397" spans="1:144" s="26" customFormat="1" x14ac:dyDescent="0.25">
      <c r="A1397" s="26">
        <v>63</v>
      </c>
      <c r="B1397" s="26" t="s">
        <v>1265</v>
      </c>
      <c r="C1397" s="26" t="s">
        <v>1266</v>
      </c>
      <c r="D1397" s="26">
        <v>1993</v>
      </c>
      <c r="E1397" s="26">
        <v>1989</v>
      </c>
      <c r="F1397" s="26" t="s">
        <v>394</v>
      </c>
      <c r="G1397" s="26" t="s">
        <v>1285</v>
      </c>
      <c r="H1397" s="26">
        <v>42.44</v>
      </c>
      <c r="I1397" s="26">
        <v>-76.52</v>
      </c>
      <c r="J1397" s="26">
        <v>188.1</v>
      </c>
      <c r="P1397" s="52" t="s">
        <v>186</v>
      </c>
      <c r="Q1397" s="52" t="s">
        <v>1161</v>
      </c>
      <c r="R1397" s="52" t="s">
        <v>1268</v>
      </c>
      <c r="S1397" s="52" t="s">
        <v>671</v>
      </c>
      <c r="W1397" s="26" t="s">
        <v>175</v>
      </c>
      <c r="AA1397" s="26" t="s">
        <v>1715</v>
      </c>
      <c r="AB1397" s="26" t="s">
        <v>326</v>
      </c>
      <c r="AC1397" s="26" t="s">
        <v>1732</v>
      </c>
      <c r="AM1397" s="26" t="s">
        <v>1270</v>
      </c>
      <c r="AN1397" s="26">
        <v>6</v>
      </c>
      <c r="AO1397" s="26">
        <v>6</v>
      </c>
      <c r="AP1397" s="26" t="s">
        <v>184</v>
      </c>
      <c r="AT1397" s="26" t="s">
        <v>1520</v>
      </c>
      <c r="AU1397" s="26" t="s">
        <v>1272</v>
      </c>
      <c r="DD1397" s="26">
        <v>24.65</v>
      </c>
      <c r="DE1397" s="26">
        <v>25.1</v>
      </c>
      <c r="EL1397" s="26" t="s">
        <v>1282</v>
      </c>
      <c r="EN1397" s="26">
        <v>63</v>
      </c>
    </row>
    <row r="1398" spans="1:144" s="26" customFormat="1" x14ac:dyDescent="0.25">
      <c r="A1398" s="26">
        <v>63</v>
      </c>
      <c r="B1398" s="26" t="s">
        <v>1265</v>
      </c>
      <c r="C1398" s="26" t="s">
        <v>1266</v>
      </c>
      <c r="D1398" s="26">
        <v>1993</v>
      </c>
      <c r="E1398" s="26">
        <v>1989</v>
      </c>
      <c r="F1398" s="26" t="s">
        <v>394</v>
      </c>
      <c r="G1398" s="26" t="s">
        <v>1285</v>
      </c>
      <c r="H1398" s="26">
        <v>42.44</v>
      </c>
      <c r="I1398" s="26">
        <v>-76.52</v>
      </c>
      <c r="J1398" s="26">
        <v>188.1</v>
      </c>
      <c r="P1398" s="52" t="s">
        <v>186</v>
      </c>
      <c r="Q1398" s="52" t="s">
        <v>1161</v>
      </c>
      <c r="R1398" s="52" t="s">
        <v>1268</v>
      </c>
      <c r="S1398" s="52" t="s">
        <v>671</v>
      </c>
      <c r="W1398" s="26" t="s">
        <v>175</v>
      </c>
      <c r="AA1398" s="26" t="s">
        <v>1715</v>
      </c>
      <c r="AB1398" s="26" t="s">
        <v>326</v>
      </c>
      <c r="AC1398" s="26" t="s">
        <v>1732</v>
      </c>
      <c r="AM1398" s="26" t="s">
        <v>1270</v>
      </c>
      <c r="AN1398" s="26">
        <v>6</v>
      </c>
      <c r="AO1398" s="26">
        <v>6</v>
      </c>
      <c r="AP1398" s="26" t="s">
        <v>184</v>
      </c>
      <c r="AT1398" s="26" t="s">
        <v>1520</v>
      </c>
      <c r="AU1398" s="26" t="s">
        <v>1273</v>
      </c>
      <c r="DD1398" s="26">
        <v>21.39</v>
      </c>
      <c r="DE1398" s="26">
        <v>25.1</v>
      </c>
      <c r="EL1398" s="26" t="s">
        <v>1282</v>
      </c>
      <c r="EN1398" s="26">
        <v>63</v>
      </c>
    </row>
    <row r="1399" spans="1:144" s="26" customFormat="1" x14ac:dyDescent="0.25">
      <c r="A1399" s="26">
        <v>63</v>
      </c>
      <c r="B1399" s="26" t="s">
        <v>1265</v>
      </c>
      <c r="C1399" s="26" t="s">
        <v>1266</v>
      </c>
      <c r="D1399" s="26">
        <v>1993</v>
      </c>
      <c r="E1399" s="26">
        <v>1989</v>
      </c>
      <c r="F1399" s="26" t="s">
        <v>394</v>
      </c>
      <c r="G1399" s="26" t="s">
        <v>1285</v>
      </c>
      <c r="H1399" s="26">
        <v>42.44</v>
      </c>
      <c r="I1399" s="26">
        <v>-76.52</v>
      </c>
      <c r="J1399" s="26">
        <v>188.1</v>
      </c>
      <c r="P1399" s="52" t="s">
        <v>186</v>
      </c>
      <c r="Q1399" s="52" t="s">
        <v>1161</v>
      </c>
      <c r="R1399" s="52" t="s">
        <v>1268</v>
      </c>
      <c r="S1399" s="52" t="s">
        <v>671</v>
      </c>
      <c r="W1399" s="26" t="s">
        <v>175</v>
      </c>
      <c r="AA1399" s="26" t="s">
        <v>1715</v>
      </c>
      <c r="AB1399" s="26" t="s">
        <v>326</v>
      </c>
      <c r="AC1399" s="26" t="s">
        <v>1732</v>
      </c>
      <c r="AM1399" s="26" t="s">
        <v>1270</v>
      </c>
      <c r="AN1399" s="26">
        <v>6</v>
      </c>
      <c r="AO1399" s="26">
        <v>6</v>
      </c>
      <c r="AP1399" s="26" t="s">
        <v>184</v>
      </c>
      <c r="AT1399" s="26" t="s">
        <v>1520</v>
      </c>
      <c r="AU1399" s="26" t="s">
        <v>1274</v>
      </c>
      <c r="DD1399" s="26">
        <v>16.59</v>
      </c>
      <c r="DE1399" s="26">
        <v>25.2</v>
      </c>
      <c r="EL1399" s="26" t="s">
        <v>1282</v>
      </c>
      <c r="EN1399" s="26">
        <v>63</v>
      </c>
    </row>
    <row r="1400" spans="1:144" s="26" customFormat="1" x14ac:dyDescent="0.25">
      <c r="A1400" s="26">
        <v>63</v>
      </c>
      <c r="B1400" s="26" t="s">
        <v>1265</v>
      </c>
      <c r="C1400" s="26" t="s">
        <v>1266</v>
      </c>
      <c r="D1400" s="26">
        <v>1993</v>
      </c>
      <c r="E1400" s="26">
        <v>1989</v>
      </c>
      <c r="F1400" s="26" t="s">
        <v>394</v>
      </c>
      <c r="G1400" s="26" t="s">
        <v>1285</v>
      </c>
      <c r="H1400" s="26">
        <v>42.44</v>
      </c>
      <c r="I1400" s="26">
        <v>-76.52</v>
      </c>
      <c r="J1400" s="26">
        <v>188.1</v>
      </c>
      <c r="P1400" s="52" t="s">
        <v>186</v>
      </c>
      <c r="Q1400" s="52" t="s">
        <v>1161</v>
      </c>
      <c r="R1400" s="52" t="s">
        <v>1268</v>
      </c>
      <c r="S1400" s="52" t="s">
        <v>671</v>
      </c>
      <c r="W1400" s="26" t="s">
        <v>175</v>
      </c>
      <c r="AA1400" s="26" t="s">
        <v>1715</v>
      </c>
      <c r="AB1400" s="26" t="s">
        <v>326</v>
      </c>
      <c r="AC1400" s="26" t="s">
        <v>1732</v>
      </c>
      <c r="AM1400" s="26" t="s">
        <v>1270</v>
      </c>
      <c r="AN1400" s="26">
        <v>6</v>
      </c>
      <c r="AO1400" s="26">
        <v>6</v>
      </c>
      <c r="AP1400" s="26" t="s">
        <v>184</v>
      </c>
      <c r="AT1400" s="26" t="s">
        <v>1520</v>
      </c>
      <c r="AU1400" s="26" t="s">
        <v>1275</v>
      </c>
      <c r="DD1400" s="26">
        <v>24.38</v>
      </c>
      <c r="DE1400" s="26">
        <v>25.3</v>
      </c>
      <c r="EL1400" s="26" t="s">
        <v>1282</v>
      </c>
      <c r="EN1400" s="26">
        <v>63</v>
      </c>
    </row>
    <row r="1401" spans="1:144" s="26" customFormat="1" x14ac:dyDescent="0.25">
      <c r="A1401" s="26">
        <v>63</v>
      </c>
      <c r="B1401" s="26" t="s">
        <v>1265</v>
      </c>
      <c r="C1401" s="26" t="s">
        <v>1266</v>
      </c>
      <c r="D1401" s="26">
        <v>1993</v>
      </c>
      <c r="E1401" s="26">
        <v>1989</v>
      </c>
      <c r="F1401" s="26" t="s">
        <v>394</v>
      </c>
      <c r="G1401" s="26" t="s">
        <v>1285</v>
      </c>
      <c r="H1401" s="26">
        <v>42.44</v>
      </c>
      <c r="I1401" s="26">
        <v>-76.52</v>
      </c>
      <c r="J1401" s="26">
        <v>188.1</v>
      </c>
      <c r="P1401" s="52" t="s">
        <v>186</v>
      </c>
      <c r="Q1401" s="52" t="s">
        <v>1161</v>
      </c>
      <c r="R1401" s="52" t="s">
        <v>1268</v>
      </c>
      <c r="S1401" s="52" t="s">
        <v>671</v>
      </c>
      <c r="W1401" s="26" t="s">
        <v>175</v>
      </c>
      <c r="AA1401" s="26" t="s">
        <v>1715</v>
      </c>
      <c r="AB1401" s="26" t="s">
        <v>326</v>
      </c>
      <c r="AC1401" s="26" t="s">
        <v>1732</v>
      </c>
      <c r="AM1401" s="26" t="s">
        <v>1270</v>
      </c>
      <c r="AN1401" s="26">
        <v>6</v>
      </c>
      <c r="AO1401" s="26">
        <v>6</v>
      </c>
      <c r="AP1401" s="26" t="s">
        <v>184</v>
      </c>
      <c r="AT1401" s="26" t="s">
        <v>1520</v>
      </c>
      <c r="AU1401" s="26" t="s">
        <v>1276</v>
      </c>
      <c r="DD1401" s="26">
        <v>20.39</v>
      </c>
      <c r="DE1401" s="26">
        <v>25.29</v>
      </c>
      <c r="EL1401" s="26" t="s">
        <v>1282</v>
      </c>
      <c r="EN1401" s="26">
        <v>63</v>
      </c>
    </row>
    <row r="1402" spans="1:144" s="26" customFormat="1" x14ac:dyDescent="0.25">
      <c r="A1402" s="26">
        <v>63</v>
      </c>
      <c r="B1402" s="26" t="s">
        <v>1265</v>
      </c>
      <c r="C1402" s="26" t="s">
        <v>1266</v>
      </c>
      <c r="D1402" s="26">
        <v>1993</v>
      </c>
      <c r="E1402" s="26">
        <v>1989</v>
      </c>
      <c r="F1402" s="26" t="s">
        <v>394</v>
      </c>
      <c r="G1402" s="26" t="s">
        <v>1285</v>
      </c>
      <c r="H1402" s="26">
        <v>42.44</v>
      </c>
      <c r="I1402" s="26">
        <v>-76.52</v>
      </c>
      <c r="J1402" s="26">
        <v>188.1</v>
      </c>
      <c r="P1402" s="52" t="s">
        <v>186</v>
      </c>
      <c r="Q1402" s="52" t="s">
        <v>1161</v>
      </c>
      <c r="R1402" s="52" t="s">
        <v>1268</v>
      </c>
      <c r="S1402" s="52" t="s">
        <v>671</v>
      </c>
      <c r="W1402" s="26" t="s">
        <v>175</v>
      </c>
      <c r="AA1402" s="26" t="s">
        <v>1715</v>
      </c>
      <c r="AB1402" s="26" t="s">
        <v>326</v>
      </c>
      <c r="AC1402" s="26" t="s">
        <v>1732</v>
      </c>
      <c r="AM1402" s="26" t="s">
        <v>1270</v>
      </c>
      <c r="AN1402" s="26">
        <v>6</v>
      </c>
      <c r="AO1402" s="26">
        <v>6</v>
      </c>
      <c r="AP1402" s="26" t="s">
        <v>184</v>
      </c>
      <c r="AT1402" s="26" t="s">
        <v>1520</v>
      </c>
      <c r="AU1402" s="26" t="s">
        <v>1277</v>
      </c>
      <c r="DD1402" s="26">
        <v>16.23</v>
      </c>
      <c r="DE1402" s="26">
        <v>25.29</v>
      </c>
      <c r="EL1402" s="26" t="s">
        <v>1282</v>
      </c>
      <c r="EN1402" s="26">
        <v>63</v>
      </c>
    </row>
    <row r="1403" spans="1:144" s="26" customFormat="1" x14ac:dyDescent="0.25">
      <c r="A1403" s="26">
        <v>63</v>
      </c>
      <c r="B1403" s="26" t="s">
        <v>1265</v>
      </c>
      <c r="C1403" s="26" t="s">
        <v>1266</v>
      </c>
      <c r="D1403" s="26">
        <v>1993</v>
      </c>
      <c r="E1403" s="26">
        <v>1989</v>
      </c>
      <c r="F1403" s="26" t="s">
        <v>394</v>
      </c>
      <c r="G1403" s="26" t="s">
        <v>1285</v>
      </c>
      <c r="H1403" s="26">
        <v>42.44</v>
      </c>
      <c r="I1403" s="26">
        <v>-76.52</v>
      </c>
      <c r="J1403" s="26">
        <v>188.1</v>
      </c>
      <c r="P1403" s="52" t="s">
        <v>186</v>
      </c>
      <c r="Q1403" s="52" t="s">
        <v>1161</v>
      </c>
      <c r="R1403" s="52" t="s">
        <v>1268</v>
      </c>
      <c r="S1403" s="52" t="s">
        <v>671</v>
      </c>
      <c r="W1403" s="26" t="s">
        <v>175</v>
      </c>
      <c r="AA1403" s="26" t="s">
        <v>1715</v>
      </c>
      <c r="AB1403" s="26" t="s">
        <v>326</v>
      </c>
      <c r="AC1403" s="26" t="s">
        <v>1732</v>
      </c>
      <c r="AM1403" s="26" t="s">
        <v>1270</v>
      </c>
      <c r="AN1403" s="26">
        <v>6</v>
      </c>
      <c r="AO1403" s="26">
        <v>6</v>
      </c>
      <c r="AP1403" s="26" t="s">
        <v>184</v>
      </c>
      <c r="AT1403" s="26" t="s">
        <v>1520</v>
      </c>
      <c r="AU1403" s="26" t="s">
        <v>1278</v>
      </c>
      <c r="DD1403" s="26">
        <v>25.65</v>
      </c>
      <c r="DE1403" s="26">
        <v>25.65</v>
      </c>
      <c r="EL1403" s="26" t="s">
        <v>1282</v>
      </c>
      <c r="EN1403" s="26">
        <v>63</v>
      </c>
    </row>
    <row r="1404" spans="1:144" s="26" customFormat="1" x14ac:dyDescent="0.25">
      <c r="A1404" s="26">
        <v>63</v>
      </c>
      <c r="B1404" s="26" t="s">
        <v>1265</v>
      </c>
      <c r="C1404" s="26" t="s">
        <v>1266</v>
      </c>
      <c r="D1404" s="26">
        <v>1993</v>
      </c>
      <c r="E1404" s="26">
        <v>1989</v>
      </c>
      <c r="F1404" s="26" t="s">
        <v>394</v>
      </c>
      <c r="G1404" s="26" t="s">
        <v>1285</v>
      </c>
      <c r="H1404" s="26">
        <v>42.44</v>
      </c>
      <c r="I1404" s="26">
        <v>-76.52</v>
      </c>
      <c r="J1404" s="26">
        <v>188.1</v>
      </c>
      <c r="P1404" s="52" t="s">
        <v>186</v>
      </c>
      <c r="Q1404" s="52" t="s">
        <v>1161</v>
      </c>
      <c r="R1404" s="52" t="s">
        <v>1268</v>
      </c>
      <c r="S1404" s="52" t="s">
        <v>671</v>
      </c>
      <c r="W1404" s="26" t="s">
        <v>175</v>
      </c>
      <c r="AA1404" s="26" t="s">
        <v>1715</v>
      </c>
      <c r="AB1404" s="26" t="s">
        <v>326</v>
      </c>
      <c r="AC1404" s="26" t="s">
        <v>1732</v>
      </c>
      <c r="AM1404" s="26" t="s">
        <v>1270</v>
      </c>
      <c r="AN1404" s="26">
        <v>6</v>
      </c>
      <c r="AO1404" s="26">
        <v>6</v>
      </c>
      <c r="AP1404" s="26" t="s">
        <v>184</v>
      </c>
      <c r="AT1404" s="26" t="s">
        <v>1520</v>
      </c>
      <c r="AU1404" s="26" t="s">
        <v>1279</v>
      </c>
      <c r="DD1404" s="26">
        <v>18.41</v>
      </c>
      <c r="DE1404" s="26">
        <v>25.11</v>
      </c>
      <c r="EL1404" s="26" t="s">
        <v>1282</v>
      </c>
      <c r="EN1404" s="26">
        <v>63</v>
      </c>
    </row>
    <row r="1405" spans="1:144" s="26" customFormat="1" x14ac:dyDescent="0.25">
      <c r="A1405" s="26">
        <v>63</v>
      </c>
      <c r="B1405" s="26" t="s">
        <v>1265</v>
      </c>
      <c r="C1405" s="26" t="s">
        <v>1266</v>
      </c>
      <c r="D1405" s="26">
        <v>1993</v>
      </c>
      <c r="E1405" s="26">
        <v>1989</v>
      </c>
      <c r="F1405" s="26" t="s">
        <v>394</v>
      </c>
      <c r="G1405" s="26" t="s">
        <v>1285</v>
      </c>
      <c r="H1405" s="26">
        <v>42.44</v>
      </c>
      <c r="I1405" s="26">
        <v>-76.52</v>
      </c>
      <c r="J1405" s="26">
        <v>188.1</v>
      </c>
      <c r="P1405" s="52" t="s">
        <v>186</v>
      </c>
      <c r="Q1405" s="52" t="s">
        <v>1161</v>
      </c>
      <c r="R1405" s="52" t="s">
        <v>1268</v>
      </c>
      <c r="S1405" s="52" t="s">
        <v>671</v>
      </c>
      <c r="W1405" s="26" t="s">
        <v>175</v>
      </c>
      <c r="AA1405" s="26" t="s">
        <v>1715</v>
      </c>
      <c r="AB1405" s="26" t="s">
        <v>326</v>
      </c>
      <c r="AC1405" s="26" t="s">
        <v>1732</v>
      </c>
      <c r="AM1405" s="26" t="s">
        <v>1270</v>
      </c>
      <c r="AN1405" s="26">
        <v>6</v>
      </c>
      <c r="AO1405" s="26">
        <v>6</v>
      </c>
      <c r="AP1405" s="26" t="s">
        <v>184</v>
      </c>
      <c r="AT1405" s="26" t="s">
        <v>1520</v>
      </c>
      <c r="AU1405" s="26" t="s">
        <v>1280</v>
      </c>
      <c r="DD1405" s="26">
        <v>16.059999999999999</v>
      </c>
      <c r="DE1405" s="26">
        <v>25.1</v>
      </c>
      <c r="EL1405" s="26" t="s">
        <v>1282</v>
      </c>
      <c r="EN1405" s="26">
        <v>63</v>
      </c>
    </row>
    <row r="1406" spans="1:144" s="26" customFormat="1" x14ac:dyDescent="0.25">
      <c r="A1406" s="26">
        <v>63</v>
      </c>
      <c r="B1406" s="26" t="s">
        <v>1265</v>
      </c>
      <c r="C1406" s="26" t="s">
        <v>1266</v>
      </c>
      <c r="D1406" s="26">
        <v>1993</v>
      </c>
      <c r="E1406" s="26">
        <v>1989</v>
      </c>
      <c r="F1406" s="26" t="s">
        <v>394</v>
      </c>
      <c r="G1406" s="26" t="s">
        <v>1285</v>
      </c>
      <c r="H1406" s="26">
        <v>42.44</v>
      </c>
      <c r="I1406" s="26">
        <v>-76.52</v>
      </c>
      <c r="J1406" s="26">
        <v>188.1</v>
      </c>
      <c r="P1406" s="52" t="s">
        <v>186</v>
      </c>
      <c r="Q1406" s="52" t="s">
        <v>1161</v>
      </c>
      <c r="R1406" s="52" t="s">
        <v>1268</v>
      </c>
      <c r="S1406" s="52" t="s">
        <v>671</v>
      </c>
      <c r="W1406" s="26" t="s">
        <v>175</v>
      </c>
      <c r="AA1406" s="26" t="s">
        <v>1715</v>
      </c>
      <c r="AB1406" s="26" t="s">
        <v>326</v>
      </c>
      <c r="AC1406" s="26" t="s">
        <v>1732</v>
      </c>
      <c r="AM1406" s="26" t="s">
        <v>1270</v>
      </c>
      <c r="AN1406" s="26">
        <v>6</v>
      </c>
      <c r="AO1406" s="26">
        <v>6</v>
      </c>
      <c r="AP1406" s="26" t="s">
        <v>184</v>
      </c>
      <c r="AT1406" s="26" t="s">
        <v>1520</v>
      </c>
      <c r="AU1406" s="26" t="s">
        <v>1281</v>
      </c>
      <c r="DD1406" s="26">
        <v>25.48</v>
      </c>
      <c r="DE1406" s="26">
        <v>25.48</v>
      </c>
      <c r="EL1406" s="26" t="s">
        <v>1282</v>
      </c>
      <c r="EN1406" s="26">
        <v>63</v>
      </c>
    </row>
    <row r="1407" spans="1:144" s="35" customFormat="1" x14ac:dyDescent="0.25">
      <c r="A1407" s="35">
        <v>63</v>
      </c>
      <c r="B1407" s="35" t="s">
        <v>1265</v>
      </c>
      <c r="C1407" s="35" t="s">
        <v>1266</v>
      </c>
      <c r="D1407" s="35">
        <v>1993</v>
      </c>
      <c r="E1407" s="35">
        <v>1989</v>
      </c>
      <c r="F1407" s="35" t="s">
        <v>394</v>
      </c>
      <c r="G1407" s="35" t="s">
        <v>1285</v>
      </c>
      <c r="H1407" s="35">
        <v>42.44</v>
      </c>
      <c r="I1407" s="35">
        <v>-76.52</v>
      </c>
      <c r="J1407" s="35">
        <v>188.1</v>
      </c>
      <c r="P1407" s="54" t="s">
        <v>186</v>
      </c>
      <c r="Q1407" s="54" t="s">
        <v>1161</v>
      </c>
      <c r="R1407" s="54" t="s">
        <v>1268</v>
      </c>
      <c r="S1407" s="54" t="s">
        <v>671</v>
      </c>
      <c r="W1407" s="35" t="s">
        <v>175</v>
      </c>
      <c r="AA1407" s="35" t="s">
        <v>1715</v>
      </c>
      <c r="AB1407" s="35" t="s">
        <v>173</v>
      </c>
      <c r="AC1407" s="35" t="s">
        <v>1732</v>
      </c>
      <c r="AM1407" s="35" t="s">
        <v>1270</v>
      </c>
      <c r="AN1407" s="35">
        <v>6</v>
      </c>
      <c r="AO1407" s="35">
        <v>6</v>
      </c>
      <c r="AP1407" s="35" t="s">
        <v>184</v>
      </c>
      <c r="AT1407" s="35" t="s">
        <v>1520</v>
      </c>
      <c r="AU1407" s="35" t="s">
        <v>1271</v>
      </c>
      <c r="DD1407" s="35">
        <v>21.14</v>
      </c>
      <c r="DE1407" s="35">
        <v>25.65</v>
      </c>
      <c r="EL1407" s="35" t="s">
        <v>1282</v>
      </c>
      <c r="EN1407" s="35">
        <v>63</v>
      </c>
    </row>
    <row r="1408" spans="1:144" s="35" customFormat="1" x14ac:dyDescent="0.25">
      <c r="A1408" s="35">
        <v>63</v>
      </c>
      <c r="B1408" s="35" t="s">
        <v>1265</v>
      </c>
      <c r="C1408" s="35" t="s">
        <v>1266</v>
      </c>
      <c r="D1408" s="35">
        <v>1993</v>
      </c>
      <c r="E1408" s="35">
        <v>1989</v>
      </c>
      <c r="F1408" s="35" t="s">
        <v>394</v>
      </c>
      <c r="G1408" s="35" t="s">
        <v>1285</v>
      </c>
      <c r="H1408" s="35">
        <v>42.44</v>
      </c>
      <c r="I1408" s="35">
        <v>-76.52</v>
      </c>
      <c r="J1408" s="35">
        <v>188.1</v>
      </c>
      <c r="P1408" s="54" t="s">
        <v>186</v>
      </c>
      <c r="Q1408" s="54" t="s">
        <v>1161</v>
      </c>
      <c r="R1408" s="54" t="s">
        <v>1268</v>
      </c>
      <c r="S1408" s="54" t="s">
        <v>671</v>
      </c>
      <c r="W1408" s="35" t="s">
        <v>175</v>
      </c>
      <c r="AA1408" s="35" t="s">
        <v>1715</v>
      </c>
      <c r="AB1408" s="35" t="s">
        <v>173</v>
      </c>
      <c r="AC1408" s="35" t="s">
        <v>1732</v>
      </c>
      <c r="AM1408" s="35" t="s">
        <v>1270</v>
      </c>
      <c r="AN1408" s="35">
        <v>6</v>
      </c>
      <c r="AO1408" s="35">
        <v>6</v>
      </c>
      <c r="AP1408" s="35" t="s">
        <v>184</v>
      </c>
      <c r="AT1408" s="35" t="s">
        <v>1520</v>
      </c>
      <c r="AU1408" s="35" t="s">
        <v>1272</v>
      </c>
      <c r="DD1408" s="35">
        <v>24.63</v>
      </c>
      <c r="DE1408" s="35">
        <v>25.6</v>
      </c>
      <c r="EL1408" s="35" t="s">
        <v>1282</v>
      </c>
      <c r="EN1408" s="35">
        <v>63</v>
      </c>
    </row>
    <row r="1409" spans="1:144" s="35" customFormat="1" x14ac:dyDescent="0.25">
      <c r="A1409" s="35">
        <v>63</v>
      </c>
      <c r="B1409" s="35" t="s">
        <v>1265</v>
      </c>
      <c r="C1409" s="35" t="s">
        <v>1266</v>
      </c>
      <c r="D1409" s="35">
        <v>1993</v>
      </c>
      <c r="E1409" s="35">
        <v>1989</v>
      </c>
      <c r="F1409" s="35" t="s">
        <v>394</v>
      </c>
      <c r="G1409" s="35" t="s">
        <v>1285</v>
      </c>
      <c r="H1409" s="35">
        <v>42.44</v>
      </c>
      <c r="I1409" s="35">
        <v>-76.52</v>
      </c>
      <c r="J1409" s="35">
        <v>188.1</v>
      </c>
      <c r="P1409" s="54" t="s">
        <v>186</v>
      </c>
      <c r="Q1409" s="54" t="s">
        <v>1161</v>
      </c>
      <c r="R1409" s="54" t="s">
        <v>1268</v>
      </c>
      <c r="S1409" s="54" t="s">
        <v>671</v>
      </c>
      <c r="W1409" s="35" t="s">
        <v>175</v>
      </c>
      <c r="AA1409" s="35" t="s">
        <v>1715</v>
      </c>
      <c r="AB1409" s="35" t="s">
        <v>173</v>
      </c>
      <c r="AC1409" s="35" t="s">
        <v>1732</v>
      </c>
      <c r="AM1409" s="35" t="s">
        <v>1270</v>
      </c>
      <c r="AN1409" s="35">
        <v>6</v>
      </c>
      <c r="AO1409" s="35">
        <v>6</v>
      </c>
      <c r="AP1409" s="35" t="s">
        <v>184</v>
      </c>
      <c r="AT1409" s="35" t="s">
        <v>1520</v>
      </c>
      <c r="AU1409" s="35" t="s">
        <v>1273</v>
      </c>
      <c r="DD1409" s="35">
        <v>23.83</v>
      </c>
      <c r="DE1409" s="35">
        <v>25.68</v>
      </c>
      <c r="EL1409" s="35" t="s">
        <v>1282</v>
      </c>
      <c r="EN1409" s="35">
        <v>63</v>
      </c>
    </row>
    <row r="1410" spans="1:144" s="35" customFormat="1" x14ac:dyDescent="0.25">
      <c r="A1410" s="35">
        <v>63</v>
      </c>
      <c r="B1410" s="35" t="s">
        <v>1265</v>
      </c>
      <c r="C1410" s="35" t="s">
        <v>1266</v>
      </c>
      <c r="D1410" s="35">
        <v>1993</v>
      </c>
      <c r="E1410" s="35">
        <v>1989</v>
      </c>
      <c r="F1410" s="35" t="s">
        <v>394</v>
      </c>
      <c r="G1410" s="35" t="s">
        <v>1285</v>
      </c>
      <c r="H1410" s="35">
        <v>42.44</v>
      </c>
      <c r="I1410" s="35">
        <v>-76.52</v>
      </c>
      <c r="J1410" s="35">
        <v>188.1</v>
      </c>
      <c r="P1410" s="54" t="s">
        <v>186</v>
      </c>
      <c r="Q1410" s="54" t="s">
        <v>1161</v>
      </c>
      <c r="R1410" s="54" t="s">
        <v>1268</v>
      </c>
      <c r="S1410" s="54" t="s">
        <v>671</v>
      </c>
      <c r="W1410" s="35" t="s">
        <v>175</v>
      </c>
      <c r="AA1410" s="35" t="s">
        <v>1715</v>
      </c>
      <c r="AB1410" s="35" t="s">
        <v>173</v>
      </c>
      <c r="AC1410" s="35" t="s">
        <v>1732</v>
      </c>
      <c r="AM1410" s="35" t="s">
        <v>1270</v>
      </c>
      <c r="AN1410" s="35">
        <v>6</v>
      </c>
      <c r="AO1410" s="35">
        <v>6</v>
      </c>
      <c r="AP1410" s="35" t="s">
        <v>184</v>
      </c>
      <c r="AT1410" s="35" t="s">
        <v>1520</v>
      </c>
      <c r="AU1410" s="35" t="s">
        <v>1274</v>
      </c>
      <c r="DD1410" s="35">
        <v>17.64</v>
      </c>
      <c r="DE1410" s="35">
        <v>25.77</v>
      </c>
      <c r="EL1410" s="35" t="s">
        <v>1282</v>
      </c>
      <c r="EN1410" s="35">
        <v>63</v>
      </c>
    </row>
    <row r="1411" spans="1:144" s="35" customFormat="1" x14ac:dyDescent="0.25">
      <c r="A1411" s="35">
        <v>63</v>
      </c>
      <c r="B1411" s="35" t="s">
        <v>1265</v>
      </c>
      <c r="C1411" s="35" t="s">
        <v>1266</v>
      </c>
      <c r="D1411" s="35">
        <v>1993</v>
      </c>
      <c r="E1411" s="35">
        <v>1989</v>
      </c>
      <c r="F1411" s="35" t="s">
        <v>394</v>
      </c>
      <c r="G1411" s="35" t="s">
        <v>1285</v>
      </c>
      <c r="H1411" s="35">
        <v>42.44</v>
      </c>
      <c r="I1411" s="35">
        <v>-76.52</v>
      </c>
      <c r="J1411" s="35">
        <v>188.1</v>
      </c>
      <c r="P1411" s="54" t="s">
        <v>186</v>
      </c>
      <c r="Q1411" s="54" t="s">
        <v>1161</v>
      </c>
      <c r="R1411" s="54" t="s">
        <v>1268</v>
      </c>
      <c r="S1411" s="54" t="s">
        <v>671</v>
      </c>
      <c r="W1411" s="35" t="s">
        <v>175</v>
      </c>
      <c r="AA1411" s="35" t="s">
        <v>1715</v>
      </c>
      <c r="AB1411" s="35" t="s">
        <v>173</v>
      </c>
      <c r="AC1411" s="35" t="s">
        <v>1732</v>
      </c>
      <c r="AM1411" s="35" t="s">
        <v>1270</v>
      </c>
      <c r="AN1411" s="35">
        <v>6</v>
      </c>
      <c r="AO1411" s="35">
        <v>6</v>
      </c>
      <c r="AP1411" s="35" t="s">
        <v>184</v>
      </c>
      <c r="AT1411" s="35" t="s">
        <v>1520</v>
      </c>
      <c r="AU1411" s="35" t="s">
        <v>1275</v>
      </c>
      <c r="DD1411" s="35">
        <v>25.5</v>
      </c>
      <c r="DE1411" s="35">
        <v>25.5</v>
      </c>
      <c r="EL1411" s="35" t="s">
        <v>1282</v>
      </c>
      <c r="EN1411" s="35">
        <v>63</v>
      </c>
    </row>
    <row r="1412" spans="1:144" s="35" customFormat="1" x14ac:dyDescent="0.25">
      <c r="A1412" s="35">
        <v>63</v>
      </c>
      <c r="B1412" s="35" t="s">
        <v>1265</v>
      </c>
      <c r="C1412" s="35" t="s">
        <v>1266</v>
      </c>
      <c r="D1412" s="35">
        <v>1993</v>
      </c>
      <c r="E1412" s="35">
        <v>1989</v>
      </c>
      <c r="F1412" s="35" t="s">
        <v>394</v>
      </c>
      <c r="G1412" s="35" t="s">
        <v>1285</v>
      </c>
      <c r="H1412" s="35">
        <v>42.44</v>
      </c>
      <c r="I1412" s="35">
        <v>-76.52</v>
      </c>
      <c r="J1412" s="35">
        <v>188.1</v>
      </c>
      <c r="P1412" s="54" t="s">
        <v>186</v>
      </c>
      <c r="Q1412" s="54" t="s">
        <v>1161</v>
      </c>
      <c r="R1412" s="54" t="s">
        <v>1268</v>
      </c>
      <c r="S1412" s="54" t="s">
        <v>671</v>
      </c>
      <c r="W1412" s="35" t="s">
        <v>175</v>
      </c>
      <c r="AA1412" s="35" t="s">
        <v>1715</v>
      </c>
      <c r="AB1412" s="35" t="s">
        <v>173</v>
      </c>
      <c r="AC1412" s="35" t="s">
        <v>1732</v>
      </c>
      <c r="AM1412" s="35" t="s">
        <v>1270</v>
      </c>
      <c r="AN1412" s="35">
        <v>6</v>
      </c>
      <c r="AO1412" s="35">
        <v>6</v>
      </c>
      <c r="AP1412" s="35" t="s">
        <v>184</v>
      </c>
      <c r="AT1412" s="35" t="s">
        <v>1520</v>
      </c>
      <c r="AU1412" s="35" t="s">
        <v>1276</v>
      </c>
      <c r="DD1412" s="35">
        <v>22.23</v>
      </c>
      <c r="DE1412" s="35">
        <v>25.5</v>
      </c>
      <c r="EL1412" s="35" t="s">
        <v>1282</v>
      </c>
      <c r="EN1412" s="35">
        <v>63</v>
      </c>
    </row>
    <row r="1413" spans="1:144" s="35" customFormat="1" x14ac:dyDescent="0.25">
      <c r="A1413" s="35">
        <v>63</v>
      </c>
      <c r="B1413" s="35" t="s">
        <v>1265</v>
      </c>
      <c r="C1413" s="35" t="s">
        <v>1266</v>
      </c>
      <c r="D1413" s="35">
        <v>1993</v>
      </c>
      <c r="E1413" s="35">
        <v>1989</v>
      </c>
      <c r="F1413" s="35" t="s">
        <v>394</v>
      </c>
      <c r="G1413" s="35" t="s">
        <v>1285</v>
      </c>
      <c r="H1413" s="35">
        <v>42.44</v>
      </c>
      <c r="I1413" s="35">
        <v>-76.52</v>
      </c>
      <c r="J1413" s="35">
        <v>188.1</v>
      </c>
      <c r="P1413" s="54" t="s">
        <v>186</v>
      </c>
      <c r="Q1413" s="54" t="s">
        <v>1161</v>
      </c>
      <c r="R1413" s="54" t="s">
        <v>1268</v>
      </c>
      <c r="S1413" s="54" t="s">
        <v>671</v>
      </c>
      <c r="W1413" s="35" t="s">
        <v>175</v>
      </c>
      <c r="AA1413" s="35" t="s">
        <v>1715</v>
      </c>
      <c r="AB1413" s="35" t="s">
        <v>173</v>
      </c>
      <c r="AC1413" s="35" t="s">
        <v>1732</v>
      </c>
      <c r="AM1413" s="35" t="s">
        <v>1270</v>
      </c>
      <c r="AN1413" s="35">
        <v>6</v>
      </c>
      <c r="AO1413" s="35">
        <v>6</v>
      </c>
      <c r="AP1413" s="35" t="s">
        <v>184</v>
      </c>
      <c r="AT1413" s="35" t="s">
        <v>1520</v>
      </c>
      <c r="AU1413" s="35" t="s">
        <v>1277</v>
      </c>
      <c r="DD1413" s="35">
        <v>17.45</v>
      </c>
      <c r="DE1413" s="35">
        <v>25.49</v>
      </c>
      <c r="EL1413" s="35" t="s">
        <v>1282</v>
      </c>
      <c r="EN1413" s="35">
        <v>63</v>
      </c>
    </row>
    <row r="1414" spans="1:144" s="35" customFormat="1" x14ac:dyDescent="0.25">
      <c r="A1414" s="35">
        <v>63</v>
      </c>
      <c r="B1414" s="35" t="s">
        <v>1265</v>
      </c>
      <c r="C1414" s="35" t="s">
        <v>1266</v>
      </c>
      <c r="D1414" s="35">
        <v>1993</v>
      </c>
      <c r="E1414" s="35">
        <v>1989</v>
      </c>
      <c r="F1414" s="35" t="s">
        <v>394</v>
      </c>
      <c r="G1414" s="35" t="s">
        <v>1285</v>
      </c>
      <c r="H1414" s="35">
        <v>42.44</v>
      </c>
      <c r="I1414" s="35">
        <v>-76.52</v>
      </c>
      <c r="J1414" s="35">
        <v>188.1</v>
      </c>
      <c r="P1414" s="54" t="s">
        <v>186</v>
      </c>
      <c r="Q1414" s="54" t="s">
        <v>1161</v>
      </c>
      <c r="R1414" s="54" t="s">
        <v>1268</v>
      </c>
      <c r="S1414" s="54" t="s">
        <v>671</v>
      </c>
      <c r="W1414" s="35" t="s">
        <v>175</v>
      </c>
      <c r="AA1414" s="35" t="s">
        <v>1715</v>
      </c>
      <c r="AB1414" s="35" t="s">
        <v>173</v>
      </c>
      <c r="AC1414" s="35" t="s">
        <v>1732</v>
      </c>
      <c r="AM1414" s="35" t="s">
        <v>1270</v>
      </c>
      <c r="AN1414" s="35">
        <v>6</v>
      </c>
      <c r="AO1414" s="35">
        <v>6</v>
      </c>
      <c r="AP1414" s="35" t="s">
        <v>184</v>
      </c>
      <c r="AT1414" s="35" t="s">
        <v>1520</v>
      </c>
      <c r="AU1414" s="35" t="s">
        <v>1278</v>
      </c>
      <c r="DD1414" s="35">
        <v>25.83</v>
      </c>
      <c r="DE1414" s="35">
        <v>25.83</v>
      </c>
      <c r="EL1414" s="35" t="s">
        <v>1282</v>
      </c>
      <c r="EN1414" s="35">
        <v>63</v>
      </c>
    </row>
    <row r="1415" spans="1:144" s="35" customFormat="1" x14ac:dyDescent="0.25">
      <c r="A1415" s="35">
        <v>63</v>
      </c>
      <c r="B1415" s="35" t="s">
        <v>1265</v>
      </c>
      <c r="C1415" s="35" t="s">
        <v>1266</v>
      </c>
      <c r="D1415" s="35">
        <v>1993</v>
      </c>
      <c r="E1415" s="35">
        <v>1989</v>
      </c>
      <c r="F1415" s="35" t="s">
        <v>394</v>
      </c>
      <c r="G1415" s="35" t="s">
        <v>1285</v>
      </c>
      <c r="H1415" s="35">
        <v>42.44</v>
      </c>
      <c r="I1415" s="35">
        <v>-76.52</v>
      </c>
      <c r="J1415" s="35">
        <v>188.1</v>
      </c>
      <c r="P1415" s="54" t="s">
        <v>186</v>
      </c>
      <c r="Q1415" s="54" t="s">
        <v>1161</v>
      </c>
      <c r="R1415" s="54" t="s">
        <v>1268</v>
      </c>
      <c r="S1415" s="54" t="s">
        <v>671</v>
      </c>
      <c r="W1415" s="35" t="s">
        <v>175</v>
      </c>
      <c r="AA1415" s="35" t="s">
        <v>1715</v>
      </c>
      <c r="AB1415" s="35" t="s">
        <v>173</v>
      </c>
      <c r="AC1415" s="35" t="s">
        <v>1732</v>
      </c>
      <c r="AM1415" s="35" t="s">
        <v>1270</v>
      </c>
      <c r="AN1415" s="35">
        <v>6</v>
      </c>
      <c r="AO1415" s="35">
        <v>6</v>
      </c>
      <c r="AP1415" s="35" t="s">
        <v>184</v>
      </c>
      <c r="AT1415" s="35" t="s">
        <v>1520</v>
      </c>
      <c r="AU1415" s="35" t="s">
        <v>1279</v>
      </c>
      <c r="DD1415" s="35">
        <v>19.38</v>
      </c>
      <c r="DE1415" s="35">
        <v>25.56</v>
      </c>
      <c r="EL1415" s="35" t="s">
        <v>1282</v>
      </c>
      <c r="EN1415" s="35">
        <v>63</v>
      </c>
    </row>
    <row r="1416" spans="1:144" s="35" customFormat="1" x14ac:dyDescent="0.25">
      <c r="A1416" s="35">
        <v>63</v>
      </c>
      <c r="B1416" s="35" t="s">
        <v>1265</v>
      </c>
      <c r="C1416" s="35" t="s">
        <v>1266</v>
      </c>
      <c r="D1416" s="35">
        <v>1993</v>
      </c>
      <c r="E1416" s="35">
        <v>1989</v>
      </c>
      <c r="F1416" s="35" t="s">
        <v>394</v>
      </c>
      <c r="G1416" s="35" t="s">
        <v>1285</v>
      </c>
      <c r="H1416" s="35">
        <v>42.44</v>
      </c>
      <c r="I1416" s="35">
        <v>-76.52</v>
      </c>
      <c r="J1416" s="35">
        <v>188.1</v>
      </c>
      <c r="P1416" s="54" t="s">
        <v>186</v>
      </c>
      <c r="Q1416" s="54" t="s">
        <v>1161</v>
      </c>
      <c r="R1416" s="54" t="s">
        <v>1268</v>
      </c>
      <c r="S1416" s="54" t="s">
        <v>671</v>
      </c>
      <c r="W1416" s="35" t="s">
        <v>175</v>
      </c>
      <c r="AA1416" s="35" t="s">
        <v>1715</v>
      </c>
      <c r="AB1416" s="35" t="s">
        <v>173</v>
      </c>
      <c r="AC1416" s="35" t="s">
        <v>1732</v>
      </c>
      <c r="AM1416" s="35" t="s">
        <v>1270</v>
      </c>
      <c r="AN1416" s="35">
        <v>6</v>
      </c>
      <c r="AO1416" s="35">
        <v>6</v>
      </c>
      <c r="AP1416" s="35" t="s">
        <v>184</v>
      </c>
      <c r="AT1416" s="35" t="s">
        <v>1520</v>
      </c>
      <c r="AU1416" s="35" t="s">
        <v>1280</v>
      </c>
      <c r="DD1416" s="35">
        <v>16.72</v>
      </c>
      <c r="DE1416" s="35">
        <v>24.76</v>
      </c>
      <c r="EL1416" s="35" t="s">
        <v>1282</v>
      </c>
      <c r="EN1416" s="35">
        <v>63</v>
      </c>
    </row>
    <row r="1417" spans="1:144" s="35" customFormat="1" x14ac:dyDescent="0.25">
      <c r="A1417" s="35">
        <v>63</v>
      </c>
      <c r="B1417" s="35" t="s">
        <v>1265</v>
      </c>
      <c r="C1417" s="35" t="s">
        <v>1266</v>
      </c>
      <c r="D1417" s="35">
        <v>1993</v>
      </c>
      <c r="E1417" s="35">
        <v>1989</v>
      </c>
      <c r="F1417" s="35" t="s">
        <v>394</v>
      </c>
      <c r="G1417" s="35" t="s">
        <v>1285</v>
      </c>
      <c r="H1417" s="35">
        <v>42.44</v>
      </c>
      <c r="I1417" s="35">
        <v>-76.52</v>
      </c>
      <c r="J1417" s="35">
        <v>188.1</v>
      </c>
      <c r="P1417" s="54" t="s">
        <v>186</v>
      </c>
      <c r="Q1417" s="54" t="s">
        <v>1161</v>
      </c>
      <c r="R1417" s="54" t="s">
        <v>1268</v>
      </c>
      <c r="S1417" s="54" t="s">
        <v>671</v>
      </c>
      <c r="W1417" s="35" t="s">
        <v>175</v>
      </c>
      <c r="AA1417" s="35" t="s">
        <v>1715</v>
      </c>
      <c r="AB1417" s="35" t="s">
        <v>173</v>
      </c>
      <c r="AC1417" s="35" t="s">
        <v>1732</v>
      </c>
      <c r="AM1417" s="35" t="s">
        <v>1270</v>
      </c>
      <c r="AN1417" s="35">
        <v>6</v>
      </c>
      <c r="AO1417" s="35">
        <v>6</v>
      </c>
      <c r="AP1417" s="35" t="s">
        <v>184</v>
      </c>
      <c r="AT1417" s="35" t="s">
        <v>1520</v>
      </c>
      <c r="AU1417" s="35" t="s">
        <v>1281</v>
      </c>
      <c r="DD1417" s="35">
        <v>25.65</v>
      </c>
      <c r="DE1417" s="35">
        <v>25.65</v>
      </c>
      <c r="EL1417" s="35" t="s">
        <v>1282</v>
      </c>
      <c r="EN1417" s="35">
        <v>63</v>
      </c>
    </row>
    <row r="1418" spans="1:144" s="31" customFormat="1" x14ac:dyDescent="0.25">
      <c r="A1418" s="31">
        <v>64</v>
      </c>
      <c r="B1418" s="31" t="s">
        <v>1283</v>
      </c>
      <c r="C1418" s="31" t="s">
        <v>1284</v>
      </c>
      <c r="D1418" s="31">
        <v>2005</v>
      </c>
      <c r="E1418" s="31">
        <v>2001</v>
      </c>
      <c r="F1418" s="31" t="s">
        <v>439</v>
      </c>
      <c r="G1418" s="31" t="s">
        <v>1286</v>
      </c>
      <c r="H1418" s="31">
        <f t="shared" ref="H1418:H1427" si="241">32+25/60</f>
        <v>32.416666666666664</v>
      </c>
      <c r="I1418" s="31">
        <f t="shared" ref="I1418:I1427" si="242">-85-54/90</f>
        <v>-85.6</v>
      </c>
      <c r="J1418" s="31">
        <f>(69.8+70.1+68.5+69.4+69.6)/5</f>
        <v>69.47999999999999</v>
      </c>
      <c r="P1418" s="56" t="s">
        <v>186</v>
      </c>
      <c r="Q1418" s="56"/>
      <c r="R1418" s="56"/>
      <c r="S1418" s="56" t="s">
        <v>668</v>
      </c>
      <c r="T1418" s="31">
        <v>1.5</v>
      </c>
      <c r="U1418" s="31">
        <f>(519+556+573+552+533)/5/1000*100</f>
        <v>54.66</v>
      </c>
      <c r="V1418" s="31">
        <f>100-U1418-(182+191+143+193+211)/5/1000*100</f>
        <v>26.940000000000005</v>
      </c>
      <c r="W1418" s="31" t="s">
        <v>182</v>
      </c>
      <c r="X1418" s="31">
        <v>6.5</v>
      </c>
      <c r="Y1418" s="31">
        <f>(26.4+23.85+24.1+20.38+24.08)/5*1/(100*100*0.3*1.5)*100</f>
        <v>0.52804444444444432</v>
      </c>
      <c r="AA1418" s="31" t="s">
        <v>1716</v>
      </c>
      <c r="AB1418" s="31" t="s">
        <v>851</v>
      </c>
      <c r="AC1418" s="31" t="s">
        <v>174</v>
      </c>
      <c r="AD1418" s="31" t="s">
        <v>1293</v>
      </c>
      <c r="AE1418" s="31" t="s">
        <v>1293</v>
      </c>
      <c r="AF1418" s="31" t="s">
        <v>252</v>
      </c>
      <c r="AG1418" s="31" t="s">
        <v>656</v>
      </c>
      <c r="AH1418" s="31" t="s">
        <v>1289</v>
      </c>
      <c r="AI1418" s="31" t="s">
        <v>693</v>
      </c>
      <c r="AJ1418" s="31" t="s">
        <v>1288</v>
      </c>
      <c r="AK1418" s="31" t="s">
        <v>1288</v>
      </c>
      <c r="AL1418" s="31" t="s">
        <v>252</v>
      </c>
      <c r="AM1418" s="31" t="s">
        <v>222</v>
      </c>
      <c r="AN1418" s="31">
        <v>6</v>
      </c>
      <c r="AO1418" s="31">
        <v>6</v>
      </c>
      <c r="AP1418" s="31" t="s">
        <v>184</v>
      </c>
      <c r="AY1418" s="31">
        <v>9520</v>
      </c>
      <c r="AZ1418" s="31">
        <v>9880</v>
      </c>
      <c r="BA1418" s="31" t="s">
        <v>174</v>
      </c>
      <c r="EN1418" s="31">
        <v>64</v>
      </c>
    </row>
    <row r="1419" spans="1:144" s="31" customFormat="1" x14ac:dyDescent="0.25">
      <c r="A1419" s="31">
        <v>64</v>
      </c>
      <c r="B1419" s="31" t="s">
        <v>1283</v>
      </c>
      <c r="C1419" s="31" t="s">
        <v>1284</v>
      </c>
      <c r="D1419" s="31">
        <v>2005</v>
      </c>
      <c r="E1419" s="31">
        <v>2001</v>
      </c>
      <c r="F1419" s="31" t="s">
        <v>439</v>
      </c>
      <c r="G1419" s="31" t="s">
        <v>1286</v>
      </c>
      <c r="H1419" s="31">
        <f t="shared" si="241"/>
        <v>32.416666666666664</v>
      </c>
      <c r="I1419" s="31">
        <f t="shared" si="242"/>
        <v>-85.6</v>
      </c>
      <c r="J1419" s="31">
        <f t="shared" ref="J1419:J1422" si="243">(69.8+70.1+68.5+69.4+69.6)/5</f>
        <v>69.47999999999999</v>
      </c>
      <c r="P1419" s="56" t="s">
        <v>186</v>
      </c>
      <c r="Q1419" s="56"/>
      <c r="R1419" s="56"/>
      <c r="S1419" s="56" t="s">
        <v>668</v>
      </c>
      <c r="T1419" s="31">
        <v>1.5</v>
      </c>
      <c r="U1419" s="31">
        <f t="shared" ref="U1419:U1422" si="244">(519+556+573+552+533)/5/1000*100</f>
        <v>54.66</v>
      </c>
      <c r="V1419" s="31">
        <f t="shared" ref="V1419:V1422" si="245">100-U1419-(182+191+143+193+211)/5/1000*100</f>
        <v>26.940000000000005</v>
      </c>
      <c r="W1419" s="31" t="s">
        <v>182</v>
      </c>
      <c r="X1419" s="31">
        <v>6.5</v>
      </c>
      <c r="Y1419" s="31">
        <f t="shared" ref="Y1419:Y1422" si="246">(26.4+23.85+24.1+20.38+24.08)/5*1/(100*100*0.3*1.5)*100</f>
        <v>0.52804444444444432</v>
      </c>
      <c r="AA1419" s="31" t="s">
        <v>1716</v>
      </c>
      <c r="AB1419" s="31" t="s">
        <v>851</v>
      </c>
      <c r="AC1419" s="31" t="s">
        <v>788</v>
      </c>
      <c r="AD1419" s="31" t="s">
        <v>1293</v>
      </c>
      <c r="AE1419" s="31" t="s">
        <v>1293</v>
      </c>
      <c r="AF1419" s="31" t="s">
        <v>252</v>
      </c>
      <c r="AG1419" s="31" t="s">
        <v>656</v>
      </c>
      <c r="AH1419" s="31" t="s">
        <v>1289</v>
      </c>
      <c r="AI1419" s="31" t="s">
        <v>693</v>
      </c>
      <c r="AJ1419" s="31" t="s">
        <v>1288</v>
      </c>
      <c r="AK1419" s="31" t="s">
        <v>1288</v>
      </c>
      <c r="AL1419" s="31" t="s">
        <v>252</v>
      </c>
      <c r="AM1419" s="31" t="s">
        <v>222</v>
      </c>
      <c r="AN1419" s="31">
        <v>6</v>
      </c>
      <c r="AO1419" s="31">
        <v>6</v>
      </c>
      <c r="AP1419" s="31" t="s">
        <v>184</v>
      </c>
      <c r="AY1419" s="31">
        <v>2760</v>
      </c>
      <c r="AZ1419" s="31">
        <v>3100</v>
      </c>
      <c r="BA1419" s="31" t="s">
        <v>1295</v>
      </c>
      <c r="EN1419" s="31">
        <v>64</v>
      </c>
    </row>
    <row r="1420" spans="1:144" s="31" customFormat="1" x14ac:dyDescent="0.25">
      <c r="A1420" s="31">
        <v>64</v>
      </c>
      <c r="B1420" s="31" t="s">
        <v>1283</v>
      </c>
      <c r="C1420" s="31" t="s">
        <v>1284</v>
      </c>
      <c r="D1420" s="31">
        <v>2005</v>
      </c>
      <c r="E1420" s="31">
        <v>2002</v>
      </c>
      <c r="F1420" s="31" t="s">
        <v>439</v>
      </c>
      <c r="G1420" s="31" t="s">
        <v>1286</v>
      </c>
      <c r="H1420" s="31">
        <f t="shared" si="241"/>
        <v>32.416666666666664</v>
      </c>
      <c r="I1420" s="31">
        <f t="shared" si="242"/>
        <v>-85.6</v>
      </c>
      <c r="J1420" s="31">
        <f t="shared" si="243"/>
        <v>69.47999999999999</v>
      </c>
      <c r="P1420" s="56" t="s">
        <v>187</v>
      </c>
      <c r="Q1420" s="56"/>
      <c r="R1420" s="56"/>
      <c r="S1420" s="56" t="s">
        <v>671</v>
      </c>
      <c r="T1420" s="31">
        <v>1.5</v>
      </c>
      <c r="U1420" s="31">
        <f t="shared" si="244"/>
        <v>54.66</v>
      </c>
      <c r="V1420" s="31">
        <f t="shared" si="245"/>
        <v>26.940000000000005</v>
      </c>
      <c r="W1420" s="31" t="s">
        <v>182</v>
      </c>
      <c r="X1420" s="31">
        <v>6.5</v>
      </c>
      <c r="Y1420" s="31">
        <f t="shared" si="246"/>
        <v>0.52804444444444432</v>
      </c>
      <c r="AA1420" s="31" t="s">
        <v>1716</v>
      </c>
      <c r="AB1420" s="31" t="s">
        <v>851</v>
      </c>
      <c r="AC1420" s="31" t="s">
        <v>788</v>
      </c>
      <c r="AD1420" s="31" t="s">
        <v>1293</v>
      </c>
      <c r="AE1420" s="31" t="s">
        <v>1293</v>
      </c>
      <c r="AF1420" s="31" t="s">
        <v>252</v>
      </c>
      <c r="AG1420" s="31" t="s">
        <v>656</v>
      </c>
      <c r="AH1420" s="31" t="s">
        <v>1289</v>
      </c>
      <c r="AI1420" s="31" t="s">
        <v>693</v>
      </c>
      <c r="AJ1420" s="31" t="s">
        <v>1288</v>
      </c>
      <c r="AK1420" s="31" t="s">
        <v>1288</v>
      </c>
      <c r="AL1420" s="31" t="s">
        <v>252</v>
      </c>
      <c r="AM1420" s="31" t="s">
        <v>222</v>
      </c>
      <c r="AN1420" s="31">
        <v>6</v>
      </c>
      <c r="AO1420" s="31">
        <v>6</v>
      </c>
      <c r="AP1420" s="31" t="s">
        <v>184</v>
      </c>
      <c r="AY1420" s="31">
        <v>1260</v>
      </c>
      <c r="AZ1420" s="31">
        <v>1610</v>
      </c>
      <c r="BA1420" s="31" t="s">
        <v>1295</v>
      </c>
      <c r="BB1420" s="31">
        <v>1.35</v>
      </c>
      <c r="BC1420" s="31">
        <v>1.39</v>
      </c>
      <c r="BE1420" s="31">
        <f>5.02*(1/(100*100*0.05*1.35))*100</f>
        <v>0.74370370370370364</v>
      </c>
      <c r="BF1420" s="31">
        <f>7.62*(1/(100*100*0.05*1.39))*100</f>
        <v>1.0964028776978418</v>
      </c>
      <c r="BG1420" s="31" t="s">
        <v>1292</v>
      </c>
      <c r="EN1420" s="31">
        <v>64</v>
      </c>
    </row>
    <row r="1421" spans="1:144" s="31" customFormat="1" x14ac:dyDescent="0.25">
      <c r="A1421" s="31">
        <v>64</v>
      </c>
      <c r="B1421" s="31" t="s">
        <v>1283</v>
      </c>
      <c r="C1421" s="31" t="s">
        <v>1284</v>
      </c>
      <c r="D1421" s="31">
        <v>2005</v>
      </c>
      <c r="E1421" s="31">
        <v>2002</v>
      </c>
      <c r="F1421" s="31" t="s">
        <v>439</v>
      </c>
      <c r="G1421" s="31" t="s">
        <v>1286</v>
      </c>
      <c r="H1421" s="31">
        <f t="shared" si="241"/>
        <v>32.416666666666664</v>
      </c>
      <c r="I1421" s="31">
        <f t="shared" si="242"/>
        <v>-85.6</v>
      </c>
      <c r="J1421" s="31">
        <f t="shared" si="243"/>
        <v>69.47999999999999</v>
      </c>
      <c r="P1421" s="56" t="s">
        <v>187</v>
      </c>
      <c r="Q1421" s="56"/>
      <c r="R1421" s="56"/>
      <c r="S1421" s="56" t="s">
        <v>1287</v>
      </c>
      <c r="T1421" s="31">
        <v>1.5</v>
      </c>
      <c r="U1421" s="31">
        <f t="shared" si="244"/>
        <v>54.66</v>
      </c>
      <c r="V1421" s="31">
        <f t="shared" si="245"/>
        <v>26.940000000000005</v>
      </c>
      <c r="W1421" s="31" t="s">
        <v>182</v>
      </c>
      <c r="X1421" s="31">
        <v>6.5</v>
      </c>
      <c r="Y1421" s="31">
        <f t="shared" si="246"/>
        <v>0.52804444444444432</v>
      </c>
      <c r="AA1421" s="31" t="s">
        <v>1716</v>
      </c>
      <c r="AB1421" s="31" t="s">
        <v>851</v>
      </c>
      <c r="AC1421" s="31" t="s">
        <v>174</v>
      </c>
      <c r="AD1421" s="31" t="s">
        <v>1293</v>
      </c>
      <c r="AE1421" s="31" t="s">
        <v>1293</v>
      </c>
      <c r="AF1421" s="31" t="s">
        <v>252</v>
      </c>
      <c r="AG1421" s="31" t="s">
        <v>656</v>
      </c>
      <c r="AH1421" s="31" t="s">
        <v>1289</v>
      </c>
      <c r="AI1421" s="31" t="s">
        <v>693</v>
      </c>
      <c r="AJ1421" s="31" t="s">
        <v>1288</v>
      </c>
      <c r="AK1421" s="31" t="s">
        <v>1288</v>
      </c>
      <c r="AL1421" s="31" t="s">
        <v>252</v>
      </c>
      <c r="AM1421" s="31" t="s">
        <v>222</v>
      </c>
      <c r="AN1421" s="31">
        <v>6</v>
      </c>
      <c r="AO1421" s="31">
        <v>6</v>
      </c>
      <c r="AP1421" s="31" t="s">
        <v>184</v>
      </c>
      <c r="AY1421" s="31">
        <v>6770</v>
      </c>
      <c r="AZ1421" s="31">
        <v>8720</v>
      </c>
      <c r="BA1421" s="31" t="s">
        <v>174</v>
      </c>
      <c r="BB1421" s="31">
        <v>1.57</v>
      </c>
      <c r="BC1421" s="31">
        <v>1.62</v>
      </c>
      <c r="BE1421" s="31">
        <f>9.61*(1/(100*100*0.1*1.57))*100</f>
        <v>0.61210191082802534</v>
      </c>
      <c r="BF1421" s="31">
        <f>9.42*(1/(100*100*0.1*1.62))*100</f>
        <v>0.58148148148148149</v>
      </c>
      <c r="BG1421" s="31" t="s">
        <v>1292</v>
      </c>
      <c r="EN1421" s="31">
        <v>64</v>
      </c>
    </row>
    <row r="1422" spans="1:144" s="31" customFormat="1" x14ac:dyDescent="0.25">
      <c r="A1422" s="31">
        <v>64</v>
      </c>
      <c r="B1422" s="31" t="s">
        <v>1283</v>
      </c>
      <c r="C1422" s="31" t="s">
        <v>1284</v>
      </c>
      <c r="D1422" s="31">
        <v>2005</v>
      </c>
      <c r="E1422" s="31">
        <v>2002</v>
      </c>
      <c r="F1422" s="31" t="s">
        <v>439</v>
      </c>
      <c r="G1422" s="31" t="s">
        <v>1286</v>
      </c>
      <c r="H1422" s="31">
        <f t="shared" si="241"/>
        <v>32.416666666666664</v>
      </c>
      <c r="I1422" s="31">
        <f t="shared" si="242"/>
        <v>-85.6</v>
      </c>
      <c r="J1422" s="31">
        <f t="shared" si="243"/>
        <v>69.47999999999999</v>
      </c>
      <c r="P1422" s="56" t="s">
        <v>187</v>
      </c>
      <c r="Q1422" s="56"/>
      <c r="R1422" s="56"/>
      <c r="S1422" s="56" t="s">
        <v>669</v>
      </c>
      <c r="T1422" s="31">
        <v>1.5</v>
      </c>
      <c r="U1422" s="31">
        <f t="shared" si="244"/>
        <v>54.66</v>
      </c>
      <c r="V1422" s="31">
        <f t="shared" si="245"/>
        <v>26.940000000000005</v>
      </c>
      <c r="W1422" s="31" t="s">
        <v>182</v>
      </c>
      <c r="X1422" s="31">
        <v>6.5</v>
      </c>
      <c r="Y1422" s="31">
        <f t="shared" si="246"/>
        <v>0.52804444444444432</v>
      </c>
      <c r="AA1422" s="31" t="s">
        <v>1716</v>
      </c>
      <c r="AB1422" s="31" t="s">
        <v>851</v>
      </c>
      <c r="AC1422" s="31" t="s">
        <v>788</v>
      </c>
      <c r="AD1422" s="31" t="s">
        <v>1293</v>
      </c>
      <c r="AE1422" s="31" t="s">
        <v>1293</v>
      </c>
      <c r="AF1422" s="31" t="s">
        <v>252</v>
      </c>
      <c r="AG1422" s="31" t="s">
        <v>656</v>
      </c>
      <c r="AH1422" s="31" t="s">
        <v>1289</v>
      </c>
      <c r="AI1422" s="31" t="s">
        <v>693</v>
      </c>
      <c r="AJ1422" s="31" t="s">
        <v>1288</v>
      </c>
      <c r="AK1422" s="31" t="s">
        <v>1288</v>
      </c>
      <c r="AL1422" s="31" t="s">
        <v>252</v>
      </c>
      <c r="AM1422" s="31" t="s">
        <v>222</v>
      </c>
      <c r="AN1422" s="31">
        <v>6</v>
      </c>
      <c r="AO1422" s="31">
        <v>6</v>
      </c>
      <c r="AP1422" s="31" t="s">
        <v>184</v>
      </c>
      <c r="BB1422" s="31">
        <v>1.59</v>
      </c>
      <c r="BC1422" s="31">
        <v>1.57</v>
      </c>
      <c r="BE1422" s="31">
        <f>8.77*(1/(100*100*0.15*1.59))*100</f>
        <v>0.36771488469601671</v>
      </c>
      <c r="BF1422" s="31">
        <f>9.08*(1/(100*100*0.15*1.57))*100</f>
        <v>0.38556263269639068</v>
      </c>
      <c r="BG1422" s="31" t="s">
        <v>1292</v>
      </c>
      <c r="EN1422" s="31">
        <v>64</v>
      </c>
    </row>
    <row r="1423" spans="1:144" s="23" customFormat="1" x14ac:dyDescent="0.25">
      <c r="A1423" s="23">
        <v>64</v>
      </c>
      <c r="B1423" s="23" t="s">
        <v>1283</v>
      </c>
      <c r="C1423" s="23" t="s">
        <v>1284</v>
      </c>
      <c r="D1423" s="23">
        <v>2005</v>
      </c>
      <c r="E1423" s="23">
        <v>2001</v>
      </c>
      <c r="F1423" s="23" t="s">
        <v>439</v>
      </c>
      <c r="G1423" s="23" t="s">
        <v>1286</v>
      </c>
      <c r="H1423" s="23">
        <f t="shared" si="241"/>
        <v>32.416666666666664</v>
      </c>
      <c r="I1423" s="23">
        <f t="shared" si="242"/>
        <v>-85.6</v>
      </c>
      <c r="J1423" s="23">
        <v>69.47999999999999</v>
      </c>
      <c r="P1423" s="53" t="s">
        <v>186</v>
      </c>
      <c r="Q1423" s="53"/>
      <c r="R1423" s="53"/>
      <c r="S1423" s="53" t="s">
        <v>668</v>
      </c>
      <c r="T1423" s="23">
        <v>1.5</v>
      </c>
      <c r="U1423" s="23">
        <v>54.66</v>
      </c>
      <c r="V1423" s="23">
        <v>26.940000000000005</v>
      </c>
      <c r="W1423" s="23" t="s">
        <v>182</v>
      </c>
      <c r="X1423" s="23">
        <v>6.5</v>
      </c>
      <c r="Y1423" s="23">
        <v>0.52804444444444432</v>
      </c>
      <c r="AA1423" s="23" t="s">
        <v>1716</v>
      </c>
      <c r="AB1423" s="23" t="s">
        <v>851</v>
      </c>
      <c r="AC1423" s="23" t="s">
        <v>174</v>
      </c>
      <c r="AD1423" s="23" t="s">
        <v>1293</v>
      </c>
      <c r="AE1423" s="23" t="s">
        <v>1293</v>
      </c>
      <c r="AF1423" s="23" t="s">
        <v>252</v>
      </c>
      <c r="AG1423" s="23" t="s">
        <v>656</v>
      </c>
      <c r="AH1423" s="23" t="s">
        <v>1289</v>
      </c>
      <c r="AI1423" s="23" t="s">
        <v>693</v>
      </c>
      <c r="AJ1423" s="23" t="s">
        <v>1290</v>
      </c>
      <c r="AK1423" s="23" t="s">
        <v>1294</v>
      </c>
      <c r="AL1423" s="23" t="s">
        <v>252</v>
      </c>
      <c r="AM1423" s="23" t="s">
        <v>222</v>
      </c>
      <c r="AN1423" s="23">
        <v>6</v>
      </c>
      <c r="AO1423" s="23">
        <v>6</v>
      </c>
      <c r="AP1423" s="23" t="s">
        <v>184</v>
      </c>
      <c r="AY1423" s="23">
        <v>9990</v>
      </c>
      <c r="AZ1423" s="23">
        <v>10010</v>
      </c>
      <c r="BA1423" s="23" t="s">
        <v>174</v>
      </c>
      <c r="EN1423" s="23">
        <v>64</v>
      </c>
    </row>
    <row r="1424" spans="1:144" s="23" customFormat="1" x14ac:dyDescent="0.25">
      <c r="A1424" s="23">
        <v>64</v>
      </c>
      <c r="B1424" s="23" t="s">
        <v>1283</v>
      </c>
      <c r="C1424" s="23" t="s">
        <v>1284</v>
      </c>
      <c r="D1424" s="23">
        <v>2005</v>
      </c>
      <c r="E1424" s="23">
        <v>2001</v>
      </c>
      <c r="F1424" s="23" t="s">
        <v>439</v>
      </c>
      <c r="G1424" s="23" t="s">
        <v>1286</v>
      </c>
      <c r="H1424" s="23">
        <f t="shared" si="241"/>
        <v>32.416666666666664</v>
      </c>
      <c r="I1424" s="23">
        <f t="shared" si="242"/>
        <v>-85.6</v>
      </c>
      <c r="J1424" s="23">
        <v>69.47999999999999</v>
      </c>
      <c r="P1424" s="53" t="s">
        <v>186</v>
      </c>
      <c r="Q1424" s="53"/>
      <c r="R1424" s="53"/>
      <c r="S1424" s="53" t="s">
        <v>668</v>
      </c>
      <c r="T1424" s="23">
        <v>1.5</v>
      </c>
      <c r="U1424" s="23">
        <v>54.66</v>
      </c>
      <c r="V1424" s="23">
        <v>26.940000000000005</v>
      </c>
      <c r="W1424" s="23" t="s">
        <v>182</v>
      </c>
      <c r="X1424" s="23">
        <v>6.5</v>
      </c>
      <c r="Y1424" s="23">
        <v>0.52804444444444432</v>
      </c>
      <c r="AA1424" s="23" t="s">
        <v>1716</v>
      </c>
      <c r="AB1424" s="23" t="s">
        <v>851</v>
      </c>
      <c r="AC1424" s="23" t="s">
        <v>788</v>
      </c>
      <c r="AD1424" s="23" t="s">
        <v>1293</v>
      </c>
      <c r="AE1424" s="23" t="s">
        <v>1293</v>
      </c>
      <c r="AF1424" s="23" t="s">
        <v>252</v>
      </c>
      <c r="AG1424" s="23" t="s">
        <v>656</v>
      </c>
      <c r="AH1424" s="23" t="s">
        <v>1289</v>
      </c>
      <c r="AI1424" s="23" t="s">
        <v>693</v>
      </c>
      <c r="AJ1424" s="23" t="s">
        <v>1290</v>
      </c>
      <c r="AK1424" s="23" t="s">
        <v>1294</v>
      </c>
      <c r="AL1424" s="23" t="s">
        <v>252</v>
      </c>
      <c r="AM1424" s="23" t="s">
        <v>222</v>
      </c>
      <c r="AN1424" s="23">
        <v>6</v>
      </c>
      <c r="AO1424" s="23">
        <v>6</v>
      </c>
      <c r="AP1424" s="23" t="s">
        <v>184</v>
      </c>
      <c r="AY1424" s="23">
        <v>2900</v>
      </c>
      <c r="AZ1424" s="23">
        <v>3140</v>
      </c>
      <c r="BA1424" s="23" t="s">
        <v>788</v>
      </c>
      <c r="EN1424" s="23">
        <v>64</v>
      </c>
    </row>
    <row r="1425" spans="1:144" s="23" customFormat="1" x14ac:dyDescent="0.25">
      <c r="A1425" s="23">
        <v>64</v>
      </c>
      <c r="B1425" s="23" t="s">
        <v>1283</v>
      </c>
      <c r="C1425" s="23" t="s">
        <v>1284</v>
      </c>
      <c r="D1425" s="23">
        <v>2005</v>
      </c>
      <c r="E1425" s="23">
        <v>2002</v>
      </c>
      <c r="F1425" s="23" t="s">
        <v>439</v>
      </c>
      <c r="G1425" s="23" t="s">
        <v>1286</v>
      </c>
      <c r="H1425" s="23">
        <f t="shared" si="241"/>
        <v>32.416666666666664</v>
      </c>
      <c r="I1425" s="23">
        <f t="shared" si="242"/>
        <v>-85.6</v>
      </c>
      <c r="J1425" s="23">
        <v>69.47999999999999</v>
      </c>
      <c r="P1425" s="53" t="s">
        <v>187</v>
      </c>
      <c r="Q1425" s="53"/>
      <c r="R1425" s="53"/>
      <c r="S1425" s="53" t="s">
        <v>671</v>
      </c>
      <c r="T1425" s="23">
        <v>1.5</v>
      </c>
      <c r="U1425" s="23">
        <v>54.66</v>
      </c>
      <c r="V1425" s="23">
        <v>26.940000000000005</v>
      </c>
      <c r="W1425" s="23" t="s">
        <v>182</v>
      </c>
      <c r="X1425" s="23">
        <v>6.5</v>
      </c>
      <c r="Y1425" s="23">
        <v>0.52804444444444432</v>
      </c>
      <c r="AA1425" s="23" t="s">
        <v>1716</v>
      </c>
      <c r="AB1425" s="23" t="s">
        <v>851</v>
      </c>
      <c r="AC1425" s="23" t="s">
        <v>788</v>
      </c>
      <c r="AD1425" s="23" t="s">
        <v>1293</v>
      </c>
      <c r="AE1425" s="23" t="s">
        <v>1293</v>
      </c>
      <c r="AF1425" s="23" t="s">
        <v>252</v>
      </c>
      <c r="AG1425" s="23" t="s">
        <v>656</v>
      </c>
      <c r="AH1425" s="23" t="s">
        <v>1289</v>
      </c>
      <c r="AI1425" s="23" t="s">
        <v>693</v>
      </c>
      <c r="AJ1425" s="23" t="s">
        <v>1290</v>
      </c>
      <c r="AK1425" s="23" t="s">
        <v>1294</v>
      </c>
      <c r="AL1425" s="23" t="s">
        <v>252</v>
      </c>
      <c r="AM1425" s="23" t="s">
        <v>222</v>
      </c>
      <c r="AN1425" s="23">
        <v>6</v>
      </c>
      <c r="AO1425" s="23">
        <v>6</v>
      </c>
      <c r="AP1425" s="23" t="s">
        <v>184</v>
      </c>
      <c r="AY1425" s="23">
        <v>1350</v>
      </c>
      <c r="AZ1425" s="23">
        <v>1630</v>
      </c>
      <c r="BA1425" s="23" t="s">
        <v>788</v>
      </c>
      <c r="BB1425" s="23">
        <v>1.28</v>
      </c>
      <c r="BC1425" s="23">
        <v>1.3</v>
      </c>
      <c r="BE1425" s="23">
        <f>7.32*(1/(100*100*0.05*1.28))*100</f>
        <v>1.14375</v>
      </c>
      <c r="BF1425" s="23">
        <f>12.91*(1/(100*100*0.05*1.3))*100</f>
        <v>1.9861538461538462</v>
      </c>
      <c r="BG1425" s="23" t="s">
        <v>1292</v>
      </c>
      <c r="EN1425" s="23">
        <v>64</v>
      </c>
    </row>
    <row r="1426" spans="1:144" s="23" customFormat="1" x14ac:dyDescent="0.25">
      <c r="A1426" s="23">
        <v>64</v>
      </c>
      <c r="B1426" s="23" t="s">
        <v>1283</v>
      </c>
      <c r="C1426" s="23" t="s">
        <v>1284</v>
      </c>
      <c r="D1426" s="23">
        <v>2005</v>
      </c>
      <c r="E1426" s="23">
        <v>2002</v>
      </c>
      <c r="F1426" s="23" t="s">
        <v>439</v>
      </c>
      <c r="G1426" s="23" t="s">
        <v>1286</v>
      </c>
      <c r="H1426" s="23">
        <f t="shared" si="241"/>
        <v>32.416666666666664</v>
      </c>
      <c r="I1426" s="23">
        <f t="shared" si="242"/>
        <v>-85.6</v>
      </c>
      <c r="J1426" s="23">
        <v>69.47999999999999</v>
      </c>
      <c r="P1426" s="53" t="s">
        <v>187</v>
      </c>
      <c r="Q1426" s="53"/>
      <c r="R1426" s="53"/>
      <c r="S1426" s="53" t="s">
        <v>1287</v>
      </c>
      <c r="T1426" s="23">
        <v>1.5</v>
      </c>
      <c r="U1426" s="23">
        <v>54.66</v>
      </c>
      <c r="V1426" s="23">
        <v>26.940000000000005</v>
      </c>
      <c r="W1426" s="23" t="s">
        <v>182</v>
      </c>
      <c r="X1426" s="23">
        <v>6.5</v>
      </c>
      <c r="Y1426" s="23">
        <v>0.52804444444444432</v>
      </c>
      <c r="AA1426" s="23" t="s">
        <v>1716</v>
      </c>
      <c r="AB1426" s="23" t="s">
        <v>851</v>
      </c>
      <c r="AC1426" s="23" t="s">
        <v>174</v>
      </c>
      <c r="AD1426" s="23" t="s">
        <v>1293</v>
      </c>
      <c r="AE1426" s="23" t="s">
        <v>1293</v>
      </c>
      <c r="AF1426" s="23" t="s">
        <v>252</v>
      </c>
      <c r="AG1426" s="23" t="s">
        <v>656</v>
      </c>
      <c r="AH1426" s="23" t="s">
        <v>1289</v>
      </c>
      <c r="AI1426" s="23" t="s">
        <v>693</v>
      </c>
      <c r="AJ1426" s="23" t="s">
        <v>1290</v>
      </c>
      <c r="AK1426" s="23" t="s">
        <v>1294</v>
      </c>
      <c r="AL1426" s="23" t="s">
        <v>252</v>
      </c>
      <c r="AM1426" s="23" t="s">
        <v>222</v>
      </c>
      <c r="AN1426" s="23">
        <v>6</v>
      </c>
      <c r="AO1426" s="23">
        <v>6</v>
      </c>
      <c r="AP1426" s="23" t="s">
        <v>184</v>
      </c>
      <c r="AY1426" s="23">
        <v>6640</v>
      </c>
      <c r="AZ1426" s="23">
        <v>9040</v>
      </c>
      <c r="BA1426" s="23" t="s">
        <v>174</v>
      </c>
      <c r="BB1426" s="23">
        <v>1.52</v>
      </c>
      <c r="BC1426" s="23">
        <v>1.62</v>
      </c>
      <c r="BE1426" s="23">
        <f>11.78*(1/(100*100*0.1*1.52))*100</f>
        <v>0.77499999999999991</v>
      </c>
      <c r="BF1426" s="23">
        <f>9.74*(1/(100*100*0.1*1.62))*100</f>
        <v>0.60123456790123464</v>
      </c>
      <c r="BG1426" s="23" t="s">
        <v>1292</v>
      </c>
      <c r="EN1426" s="23">
        <v>64</v>
      </c>
    </row>
    <row r="1427" spans="1:144" s="23" customFormat="1" x14ac:dyDescent="0.25">
      <c r="A1427" s="23">
        <v>64</v>
      </c>
      <c r="B1427" s="23" t="s">
        <v>1283</v>
      </c>
      <c r="C1427" s="23" t="s">
        <v>1284</v>
      </c>
      <c r="D1427" s="23">
        <v>2005</v>
      </c>
      <c r="E1427" s="23">
        <v>2002</v>
      </c>
      <c r="F1427" s="23" t="s">
        <v>439</v>
      </c>
      <c r="G1427" s="23" t="s">
        <v>1286</v>
      </c>
      <c r="H1427" s="23">
        <f t="shared" si="241"/>
        <v>32.416666666666664</v>
      </c>
      <c r="I1427" s="23">
        <f t="shared" si="242"/>
        <v>-85.6</v>
      </c>
      <c r="J1427" s="23">
        <v>69.47999999999999</v>
      </c>
      <c r="P1427" s="53" t="s">
        <v>187</v>
      </c>
      <c r="Q1427" s="53"/>
      <c r="R1427" s="53"/>
      <c r="S1427" s="53" t="s">
        <v>669</v>
      </c>
      <c r="T1427" s="23">
        <v>1.5</v>
      </c>
      <c r="U1427" s="23">
        <v>54.66</v>
      </c>
      <c r="V1427" s="23">
        <v>26.940000000000005</v>
      </c>
      <c r="W1427" s="23" t="s">
        <v>182</v>
      </c>
      <c r="X1427" s="23">
        <v>6.5</v>
      </c>
      <c r="Y1427" s="23">
        <v>0.52804444444444432</v>
      </c>
      <c r="AA1427" s="23" t="s">
        <v>1716</v>
      </c>
      <c r="AB1427" s="23" t="s">
        <v>851</v>
      </c>
      <c r="AC1427" s="23" t="s">
        <v>788</v>
      </c>
      <c r="AD1427" s="23" t="s">
        <v>1293</v>
      </c>
      <c r="AE1427" s="23" t="s">
        <v>1293</v>
      </c>
      <c r="AF1427" s="23" t="s">
        <v>252</v>
      </c>
      <c r="AG1427" s="23" t="s">
        <v>656</v>
      </c>
      <c r="AH1427" s="23" t="s">
        <v>1289</v>
      </c>
      <c r="AI1427" s="23" t="s">
        <v>693</v>
      </c>
      <c r="AJ1427" s="23" t="s">
        <v>1290</v>
      </c>
      <c r="AK1427" s="23" t="s">
        <v>1294</v>
      </c>
      <c r="AL1427" s="23" t="s">
        <v>252</v>
      </c>
      <c r="AM1427" s="23" t="s">
        <v>222</v>
      </c>
      <c r="AN1427" s="23">
        <v>6</v>
      </c>
      <c r="AO1427" s="23">
        <v>6</v>
      </c>
      <c r="AP1427" s="23" t="s">
        <v>184</v>
      </c>
      <c r="BB1427" s="23">
        <v>1.6</v>
      </c>
      <c r="BC1427" s="23">
        <v>1.59</v>
      </c>
      <c r="BE1427" s="23">
        <f>9.9*(1/(100*100*0.15*1.6))*100</f>
        <v>0.41250000000000003</v>
      </c>
      <c r="BF1427" s="23">
        <f>9.93*(1/(100*100*0.15*1.59))*100</f>
        <v>0.41635220125786165</v>
      </c>
      <c r="BG1427" s="23" t="s">
        <v>1292</v>
      </c>
      <c r="EN1427" s="23">
        <v>64</v>
      </c>
    </row>
    <row r="1428" spans="1:144" s="26" customFormat="1" x14ac:dyDescent="0.25">
      <c r="A1428" s="26">
        <v>65</v>
      </c>
      <c r="B1428" s="26" t="s">
        <v>1299</v>
      </c>
      <c r="C1428" s="26" t="s">
        <v>1298</v>
      </c>
      <c r="D1428" s="26">
        <v>1998</v>
      </c>
      <c r="E1428" s="26">
        <v>1992</v>
      </c>
      <c r="F1428" s="26" t="s">
        <v>1297</v>
      </c>
      <c r="G1428" s="26" t="s">
        <v>1300</v>
      </c>
      <c r="H1428" s="26">
        <v>45.28</v>
      </c>
      <c r="I1428" s="26">
        <v>-122.75</v>
      </c>
      <c r="J1428" s="26">
        <v>48</v>
      </c>
      <c r="P1428" s="52" t="s">
        <v>186</v>
      </c>
      <c r="Q1428" s="52" t="s">
        <v>1161</v>
      </c>
      <c r="R1428" s="52" t="s">
        <v>1179</v>
      </c>
      <c r="S1428" s="52" t="s">
        <v>1301</v>
      </c>
      <c r="AB1428" s="26" t="s">
        <v>173</v>
      </c>
      <c r="AC1428" s="26" t="s">
        <v>1732</v>
      </c>
      <c r="AM1428" s="26" t="s">
        <v>160</v>
      </c>
      <c r="CU1428" s="26">
        <v>16.93</v>
      </c>
      <c r="CV1428" s="26">
        <v>20.77</v>
      </c>
      <c r="CW1428" s="26" t="s">
        <v>1312</v>
      </c>
      <c r="EN1428" s="26">
        <v>65</v>
      </c>
    </row>
    <row r="1429" spans="1:144" s="26" customFormat="1" x14ac:dyDescent="0.25">
      <c r="A1429" s="26">
        <v>65</v>
      </c>
      <c r="B1429" s="26" t="s">
        <v>1299</v>
      </c>
      <c r="C1429" s="26" t="s">
        <v>1298</v>
      </c>
      <c r="D1429" s="26">
        <v>1998</v>
      </c>
      <c r="E1429" s="26">
        <v>1992</v>
      </c>
      <c r="F1429" s="26" t="s">
        <v>1297</v>
      </c>
      <c r="G1429" s="26" t="s">
        <v>1300</v>
      </c>
      <c r="H1429" s="26">
        <v>45.28</v>
      </c>
      <c r="I1429" s="26">
        <v>-122.75</v>
      </c>
      <c r="J1429" s="26">
        <v>48</v>
      </c>
      <c r="P1429" s="52" t="s">
        <v>186</v>
      </c>
      <c r="Q1429" s="52" t="s">
        <v>1161</v>
      </c>
      <c r="R1429" s="52" t="s">
        <v>1308</v>
      </c>
      <c r="S1429" s="52" t="s">
        <v>1301</v>
      </c>
      <c r="AB1429" s="26" t="s">
        <v>173</v>
      </c>
      <c r="AC1429" s="26" t="s">
        <v>1732</v>
      </c>
      <c r="AM1429" s="26" t="s">
        <v>160</v>
      </c>
      <c r="CU1429" s="26">
        <v>12.72</v>
      </c>
      <c r="CV1429" s="26">
        <v>8.36</v>
      </c>
      <c r="CW1429" s="26" t="s">
        <v>1312</v>
      </c>
      <c r="EN1429" s="26">
        <v>65</v>
      </c>
    </row>
    <row r="1430" spans="1:144" s="26" customFormat="1" x14ac:dyDescent="0.25">
      <c r="A1430" s="26">
        <v>65</v>
      </c>
      <c r="B1430" s="26" t="s">
        <v>1299</v>
      </c>
      <c r="C1430" s="26" t="s">
        <v>1298</v>
      </c>
      <c r="D1430" s="26">
        <v>1998</v>
      </c>
      <c r="E1430" s="26">
        <v>1992</v>
      </c>
      <c r="F1430" s="26" t="s">
        <v>1297</v>
      </c>
      <c r="G1430" s="26" t="s">
        <v>1300</v>
      </c>
      <c r="H1430" s="26">
        <v>45.28</v>
      </c>
      <c r="I1430" s="26">
        <v>-122.75</v>
      </c>
      <c r="J1430" s="26">
        <v>48</v>
      </c>
      <c r="P1430" s="52" t="s">
        <v>186</v>
      </c>
      <c r="Q1430" s="52" t="s">
        <v>1161</v>
      </c>
      <c r="R1430" s="52" t="s">
        <v>1180</v>
      </c>
      <c r="S1430" s="52" t="s">
        <v>1301</v>
      </c>
      <c r="AB1430" s="26" t="s">
        <v>173</v>
      </c>
      <c r="AC1430" s="26" t="s">
        <v>1732</v>
      </c>
      <c r="AM1430" s="26" t="s">
        <v>160</v>
      </c>
      <c r="CU1430" s="26">
        <v>12.5</v>
      </c>
      <c r="CV1430" s="26">
        <v>10.35</v>
      </c>
      <c r="CW1430" s="26" t="s">
        <v>1312</v>
      </c>
      <c r="EN1430" s="26">
        <v>65</v>
      </c>
    </row>
    <row r="1431" spans="1:144" s="35" customFormat="1" x14ac:dyDescent="0.25">
      <c r="A1431" s="35">
        <v>65</v>
      </c>
      <c r="B1431" s="35" t="s">
        <v>1299</v>
      </c>
      <c r="C1431" s="35" t="s">
        <v>1298</v>
      </c>
      <c r="D1431" s="35">
        <v>1998</v>
      </c>
      <c r="E1431" s="35">
        <v>1993</v>
      </c>
      <c r="F1431" s="35" t="s">
        <v>1297</v>
      </c>
      <c r="G1431" s="35" t="s">
        <v>1300</v>
      </c>
      <c r="H1431" s="35">
        <v>45.28</v>
      </c>
      <c r="I1431" s="35">
        <v>-122.75</v>
      </c>
      <c r="J1431" s="35">
        <v>48</v>
      </c>
      <c r="P1431" s="54" t="s">
        <v>187</v>
      </c>
      <c r="Q1431" s="54" t="s">
        <v>1161</v>
      </c>
      <c r="R1431" s="54" t="s">
        <v>1181</v>
      </c>
      <c r="S1431" s="54" t="s">
        <v>1301</v>
      </c>
      <c r="AB1431" s="35" t="s">
        <v>173</v>
      </c>
      <c r="AC1431" s="35" t="s">
        <v>1732</v>
      </c>
      <c r="AM1431" s="35" t="s">
        <v>160</v>
      </c>
      <c r="CU1431" s="35">
        <v>13.26</v>
      </c>
      <c r="CV1431" s="35">
        <v>8.43</v>
      </c>
      <c r="CW1431" s="35" t="s">
        <v>1312</v>
      </c>
      <c r="EN1431" s="35">
        <v>65</v>
      </c>
    </row>
    <row r="1432" spans="1:144" s="35" customFormat="1" x14ac:dyDescent="0.25">
      <c r="A1432" s="35">
        <v>65</v>
      </c>
      <c r="B1432" s="35" t="s">
        <v>1299</v>
      </c>
      <c r="C1432" s="35" t="s">
        <v>1298</v>
      </c>
      <c r="D1432" s="35">
        <v>1998</v>
      </c>
      <c r="E1432" s="35">
        <v>1993</v>
      </c>
      <c r="F1432" s="35" t="s">
        <v>1297</v>
      </c>
      <c r="G1432" s="35" t="s">
        <v>1300</v>
      </c>
      <c r="H1432" s="35">
        <v>45.28</v>
      </c>
      <c r="I1432" s="35">
        <v>-122.75</v>
      </c>
      <c r="J1432" s="35">
        <v>48</v>
      </c>
      <c r="P1432" s="54" t="s">
        <v>187</v>
      </c>
      <c r="Q1432" s="54" t="s">
        <v>1161</v>
      </c>
      <c r="R1432" s="54" t="s">
        <v>1309</v>
      </c>
      <c r="S1432" s="54" t="s">
        <v>1301</v>
      </c>
      <c r="AB1432" s="35" t="s">
        <v>173</v>
      </c>
      <c r="AC1432" s="35" t="s">
        <v>1732</v>
      </c>
      <c r="AM1432" s="35" t="s">
        <v>160</v>
      </c>
      <c r="CU1432" s="35">
        <v>15.18</v>
      </c>
      <c r="CV1432" s="35">
        <v>8.36</v>
      </c>
      <c r="CW1432" s="35" t="s">
        <v>1312</v>
      </c>
      <c r="EN1432" s="35">
        <v>65</v>
      </c>
    </row>
    <row r="1433" spans="1:144" s="35" customFormat="1" x14ac:dyDescent="0.25">
      <c r="A1433" s="35">
        <v>65</v>
      </c>
      <c r="B1433" s="35" t="s">
        <v>1299</v>
      </c>
      <c r="C1433" s="35" t="s">
        <v>1298</v>
      </c>
      <c r="D1433" s="35">
        <v>1998</v>
      </c>
      <c r="E1433" s="35">
        <v>1993</v>
      </c>
      <c r="F1433" s="35" t="s">
        <v>1297</v>
      </c>
      <c r="G1433" s="35" t="s">
        <v>1300</v>
      </c>
      <c r="H1433" s="35">
        <v>45.28</v>
      </c>
      <c r="I1433" s="35">
        <v>-122.75</v>
      </c>
      <c r="J1433" s="35">
        <v>48</v>
      </c>
      <c r="P1433" s="54" t="s">
        <v>187</v>
      </c>
      <c r="Q1433" s="54" t="s">
        <v>1161</v>
      </c>
      <c r="R1433" s="54" t="s">
        <v>1310</v>
      </c>
      <c r="S1433" s="54" t="s">
        <v>1301</v>
      </c>
      <c r="AB1433" s="35" t="s">
        <v>173</v>
      </c>
      <c r="AC1433" s="35" t="s">
        <v>1732</v>
      </c>
      <c r="AM1433" s="35" t="s">
        <v>160</v>
      </c>
      <c r="CU1433" s="35">
        <v>12.88</v>
      </c>
      <c r="CV1433" s="35">
        <v>7.21</v>
      </c>
      <c r="CW1433" s="35" t="s">
        <v>1312</v>
      </c>
      <c r="EN1433" s="35">
        <v>65</v>
      </c>
    </row>
    <row r="1434" spans="1:144" s="35" customFormat="1" x14ac:dyDescent="0.25">
      <c r="A1434" s="35">
        <v>65</v>
      </c>
      <c r="B1434" s="35" t="s">
        <v>1299</v>
      </c>
      <c r="C1434" s="35" t="s">
        <v>1298</v>
      </c>
      <c r="D1434" s="35">
        <v>1998</v>
      </c>
      <c r="E1434" s="35">
        <v>1993</v>
      </c>
      <c r="F1434" s="35" t="s">
        <v>1297</v>
      </c>
      <c r="G1434" s="35" t="s">
        <v>1300</v>
      </c>
      <c r="H1434" s="35">
        <v>45.28</v>
      </c>
      <c r="I1434" s="35">
        <v>-122.75</v>
      </c>
      <c r="J1434" s="35">
        <v>48</v>
      </c>
      <c r="P1434" s="54" t="s">
        <v>187</v>
      </c>
      <c r="Q1434" s="54" t="s">
        <v>1161</v>
      </c>
      <c r="R1434" s="54" t="s">
        <v>1027</v>
      </c>
      <c r="S1434" s="54" t="s">
        <v>1301</v>
      </c>
      <c r="AB1434" s="35" t="s">
        <v>173</v>
      </c>
      <c r="AC1434" s="35" t="s">
        <v>1732</v>
      </c>
      <c r="AM1434" s="35" t="s">
        <v>160</v>
      </c>
      <c r="CU1434" s="35">
        <v>12.19</v>
      </c>
      <c r="CV1434" s="35">
        <v>3.92</v>
      </c>
      <c r="CW1434" s="35" t="s">
        <v>1312</v>
      </c>
      <c r="EN1434" s="35">
        <v>65</v>
      </c>
    </row>
    <row r="1435" spans="1:144" s="35" customFormat="1" x14ac:dyDescent="0.25">
      <c r="A1435" s="35">
        <v>65</v>
      </c>
      <c r="B1435" s="35" t="s">
        <v>1299</v>
      </c>
      <c r="C1435" s="35" t="s">
        <v>1298</v>
      </c>
      <c r="D1435" s="35">
        <v>1998</v>
      </c>
      <c r="E1435" s="35">
        <v>1993</v>
      </c>
      <c r="F1435" s="35" t="s">
        <v>1297</v>
      </c>
      <c r="G1435" s="35" t="s">
        <v>1300</v>
      </c>
      <c r="H1435" s="35">
        <v>45.28</v>
      </c>
      <c r="I1435" s="35">
        <v>-122.75</v>
      </c>
      <c r="J1435" s="35">
        <v>48</v>
      </c>
      <c r="P1435" s="54" t="s">
        <v>187</v>
      </c>
      <c r="Q1435" s="54" t="s">
        <v>1161</v>
      </c>
      <c r="R1435" s="54" t="s">
        <v>279</v>
      </c>
      <c r="S1435" s="54" t="s">
        <v>1301</v>
      </c>
      <c r="AB1435" s="35" t="s">
        <v>173</v>
      </c>
      <c r="AC1435" s="35" t="s">
        <v>1732</v>
      </c>
      <c r="AM1435" s="35" t="s">
        <v>160</v>
      </c>
      <c r="CU1435" s="35">
        <v>14.42</v>
      </c>
      <c r="CV1435" s="35">
        <v>5.91</v>
      </c>
      <c r="CW1435" s="35" t="s">
        <v>1312</v>
      </c>
      <c r="EN1435" s="35">
        <v>65</v>
      </c>
    </row>
    <row r="1436" spans="1:144" s="35" customFormat="1" x14ac:dyDescent="0.25">
      <c r="A1436" s="35">
        <v>65</v>
      </c>
      <c r="B1436" s="35" t="s">
        <v>1299</v>
      </c>
      <c r="C1436" s="35" t="s">
        <v>1298</v>
      </c>
      <c r="D1436" s="35">
        <v>1998</v>
      </c>
      <c r="E1436" s="35">
        <v>1993</v>
      </c>
      <c r="F1436" s="35" t="s">
        <v>1297</v>
      </c>
      <c r="G1436" s="35" t="s">
        <v>1300</v>
      </c>
      <c r="H1436" s="35">
        <v>45.28</v>
      </c>
      <c r="I1436" s="35">
        <v>-122.75</v>
      </c>
      <c r="J1436" s="35">
        <v>48</v>
      </c>
      <c r="P1436" s="54" t="s">
        <v>187</v>
      </c>
      <c r="Q1436" s="54" t="s">
        <v>1161</v>
      </c>
      <c r="R1436" s="54" t="s">
        <v>802</v>
      </c>
      <c r="S1436" s="54" t="s">
        <v>1301</v>
      </c>
      <c r="AB1436" s="35" t="s">
        <v>173</v>
      </c>
      <c r="AC1436" s="35" t="s">
        <v>1732</v>
      </c>
      <c r="AM1436" s="35" t="s">
        <v>160</v>
      </c>
      <c r="CU1436" s="35">
        <v>15.18</v>
      </c>
      <c r="CV1436" s="35">
        <v>5.37</v>
      </c>
      <c r="CW1436" s="35" t="s">
        <v>1312</v>
      </c>
      <c r="EN1436" s="35">
        <v>65</v>
      </c>
    </row>
    <row r="1437" spans="1:144" s="35" customFormat="1" x14ac:dyDescent="0.25">
      <c r="A1437" s="35">
        <v>65</v>
      </c>
      <c r="B1437" s="35" t="s">
        <v>1299</v>
      </c>
      <c r="C1437" s="35" t="s">
        <v>1298</v>
      </c>
      <c r="D1437" s="35">
        <v>1998</v>
      </c>
      <c r="E1437" s="35">
        <v>1993</v>
      </c>
      <c r="F1437" s="35" t="s">
        <v>1297</v>
      </c>
      <c r="G1437" s="35" t="s">
        <v>1300</v>
      </c>
      <c r="H1437" s="35">
        <v>45.28</v>
      </c>
      <c r="I1437" s="35">
        <v>-122.75</v>
      </c>
      <c r="J1437" s="35">
        <v>48</v>
      </c>
      <c r="P1437" s="54" t="s">
        <v>187</v>
      </c>
      <c r="Q1437" s="54" t="s">
        <v>1161</v>
      </c>
      <c r="R1437" s="54" t="s">
        <v>306</v>
      </c>
      <c r="S1437" s="54" t="s">
        <v>1301</v>
      </c>
      <c r="AB1437" s="35" t="s">
        <v>173</v>
      </c>
      <c r="AC1437" s="35" t="s">
        <v>1732</v>
      </c>
      <c r="AM1437" s="35" t="s">
        <v>160</v>
      </c>
      <c r="CU1437" s="35">
        <v>15.26</v>
      </c>
      <c r="CV1437" s="35">
        <v>6.75</v>
      </c>
      <c r="CW1437" s="35" t="s">
        <v>1312</v>
      </c>
      <c r="EN1437" s="35">
        <v>65</v>
      </c>
    </row>
    <row r="1438" spans="1:144" s="35" customFormat="1" x14ac:dyDescent="0.25">
      <c r="A1438" s="35">
        <v>65</v>
      </c>
      <c r="B1438" s="35" t="s">
        <v>1299</v>
      </c>
      <c r="C1438" s="35" t="s">
        <v>1298</v>
      </c>
      <c r="D1438" s="35">
        <v>1998</v>
      </c>
      <c r="E1438" s="35">
        <v>1993</v>
      </c>
      <c r="F1438" s="35" t="s">
        <v>1297</v>
      </c>
      <c r="G1438" s="35" t="s">
        <v>1300</v>
      </c>
      <c r="H1438" s="35">
        <v>45.28</v>
      </c>
      <c r="I1438" s="35">
        <v>-122.75</v>
      </c>
      <c r="J1438" s="35">
        <v>48</v>
      </c>
      <c r="P1438" s="54" t="s">
        <v>187</v>
      </c>
      <c r="Q1438" s="54" t="s">
        <v>1161</v>
      </c>
      <c r="R1438" s="54" t="s">
        <v>1185</v>
      </c>
      <c r="S1438" s="54" t="s">
        <v>1301</v>
      </c>
      <c r="AB1438" s="35" t="s">
        <v>173</v>
      </c>
      <c r="AC1438" s="35" t="s">
        <v>1732</v>
      </c>
      <c r="AM1438" s="35" t="s">
        <v>160</v>
      </c>
      <c r="CU1438" s="35">
        <v>13.35</v>
      </c>
      <c r="CV1438" s="35">
        <v>5.84</v>
      </c>
      <c r="CW1438" s="35" t="s">
        <v>1312</v>
      </c>
      <c r="EN1438" s="35">
        <v>65</v>
      </c>
    </row>
    <row r="1439" spans="1:144" s="35" customFormat="1" x14ac:dyDescent="0.25">
      <c r="A1439" s="35">
        <v>65</v>
      </c>
      <c r="B1439" s="35" t="s">
        <v>1299</v>
      </c>
      <c r="C1439" s="35" t="s">
        <v>1298</v>
      </c>
      <c r="D1439" s="35">
        <v>1998</v>
      </c>
      <c r="E1439" s="35">
        <v>1993</v>
      </c>
      <c r="F1439" s="35" t="s">
        <v>1297</v>
      </c>
      <c r="G1439" s="35" t="s">
        <v>1300</v>
      </c>
      <c r="H1439" s="35">
        <v>45.28</v>
      </c>
      <c r="I1439" s="35">
        <v>-122.75</v>
      </c>
      <c r="J1439" s="35">
        <v>48</v>
      </c>
      <c r="P1439" s="54" t="s">
        <v>187</v>
      </c>
      <c r="Q1439" s="54" t="s">
        <v>1161</v>
      </c>
      <c r="R1439" s="54" t="s">
        <v>1183</v>
      </c>
      <c r="S1439" s="54" t="s">
        <v>1301</v>
      </c>
      <c r="AB1439" s="35" t="s">
        <v>173</v>
      </c>
      <c r="AC1439" s="35" t="s">
        <v>1732</v>
      </c>
      <c r="AM1439" s="35" t="s">
        <v>160</v>
      </c>
      <c r="CU1439" s="35">
        <v>18.100000000000001</v>
      </c>
      <c r="CV1439" s="35">
        <v>8.14</v>
      </c>
      <c r="CW1439" s="35" t="s">
        <v>1312</v>
      </c>
      <c r="EN1439" s="35">
        <v>65</v>
      </c>
    </row>
    <row r="1440" spans="1:144" s="35" customFormat="1" x14ac:dyDescent="0.25">
      <c r="A1440" s="35">
        <v>65</v>
      </c>
      <c r="B1440" s="35" t="s">
        <v>1299</v>
      </c>
      <c r="C1440" s="35" t="s">
        <v>1298</v>
      </c>
      <c r="D1440" s="35">
        <v>1998</v>
      </c>
      <c r="E1440" s="35">
        <v>1993</v>
      </c>
      <c r="F1440" s="35" t="s">
        <v>1297</v>
      </c>
      <c r="G1440" s="35" t="s">
        <v>1300</v>
      </c>
      <c r="H1440" s="35">
        <v>45.28</v>
      </c>
      <c r="I1440" s="35">
        <v>-122.75</v>
      </c>
      <c r="J1440" s="35">
        <v>48</v>
      </c>
      <c r="P1440" s="54" t="s">
        <v>187</v>
      </c>
      <c r="Q1440" s="54" t="s">
        <v>1161</v>
      </c>
      <c r="R1440" s="54" t="s">
        <v>1184</v>
      </c>
      <c r="S1440" s="54" t="s">
        <v>1301</v>
      </c>
      <c r="AB1440" s="35" t="s">
        <v>173</v>
      </c>
      <c r="AC1440" s="35" t="s">
        <v>1732</v>
      </c>
      <c r="AM1440" s="35" t="s">
        <v>160</v>
      </c>
      <c r="CU1440" s="35">
        <v>10.9</v>
      </c>
      <c r="CV1440" s="35">
        <v>4.2300000000000004</v>
      </c>
      <c r="CW1440" s="35" t="s">
        <v>1312</v>
      </c>
      <c r="EN1440" s="35">
        <v>65</v>
      </c>
    </row>
    <row r="1441" spans="1:144" s="35" customFormat="1" x14ac:dyDescent="0.25">
      <c r="A1441" s="35">
        <v>65</v>
      </c>
      <c r="B1441" s="35" t="s">
        <v>1299</v>
      </c>
      <c r="C1441" s="35" t="s">
        <v>1298</v>
      </c>
      <c r="D1441" s="35">
        <v>1998</v>
      </c>
      <c r="E1441" s="35">
        <v>1993</v>
      </c>
      <c r="F1441" s="35" t="s">
        <v>1297</v>
      </c>
      <c r="G1441" s="35" t="s">
        <v>1300</v>
      </c>
      <c r="H1441" s="35">
        <v>45.28</v>
      </c>
      <c r="I1441" s="35">
        <v>-122.75</v>
      </c>
      <c r="J1441" s="35">
        <v>48</v>
      </c>
      <c r="P1441" s="54" t="s">
        <v>187</v>
      </c>
      <c r="Q1441" s="54" t="s">
        <v>1161</v>
      </c>
      <c r="R1441" s="54" t="s">
        <v>1028</v>
      </c>
      <c r="S1441" s="54" t="s">
        <v>1301</v>
      </c>
      <c r="AB1441" s="35" t="s">
        <v>173</v>
      </c>
      <c r="AC1441" s="35" t="s">
        <v>1732</v>
      </c>
      <c r="AM1441" s="35" t="s">
        <v>160</v>
      </c>
      <c r="CU1441" s="35">
        <v>9.2899999999999991</v>
      </c>
      <c r="CV1441" s="35">
        <v>5.3</v>
      </c>
      <c r="CW1441" s="35" t="s">
        <v>1312</v>
      </c>
      <c r="EN1441" s="35">
        <v>65</v>
      </c>
    </row>
    <row r="1442" spans="1:144" s="35" customFormat="1" x14ac:dyDescent="0.25">
      <c r="A1442" s="35">
        <v>65</v>
      </c>
      <c r="B1442" s="35" t="s">
        <v>1299</v>
      </c>
      <c r="C1442" s="35" t="s">
        <v>1298</v>
      </c>
      <c r="D1442" s="35">
        <v>1998</v>
      </c>
      <c r="E1442" s="35">
        <v>1993</v>
      </c>
      <c r="F1442" s="35" t="s">
        <v>1297</v>
      </c>
      <c r="G1442" s="35" t="s">
        <v>1300</v>
      </c>
      <c r="H1442" s="35">
        <v>45.28</v>
      </c>
      <c r="I1442" s="35">
        <v>-122.75</v>
      </c>
      <c r="J1442" s="35">
        <v>48</v>
      </c>
      <c r="P1442" s="54" t="s">
        <v>187</v>
      </c>
      <c r="Q1442" s="54" t="s">
        <v>1161</v>
      </c>
      <c r="R1442" s="54" t="s">
        <v>1311</v>
      </c>
      <c r="S1442" s="54" t="s">
        <v>1301</v>
      </c>
      <c r="AB1442" s="35" t="s">
        <v>173</v>
      </c>
      <c r="AC1442" s="35" t="s">
        <v>1732</v>
      </c>
      <c r="AM1442" s="35" t="s">
        <v>160</v>
      </c>
      <c r="CU1442" s="35">
        <v>6.69</v>
      </c>
      <c r="CV1442" s="35">
        <v>9.5</v>
      </c>
      <c r="CW1442" s="35" t="s">
        <v>1312</v>
      </c>
      <c r="EN1442" s="35">
        <v>65</v>
      </c>
    </row>
    <row r="1443" spans="1:144" s="26" customFormat="1" x14ac:dyDescent="0.25">
      <c r="A1443" s="26">
        <v>65</v>
      </c>
      <c r="B1443" s="26" t="s">
        <v>1299</v>
      </c>
      <c r="C1443" s="26" t="s">
        <v>1298</v>
      </c>
      <c r="D1443" s="26">
        <v>1998</v>
      </c>
      <c r="E1443" s="26">
        <v>1994</v>
      </c>
      <c r="F1443" s="26" t="s">
        <v>1297</v>
      </c>
      <c r="G1443" s="26" t="s">
        <v>1300</v>
      </c>
      <c r="H1443" s="26">
        <v>45.28</v>
      </c>
      <c r="I1443" s="26">
        <v>-122.75</v>
      </c>
      <c r="J1443" s="26">
        <v>48</v>
      </c>
      <c r="P1443" s="52" t="s">
        <v>188</v>
      </c>
      <c r="Q1443" s="52" t="s">
        <v>1161</v>
      </c>
      <c r="R1443" s="52" t="s">
        <v>1181</v>
      </c>
      <c r="S1443" s="52" t="s">
        <v>1301</v>
      </c>
      <c r="AB1443" s="26" t="s">
        <v>173</v>
      </c>
      <c r="AC1443" s="26" t="s">
        <v>1732</v>
      </c>
      <c r="AM1443" s="26" t="s">
        <v>160</v>
      </c>
      <c r="CU1443" s="26">
        <v>23.24</v>
      </c>
      <c r="CV1443" s="26">
        <v>10.98</v>
      </c>
      <c r="CW1443" s="26" t="s">
        <v>1312</v>
      </c>
      <c r="EN1443" s="26">
        <v>65</v>
      </c>
    </row>
    <row r="1444" spans="1:144" s="26" customFormat="1" x14ac:dyDescent="0.25">
      <c r="A1444" s="26">
        <v>65</v>
      </c>
      <c r="B1444" s="26" t="s">
        <v>1299</v>
      </c>
      <c r="C1444" s="26" t="s">
        <v>1298</v>
      </c>
      <c r="D1444" s="26">
        <v>1998</v>
      </c>
      <c r="E1444" s="26">
        <v>1994</v>
      </c>
      <c r="F1444" s="26" t="s">
        <v>1297</v>
      </c>
      <c r="G1444" s="26" t="s">
        <v>1300</v>
      </c>
      <c r="H1444" s="26">
        <v>45.28</v>
      </c>
      <c r="I1444" s="26">
        <v>-122.75</v>
      </c>
      <c r="J1444" s="26">
        <v>48</v>
      </c>
      <c r="P1444" s="52" t="s">
        <v>188</v>
      </c>
      <c r="Q1444" s="52" t="s">
        <v>1161</v>
      </c>
      <c r="R1444" s="52" t="s">
        <v>1309</v>
      </c>
      <c r="S1444" s="52" t="s">
        <v>1301</v>
      </c>
      <c r="AB1444" s="26" t="s">
        <v>173</v>
      </c>
      <c r="AC1444" s="26" t="s">
        <v>1732</v>
      </c>
      <c r="AM1444" s="26" t="s">
        <v>160</v>
      </c>
      <c r="CU1444" s="26">
        <v>23</v>
      </c>
      <c r="CV1444" s="26">
        <v>8.2200000000000006</v>
      </c>
      <c r="CW1444" s="26" t="s">
        <v>1312</v>
      </c>
      <c r="EN1444" s="26">
        <v>65</v>
      </c>
    </row>
    <row r="1445" spans="1:144" s="26" customFormat="1" x14ac:dyDescent="0.25">
      <c r="A1445" s="26">
        <v>65</v>
      </c>
      <c r="B1445" s="26" t="s">
        <v>1299</v>
      </c>
      <c r="C1445" s="26" t="s">
        <v>1298</v>
      </c>
      <c r="D1445" s="26">
        <v>1998</v>
      </c>
      <c r="E1445" s="26">
        <v>1994</v>
      </c>
      <c r="F1445" s="26" t="s">
        <v>1297</v>
      </c>
      <c r="G1445" s="26" t="s">
        <v>1300</v>
      </c>
      <c r="H1445" s="26">
        <v>45.28</v>
      </c>
      <c r="I1445" s="26">
        <v>-122.75</v>
      </c>
      <c r="J1445" s="26">
        <v>48</v>
      </c>
      <c r="P1445" s="52" t="s">
        <v>188</v>
      </c>
      <c r="Q1445" s="52" t="s">
        <v>1161</v>
      </c>
      <c r="R1445" s="52" t="s">
        <v>1310</v>
      </c>
      <c r="S1445" s="52" t="s">
        <v>1301</v>
      </c>
      <c r="AB1445" s="26" t="s">
        <v>173</v>
      </c>
      <c r="AC1445" s="26" t="s">
        <v>1732</v>
      </c>
      <c r="AM1445" s="26" t="s">
        <v>160</v>
      </c>
      <c r="CU1445" s="26">
        <v>23.7</v>
      </c>
      <c r="CV1445" s="26">
        <v>8.76</v>
      </c>
      <c r="CW1445" s="26" t="s">
        <v>1312</v>
      </c>
      <c r="EN1445" s="26">
        <v>65</v>
      </c>
    </row>
    <row r="1446" spans="1:144" s="26" customFormat="1" x14ac:dyDescent="0.25">
      <c r="A1446" s="26">
        <v>65</v>
      </c>
      <c r="B1446" s="26" t="s">
        <v>1299</v>
      </c>
      <c r="C1446" s="26" t="s">
        <v>1298</v>
      </c>
      <c r="D1446" s="26">
        <v>1998</v>
      </c>
      <c r="E1446" s="26">
        <v>1994</v>
      </c>
      <c r="F1446" s="26" t="s">
        <v>1297</v>
      </c>
      <c r="G1446" s="26" t="s">
        <v>1300</v>
      </c>
      <c r="H1446" s="26">
        <v>45.28</v>
      </c>
      <c r="I1446" s="26">
        <v>-122.75</v>
      </c>
      <c r="J1446" s="26">
        <v>48</v>
      </c>
      <c r="P1446" s="52" t="s">
        <v>188</v>
      </c>
      <c r="Q1446" s="52" t="s">
        <v>1161</v>
      </c>
      <c r="R1446" s="52" t="s">
        <v>1027</v>
      </c>
      <c r="S1446" s="52" t="s">
        <v>1301</v>
      </c>
      <c r="AB1446" s="26" t="s">
        <v>173</v>
      </c>
      <c r="AC1446" s="26" t="s">
        <v>1732</v>
      </c>
      <c r="AM1446" s="26" t="s">
        <v>160</v>
      </c>
      <c r="CU1446" s="26">
        <v>19.41</v>
      </c>
      <c r="CV1446" s="26">
        <v>9.07</v>
      </c>
      <c r="CW1446" s="26" t="s">
        <v>1312</v>
      </c>
      <c r="EN1446" s="26">
        <v>65</v>
      </c>
    </row>
    <row r="1447" spans="1:144" s="26" customFormat="1" x14ac:dyDescent="0.25">
      <c r="A1447" s="26">
        <v>65</v>
      </c>
      <c r="B1447" s="26" t="s">
        <v>1299</v>
      </c>
      <c r="C1447" s="26" t="s">
        <v>1298</v>
      </c>
      <c r="D1447" s="26">
        <v>1998</v>
      </c>
      <c r="E1447" s="26">
        <v>1994</v>
      </c>
      <c r="F1447" s="26" t="s">
        <v>1297</v>
      </c>
      <c r="G1447" s="26" t="s">
        <v>1300</v>
      </c>
      <c r="H1447" s="26">
        <v>45.28</v>
      </c>
      <c r="I1447" s="26">
        <v>-122.75</v>
      </c>
      <c r="J1447" s="26">
        <v>48</v>
      </c>
      <c r="P1447" s="52" t="s">
        <v>188</v>
      </c>
      <c r="Q1447" s="52" t="s">
        <v>1161</v>
      </c>
      <c r="R1447" s="52" t="s">
        <v>279</v>
      </c>
      <c r="S1447" s="52" t="s">
        <v>1301</v>
      </c>
      <c r="AB1447" s="26" t="s">
        <v>173</v>
      </c>
      <c r="AC1447" s="26" t="s">
        <v>1732</v>
      </c>
      <c r="AM1447" s="26" t="s">
        <v>160</v>
      </c>
      <c r="CU1447" s="26">
        <v>16.649999999999999</v>
      </c>
      <c r="CV1447" s="26">
        <v>9.68</v>
      </c>
      <c r="CW1447" s="26" t="s">
        <v>1312</v>
      </c>
      <c r="EN1447" s="26">
        <v>65</v>
      </c>
    </row>
    <row r="1448" spans="1:144" s="26" customFormat="1" x14ac:dyDescent="0.25">
      <c r="A1448" s="26">
        <v>65</v>
      </c>
      <c r="B1448" s="26" t="s">
        <v>1299</v>
      </c>
      <c r="C1448" s="26" t="s">
        <v>1298</v>
      </c>
      <c r="D1448" s="26">
        <v>1998</v>
      </c>
      <c r="E1448" s="26">
        <v>1994</v>
      </c>
      <c r="F1448" s="26" t="s">
        <v>1297</v>
      </c>
      <c r="G1448" s="26" t="s">
        <v>1300</v>
      </c>
      <c r="H1448" s="26">
        <v>45.28</v>
      </c>
      <c r="I1448" s="26">
        <v>-122.75</v>
      </c>
      <c r="J1448" s="26">
        <v>48</v>
      </c>
      <c r="P1448" s="52" t="s">
        <v>188</v>
      </c>
      <c r="Q1448" s="52" t="s">
        <v>1161</v>
      </c>
      <c r="R1448" s="52" t="s">
        <v>802</v>
      </c>
      <c r="S1448" s="52" t="s">
        <v>1301</v>
      </c>
      <c r="AB1448" s="26" t="s">
        <v>173</v>
      </c>
      <c r="AC1448" s="26" t="s">
        <v>1732</v>
      </c>
      <c r="AM1448" s="26" t="s">
        <v>160</v>
      </c>
      <c r="CU1448" s="26">
        <v>18.11</v>
      </c>
      <c r="CV1448" s="26">
        <v>11.14</v>
      </c>
      <c r="CW1448" s="26" t="s">
        <v>1312</v>
      </c>
      <c r="EN1448" s="26">
        <v>65</v>
      </c>
    </row>
    <row r="1449" spans="1:144" s="26" customFormat="1" x14ac:dyDescent="0.25">
      <c r="A1449" s="26">
        <v>65</v>
      </c>
      <c r="B1449" s="26" t="s">
        <v>1299</v>
      </c>
      <c r="C1449" s="26" t="s">
        <v>1298</v>
      </c>
      <c r="D1449" s="26">
        <v>1998</v>
      </c>
      <c r="E1449" s="26">
        <v>1994</v>
      </c>
      <c r="F1449" s="26" t="s">
        <v>1297</v>
      </c>
      <c r="G1449" s="26" t="s">
        <v>1300</v>
      </c>
      <c r="H1449" s="26">
        <v>45.28</v>
      </c>
      <c r="I1449" s="26">
        <v>-122.75</v>
      </c>
      <c r="J1449" s="26">
        <v>48</v>
      </c>
      <c r="P1449" s="52" t="s">
        <v>188</v>
      </c>
      <c r="Q1449" s="52" t="s">
        <v>1161</v>
      </c>
      <c r="R1449" s="52" t="s">
        <v>306</v>
      </c>
      <c r="S1449" s="52" t="s">
        <v>1301</v>
      </c>
      <c r="AB1449" s="26" t="s">
        <v>173</v>
      </c>
      <c r="AC1449" s="26" t="s">
        <v>1732</v>
      </c>
      <c r="AM1449" s="26" t="s">
        <v>160</v>
      </c>
      <c r="CU1449" s="26">
        <v>20.41</v>
      </c>
      <c r="CV1449" s="26">
        <v>10.6</v>
      </c>
      <c r="CW1449" s="26" t="s">
        <v>1312</v>
      </c>
      <c r="EN1449" s="26">
        <v>65</v>
      </c>
    </row>
    <row r="1450" spans="1:144" s="26" customFormat="1" x14ac:dyDescent="0.25">
      <c r="A1450" s="26">
        <v>65</v>
      </c>
      <c r="B1450" s="26" t="s">
        <v>1299</v>
      </c>
      <c r="C1450" s="26" t="s">
        <v>1298</v>
      </c>
      <c r="D1450" s="26">
        <v>1998</v>
      </c>
      <c r="E1450" s="26">
        <v>1994</v>
      </c>
      <c r="F1450" s="26" t="s">
        <v>1297</v>
      </c>
      <c r="G1450" s="26" t="s">
        <v>1300</v>
      </c>
      <c r="H1450" s="26">
        <v>45.28</v>
      </c>
      <c r="I1450" s="26">
        <v>-122.75</v>
      </c>
      <c r="J1450" s="26">
        <v>48</v>
      </c>
      <c r="P1450" s="52" t="s">
        <v>188</v>
      </c>
      <c r="Q1450" s="52" t="s">
        <v>1161</v>
      </c>
      <c r="R1450" s="52" t="s">
        <v>1185</v>
      </c>
      <c r="S1450" s="52" t="s">
        <v>1301</v>
      </c>
      <c r="AB1450" s="26" t="s">
        <v>173</v>
      </c>
      <c r="AC1450" s="26" t="s">
        <v>1732</v>
      </c>
      <c r="AM1450" s="26" t="s">
        <v>160</v>
      </c>
      <c r="CU1450" s="26">
        <v>20.95</v>
      </c>
      <c r="CV1450" s="26">
        <v>9.3000000000000007</v>
      </c>
      <c r="CW1450" s="26" t="s">
        <v>1312</v>
      </c>
      <c r="EN1450" s="26">
        <v>65</v>
      </c>
    </row>
    <row r="1451" spans="1:144" s="26" customFormat="1" x14ac:dyDescent="0.25">
      <c r="A1451" s="26">
        <v>65</v>
      </c>
      <c r="B1451" s="26" t="s">
        <v>1299</v>
      </c>
      <c r="C1451" s="26" t="s">
        <v>1298</v>
      </c>
      <c r="D1451" s="26">
        <v>1998</v>
      </c>
      <c r="E1451" s="26">
        <v>1994</v>
      </c>
      <c r="F1451" s="26" t="s">
        <v>1297</v>
      </c>
      <c r="G1451" s="26" t="s">
        <v>1300</v>
      </c>
      <c r="H1451" s="26">
        <v>45.28</v>
      </c>
      <c r="I1451" s="26">
        <v>-122.75</v>
      </c>
      <c r="J1451" s="26">
        <v>48</v>
      </c>
      <c r="P1451" s="52" t="s">
        <v>188</v>
      </c>
      <c r="Q1451" s="52" t="s">
        <v>1161</v>
      </c>
      <c r="R1451" s="52" t="s">
        <v>1183</v>
      </c>
      <c r="S1451" s="52" t="s">
        <v>1301</v>
      </c>
      <c r="AB1451" s="26" t="s">
        <v>173</v>
      </c>
      <c r="AC1451" s="26" t="s">
        <v>1732</v>
      </c>
      <c r="AM1451" s="26" t="s">
        <v>160</v>
      </c>
      <c r="CU1451" s="26">
        <v>21.95</v>
      </c>
      <c r="CV1451" s="26">
        <v>8.4600000000000009</v>
      </c>
      <c r="CW1451" s="26" t="s">
        <v>1312</v>
      </c>
      <c r="EN1451" s="26">
        <v>65</v>
      </c>
    </row>
    <row r="1452" spans="1:144" s="26" customFormat="1" x14ac:dyDescent="0.25">
      <c r="A1452" s="26">
        <v>65</v>
      </c>
      <c r="B1452" s="26" t="s">
        <v>1299</v>
      </c>
      <c r="C1452" s="26" t="s">
        <v>1298</v>
      </c>
      <c r="D1452" s="26">
        <v>1998</v>
      </c>
      <c r="E1452" s="26">
        <v>1994</v>
      </c>
      <c r="F1452" s="26" t="s">
        <v>1297</v>
      </c>
      <c r="G1452" s="26" t="s">
        <v>1300</v>
      </c>
      <c r="H1452" s="26">
        <v>45.28</v>
      </c>
      <c r="I1452" s="26">
        <v>-122.75</v>
      </c>
      <c r="J1452" s="26">
        <v>48</v>
      </c>
      <c r="P1452" s="52" t="s">
        <v>188</v>
      </c>
      <c r="Q1452" s="52" t="s">
        <v>1161</v>
      </c>
      <c r="R1452" s="52" t="s">
        <v>1184</v>
      </c>
      <c r="S1452" s="52" t="s">
        <v>1301</v>
      </c>
      <c r="AB1452" s="26" t="s">
        <v>173</v>
      </c>
      <c r="AC1452" s="26" t="s">
        <v>1732</v>
      </c>
      <c r="AM1452" s="26" t="s">
        <v>160</v>
      </c>
      <c r="CU1452" s="26">
        <v>13.29</v>
      </c>
      <c r="CV1452" s="26">
        <v>4.9400000000000004</v>
      </c>
      <c r="CW1452" s="26" t="s">
        <v>1312</v>
      </c>
      <c r="EN1452" s="26">
        <v>65</v>
      </c>
    </row>
    <row r="1453" spans="1:144" s="26" customFormat="1" x14ac:dyDescent="0.25">
      <c r="A1453" s="26">
        <v>65</v>
      </c>
      <c r="B1453" s="26" t="s">
        <v>1299</v>
      </c>
      <c r="C1453" s="26" t="s">
        <v>1298</v>
      </c>
      <c r="D1453" s="26">
        <v>1998</v>
      </c>
      <c r="E1453" s="26">
        <v>1994</v>
      </c>
      <c r="F1453" s="26" t="s">
        <v>1297</v>
      </c>
      <c r="G1453" s="26" t="s">
        <v>1300</v>
      </c>
      <c r="H1453" s="26">
        <v>45.28</v>
      </c>
      <c r="I1453" s="26">
        <v>-122.75</v>
      </c>
      <c r="J1453" s="26">
        <v>48</v>
      </c>
      <c r="P1453" s="52" t="s">
        <v>188</v>
      </c>
      <c r="Q1453" s="52" t="s">
        <v>1161</v>
      </c>
      <c r="R1453" s="52" t="s">
        <v>1028</v>
      </c>
      <c r="S1453" s="52" t="s">
        <v>1301</v>
      </c>
      <c r="AB1453" s="26" t="s">
        <v>173</v>
      </c>
      <c r="AC1453" s="26" t="s">
        <v>1732</v>
      </c>
      <c r="AM1453" s="26" t="s">
        <v>160</v>
      </c>
      <c r="CU1453" s="26">
        <v>20.190000000000001</v>
      </c>
      <c r="CV1453" s="26">
        <v>8</v>
      </c>
      <c r="CW1453" s="26" t="s">
        <v>1312</v>
      </c>
      <c r="EN1453" s="26">
        <v>65</v>
      </c>
    </row>
    <row r="1454" spans="1:144" s="26" customFormat="1" x14ac:dyDescent="0.25">
      <c r="A1454" s="26">
        <v>65</v>
      </c>
      <c r="B1454" s="26" t="s">
        <v>1299</v>
      </c>
      <c r="C1454" s="26" t="s">
        <v>1298</v>
      </c>
      <c r="D1454" s="26">
        <v>1998</v>
      </c>
      <c r="E1454" s="26">
        <v>1994</v>
      </c>
      <c r="F1454" s="26" t="s">
        <v>1297</v>
      </c>
      <c r="G1454" s="26" t="s">
        <v>1300</v>
      </c>
      <c r="H1454" s="26">
        <v>45.28</v>
      </c>
      <c r="I1454" s="26">
        <v>-122.75</v>
      </c>
      <c r="J1454" s="26">
        <v>48</v>
      </c>
      <c r="P1454" s="52" t="s">
        <v>188</v>
      </c>
      <c r="Q1454" s="52" t="s">
        <v>1161</v>
      </c>
      <c r="R1454" s="52" t="s">
        <v>1311</v>
      </c>
      <c r="S1454" s="52" t="s">
        <v>1301</v>
      </c>
      <c r="AB1454" s="26" t="s">
        <v>173</v>
      </c>
      <c r="AC1454" s="26" t="s">
        <v>1732</v>
      </c>
      <c r="AM1454" s="26" t="s">
        <v>160</v>
      </c>
      <c r="CU1454" s="26">
        <v>11.38</v>
      </c>
      <c r="CV1454" s="26">
        <v>4.4800000000000004</v>
      </c>
      <c r="CW1454" s="26" t="s">
        <v>1312</v>
      </c>
      <c r="EN1454" s="26">
        <v>65</v>
      </c>
    </row>
    <row r="1455" spans="1:144" x14ac:dyDescent="0.25">
      <c r="A1455" s="46">
        <v>66</v>
      </c>
      <c r="B1455" s="46" t="s">
        <v>1313</v>
      </c>
      <c r="C1455" s="46" t="s">
        <v>1314</v>
      </c>
      <c r="D1455" s="46">
        <v>2015</v>
      </c>
      <c r="E1455" s="46">
        <v>2002</v>
      </c>
      <c r="F1455" s="46" t="s">
        <v>439</v>
      </c>
      <c r="G1455" s="46" t="s">
        <v>1315</v>
      </c>
      <c r="H1455" s="46">
        <v>39.54</v>
      </c>
      <c r="I1455" s="46">
        <v>-91.33</v>
      </c>
      <c r="J1455" s="46">
        <v>179.9</v>
      </c>
      <c r="P1455" s="81" t="s">
        <v>221</v>
      </c>
      <c r="Q1455" s="81" t="s">
        <v>1161</v>
      </c>
      <c r="S1455" s="81" t="s">
        <v>671</v>
      </c>
      <c r="T1455" s="46">
        <v>1.37</v>
      </c>
      <c r="W1455" s="46" t="s">
        <v>175</v>
      </c>
      <c r="X1455" s="46">
        <v>6.98</v>
      </c>
      <c r="AA1455" s="46" t="s">
        <v>1717</v>
      </c>
      <c r="AB1455" s="46" t="s">
        <v>1508</v>
      </c>
      <c r="AC1455" s="46" t="s">
        <v>1740</v>
      </c>
      <c r="AD1455" s="46" t="s">
        <v>1316</v>
      </c>
      <c r="AE1455" s="46" t="s">
        <v>1317</v>
      </c>
      <c r="AF1455" s="46" t="s">
        <v>693</v>
      </c>
      <c r="AG1455" s="46" t="s">
        <v>217</v>
      </c>
      <c r="AH1455" s="46" t="s">
        <v>217</v>
      </c>
      <c r="AI1455" s="46" t="s">
        <v>252</v>
      </c>
      <c r="AJ1455" s="46" t="s">
        <v>581</v>
      </c>
      <c r="AK1455" s="46" t="s">
        <v>581</v>
      </c>
      <c r="AL1455" s="46" t="s">
        <v>252</v>
      </c>
      <c r="AM1455" s="46" t="s">
        <v>160</v>
      </c>
      <c r="AN1455" s="46">
        <v>3</v>
      </c>
      <c r="AO1455" s="46">
        <v>3</v>
      </c>
      <c r="AP1455" s="46" t="s">
        <v>184</v>
      </c>
      <c r="AU1455" s="46" t="s">
        <v>1327</v>
      </c>
      <c r="BB1455" s="46">
        <v>1.37</v>
      </c>
      <c r="BC1455" s="46">
        <v>1.36</v>
      </c>
      <c r="BE1455" s="46">
        <v>1.7</v>
      </c>
      <c r="BF1455" s="46">
        <v>2.2400000000000002</v>
      </c>
      <c r="BG1455" s="46" t="s">
        <v>1319</v>
      </c>
      <c r="BH1455" s="46">
        <f>1.72*1000</f>
        <v>1720</v>
      </c>
      <c r="BI1455" s="46">
        <f>2.14*1000</f>
        <v>2140</v>
      </c>
      <c r="BJ1455" s="46" t="s">
        <v>315</v>
      </c>
      <c r="BK1455" s="46">
        <v>78</v>
      </c>
      <c r="BL1455" s="46">
        <v>39</v>
      </c>
      <c r="BM1455" s="46" t="s">
        <v>1324</v>
      </c>
      <c r="BN1455" s="46">
        <v>150</v>
      </c>
      <c r="BO1455" s="46">
        <v>144</v>
      </c>
      <c r="BP1455" s="46" t="s">
        <v>1325</v>
      </c>
      <c r="BQ1455" s="46">
        <v>7.2</v>
      </c>
      <c r="BR1455" s="46">
        <v>7.1</v>
      </c>
      <c r="BT1455" s="46" t="s">
        <v>1525</v>
      </c>
      <c r="BU1455" s="46" t="s">
        <v>1525</v>
      </c>
      <c r="BW1455" s="46">
        <v>0.21</v>
      </c>
      <c r="BX1455" s="46">
        <v>0.27</v>
      </c>
      <c r="BY1455" s="46" t="s">
        <v>1322</v>
      </c>
      <c r="CC1455" s="46">
        <v>85.8</v>
      </c>
      <c r="CD1455" s="46">
        <v>87.6</v>
      </c>
      <c r="CE1455" s="46" t="s">
        <v>1318</v>
      </c>
      <c r="DP1455" s="46">
        <v>167</v>
      </c>
      <c r="DQ1455" s="46">
        <v>236</v>
      </c>
      <c r="DR1455" s="46" t="s">
        <v>1320</v>
      </c>
      <c r="DS1455" s="46">
        <f>0.53*1000</f>
        <v>530</v>
      </c>
      <c r="DT1455" s="46">
        <f>0.77*1000</f>
        <v>770</v>
      </c>
      <c r="DV1455" s="46">
        <v>46.4</v>
      </c>
      <c r="DW1455" s="46">
        <v>60.4</v>
      </c>
      <c r="DX1455" s="46" t="s">
        <v>1321</v>
      </c>
      <c r="EE1455" s="46">
        <v>287</v>
      </c>
      <c r="EF1455" s="46">
        <v>297</v>
      </c>
      <c r="EG1455" s="46" t="s">
        <v>1321</v>
      </c>
      <c r="EK1455" s="46" t="s">
        <v>693</v>
      </c>
      <c r="EL1455" s="46" t="s">
        <v>1326</v>
      </c>
      <c r="EN1455" s="46">
        <v>66</v>
      </c>
    </row>
    <row r="1456" spans="1:144" x14ac:dyDescent="0.25">
      <c r="A1456" s="46">
        <v>66</v>
      </c>
      <c r="B1456" s="46" t="s">
        <v>1313</v>
      </c>
      <c r="C1456" s="46" t="s">
        <v>1314</v>
      </c>
      <c r="D1456" s="46">
        <v>2015</v>
      </c>
      <c r="E1456" s="46">
        <v>2002</v>
      </c>
      <c r="F1456" s="46" t="s">
        <v>439</v>
      </c>
      <c r="G1456" s="46" t="s">
        <v>1315</v>
      </c>
      <c r="H1456" s="46">
        <v>39.54</v>
      </c>
      <c r="I1456" s="46">
        <v>-91.33</v>
      </c>
      <c r="J1456" s="46">
        <v>179.9</v>
      </c>
      <c r="P1456" s="81" t="s">
        <v>221</v>
      </c>
      <c r="Q1456" s="81" t="s">
        <v>1161</v>
      </c>
      <c r="S1456" s="81" t="s">
        <v>1287</v>
      </c>
      <c r="T1456" s="46">
        <v>1.37</v>
      </c>
      <c r="W1456" s="46" t="s">
        <v>175</v>
      </c>
      <c r="X1456" s="46">
        <v>6.98</v>
      </c>
      <c r="AA1456" s="46" t="s">
        <v>1717</v>
      </c>
      <c r="AB1456" s="46" t="s">
        <v>1508</v>
      </c>
      <c r="AC1456" s="46" t="s">
        <v>1740</v>
      </c>
      <c r="AD1456" s="46" t="s">
        <v>1316</v>
      </c>
      <c r="AE1456" s="46" t="s">
        <v>1317</v>
      </c>
      <c r="AF1456" s="46" t="s">
        <v>693</v>
      </c>
      <c r="AG1456" s="46" t="s">
        <v>217</v>
      </c>
      <c r="AH1456" s="46" t="s">
        <v>217</v>
      </c>
      <c r="AI1456" s="46" t="s">
        <v>252</v>
      </c>
      <c r="AJ1456" s="46" t="s">
        <v>581</v>
      </c>
      <c r="AK1456" s="46" t="s">
        <v>581</v>
      </c>
      <c r="AL1456" s="46" t="s">
        <v>252</v>
      </c>
      <c r="AM1456" s="46" t="s">
        <v>160</v>
      </c>
      <c r="AN1456" s="46">
        <v>3</v>
      </c>
      <c r="AO1456" s="46">
        <v>3</v>
      </c>
      <c r="AP1456" s="46" t="s">
        <v>184</v>
      </c>
      <c r="AU1456" s="46" t="s">
        <v>1327</v>
      </c>
      <c r="BB1456" s="46">
        <v>1.38</v>
      </c>
      <c r="BC1456" s="46">
        <v>1.4</v>
      </c>
      <c r="BE1456" s="46">
        <v>1.02</v>
      </c>
      <c r="BF1456" s="46">
        <v>1.01</v>
      </c>
      <c r="BG1456" s="46" t="s">
        <v>1319</v>
      </c>
      <c r="BH1456" s="46">
        <v>1180</v>
      </c>
      <c r="BI1456" s="46">
        <v>1220</v>
      </c>
      <c r="BJ1456" s="46" t="s">
        <v>315</v>
      </c>
      <c r="BK1456" s="46">
        <v>16.5</v>
      </c>
      <c r="BL1456" s="46">
        <v>12.2</v>
      </c>
      <c r="BM1456" s="46" t="s">
        <v>1324</v>
      </c>
      <c r="BN1456" s="46">
        <v>107</v>
      </c>
      <c r="BO1456" s="46">
        <v>108</v>
      </c>
      <c r="BP1456" s="46" t="s">
        <v>1325</v>
      </c>
      <c r="BQ1456" s="46">
        <v>6.8</v>
      </c>
      <c r="BR1456" s="46">
        <v>6.7</v>
      </c>
      <c r="BT1456" s="46" t="s">
        <v>1525</v>
      </c>
      <c r="BU1456" s="46" t="s">
        <v>1525</v>
      </c>
      <c r="BW1456" s="46">
        <v>0.16</v>
      </c>
      <c r="BX1456" s="46">
        <v>0.17</v>
      </c>
      <c r="BY1456" s="46" t="s">
        <v>1322</v>
      </c>
      <c r="CC1456" s="46">
        <v>87.1</v>
      </c>
      <c r="CD1456" s="46">
        <v>85</v>
      </c>
      <c r="CE1456" s="46" t="s">
        <v>1318</v>
      </c>
      <c r="DP1456" s="46">
        <v>36.1</v>
      </c>
      <c r="DQ1456" s="46">
        <v>39.799999999999997</v>
      </c>
      <c r="DR1456" s="46" t="s">
        <v>1320</v>
      </c>
      <c r="DS1456" s="46">
        <v>189</v>
      </c>
      <c r="DT1456" s="46">
        <v>214</v>
      </c>
      <c r="DV1456" s="46">
        <v>14</v>
      </c>
      <c r="DW1456" s="46">
        <v>16.600000000000001</v>
      </c>
      <c r="DX1456" s="46" t="s">
        <v>1321</v>
      </c>
      <c r="EE1456" s="46">
        <v>105</v>
      </c>
      <c r="EF1456" s="46">
        <v>131</v>
      </c>
      <c r="EG1456" s="46" t="s">
        <v>1321</v>
      </c>
      <c r="EK1456" s="46" t="s">
        <v>693</v>
      </c>
      <c r="EL1456" s="46" t="s">
        <v>1326</v>
      </c>
      <c r="EN1456" s="46">
        <v>66</v>
      </c>
    </row>
    <row r="1457" spans="1:144" s="31" customFormat="1" x14ac:dyDescent="0.25">
      <c r="A1457" s="31">
        <v>66</v>
      </c>
      <c r="B1457" s="31" t="s">
        <v>1313</v>
      </c>
      <c r="C1457" s="31" t="s">
        <v>1314</v>
      </c>
      <c r="D1457" s="31">
        <v>2015</v>
      </c>
      <c r="E1457" s="31">
        <v>2002</v>
      </c>
      <c r="F1457" s="31" t="s">
        <v>439</v>
      </c>
      <c r="G1457" s="31" t="s">
        <v>1315</v>
      </c>
      <c r="H1457" s="31">
        <v>39.54</v>
      </c>
      <c r="I1457" s="31">
        <v>-91.33</v>
      </c>
      <c r="J1457" s="31">
        <v>179.9</v>
      </c>
      <c r="P1457" s="56" t="s">
        <v>221</v>
      </c>
      <c r="Q1457" s="56" t="s">
        <v>1161</v>
      </c>
      <c r="R1457" s="56"/>
      <c r="S1457" s="56" t="s">
        <v>671</v>
      </c>
      <c r="T1457" s="31">
        <f>(1.37+1.43)/2</f>
        <v>1.4</v>
      </c>
      <c r="W1457" s="31" t="s">
        <v>175</v>
      </c>
      <c r="X1457" s="31">
        <v>6.98</v>
      </c>
      <c r="AA1457" s="31" t="s">
        <v>1717</v>
      </c>
      <c r="AB1457" s="31" t="s">
        <v>1508</v>
      </c>
      <c r="AC1457" s="31" t="s">
        <v>1740</v>
      </c>
      <c r="AD1457" s="31" t="s">
        <v>1316</v>
      </c>
      <c r="AE1457" s="31" t="s">
        <v>1316</v>
      </c>
      <c r="AF1457" s="31" t="s">
        <v>252</v>
      </c>
      <c r="AG1457" s="31" t="s">
        <v>217</v>
      </c>
      <c r="AH1457" s="31" t="s">
        <v>1329</v>
      </c>
      <c r="AI1457" s="31" t="s">
        <v>693</v>
      </c>
      <c r="AJ1457" s="31" t="s">
        <v>581</v>
      </c>
      <c r="AK1457" s="31" t="s">
        <v>1330</v>
      </c>
      <c r="AL1457" s="31" t="s">
        <v>693</v>
      </c>
      <c r="AM1457" s="31" t="s">
        <v>160</v>
      </c>
      <c r="AN1457" s="31">
        <v>3</v>
      </c>
      <c r="AO1457" s="31">
        <v>3</v>
      </c>
      <c r="AP1457" s="31" t="s">
        <v>184</v>
      </c>
      <c r="AU1457" s="31" t="s">
        <v>1328</v>
      </c>
      <c r="BB1457" s="31">
        <v>1.43</v>
      </c>
      <c r="BC1457" s="31">
        <v>1.37</v>
      </c>
      <c r="BE1457" s="31">
        <f>15.9/10</f>
        <v>1.59</v>
      </c>
      <c r="BF1457" s="31">
        <f>16.7/10</f>
        <v>1.67</v>
      </c>
      <c r="BG1457" s="31" t="s">
        <v>1319</v>
      </c>
      <c r="BH1457" s="31">
        <v>1710</v>
      </c>
      <c r="BI1457" s="31">
        <v>2270</v>
      </c>
      <c r="BJ1457" s="31" t="s">
        <v>315</v>
      </c>
      <c r="BK1457" s="31">
        <v>37</v>
      </c>
      <c r="BL1457" s="31">
        <v>96</v>
      </c>
      <c r="BM1457" s="31" t="s">
        <v>1324</v>
      </c>
      <c r="BN1457" s="31">
        <v>163</v>
      </c>
      <c r="BO1457" s="31">
        <v>136</v>
      </c>
      <c r="BP1457" s="31" t="s">
        <v>1325</v>
      </c>
      <c r="BQ1457" s="31">
        <v>6.7</v>
      </c>
      <c r="BR1457" s="31">
        <v>7.2</v>
      </c>
      <c r="BT1457" s="31" t="s">
        <v>1525</v>
      </c>
      <c r="BU1457" s="31" t="s">
        <v>1525</v>
      </c>
      <c r="BW1457" s="31">
        <v>0.41</v>
      </c>
      <c r="BX1457" s="31">
        <v>0.33</v>
      </c>
      <c r="BY1457" s="31" t="s">
        <v>1322</v>
      </c>
      <c r="CC1457" s="31">
        <v>88.6</v>
      </c>
      <c r="CD1457" s="31">
        <v>90.2</v>
      </c>
      <c r="CE1457" s="31" t="s">
        <v>1318</v>
      </c>
      <c r="DP1457" s="31">
        <v>222</v>
      </c>
      <c r="DQ1457" s="31">
        <v>186</v>
      </c>
      <c r="DR1457" s="31" t="s">
        <v>1320</v>
      </c>
      <c r="DS1457" s="31">
        <v>530</v>
      </c>
      <c r="DT1457" s="31">
        <v>810</v>
      </c>
      <c r="DV1457" s="31">
        <v>47.9</v>
      </c>
      <c r="DW1457" s="31">
        <v>22.8</v>
      </c>
      <c r="DX1457" s="31" t="s">
        <v>1321</v>
      </c>
      <c r="EE1457" s="31">
        <v>389</v>
      </c>
      <c r="EF1457" s="31">
        <v>731</v>
      </c>
      <c r="EG1457" s="31" t="s">
        <v>1321</v>
      </c>
      <c r="EK1457" s="31" t="s">
        <v>693</v>
      </c>
      <c r="EL1457" s="31" t="s">
        <v>1326</v>
      </c>
      <c r="EN1457" s="31">
        <v>66</v>
      </c>
    </row>
    <row r="1458" spans="1:144" s="31" customFormat="1" x14ac:dyDescent="0.25">
      <c r="A1458" s="31">
        <v>66</v>
      </c>
      <c r="B1458" s="31" t="s">
        <v>1313</v>
      </c>
      <c r="C1458" s="31" t="s">
        <v>1314</v>
      </c>
      <c r="D1458" s="31">
        <v>2015</v>
      </c>
      <c r="E1458" s="31">
        <v>2002</v>
      </c>
      <c r="F1458" s="31" t="s">
        <v>439</v>
      </c>
      <c r="G1458" s="31" t="s">
        <v>1315</v>
      </c>
      <c r="H1458" s="31">
        <v>39.54</v>
      </c>
      <c r="I1458" s="31">
        <v>-91.33</v>
      </c>
      <c r="J1458" s="31">
        <v>179.9</v>
      </c>
      <c r="P1458" s="56" t="s">
        <v>221</v>
      </c>
      <c r="Q1458" s="56" t="s">
        <v>1161</v>
      </c>
      <c r="R1458" s="56"/>
      <c r="S1458" s="56" t="s">
        <v>1287</v>
      </c>
      <c r="T1458" s="31">
        <f>(1.37+1.43)/2</f>
        <v>1.4</v>
      </c>
      <c r="W1458" s="31" t="s">
        <v>175</v>
      </c>
      <c r="X1458" s="31">
        <v>6.98</v>
      </c>
      <c r="AA1458" s="31" t="s">
        <v>1717</v>
      </c>
      <c r="AB1458" s="31" t="s">
        <v>1508</v>
      </c>
      <c r="AC1458" s="31" t="s">
        <v>1740</v>
      </c>
      <c r="AD1458" s="31" t="s">
        <v>1316</v>
      </c>
      <c r="AE1458" s="31" t="s">
        <v>1316</v>
      </c>
      <c r="AF1458" s="31" t="s">
        <v>252</v>
      </c>
      <c r="AG1458" s="31" t="s">
        <v>217</v>
      </c>
      <c r="AH1458" s="31" t="s">
        <v>1329</v>
      </c>
      <c r="AI1458" s="31" t="s">
        <v>693</v>
      </c>
      <c r="AJ1458" s="31" t="s">
        <v>581</v>
      </c>
      <c r="AK1458" s="31" t="s">
        <v>1330</v>
      </c>
      <c r="AL1458" s="31" t="s">
        <v>693</v>
      </c>
      <c r="AM1458" s="31" t="s">
        <v>160</v>
      </c>
      <c r="AN1458" s="31">
        <v>3</v>
      </c>
      <c r="AO1458" s="31">
        <v>3</v>
      </c>
      <c r="AP1458" s="31" t="s">
        <v>184</v>
      </c>
      <c r="AU1458" s="31" t="s">
        <v>1328</v>
      </c>
      <c r="BB1458" s="31">
        <v>1.41</v>
      </c>
      <c r="BC1458" s="31">
        <v>1.46</v>
      </c>
      <c r="BE1458" s="31">
        <v>1.04</v>
      </c>
      <c r="BF1458" s="31">
        <v>1.33</v>
      </c>
      <c r="BG1458" s="31" t="s">
        <v>1319</v>
      </c>
      <c r="BH1458" s="31">
        <v>1160</v>
      </c>
      <c r="BI1458" s="31">
        <v>1600</v>
      </c>
      <c r="BJ1458" s="31" t="s">
        <v>315</v>
      </c>
      <c r="BK1458" s="31">
        <v>12.6</v>
      </c>
      <c r="BL1458" s="31">
        <v>32.5</v>
      </c>
      <c r="BM1458" s="31" t="s">
        <v>1324</v>
      </c>
      <c r="BN1458" s="31">
        <v>65.099999999999994</v>
      </c>
      <c r="BO1458" s="31">
        <v>67.8</v>
      </c>
      <c r="BP1458" s="31" t="s">
        <v>1325</v>
      </c>
      <c r="BQ1458" s="31">
        <v>6.9</v>
      </c>
      <c r="BR1458" s="31">
        <v>7.2</v>
      </c>
      <c r="BT1458" s="31" t="s">
        <v>1525</v>
      </c>
      <c r="BU1458" s="31" t="s">
        <v>1525</v>
      </c>
      <c r="BW1458" s="31">
        <v>0.13</v>
      </c>
      <c r="BX1458" s="31">
        <v>0.2</v>
      </c>
      <c r="BY1458" s="31" t="s">
        <v>1322</v>
      </c>
      <c r="CC1458" s="31">
        <v>85.8</v>
      </c>
      <c r="CD1458" s="31">
        <v>91.2</v>
      </c>
      <c r="CE1458" s="31" t="s">
        <v>1318</v>
      </c>
      <c r="DP1458" s="31">
        <v>57.8</v>
      </c>
      <c r="DQ1458" s="31">
        <v>77.599999999999994</v>
      </c>
      <c r="DR1458" s="31" t="s">
        <v>1320</v>
      </c>
      <c r="DS1458" s="31">
        <v>202</v>
      </c>
      <c r="DT1458" s="31">
        <v>266</v>
      </c>
      <c r="DV1458" s="31">
        <v>22.6</v>
      </c>
      <c r="DW1458" s="31">
        <v>14.3</v>
      </c>
      <c r="DX1458" s="31" t="s">
        <v>1321</v>
      </c>
      <c r="EE1458" s="31">
        <v>109</v>
      </c>
      <c r="EF1458" s="31">
        <v>251</v>
      </c>
      <c r="EG1458" s="31" t="s">
        <v>1321</v>
      </c>
      <c r="EK1458" s="31" t="s">
        <v>693</v>
      </c>
      <c r="EL1458" s="31" t="s">
        <v>1326</v>
      </c>
      <c r="EN1458" s="31">
        <v>66</v>
      </c>
    </row>
    <row r="1459" spans="1:144" s="47" customFormat="1" x14ac:dyDescent="0.25">
      <c r="A1459" s="47">
        <v>67</v>
      </c>
      <c r="B1459" s="47" t="s">
        <v>1331</v>
      </c>
      <c r="C1459" s="47" t="s">
        <v>1332</v>
      </c>
      <c r="D1459" s="47">
        <v>2006</v>
      </c>
      <c r="E1459" s="47">
        <v>2002</v>
      </c>
      <c r="F1459" s="47" t="s">
        <v>200</v>
      </c>
      <c r="G1459" s="47" t="s">
        <v>1333</v>
      </c>
      <c r="H1459" s="47">
        <v>40.1</v>
      </c>
      <c r="I1459" s="47">
        <v>-88.25</v>
      </c>
      <c r="J1459" s="47">
        <v>235.6</v>
      </c>
      <c r="P1459" s="82" t="s">
        <v>186</v>
      </c>
      <c r="Q1459" s="82" t="s">
        <v>1161</v>
      </c>
      <c r="R1459" s="82" t="s">
        <v>1335</v>
      </c>
      <c r="S1459" s="82" t="s">
        <v>671</v>
      </c>
      <c r="W1459" s="47" t="s">
        <v>182</v>
      </c>
      <c r="AA1459" s="47" t="s">
        <v>1684</v>
      </c>
      <c r="AB1459" s="47" t="s">
        <v>173</v>
      </c>
      <c r="AC1459" s="47" t="s">
        <v>174</v>
      </c>
      <c r="AD1459" s="47" t="s">
        <v>1316</v>
      </c>
      <c r="AE1459" s="47" t="s">
        <v>1316</v>
      </c>
      <c r="AF1459" s="47" t="s">
        <v>252</v>
      </c>
      <c r="AG1459" s="47" t="s">
        <v>217</v>
      </c>
      <c r="AH1459" s="47" t="s">
        <v>217</v>
      </c>
      <c r="AI1459" s="47" t="s">
        <v>252</v>
      </c>
      <c r="AJ1459" s="47" t="s">
        <v>1334</v>
      </c>
      <c r="AK1459" s="47" t="s">
        <v>1334</v>
      </c>
      <c r="AL1459" s="47" t="s">
        <v>252</v>
      </c>
      <c r="AM1459" s="47" t="s">
        <v>160</v>
      </c>
      <c r="AN1459" s="47">
        <v>4</v>
      </c>
      <c r="AO1459" s="47">
        <v>4</v>
      </c>
      <c r="AP1459" s="47" t="s">
        <v>448</v>
      </c>
      <c r="BB1459" s="47">
        <v>1.32</v>
      </c>
      <c r="BC1459" s="47">
        <v>1.24</v>
      </c>
      <c r="BE1459" s="47">
        <v>4.2</v>
      </c>
      <c r="BF1459" s="47">
        <v>4.4000000000000004</v>
      </c>
      <c r="BG1459" s="47" t="s">
        <v>1336</v>
      </c>
      <c r="BH1459" s="47">
        <v>27.7</v>
      </c>
      <c r="BI1459" s="47">
        <v>23.1</v>
      </c>
      <c r="BJ1459" s="47" t="s">
        <v>1339</v>
      </c>
      <c r="BK1459" s="47">
        <v>36.4</v>
      </c>
      <c r="BL1459" s="47">
        <v>29.6</v>
      </c>
      <c r="CC1459" s="47">
        <v>38</v>
      </c>
      <c r="CD1459" s="47">
        <v>41</v>
      </c>
      <c r="CE1459" s="47" t="s">
        <v>1318</v>
      </c>
      <c r="CF1459" s="47">
        <v>39</v>
      </c>
      <c r="CG1459" s="47">
        <v>41</v>
      </c>
      <c r="CH1459" s="47" t="s">
        <v>1348</v>
      </c>
      <c r="CI1459" s="47">
        <v>1.4119999999999999</v>
      </c>
      <c r="CJ1459" s="47">
        <v>1.032</v>
      </c>
      <c r="CK1459" s="47" t="s">
        <v>1340</v>
      </c>
      <c r="DG1459" s="47">
        <v>24.3</v>
      </c>
      <c r="DH1459" s="47">
        <v>25.3</v>
      </c>
      <c r="DI1459" s="47" t="s">
        <v>1349</v>
      </c>
      <c r="EN1459" s="47">
        <v>67</v>
      </c>
    </row>
    <row r="1460" spans="1:144" s="47" customFormat="1" x14ac:dyDescent="0.25">
      <c r="A1460" s="47">
        <v>67</v>
      </c>
      <c r="B1460" s="47" t="s">
        <v>1331</v>
      </c>
      <c r="C1460" s="47" t="s">
        <v>1332</v>
      </c>
      <c r="D1460" s="47">
        <v>2006</v>
      </c>
      <c r="E1460" s="47">
        <v>2002</v>
      </c>
      <c r="F1460" s="47" t="s">
        <v>200</v>
      </c>
      <c r="G1460" s="47" t="s">
        <v>1333</v>
      </c>
      <c r="H1460" s="47">
        <v>40.1</v>
      </c>
      <c r="I1460" s="47">
        <v>-88.25</v>
      </c>
      <c r="J1460" s="47">
        <v>235.6</v>
      </c>
      <c r="P1460" s="82" t="s">
        <v>186</v>
      </c>
      <c r="Q1460" s="82" t="s">
        <v>1161</v>
      </c>
      <c r="R1460" s="82" t="s">
        <v>1335</v>
      </c>
      <c r="S1460" s="82" t="s">
        <v>817</v>
      </c>
      <c r="W1460" s="47" t="s">
        <v>182</v>
      </c>
      <c r="AA1460" s="47" t="s">
        <v>1684</v>
      </c>
      <c r="AB1460" s="47" t="s">
        <v>173</v>
      </c>
      <c r="AC1460" s="47" t="s">
        <v>174</v>
      </c>
      <c r="AD1460" s="47" t="s">
        <v>1316</v>
      </c>
      <c r="AE1460" s="47" t="s">
        <v>1316</v>
      </c>
      <c r="AF1460" s="47" t="s">
        <v>252</v>
      </c>
      <c r="AG1460" s="47" t="s">
        <v>217</v>
      </c>
      <c r="AH1460" s="47" t="s">
        <v>217</v>
      </c>
      <c r="AI1460" s="47" t="s">
        <v>252</v>
      </c>
      <c r="AJ1460" s="47" t="s">
        <v>1334</v>
      </c>
      <c r="AK1460" s="47" t="s">
        <v>1334</v>
      </c>
      <c r="AL1460" s="47" t="s">
        <v>252</v>
      </c>
      <c r="AM1460" s="47" t="s">
        <v>160</v>
      </c>
      <c r="AN1460" s="47">
        <v>4</v>
      </c>
      <c r="AO1460" s="47">
        <v>4</v>
      </c>
      <c r="AP1460" s="47" t="s">
        <v>448</v>
      </c>
      <c r="BB1460" s="47">
        <v>1.4</v>
      </c>
      <c r="BC1460" s="47">
        <v>1.38</v>
      </c>
      <c r="BE1460" s="47">
        <v>3.3</v>
      </c>
      <c r="BF1460" s="47">
        <v>3.5</v>
      </c>
      <c r="BG1460" s="47" t="s">
        <v>1336</v>
      </c>
      <c r="BH1460" s="47">
        <v>24.8</v>
      </c>
      <c r="BI1460" s="47">
        <v>29.1</v>
      </c>
      <c r="BJ1460" s="47" t="s">
        <v>1339</v>
      </c>
      <c r="BK1460" s="47">
        <v>36.4</v>
      </c>
      <c r="BL1460" s="47">
        <v>34.4</v>
      </c>
      <c r="CC1460" s="47">
        <v>38</v>
      </c>
      <c r="CD1460" s="47">
        <v>43</v>
      </c>
      <c r="CE1460" s="47" t="s">
        <v>1318</v>
      </c>
      <c r="CF1460" s="47">
        <v>39</v>
      </c>
      <c r="CG1460" s="47">
        <v>40.299999999999997</v>
      </c>
      <c r="CH1460" s="47" t="s">
        <v>1348</v>
      </c>
      <c r="CI1460" s="47">
        <v>1.84</v>
      </c>
      <c r="CJ1460" s="47">
        <v>1.653</v>
      </c>
      <c r="CK1460" s="47" t="s">
        <v>1340</v>
      </c>
      <c r="DG1460" s="47">
        <v>24.3</v>
      </c>
      <c r="DH1460" s="47">
        <v>25.6</v>
      </c>
      <c r="DI1460" s="47" t="s">
        <v>1349</v>
      </c>
      <c r="EN1460" s="47">
        <v>67</v>
      </c>
    </row>
    <row r="1461" spans="1:144" s="47" customFormat="1" x14ac:dyDescent="0.25">
      <c r="A1461" s="47">
        <v>67</v>
      </c>
      <c r="B1461" s="47" t="s">
        <v>1331</v>
      </c>
      <c r="C1461" s="47" t="s">
        <v>1332</v>
      </c>
      <c r="D1461" s="47">
        <v>2006</v>
      </c>
      <c r="E1461" s="47">
        <v>2002</v>
      </c>
      <c r="F1461" s="47" t="s">
        <v>200</v>
      </c>
      <c r="G1461" s="47" t="s">
        <v>1333</v>
      </c>
      <c r="H1461" s="47">
        <v>40.1</v>
      </c>
      <c r="I1461" s="47">
        <v>-88.25</v>
      </c>
      <c r="J1461" s="47">
        <v>235.6</v>
      </c>
      <c r="P1461" s="82" t="s">
        <v>186</v>
      </c>
      <c r="Q1461" s="82" t="s">
        <v>1161</v>
      </c>
      <c r="R1461" s="82" t="s">
        <v>1335</v>
      </c>
      <c r="S1461" s="82" t="s">
        <v>1143</v>
      </c>
      <c r="W1461" s="47" t="s">
        <v>182</v>
      </c>
      <c r="AA1461" s="47" t="s">
        <v>1684</v>
      </c>
      <c r="AB1461" s="47" t="s">
        <v>173</v>
      </c>
      <c r="AC1461" s="47" t="s">
        <v>174</v>
      </c>
      <c r="AD1461" s="47" t="s">
        <v>1316</v>
      </c>
      <c r="AE1461" s="47" t="s">
        <v>1316</v>
      </c>
      <c r="AF1461" s="47" t="s">
        <v>252</v>
      </c>
      <c r="AG1461" s="47" t="s">
        <v>217</v>
      </c>
      <c r="AH1461" s="47" t="s">
        <v>217</v>
      </c>
      <c r="AI1461" s="47" t="s">
        <v>252</v>
      </c>
      <c r="AJ1461" s="47" t="s">
        <v>1334</v>
      </c>
      <c r="AK1461" s="47" t="s">
        <v>1334</v>
      </c>
      <c r="AL1461" s="47" t="s">
        <v>252</v>
      </c>
      <c r="AM1461" s="47" t="s">
        <v>160</v>
      </c>
      <c r="AN1461" s="47">
        <v>4</v>
      </c>
      <c r="AO1461" s="47">
        <v>4</v>
      </c>
      <c r="AP1461" s="47" t="s">
        <v>448</v>
      </c>
      <c r="BB1461" s="47">
        <v>1.45</v>
      </c>
      <c r="BC1461" s="47">
        <v>1.46</v>
      </c>
      <c r="BE1461" s="47">
        <v>3.1</v>
      </c>
      <c r="BF1461" s="47">
        <v>3.3</v>
      </c>
      <c r="BG1461" s="47" t="s">
        <v>1336</v>
      </c>
      <c r="BH1461" s="47">
        <v>32.700000000000003</v>
      </c>
      <c r="BI1461" s="47">
        <v>26.7</v>
      </c>
      <c r="BJ1461" s="47" t="s">
        <v>1339</v>
      </c>
      <c r="BK1461" s="47">
        <v>36.4</v>
      </c>
      <c r="BL1461" s="47">
        <v>31.2</v>
      </c>
      <c r="CC1461" s="47">
        <v>38</v>
      </c>
      <c r="CD1461" s="47">
        <v>44</v>
      </c>
      <c r="CE1461" s="47" t="s">
        <v>1318</v>
      </c>
      <c r="CF1461" s="47">
        <v>39</v>
      </c>
      <c r="CG1461" s="47">
        <v>41.3</v>
      </c>
      <c r="CH1461" s="47" t="s">
        <v>1348</v>
      </c>
      <c r="CI1461" s="47">
        <v>1.744</v>
      </c>
      <c r="CJ1461" s="47">
        <v>1.746</v>
      </c>
      <c r="CK1461" s="47" t="s">
        <v>1340</v>
      </c>
      <c r="DG1461" s="47">
        <v>24.3</v>
      </c>
      <c r="DH1461" s="47">
        <v>26.4</v>
      </c>
      <c r="DI1461" s="47" t="s">
        <v>1349</v>
      </c>
      <c r="EN1461" s="47">
        <v>67</v>
      </c>
    </row>
    <row r="1462" spans="1:144" s="47" customFormat="1" x14ac:dyDescent="0.25">
      <c r="A1462" s="47">
        <v>67</v>
      </c>
      <c r="B1462" s="47" t="s">
        <v>1331</v>
      </c>
      <c r="C1462" s="47" t="s">
        <v>1332</v>
      </c>
      <c r="D1462" s="47">
        <v>2006</v>
      </c>
      <c r="E1462" s="47">
        <v>2002</v>
      </c>
      <c r="F1462" s="47" t="s">
        <v>200</v>
      </c>
      <c r="G1462" s="47" t="s">
        <v>1333</v>
      </c>
      <c r="H1462" s="47">
        <v>40.1</v>
      </c>
      <c r="I1462" s="47">
        <v>-88.25</v>
      </c>
      <c r="J1462" s="47">
        <v>235.6</v>
      </c>
      <c r="P1462" s="82" t="s">
        <v>186</v>
      </c>
      <c r="Q1462" s="82" t="s">
        <v>1161</v>
      </c>
      <c r="R1462" s="82" t="s">
        <v>1335</v>
      </c>
      <c r="S1462" s="82" t="s">
        <v>669</v>
      </c>
      <c r="W1462" s="47" t="s">
        <v>182</v>
      </c>
      <c r="AA1462" s="47" t="s">
        <v>1684</v>
      </c>
      <c r="AB1462" s="47" t="s">
        <v>173</v>
      </c>
      <c r="AC1462" s="47" t="s">
        <v>174</v>
      </c>
      <c r="AD1462" s="47" t="s">
        <v>1316</v>
      </c>
      <c r="AE1462" s="47" t="s">
        <v>1316</v>
      </c>
      <c r="AF1462" s="47" t="s">
        <v>252</v>
      </c>
      <c r="AG1462" s="47" t="s">
        <v>217</v>
      </c>
      <c r="AH1462" s="47" t="s">
        <v>217</v>
      </c>
      <c r="AI1462" s="47" t="s">
        <v>252</v>
      </c>
      <c r="AJ1462" s="47" t="s">
        <v>1334</v>
      </c>
      <c r="AK1462" s="47" t="s">
        <v>1334</v>
      </c>
      <c r="AL1462" s="47" t="s">
        <v>252</v>
      </c>
      <c r="AM1462" s="47" t="s">
        <v>160</v>
      </c>
      <c r="AN1462" s="47">
        <v>4</v>
      </c>
      <c r="AO1462" s="47">
        <v>4</v>
      </c>
      <c r="AP1462" s="47" t="s">
        <v>448</v>
      </c>
      <c r="BB1462" s="47">
        <v>1.45</v>
      </c>
      <c r="BC1462" s="47">
        <v>1.44</v>
      </c>
      <c r="BE1462" s="47">
        <v>3.5</v>
      </c>
      <c r="BF1462" s="47">
        <v>3.6</v>
      </c>
      <c r="BG1462" s="47" t="s">
        <v>1336</v>
      </c>
      <c r="BH1462" s="47">
        <v>17.600000000000001</v>
      </c>
      <c r="BI1462" s="47">
        <v>26.7</v>
      </c>
      <c r="BJ1462" s="47" t="s">
        <v>1339</v>
      </c>
      <c r="CI1462" s="47">
        <v>1.629</v>
      </c>
      <c r="CJ1462" s="47">
        <v>1.744</v>
      </c>
      <c r="CK1462" s="47" t="s">
        <v>1340</v>
      </c>
      <c r="EN1462" s="47">
        <v>67</v>
      </c>
    </row>
    <row r="1463" spans="1:144" s="26" customFormat="1" x14ac:dyDescent="0.25">
      <c r="A1463" s="26">
        <v>67</v>
      </c>
      <c r="B1463" s="26" t="s">
        <v>1331</v>
      </c>
      <c r="C1463" s="26" t="s">
        <v>1332</v>
      </c>
      <c r="D1463" s="26">
        <v>2006</v>
      </c>
      <c r="E1463" s="26">
        <v>2002</v>
      </c>
      <c r="F1463" s="26" t="s">
        <v>200</v>
      </c>
      <c r="G1463" s="26" t="s">
        <v>1333</v>
      </c>
      <c r="H1463" s="26">
        <v>40.1</v>
      </c>
      <c r="I1463" s="26">
        <v>-88.25</v>
      </c>
      <c r="J1463" s="26">
        <v>235.6</v>
      </c>
      <c r="P1463" s="52" t="s">
        <v>186</v>
      </c>
      <c r="Q1463" s="52" t="s">
        <v>1161</v>
      </c>
      <c r="R1463" s="52" t="s">
        <v>1335</v>
      </c>
      <c r="S1463" s="52" t="s">
        <v>671</v>
      </c>
      <c r="W1463" s="26" t="s">
        <v>182</v>
      </c>
      <c r="AA1463" s="26" t="s">
        <v>1684</v>
      </c>
      <c r="AB1463" s="26" t="s">
        <v>326</v>
      </c>
      <c r="AC1463" s="26" t="s">
        <v>174</v>
      </c>
      <c r="AD1463" s="26" t="s">
        <v>1316</v>
      </c>
      <c r="AE1463" s="26" t="s">
        <v>1316</v>
      </c>
      <c r="AF1463" s="26" t="s">
        <v>252</v>
      </c>
      <c r="AG1463" s="26" t="s">
        <v>217</v>
      </c>
      <c r="AH1463" s="26" t="s">
        <v>217</v>
      </c>
      <c r="AI1463" s="26" t="s">
        <v>252</v>
      </c>
      <c r="AJ1463" s="26" t="s">
        <v>1334</v>
      </c>
      <c r="AK1463" s="26" t="s">
        <v>1334</v>
      </c>
      <c r="AL1463" s="26" t="s">
        <v>252</v>
      </c>
      <c r="AM1463" s="26" t="s">
        <v>160</v>
      </c>
      <c r="AN1463" s="26">
        <v>4</v>
      </c>
      <c r="AO1463" s="26">
        <v>4</v>
      </c>
      <c r="AP1463" s="26" t="s">
        <v>448</v>
      </c>
      <c r="BB1463" s="26">
        <v>1.32</v>
      </c>
      <c r="BC1463" s="26">
        <v>1.23</v>
      </c>
      <c r="BE1463" s="26">
        <v>4.2</v>
      </c>
      <c r="BF1463" s="26">
        <v>4.5</v>
      </c>
      <c r="BG1463" s="26" t="s">
        <v>1336</v>
      </c>
      <c r="BH1463" s="26">
        <v>27.7</v>
      </c>
      <c r="BI1463" s="26">
        <v>21.8</v>
      </c>
      <c r="BJ1463" s="26" t="s">
        <v>1339</v>
      </c>
      <c r="CI1463" s="26">
        <v>1.4119999999999999</v>
      </c>
      <c r="CJ1463" s="26">
        <v>1.006</v>
      </c>
      <c r="CK1463" s="26" t="s">
        <v>1340</v>
      </c>
      <c r="EN1463" s="26">
        <v>67</v>
      </c>
    </row>
    <row r="1464" spans="1:144" s="26" customFormat="1" x14ac:dyDescent="0.25">
      <c r="A1464" s="26">
        <v>67</v>
      </c>
      <c r="B1464" s="26" t="s">
        <v>1331</v>
      </c>
      <c r="C1464" s="26" t="s">
        <v>1332</v>
      </c>
      <c r="D1464" s="26">
        <v>2006</v>
      </c>
      <c r="E1464" s="26">
        <v>2002</v>
      </c>
      <c r="F1464" s="26" t="s">
        <v>200</v>
      </c>
      <c r="G1464" s="26" t="s">
        <v>1333</v>
      </c>
      <c r="H1464" s="26">
        <v>40.1</v>
      </c>
      <c r="I1464" s="26">
        <v>-88.25</v>
      </c>
      <c r="J1464" s="26">
        <v>235.6</v>
      </c>
      <c r="P1464" s="52" t="s">
        <v>186</v>
      </c>
      <c r="Q1464" s="52" t="s">
        <v>1161</v>
      </c>
      <c r="R1464" s="52" t="s">
        <v>1335</v>
      </c>
      <c r="S1464" s="52" t="s">
        <v>817</v>
      </c>
      <c r="W1464" s="26" t="s">
        <v>182</v>
      </c>
      <c r="AA1464" s="26" t="s">
        <v>1684</v>
      </c>
      <c r="AB1464" s="26" t="s">
        <v>326</v>
      </c>
      <c r="AC1464" s="26" t="s">
        <v>174</v>
      </c>
      <c r="AD1464" s="26" t="s">
        <v>1316</v>
      </c>
      <c r="AE1464" s="26" t="s">
        <v>1316</v>
      </c>
      <c r="AF1464" s="26" t="s">
        <v>252</v>
      </c>
      <c r="AG1464" s="26" t="s">
        <v>217</v>
      </c>
      <c r="AH1464" s="26" t="s">
        <v>217</v>
      </c>
      <c r="AI1464" s="26" t="s">
        <v>252</v>
      </c>
      <c r="AJ1464" s="26" t="s">
        <v>1334</v>
      </c>
      <c r="AK1464" s="26" t="s">
        <v>1334</v>
      </c>
      <c r="AL1464" s="26" t="s">
        <v>252</v>
      </c>
      <c r="AM1464" s="26" t="s">
        <v>160</v>
      </c>
      <c r="AN1464" s="26">
        <v>4</v>
      </c>
      <c r="AO1464" s="26">
        <v>4</v>
      </c>
      <c r="AP1464" s="26" t="s">
        <v>448</v>
      </c>
      <c r="BB1464" s="26">
        <v>1.4</v>
      </c>
      <c r="BC1464" s="26">
        <v>1.35</v>
      </c>
      <c r="BE1464" s="26">
        <v>3.3</v>
      </c>
      <c r="BF1464" s="26">
        <v>3.6</v>
      </c>
      <c r="BG1464" s="26" t="s">
        <v>1336</v>
      </c>
      <c r="BH1464" s="26">
        <v>24.8</v>
      </c>
      <c r="BI1464" s="26">
        <v>17.5</v>
      </c>
      <c r="BJ1464" s="26" t="s">
        <v>1339</v>
      </c>
      <c r="CI1464" s="26">
        <v>1.84</v>
      </c>
      <c r="CJ1464" s="26">
        <v>1.7410000000000001</v>
      </c>
      <c r="CK1464" s="26" t="s">
        <v>1340</v>
      </c>
      <c r="EN1464" s="26">
        <v>67</v>
      </c>
    </row>
    <row r="1465" spans="1:144" s="26" customFormat="1" x14ac:dyDescent="0.25">
      <c r="A1465" s="26">
        <v>67</v>
      </c>
      <c r="B1465" s="26" t="s">
        <v>1331</v>
      </c>
      <c r="C1465" s="26" t="s">
        <v>1332</v>
      </c>
      <c r="D1465" s="26">
        <v>2006</v>
      </c>
      <c r="E1465" s="26">
        <v>2002</v>
      </c>
      <c r="F1465" s="26" t="s">
        <v>200</v>
      </c>
      <c r="G1465" s="26" t="s">
        <v>1333</v>
      </c>
      <c r="H1465" s="26">
        <v>40.1</v>
      </c>
      <c r="I1465" s="26">
        <v>-88.25</v>
      </c>
      <c r="J1465" s="26">
        <v>235.6</v>
      </c>
      <c r="P1465" s="52" t="s">
        <v>186</v>
      </c>
      <c r="Q1465" s="52" t="s">
        <v>1161</v>
      </c>
      <c r="R1465" s="52" t="s">
        <v>1335</v>
      </c>
      <c r="S1465" s="52" t="s">
        <v>1143</v>
      </c>
      <c r="W1465" s="26" t="s">
        <v>182</v>
      </c>
      <c r="AA1465" s="26" t="s">
        <v>1684</v>
      </c>
      <c r="AB1465" s="26" t="s">
        <v>326</v>
      </c>
      <c r="AC1465" s="26" t="s">
        <v>174</v>
      </c>
      <c r="AD1465" s="26" t="s">
        <v>1316</v>
      </c>
      <c r="AE1465" s="26" t="s">
        <v>1316</v>
      </c>
      <c r="AF1465" s="26" t="s">
        <v>252</v>
      </c>
      <c r="AG1465" s="26" t="s">
        <v>217</v>
      </c>
      <c r="AH1465" s="26" t="s">
        <v>217</v>
      </c>
      <c r="AI1465" s="26" t="s">
        <v>252</v>
      </c>
      <c r="AJ1465" s="26" t="s">
        <v>1334</v>
      </c>
      <c r="AK1465" s="26" t="s">
        <v>1334</v>
      </c>
      <c r="AL1465" s="26" t="s">
        <v>252</v>
      </c>
      <c r="AM1465" s="26" t="s">
        <v>160</v>
      </c>
      <c r="AN1465" s="26">
        <v>4</v>
      </c>
      <c r="AO1465" s="26">
        <v>4</v>
      </c>
      <c r="AP1465" s="26" t="s">
        <v>448</v>
      </c>
      <c r="BB1465" s="26">
        <v>1.45</v>
      </c>
      <c r="BC1465" s="26">
        <v>1.5</v>
      </c>
      <c r="BE1465" s="26">
        <v>3.1</v>
      </c>
      <c r="BF1465" s="26">
        <v>3.4</v>
      </c>
      <c r="BG1465" s="26" t="s">
        <v>1336</v>
      </c>
      <c r="BH1465" s="26">
        <v>32.700000000000003</v>
      </c>
      <c r="BI1465" s="26">
        <v>15.9</v>
      </c>
      <c r="BJ1465" s="26" t="s">
        <v>1339</v>
      </c>
      <c r="CI1465" s="26">
        <v>1.744</v>
      </c>
      <c r="CJ1465" s="26">
        <v>1.859</v>
      </c>
      <c r="CK1465" s="26" t="s">
        <v>1340</v>
      </c>
      <c r="EN1465" s="26">
        <v>67</v>
      </c>
    </row>
    <row r="1466" spans="1:144" s="26" customFormat="1" x14ac:dyDescent="0.25">
      <c r="A1466" s="26">
        <v>67</v>
      </c>
      <c r="B1466" s="26" t="s">
        <v>1331</v>
      </c>
      <c r="C1466" s="26" t="s">
        <v>1332</v>
      </c>
      <c r="D1466" s="26">
        <v>2006</v>
      </c>
      <c r="E1466" s="26">
        <v>2002</v>
      </c>
      <c r="F1466" s="26" t="s">
        <v>200</v>
      </c>
      <c r="G1466" s="26" t="s">
        <v>1333</v>
      </c>
      <c r="H1466" s="26">
        <v>40.1</v>
      </c>
      <c r="I1466" s="26">
        <v>-88.25</v>
      </c>
      <c r="J1466" s="26">
        <v>235.6</v>
      </c>
      <c r="P1466" s="52" t="s">
        <v>186</v>
      </c>
      <c r="Q1466" s="52" t="s">
        <v>1161</v>
      </c>
      <c r="R1466" s="52" t="s">
        <v>1335</v>
      </c>
      <c r="S1466" s="52" t="s">
        <v>669</v>
      </c>
      <c r="W1466" s="26" t="s">
        <v>182</v>
      </c>
      <c r="AA1466" s="26" t="s">
        <v>1684</v>
      </c>
      <c r="AB1466" s="26" t="s">
        <v>326</v>
      </c>
      <c r="AC1466" s="26" t="s">
        <v>174</v>
      </c>
      <c r="AD1466" s="26" t="s">
        <v>1316</v>
      </c>
      <c r="AE1466" s="26" t="s">
        <v>1316</v>
      </c>
      <c r="AF1466" s="26" t="s">
        <v>252</v>
      </c>
      <c r="AG1466" s="26" t="s">
        <v>217</v>
      </c>
      <c r="AH1466" s="26" t="s">
        <v>217</v>
      </c>
      <c r="AI1466" s="26" t="s">
        <v>252</v>
      </c>
      <c r="AJ1466" s="26" t="s">
        <v>1334</v>
      </c>
      <c r="AK1466" s="26" t="s">
        <v>1334</v>
      </c>
      <c r="AL1466" s="26" t="s">
        <v>252</v>
      </c>
      <c r="AM1466" s="26" t="s">
        <v>160</v>
      </c>
      <c r="AN1466" s="26">
        <v>4</v>
      </c>
      <c r="AO1466" s="26">
        <v>4</v>
      </c>
      <c r="AP1466" s="26" t="s">
        <v>448</v>
      </c>
      <c r="BB1466" s="26">
        <v>1.45</v>
      </c>
      <c r="BC1466" s="26">
        <v>1.42</v>
      </c>
      <c r="BE1466" s="26">
        <v>3.5</v>
      </c>
      <c r="BF1466" s="26">
        <v>3.7</v>
      </c>
      <c r="BG1466" s="26" t="s">
        <v>1336</v>
      </c>
      <c r="BH1466" s="26">
        <v>17.600000000000001</v>
      </c>
      <c r="BI1466" s="26">
        <v>17.399999999999999</v>
      </c>
      <c r="BJ1466" s="26" t="s">
        <v>1339</v>
      </c>
      <c r="CI1466" s="26">
        <v>1.629</v>
      </c>
      <c r="CJ1466" s="26">
        <v>1.756</v>
      </c>
      <c r="CK1466" s="26" t="s">
        <v>1340</v>
      </c>
      <c r="EN1466" s="26">
        <v>67</v>
      </c>
    </row>
    <row r="1467" spans="1:144" s="47" customFormat="1" x14ac:dyDescent="0.25">
      <c r="A1467" s="47">
        <v>67</v>
      </c>
      <c r="B1467" s="47" t="s">
        <v>1331</v>
      </c>
      <c r="C1467" s="47" t="s">
        <v>1332</v>
      </c>
      <c r="D1467" s="47">
        <v>2006</v>
      </c>
      <c r="E1467" s="47">
        <v>2002</v>
      </c>
      <c r="F1467" s="47" t="s">
        <v>200</v>
      </c>
      <c r="G1467" s="47" t="s">
        <v>1333</v>
      </c>
      <c r="H1467" s="47">
        <v>40.1</v>
      </c>
      <c r="I1467" s="47">
        <v>-88.25</v>
      </c>
      <c r="J1467" s="47">
        <v>235.6</v>
      </c>
      <c r="P1467" s="82" t="s">
        <v>186</v>
      </c>
      <c r="Q1467" s="82" t="s">
        <v>1161</v>
      </c>
      <c r="R1467" s="82" t="s">
        <v>1335</v>
      </c>
      <c r="S1467" s="82" t="s">
        <v>671</v>
      </c>
      <c r="W1467" s="47" t="s">
        <v>182</v>
      </c>
      <c r="AA1467" s="47" t="s">
        <v>1684</v>
      </c>
      <c r="AB1467" s="47" t="s">
        <v>1122</v>
      </c>
      <c r="AC1467" s="47" t="s">
        <v>174</v>
      </c>
      <c r="AD1467" s="47" t="s">
        <v>1316</v>
      </c>
      <c r="AE1467" s="47" t="s">
        <v>1316</v>
      </c>
      <c r="AF1467" s="47" t="s">
        <v>252</v>
      </c>
      <c r="AG1467" s="47" t="s">
        <v>217</v>
      </c>
      <c r="AH1467" s="47" t="s">
        <v>217</v>
      </c>
      <c r="AI1467" s="47" t="s">
        <v>252</v>
      </c>
      <c r="AJ1467" s="47" t="s">
        <v>1334</v>
      </c>
      <c r="AK1467" s="47" t="s">
        <v>1334</v>
      </c>
      <c r="AL1467" s="47" t="s">
        <v>252</v>
      </c>
      <c r="AM1467" s="47" t="s">
        <v>160</v>
      </c>
      <c r="AN1467" s="47">
        <v>4</v>
      </c>
      <c r="AO1467" s="47">
        <v>4</v>
      </c>
      <c r="AP1467" s="47" t="s">
        <v>448</v>
      </c>
      <c r="BB1467" s="47">
        <v>1.32</v>
      </c>
      <c r="BC1467" s="47">
        <v>1.23</v>
      </c>
      <c r="BE1467" s="47">
        <v>4.2</v>
      </c>
      <c r="BF1467" s="47">
        <v>4.7</v>
      </c>
      <c r="BG1467" s="47" t="s">
        <v>1336</v>
      </c>
      <c r="BH1467" s="47">
        <v>27.7</v>
      </c>
      <c r="BI1467" s="47">
        <v>21.5</v>
      </c>
      <c r="BJ1467" s="47" t="s">
        <v>1339</v>
      </c>
      <c r="CI1467" s="47">
        <v>1.4119999999999999</v>
      </c>
      <c r="CJ1467" s="47">
        <v>1.2030000000000001</v>
      </c>
      <c r="CK1467" s="47" t="s">
        <v>1340</v>
      </c>
      <c r="EN1467" s="47">
        <v>67</v>
      </c>
    </row>
    <row r="1468" spans="1:144" s="47" customFormat="1" x14ac:dyDescent="0.25">
      <c r="A1468" s="47">
        <v>67</v>
      </c>
      <c r="B1468" s="47" t="s">
        <v>1331</v>
      </c>
      <c r="C1468" s="47" t="s">
        <v>1332</v>
      </c>
      <c r="D1468" s="47">
        <v>2006</v>
      </c>
      <c r="E1468" s="47">
        <v>2002</v>
      </c>
      <c r="F1468" s="47" t="s">
        <v>200</v>
      </c>
      <c r="G1468" s="47" t="s">
        <v>1333</v>
      </c>
      <c r="H1468" s="47">
        <v>40.1</v>
      </c>
      <c r="I1468" s="47">
        <v>-88.25</v>
      </c>
      <c r="J1468" s="47">
        <v>235.6</v>
      </c>
      <c r="P1468" s="82" t="s">
        <v>186</v>
      </c>
      <c r="Q1468" s="82" t="s">
        <v>1161</v>
      </c>
      <c r="R1468" s="82" t="s">
        <v>1335</v>
      </c>
      <c r="S1468" s="82" t="s">
        <v>817</v>
      </c>
      <c r="W1468" s="47" t="s">
        <v>182</v>
      </c>
      <c r="AA1468" s="47" t="s">
        <v>1684</v>
      </c>
      <c r="AB1468" s="47" t="s">
        <v>1122</v>
      </c>
      <c r="AC1468" s="47" t="s">
        <v>174</v>
      </c>
      <c r="AD1468" s="47" t="s">
        <v>1316</v>
      </c>
      <c r="AE1468" s="47" t="s">
        <v>1316</v>
      </c>
      <c r="AF1468" s="47" t="s">
        <v>252</v>
      </c>
      <c r="AG1468" s="47" t="s">
        <v>217</v>
      </c>
      <c r="AH1468" s="47" t="s">
        <v>217</v>
      </c>
      <c r="AI1468" s="47" t="s">
        <v>252</v>
      </c>
      <c r="AJ1468" s="47" t="s">
        <v>1334</v>
      </c>
      <c r="AK1468" s="47" t="s">
        <v>1334</v>
      </c>
      <c r="AL1468" s="47" t="s">
        <v>252</v>
      </c>
      <c r="AM1468" s="47" t="s">
        <v>160</v>
      </c>
      <c r="AN1468" s="47">
        <v>4</v>
      </c>
      <c r="AO1468" s="47">
        <v>4</v>
      </c>
      <c r="AP1468" s="47" t="s">
        <v>448</v>
      </c>
      <c r="BB1468" s="47">
        <v>1.4</v>
      </c>
      <c r="BC1468" s="47">
        <v>1.36</v>
      </c>
      <c r="BE1468" s="47">
        <v>3.3</v>
      </c>
      <c r="BF1468" s="47">
        <v>3.8</v>
      </c>
      <c r="BG1468" s="47" t="s">
        <v>1336</v>
      </c>
      <c r="BH1468" s="47">
        <v>24.8</v>
      </c>
      <c r="BI1468" s="47">
        <v>28.6</v>
      </c>
      <c r="BJ1468" s="47" t="s">
        <v>1339</v>
      </c>
      <c r="CI1468" s="47">
        <v>1.84</v>
      </c>
      <c r="CJ1468" s="47">
        <v>1.7809999999999999</v>
      </c>
      <c r="CK1468" s="47" t="s">
        <v>1340</v>
      </c>
      <c r="EN1468" s="47">
        <v>67</v>
      </c>
    </row>
    <row r="1469" spans="1:144" s="47" customFormat="1" x14ac:dyDescent="0.25">
      <c r="A1469" s="47">
        <v>67</v>
      </c>
      <c r="B1469" s="47" t="s">
        <v>1331</v>
      </c>
      <c r="C1469" s="47" t="s">
        <v>1332</v>
      </c>
      <c r="D1469" s="47">
        <v>2006</v>
      </c>
      <c r="E1469" s="47">
        <v>2002</v>
      </c>
      <c r="F1469" s="47" t="s">
        <v>200</v>
      </c>
      <c r="G1469" s="47" t="s">
        <v>1333</v>
      </c>
      <c r="H1469" s="47">
        <v>40.1</v>
      </c>
      <c r="I1469" s="47">
        <v>-88.25</v>
      </c>
      <c r="J1469" s="47">
        <v>235.6</v>
      </c>
      <c r="P1469" s="82" t="s">
        <v>186</v>
      </c>
      <c r="Q1469" s="82" t="s">
        <v>1161</v>
      </c>
      <c r="R1469" s="82" t="s">
        <v>1335</v>
      </c>
      <c r="S1469" s="82" t="s">
        <v>1143</v>
      </c>
      <c r="W1469" s="47" t="s">
        <v>182</v>
      </c>
      <c r="AA1469" s="47" t="s">
        <v>1684</v>
      </c>
      <c r="AB1469" s="47" t="s">
        <v>1122</v>
      </c>
      <c r="AC1469" s="47" t="s">
        <v>174</v>
      </c>
      <c r="AD1469" s="47" t="s">
        <v>1316</v>
      </c>
      <c r="AE1469" s="47" t="s">
        <v>1316</v>
      </c>
      <c r="AF1469" s="47" t="s">
        <v>252</v>
      </c>
      <c r="AG1469" s="47" t="s">
        <v>217</v>
      </c>
      <c r="AH1469" s="47" t="s">
        <v>217</v>
      </c>
      <c r="AI1469" s="47" t="s">
        <v>252</v>
      </c>
      <c r="AJ1469" s="47" t="s">
        <v>1334</v>
      </c>
      <c r="AK1469" s="47" t="s">
        <v>1334</v>
      </c>
      <c r="AL1469" s="47" t="s">
        <v>252</v>
      </c>
      <c r="AM1469" s="47" t="s">
        <v>160</v>
      </c>
      <c r="AN1469" s="47">
        <v>4</v>
      </c>
      <c r="AO1469" s="47">
        <v>4</v>
      </c>
      <c r="AP1469" s="47" t="s">
        <v>448</v>
      </c>
      <c r="BB1469" s="47">
        <v>1.45</v>
      </c>
      <c r="BC1469" s="47">
        <v>1.43</v>
      </c>
      <c r="BE1469" s="47">
        <v>3.1</v>
      </c>
      <c r="BF1469" s="47">
        <v>3.6</v>
      </c>
      <c r="BG1469" s="47" t="s">
        <v>1336</v>
      </c>
      <c r="BH1469" s="47">
        <v>32.700000000000003</v>
      </c>
      <c r="BI1469" s="47">
        <v>29.9</v>
      </c>
      <c r="BJ1469" s="47" t="s">
        <v>1339</v>
      </c>
      <c r="CI1469" s="47">
        <v>1.744</v>
      </c>
      <c r="CJ1469" s="47">
        <v>1.867</v>
      </c>
      <c r="CK1469" s="47" t="s">
        <v>1340</v>
      </c>
      <c r="EN1469" s="47">
        <v>67</v>
      </c>
    </row>
    <row r="1470" spans="1:144" s="47" customFormat="1" x14ac:dyDescent="0.25">
      <c r="A1470" s="47">
        <v>67</v>
      </c>
      <c r="B1470" s="47" t="s">
        <v>1331</v>
      </c>
      <c r="C1470" s="47" t="s">
        <v>1332</v>
      </c>
      <c r="D1470" s="47">
        <v>2006</v>
      </c>
      <c r="E1470" s="47">
        <v>2002</v>
      </c>
      <c r="F1470" s="47" t="s">
        <v>200</v>
      </c>
      <c r="G1470" s="47" t="s">
        <v>1333</v>
      </c>
      <c r="H1470" s="47">
        <v>40.1</v>
      </c>
      <c r="I1470" s="47">
        <v>-88.25</v>
      </c>
      <c r="J1470" s="47">
        <v>235.6</v>
      </c>
      <c r="P1470" s="82" t="s">
        <v>186</v>
      </c>
      <c r="Q1470" s="82" t="s">
        <v>1161</v>
      </c>
      <c r="R1470" s="82" t="s">
        <v>1335</v>
      </c>
      <c r="S1470" s="82" t="s">
        <v>669</v>
      </c>
      <c r="W1470" s="47" t="s">
        <v>182</v>
      </c>
      <c r="AA1470" s="47" t="s">
        <v>1684</v>
      </c>
      <c r="AB1470" s="47" t="s">
        <v>1122</v>
      </c>
      <c r="AC1470" s="47" t="s">
        <v>174</v>
      </c>
      <c r="AD1470" s="47" t="s">
        <v>1316</v>
      </c>
      <c r="AE1470" s="47" t="s">
        <v>1316</v>
      </c>
      <c r="AF1470" s="47" t="s">
        <v>252</v>
      </c>
      <c r="AG1470" s="47" t="s">
        <v>217</v>
      </c>
      <c r="AH1470" s="47" t="s">
        <v>217</v>
      </c>
      <c r="AI1470" s="47" t="s">
        <v>252</v>
      </c>
      <c r="AJ1470" s="47" t="s">
        <v>1334</v>
      </c>
      <c r="AK1470" s="47" t="s">
        <v>1334</v>
      </c>
      <c r="AL1470" s="47" t="s">
        <v>252</v>
      </c>
      <c r="AM1470" s="47" t="s">
        <v>160</v>
      </c>
      <c r="AN1470" s="47">
        <v>4</v>
      </c>
      <c r="AO1470" s="47">
        <v>4</v>
      </c>
      <c r="AP1470" s="47" t="s">
        <v>448</v>
      </c>
      <c r="BB1470" s="47">
        <v>1.45</v>
      </c>
      <c r="BC1470" s="47">
        <v>1.39</v>
      </c>
      <c r="BE1470" s="47">
        <v>3.5</v>
      </c>
      <c r="BF1470" s="47">
        <v>3.7</v>
      </c>
      <c r="BG1470" s="47" t="s">
        <v>1336</v>
      </c>
      <c r="BH1470" s="47">
        <v>17.600000000000001</v>
      </c>
      <c r="BI1470" s="47">
        <v>20.100000000000001</v>
      </c>
      <c r="BJ1470" s="47" t="s">
        <v>1339</v>
      </c>
      <c r="CI1470" s="47">
        <v>1.629</v>
      </c>
      <c r="CJ1470" s="47">
        <v>1.821</v>
      </c>
      <c r="CK1470" s="47" t="s">
        <v>1340</v>
      </c>
      <c r="EN1470" s="47">
        <v>67</v>
      </c>
    </row>
    <row r="1471" spans="1:144" s="35" customFormat="1" x14ac:dyDescent="0.25">
      <c r="A1471" s="35">
        <v>67</v>
      </c>
      <c r="B1471" s="35" t="s">
        <v>1331</v>
      </c>
      <c r="C1471" s="35" t="s">
        <v>1332</v>
      </c>
      <c r="D1471" s="35">
        <v>2006</v>
      </c>
      <c r="E1471" s="35">
        <v>2002</v>
      </c>
      <c r="F1471" s="35" t="s">
        <v>200</v>
      </c>
      <c r="G1471" s="35" t="s">
        <v>1333</v>
      </c>
      <c r="H1471" s="35">
        <v>40.1</v>
      </c>
      <c r="I1471" s="35">
        <v>-88.25</v>
      </c>
      <c r="J1471" s="35">
        <v>235.6</v>
      </c>
      <c r="P1471" s="54" t="s">
        <v>186</v>
      </c>
      <c r="Q1471" s="54" t="s">
        <v>1161</v>
      </c>
      <c r="R1471" s="54" t="s">
        <v>1338</v>
      </c>
      <c r="S1471" s="54" t="s">
        <v>671</v>
      </c>
      <c r="W1471" s="35" t="s">
        <v>182</v>
      </c>
      <c r="AA1471" s="35" t="s">
        <v>1684</v>
      </c>
      <c r="AB1471" s="35" t="s">
        <v>173</v>
      </c>
      <c r="AC1471" s="35" t="s">
        <v>219</v>
      </c>
      <c r="AD1471" s="35" t="s">
        <v>1316</v>
      </c>
      <c r="AE1471" s="35" t="s">
        <v>1316</v>
      </c>
      <c r="AF1471" s="35" t="s">
        <v>252</v>
      </c>
      <c r="AG1471" s="35" t="s">
        <v>217</v>
      </c>
      <c r="AH1471" s="35" t="s">
        <v>217</v>
      </c>
      <c r="AI1471" s="35" t="s">
        <v>252</v>
      </c>
      <c r="AJ1471" s="35" t="s">
        <v>1334</v>
      </c>
      <c r="AK1471" s="35" t="s">
        <v>1334</v>
      </c>
      <c r="AL1471" s="35" t="s">
        <v>252</v>
      </c>
      <c r="AM1471" s="35" t="s">
        <v>160</v>
      </c>
      <c r="AN1471" s="35">
        <v>4</v>
      </c>
      <c r="AO1471" s="35">
        <v>4</v>
      </c>
      <c r="AP1471" s="35" t="s">
        <v>448</v>
      </c>
      <c r="BB1471" s="35">
        <v>1.32</v>
      </c>
      <c r="BC1471" s="35">
        <v>1.24</v>
      </c>
      <c r="BE1471" s="35">
        <v>4</v>
      </c>
      <c r="BF1471" s="35">
        <v>4.4000000000000004</v>
      </c>
      <c r="BG1471" s="35" t="s">
        <v>1336</v>
      </c>
      <c r="BH1471" s="35">
        <v>13.3</v>
      </c>
      <c r="BI1471" s="35">
        <v>9.1999999999999993</v>
      </c>
      <c r="BJ1471" s="35" t="s">
        <v>1339</v>
      </c>
      <c r="CI1471" s="35">
        <v>1.337</v>
      </c>
      <c r="CJ1471" s="35">
        <v>1.198</v>
      </c>
      <c r="CK1471" s="35" t="s">
        <v>1340</v>
      </c>
      <c r="EN1471" s="35">
        <v>67</v>
      </c>
    </row>
    <row r="1472" spans="1:144" s="35" customFormat="1" x14ac:dyDescent="0.25">
      <c r="A1472" s="35">
        <v>67</v>
      </c>
      <c r="B1472" s="35" t="s">
        <v>1331</v>
      </c>
      <c r="C1472" s="35" t="s">
        <v>1332</v>
      </c>
      <c r="D1472" s="35">
        <v>2006</v>
      </c>
      <c r="E1472" s="35">
        <v>2002</v>
      </c>
      <c r="F1472" s="35" t="s">
        <v>200</v>
      </c>
      <c r="G1472" s="35" t="s">
        <v>1333</v>
      </c>
      <c r="H1472" s="35">
        <v>40.1</v>
      </c>
      <c r="I1472" s="35">
        <v>-88.25</v>
      </c>
      <c r="J1472" s="35">
        <v>235.6</v>
      </c>
      <c r="P1472" s="54" t="s">
        <v>186</v>
      </c>
      <c r="Q1472" s="54" t="s">
        <v>1161</v>
      </c>
      <c r="R1472" s="54" t="s">
        <v>1338</v>
      </c>
      <c r="S1472" s="54" t="s">
        <v>817</v>
      </c>
      <c r="W1472" s="35" t="s">
        <v>182</v>
      </c>
      <c r="AA1472" s="35" t="s">
        <v>1684</v>
      </c>
      <c r="AB1472" s="35" t="s">
        <v>173</v>
      </c>
      <c r="AC1472" s="35" t="s">
        <v>219</v>
      </c>
      <c r="AD1472" s="35" t="s">
        <v>1316</v>
      </c>
      <c r="AE1472" s="35" t="s">
        <v>1316</v>
      </c>
      <c r="AF1472" s="35" t="s">
        <v>252</v>
      </c>
      <c r="AG1472" s="35" t="s">
        <v>217</v>
      </c>
      <c r="AH1472" s="35" t="s">
        <v>217</v>
      </c>
      <c r="AI1472" s="35" t="s">
        <v>252</v>
      </c>
      <c r="AJ1472" s="35" t="s">
        <v>1334</v>
      </c>
      <c r="AK1472" s="35" t="s">
        <v>1334</v>
      </c>
      <c r="AL1472" s="35" t="s">
        <v>252</v>
      </c>
      <c r="AM1472" s="35" t="s">
        <v>160</v>
      </c>
      <c r="AN1472" s="35">
        <v>4</v>
      </c>
      <c r="AO1472" s="35">
        <v>4</v>
      </c>
      <c r="AP1472" s="35" t="s">
        <v>448</v>
      </c>
      <c r="BB1472" s="35">
        <v>1.4</v>
      </c>
      <c r="BC1472" s="35">
        <v>1.38</v>
      </c>
      <c r="BE1472" s="35">
        <v>3.2</v>
      </c>
      <c r="BF1472" s="35">
        <v>3.4</v>
      </c>
      <c r="BG1472" s="35" t="s">
        <v>1336</v>
      </c>
      <c r="BH1472" s="35">
        <v>11.1</v>
      </c>
      <c r="BI1472" s="35">
        <v>14.6</v>
      </c>
      <c r="BJ1472" s="35" t="s">
        <v>1339</v>
      </c>
      <c r="CI1472" s="35">
        <v>1.835</v>
      </c>
      <c r="CJ1472" s="35">
        <v>1.784</v>
      </c>
      <c r="CK1472" s="35" t="s">
        <v>1340</v>
      </c>
      <c r="EN1472" s="35">
        <v>67</v>
      </c>
    </row>
    <row r="1473" spans="1:144" s="35" customFormat="1" x14ac:dyDescent="0.25">
      <c r="A1473" s="35">
        <v>67</v>
      </c>
      <c r="B1473" s="35" t="s">
        <v>1331</v>
      </c>
      <c r="C1473" s="35" t="s">
        <v>1332</v>
      </c>
      <c r="D1473" s="35">
        <v>2006</v>
      </c>
      <c r="E1473" s="35">
        <v>2002</v>
      </c>
      <c r="F1473" s="35" t="s">
        <v>200</v>
      </c>
      <c r="G1473" s="35" t="s">
        <v>1333</v>
      </c>
      <c r="H1473" s="35">
        <v>40.1</v>
      </c>
      <c r="I1473" s="35">
        <v>-88.25</v>
      </c>
      <c r="J1473" s="35">
        <v>235.6</v>
      </c>
      <c r="P1473" s="54" t="s">
        <v>186</v>
      </c>
      <c r="Q1473" s="54" t="s">
        <v>1161</v>
      </c>
      <c r="R1473" s="54" t="s">
        <v>1338</v>
      </c>
      <c r="S1473" s="54" t="s">
        <v>1143</v>
      </c>
      <c r="W1473" s="35" t="s">
        <v>182</v>
      </c>
      <c r="AA1473" s="35" t="s">
        <v>1684</v>
      </c>
      <c r="AB1473" s="35" t="s">
        <v>173</v>
      </c>
      <c r="AC1473" s="35" t="s">
        <v>219</v>
      </c>
      <c r="AD1473" s="35" t="s">
        <v>1316</v>
      </c>
      <c r="AE1473" s="35" t="s">
        <v>1316</v>
      </c>
      <c r="AF1473" s="35" t="s">
        <v>252</v>
      </c>
      <c r="AG1473" s="35" t="s">
        <v>217</v>
      </c>
      <c r="AH1473" s="35" t="s">
        <v>217</v>
      </c>
      <c r="AI1473" s="35" t="s">
        <v>252</v>
      </c>
      <c r="AJ1473" s="35" t="s">
        <v>1334</v>
      </c>
      <c r="AK1473" s="35" t="s">
        <v>1334</v>
      </c>
      <c r="AL1473" s="35" t="s">
        <v>252</v>
      </c>
      <c r="AM1473" s="35" t="s">
        <v>160</v>
      </c>
      <c r="AN1473" s="35">
        <v>4</v>
      </c>
      <c r="AO1473" s="35">
        <v>4</v>
      </c>
      <c r="AP1473" s="35" t="s">
        <v>448</v>
      </c>
      <c r="BB1473" s="35">
        <v>1.45</v>
      </c>
      <c r="BC1473" s="35">
        <v>1.46</v>
      </c>
      <c r="BE1473" s="35">
        <v>3.3</v>
      </c>
      <c r="BF1473" s="35">
        <v>3.3</v>
      </c>
      <c r="BG1473" s="35" t="s">
        <v>1336</v>
      </c>
      <c r="BH1473" s="35">
        <v>4.0999999999999996</v>
      </c>
      <c r="BI1473" s="35">
        <v>15.4</v>
      </c>
      <c r="BJ1473" s="35" t="s">
        <v>1339</v>
      </c>
      <c r="CI1473" s="35">
        <v>1.7390000000000001</v>
      </c>
      <c r="CJ1473" s="35">
        <v>1.8380000000000001</v>
      </c>
      <c r="CK1473" s="35" t="s">
        <v>1340</v>
      </c>
      <c r="EN1473" s="35">
        <v>67</v>
      </c>
    </row>
    <row r="1474" spans="1:144" s="35" customFormat="1" x14ac:dyDescent="0.25">
      <c r="A1474" s="35">
        <v>67</v>
      </c>
      <c r="B1474" s="35" t="s">
        <v>1331</v>
      </c>
      <c r="C1474" s="35" t="s">
        <v>1332</v>
      </c>
      <c r="D1474" s="35">
        <v>2006</v>
      </c>
      <c r="E1474" s="35">
        <v>2002</v>
      </c>
      <c r="F1474" s="35" t="s">
        <v>200</v>
      </c>
      <c r="G1474" s="35" t="s">
        <v>1333</v>
      </c>
      <c r="H1474" s="35">
        <v>40.1</v>
      </c>
      <c r="I1474" s="35">
        <v>-88.25</v>
      </c>
      <c r="J1474" s="35">
        <v>235.6</v>
      </c>
      <c r="P1474" s="54" t="s">
        <v>186</v>
      </c>
      <c r="Q1474" s="54" t="s">
        <v>1161</v>
      </c>
      <c r="R1474" s="54" t="s">
        <v>1338</v>
      </c>
      <c r="S1474" s="54" t="s">
        <v>669</v>
      </c>
      <c r="W1474" s="35" t="s">
        <v>182</v>
      </c>
      <c r="AA1474" s="35" t="s">
        <v>1684</v>
      </c>
      <c r="AB1474" s="35" t="s">
        <v>173</v>
      </c>
      <c r="AC1474" s="35" t="s">
        <v>219</v>
      </c>
      <c r="AD1474" s="35" t="s">
        <v>1316</v>
      </c>
      <c r="AE1474" s="35" t="s">
        <v>1316</v>
      </c>
      <c r="AF1474" s="35" t="s">
        <v>252</v>
      </c>
      <c r="AG1474" s="35" t="s">
        <v>217</v>
      </c>
      <c r="AH1474" s="35" t="s">
        <v>217</v>
      </c>
      <c r="AI1474" s="35" t="s">
        <v>252</v>
      </c>
      <c r="AJ1474" s="35" t="s">
        <v>1334</v>
      </c>
      <c r="AK1474" s="35" t="s">
        <v>1334</v>
      </c>
      <c r="AL1474" s="35" t="s">
        <v>252</v>
      </c>
      <c r="AM1474" s="35" t="s">
        <v>160</v>
      </c>
      <c r="AN1474" s="35">
        <v>4</v>
      </c>
      <c r="AO1474" s="35">
        <v>4</v>
      </c>
      <c r="AP1474" s="35" t="s">
        <v>448</v>
      </c>
      <c r="BB1474" s="35">
        <v>1.45</v>
      </c>
      <c r="BC1474" s="35">
        <v>1.44</v>
      </c>
      <c r="BE1474" s="35">
        <v>3.7</v>
      </c>
      <c r="BF1474" s="35">
        <v>3.8</v>
      </c>
      <c r="BG1474" s="35" t="s">
        <v>1336</v>
      </c>
      <c r="BH1474" s="35">
        <v>12.2</v>
      </c>
      <c r="BI1474" s="35">
        <v>13</v>
      </c>
      <c r="BJ1474" s="35" t="s">
        <v>1339</v>
      </c>
      <c r="CI1474" s="35">
        <v>1.6240000000000001</v>
      </c>
      <c r="CJ1474" s="35">
        <v>1.845</v>
      </c>
      <c r="CK1474" s="35" t="s">
        <v>1340</v>
      </c>
      <c r="EN1474" s="35">
        <v>67</v>
      </c>
    </row>
    <row r="1475" spans="1:144" s="26" customFormat="1" x14ac:dyDescent="0.25">
      <c r="A1475" s="26">
        <v>67</v>
      </c>
      <c r="B1475" s="26" t="s">
        <v>1331</v>
      </c>
      <c r="C1475" s="26" t="s">
        <v>1332</v>
      </c>
      <c r="D1475" s="26">
        <v>2006</v>
      </c>
      <c r="E1475" s="26">
        <v>2002</v>
      </c>
      <c r="F1475" s="26" t="s">
        <v>200</v>
      </c>
      <c r="G1475" s="26" t="s">
        <v>1333</v>
      </c>
      <c r="H1475" s="26">
        <v>40.1</v>
      </c>
      <c r="I1475" s="26">
        <v>-88.25</v>
      </c>
      <c r="J1475" s="26">
        <v>235.6</v>
      </c>
      <c r="P1475" s="52" t="s">
        <v>186</v>
      </c>
      <c r="Q1475" s="52" t="s">
        <v>1161</v>
      </c>
      <c r="R1475" s="52" t="s">
        <v>1338</v>
      </c>
      <c r="S1475" s="52" t="s">
        <v>671</v>
      </c>
      <c r="W1475" s="26" t="s">
        <v>182</v>
      </c>
      <c r="AA1475" s="26" t="s">
        <v>1684</v>
      </c>
      <c r="AB1475" s="26" t="s">
        <v>326</v>
      </c>
      <c r="AC1475" s="26" t="s">
        <v>219</v>
      </c>
      <c r="AD1475" s="26" t="s">
        <v>1316</v>
      </c>
      <c r="AE1475" s="26" t="s">
        <v>1316</v>
      </c>
      <c r="AF1475" s="26" t="s">
        <v>252</v>
      </c>
      <c r="AG1475" s="26" t="s">
        <v>217</v>
      </c>
      <c r="AH1475" s="26" t="s">
        <v>217</v>
      </c>
      <c r="AI1475" s="26" t="s">
        <v>252</v>
      </c>
      <c r="AJ1475" s="26" t="s">
        <v>1334</v>
      </c>
      <c r="AK1475" s="26" t="s">
        <v>1334</v>
      </c>
      <c r="AL1475" s="26" t="s">
        <v>252</v>
      </c>
      <c r="AM1475" s="26" t="s">
        <v>160</v>
      </c>
      <c r="AN1475" s="26">
        <v>4</v>
      </c>
      <c r="AO1475" s="26">
        <v>4</v>
      </c>
      <c r="AP1475" s="26" t="s">
        <v>448</v>
      </c>
      <c r="BB1475" s="26">
        <v>1.32</v>
      </c>
      <c r="BC1475" s="26">
        <v>1.23</v>
      </c>
      <c r="BE1475" s="26">
        <v>4</v>
      </c>
      <c r="BF1475" s="26">
        <v>4.5999999999999996</v>
      </c>
      <c r="BG1475" s="26" t="s">
        <v>1336</v>
      </c>
      <c r="BH1475" s="26">
        <v>13.3</v>
      </c>
      <c r="BI1475" s="26">
        <v>9.3000000000000007</v>
      </c>
      <c r="BJ1475" s="26" t="s">
        <v>1339</v>
      </c>
      <c r="CI1475" s="26">
        <v>1.337</v>
      </c>
      <c r="CJ1475" s="26">
        <v>1.51</v>
      </c>
      <c r="CK1475" s="26" t="s">
        <v>1340</v>
      </c>
      <c r="EN1475" s="26">
        <v>67</v>
      </c>
    </row>
    <row r="1476" spans="1:144" s="26" customFormat="1" x14ac:dyDescent="0.25">
      <c r="A1476" s="26">
        <v>67</v>
      </c>
      <c r="B1476" s="26" t="s">
        <v>1331</v>
      </c>
      <c r="C1476" s="26" t="s">
        <v>1332</v>
      </c>
      <c r="D1476" s="26">
        <v>2006</v>
      </c>
      <c r="E1476" s="26">
        <v>2002</v>
      </c>
      <c r="F1476" s="26" t="s">
        <v>200</v>
      </c>
      <c r="G1476" s="26" t="s">
        <v>1333</v>
      </c>
      <c r="H1476" s="26">
        <v>40.1</v>
      </c>
      <c r="I1476" s="26">
        <v>-88.25</v>
      </c>
      <c r="J1476" s="26">
        <v>235.6</v>
      </c>
      <c r="P1476" s="52" t="s">
        <v>186</v>
      </c>
      <c r="Q1476" s="52" t="s">
        <v>1161</v>
      </c>
      <c r="R1476" s="52" t="s">
        <v>1338</v>
      </c>
      <c r="S1476" s="52" t="s">
        <v>817</v>
      </c>
      <c r="W1476" s="26" t="s">
        <v>182</v>
      </c>
      <c r="AA1476" s="26" t="s">
        <v>1684</v>
      </c>
      <c r="AB1476" s="26" t="s">
        <v>326</v>
      </c>
      <c r="AC1476" s="26" t="s">
        <v>219</v>
      </c>
      <c r="AD1476" s="26" t="s">
        <v>1316</v>
      </c>
      <c r="AE1476" s="26" t="s">
        <v>1316</v>
      </c>
      <c r="AF1476" s="26" t="s">
        <v>252</v>
      </c>
      <c r="AG1476" s="26" t="s">
        <v>217</v>
      </c>
      <c r="AH1476" s="26" t="s">
        <v>217</v>
      </c>
      <c r="AI1476" s="26" t="s">
        <v>252</v>
      </c>
      <c r="AJ1476" s="26" t="s">
        <v>1334</v>
      </c>
      <c r="AK1476" s="26" t="s">
        <v>1334</v>
      </c>
      <c r="AL1476" s="26" t="s">
        <v>252</v>
      </c>
      <c r="AM1476" s="26" t="s">
        <v>160</v>
      </c>
      <c r="AN1476" s="26">
        <v>4</v>
      </c>
      <c r="AO1476" s="26">
        <v>4</v>
      </c>
      <c r="AP1476" s="26" t="s">
        <v>448</v>
      </c>
      <c r="BB1476" s="26">
        <v>1.4</v>
      </c>
      <c r="BC1476" s="26">
        <v>1.35</v>
      </c>
      <c r="BE1476" s="26">
        <v>3.2</v>
      </c>
      <c r="BF1476" s="26">
        <v>3.5</v>
      </c>
      <c r="BG1476" s="26" t="s">
        <v>1336</v>
      </c>
      <c r="BH1476" s="26">
        <v>11.1</v>
      </c>
      <c r="BI1476" s="26">
        <v>12.9</v>
      </c>
      <c r="BJ1476" s="26" t="s">
        <v>1339</v>
      </c>
      <c r="CI1476" s="26">
        <v>1.835</v>
      </c>
      <c r="CJ1476" s="26">
        <v>2.1019999999999999</v>
      </c>
      <c r="CK1476" s="26" t="s">
        <v>1340</v>
      </c>
      <c r="EN1476" s="26">
        <v>67</v>
      </c>
    </row>
    <row r="1477" spans="1:144" s="26" customFormat="1" x14ac:dyDescent="0.25">
      <c r="A1477" s="26">
        <v>67</v>
      </c>
      <c r="B1477" s="26" t="s">
        <v>1331</v>
      </c>
      <c r="C1477" s="26" t="s">
        <v>1332</v>
      </c>
      <c r="D1477" s="26">
        <v>2006</v>
      </c>
      <c r="E1477" s="26">
        <v>2002</v>
      </c>
      <c r="F1477" s="26" t="s">
        <v>200</v>
      </c>
      <c r="G1477" s="26" t="s">
        <v>1333</v>
      </c>
      <c r="H1477" s="26">
        <v>40.1</v>
      </c>
      <c r="I1477" s="26">
        <v>-88.25</v>
      </c>
      <c r="J1477" s="26">
        <v>235.6</v>
      </c>
      <c r="P1477" s="52" t="s">
        <v>186</v>
      </c>
      <c r="Q1477" s="52" t="s">
        <v>1161</v>
      </c>
      <c r="R1477" s="52" t="s">
        <v>1338</v>
      </c>
      <c r="S1477" s="52" t="s">
        <v>1143</v>
      </c>
      <c r="W1477" s="26" t="s">
        <v>182</v>
      </c>
      <c r="AA1477" s="26" t="s">
        <v>1684</v>
      </c>
      <c r="AB1477" s="26" t="s">
        <v>326</v>
      </c>
      <c r="AC1477" s="26" t="s">
        <v>219</v>
      </c>
      <c r="AD1477" s="26" t="s">
        <v>1316</v>
      </c>
      <c r="AE1477" s="26" t="s">
        <v>1316</v>
      </c>
      <c r="AF1477" s="26" t="s">
        <v>252</v>
      </c>
      <c r="AG1477" s="26" t="s">
        <v>217</v>
      </c>
      <c r="AH1477" s="26" t="s">
        <v>217</v>
      </c>
      <c r="AI1477" s="26" t="s">
        <v>252</v>
      </c>
      <c r="AJ1477" s="26" t="s">
        <v>1334</v>
      </c>
      <c r="AK1477" s="26" t="s">
        <v>1334</v>
      </c>
      <c r="AL1477" s="26" t="s">
        <v>252</v>
      </c>
      <c r="AM1477" s="26" t="s">
        <v>160</v>
      </c>
      <c r="AN1477" s="26">
        <v>4</v>
      </c>
      <c r="AO1477" s="26">
        <v>4</v>
      </c>
      <c r="AP1477" s="26" t="s">
        <v>448</v>
      </c>
      <c r="BB1477" s="26">
        <v>1.45</v>
      </c>
      <c r="BC1477" s="26">
        <v>1.5</v>
      </c>
      <c r="BE1477" s="26">
        <v>3.3</v>
      </c>
      <c r="BF1477" s="26">
        <v>3.3</v>
      </c>
      <c r="BG1477" s="26" t="s">
        <v>1336</v>
      </c>
      <c r="BH1477" s="26">
        <v>4.0999999999999996</v>
      </c>
      <c r="BI1477" s="26">
        <v>11.2</v>
      </c>
      <c r="BJ1477" s="26" t="s">
        <v>1339</v>
      </c>
      <c r="CI1477" s="26">
        <v>1.7390000000000001</v>
      </c>
      <c r="CJ1477" s="26">
        <v>2.016</v>
      </c>
      <c r="CK1477" s="26" t="s">
        <v>1340</v>
      </c>
      <c r="EN1477" s="26">
        <v>67</v>
      </c>
    </row>
    <row r="1478" spans="1:144" s="26" customFormat="1" x14ac:dyDescent="0.25">
      <c r="A1478" s="26">
        <v>67</v>
      </c>
      <c r="B1478" s="26" t="s">
        <v>1331</v>
      </c>
      <c r="C1478" s="26" t="s">
        <v>1332</v>
      </c>
      <c r="D1478" s="26">
        <v>2006</v>
      </c>
      <c r="E1478" s="26">
        <v>2002</v>
      </c>
      <c r="F1478" s="26" t="s">
        <v>200</v>
      </c>
      <c r="G1478" s="26" t="s">
        <v>1333</v>
      </c>
      <c r="H1478" s="26">
        <v>40.1</v>
      </c>
      <c r="I1478" s="26">
        <v>-88.25</v>
      </c>
      <c r="J1478" s="26">
        <v>235.6</v>
      </c>
      <c r="P1478" s="52" t="s">
        <v>186</v>
      </c>
      <c r="Q1478" s="52" t="s">
        <v>1161</v>
      </c>
      <c r="R1478" s="52" t="s">
        <v>1338</v>
      </c>
      <c r="S1478" s="52" t="s">
        <v>669</v>
      </c>
      <c r="W1478" s="26" t="s">
        <v>182</v>
      </c>
      <c r="AA1478" s="26" t="s">
        <v>1684</v>
      </c>
      <c r="AB1478" s="26" t="s">
        <v>326</v>
      </c>
      <c r="AC1478" s="26" t="s">
        <v>219</v>
      </c>
      <c r="AD1478" s="26" t="s">
        <v>1316</v>
      </c>
      <c r="AE1478" s="26" t="s">
        <v>1316</v>
      </c>
      <c r="AF1478" s="26" t="s">
        <v>252</v>
      </c>
      <c r="AG1478" s="26" t="s">
        <v>217</v>
      </c>
      <c r="AH1478" s="26" t="s">
        <v>217</v>
      </c>
      <c r="AI1478" s="26" t="s">
        <v>252</v>
      </c>
      <c r="AJ1478" s="26" t="s">
        <v>1334</v>
      </c>
      <c r="AK1478" s="26" t="s">
        <v>1334</v>
      </c>
      <c r="AL1478" s="26" t="s">
        <v>252</v>
      </c>
      <c r="AM1478" s="26" t="s">
        <v>160</v>
      </c>
      <c r="AN1478" s="26">
        <v>4</v>
      </c>
      <c r="AO1478" s="26">
        <v>4</v>
      </c>
      <c r="AP1478" s="26" t="s">
        <v>448</v>
      </c>
      <c r="BB1478" s="26">
        <v>1.45</v>
      </c>
      <c r="BC1478" s="26">
        <v>1.42</v>
      </c>
      <c r="BE1478" s="26">
        <v>3.7</v>
      </c>
      <c r="BF1478" s="26">
        <v>3.7</v>
      </c>
      <c r="BG1478" s="26" t="s">
        <v>1336</v>
      </c>
      <c r="BH1478" s="26">
        <v>12.2</v>
      </c>
      <c r="BI1478" s="26">
        <v>9.8000000000000007</v>
      </c>
      <c r="BJ1478" s="26" t="s">
        <v>1339</v>
      </c>
      <c r="CI1478" s="26">
        <v>1.6240000000000001</v>
      </c>
      <c r="CJ1478" s="26">
        <v>2.06</v>
      </c>
      <c r="CK1478" s="26" t="s">
        <v>1340</v>
      </c>
      <c r="EN1478" s="26">
        <v>67</v>
      </c>
    </row>
    <row r="1479" spans="1:144" s="47" customFormat="1" x14ac:dyDescent="0.25">
      <c r="A1479" s="47">
        <v>67</v>
      </c>
      <c r="B1479" s="47" t="s">
        <v>1331</v>
      </c>
      <c r="C1479" s="47" t="s">
        <v>1332</v>
      </c>
      <c r="D1479" s="47">
        <v>2006</v>
      </c>
      <c r="E1479" s="47">
        <v>2002</v>
      </c>
      <c r="F1479" s="47" t="s">
        <v>200</v>
      </c>
      <c r="G1479" s="47" t="s">
        <v>1333</v>
      </c>
      <c r="H1479" s="47">
        <v>40.1</v>
      </c>
      <c r="I1479" s="47">
        <v>-88.25</v>
      </c>
      <c r="J1479" s="47">
        <v>235.6</v>
      </c>
      <c r="P1479" s="82" t="s">
        <v>186</v>
      </c>
      <c r="Q1479" s="82" t="s">
        <v>1161</v>
      </c>
      <c r="R1479" s="82" t="s">
        <v>1338</v>
      </c>
      <c r="S1479" s="82" t="s">
        <v>671</v>
      </c>
      <c r="W1479" s="47" t="s">
        <v>182</v>
      </c>
      <c r="AA1479" s="47" t="s">
        <v>1684</v>
      </c>
      <c r="AB1479" s="47" t="s">
        <v>1122</v>
      </c>
      <c r="AC1479" s="47" t="s">
        <v>219</v>
      </c>
      <c r="AD1479" s="47" t="s">
        <v>1316</v>
      </c>
      <c r="AE1479" s="47" t="s">
        <v>1316</v>
      </c>
      <c r="AF1479" s="47" t="s">
        <v>252</v>
      </c>
      <c r="AG1479" s="47" t="s">
        <v>217</v>
      </c>
      <c r="AH1479" s="47" t="s">
        <v>217</v>
      </c>
      <c r="AI1479" s="47" t="s">
        <v>252</v>
      </c>
      <c r="AJ1479" s="47" t="s">
        <v>1334</v>
      </c>
      <c r="AK1479" s="47" t="s">
        <v>1334</v>
      </c>
      <c r="AL1479" s="47" t="s">
        <v>252</v>
      </c>
      <c r="AM1479" s="47" t="s">
        <v>160</v>
      </c>
      <c r="AN1479" s="47">
        <v>4</v>
      </c>
      <c r="AO1479" s="47">
        <v>4</v>
      </c>
      <c r="AP1479" s="47" t="s">
        <v>448</v>
      </c>
      <c r="BB1479" s="47">
        <v>1.32</v>
      </c>
      <c r="BC1479" s="47">
        <v>1.23</v>
      </c>
      <c r="BE1479" s="47">
        <v>4</v>
      </c>
      <c r="BF1479" s="47">
        <v>4.7</v>
      </c>
      <c r="BG1479" s="47" t="s">
        <v>1336</v>
      </c>
      <c r="BH1479" s="47">
        <v>13.3</v>
      </c>
      <c r="BI1479" s="47">
        <v>9.5</v>
      </c>
      <c r="BJ1479" s="47" t="s">
        <v>1339</v>
      </c>
      <c r="CI1479" s="47">
        <v>1.337</v>
      </c>
      <c r="CJ1479" s="47">
        <v>1.0940000000000001</v>
      </c>
      <c r="CK1479" s="47" t="s">
        <v>1340</v>
      </c>
      <c r="EN1479" s="47">
        <v>67</v>
      </c>
    </row>
    <row r="1480" spans="1:144" s="47" customFormat="1" x14ac:dyDescent="0.25">
      <c r="A1480" s="47">
        <v>67</v>
      </c>
      <c r="B1480" s="47" t="s">
        <v>1331</v>
      </c>
      <c r="C1480" s="47" t="s">
        <v>1332</v>
      </c>
      <c r="D1480" s="47">
        <v>2006</v>
      </c>
      <c r="E1480" s="47">
        <v>2002</v>
      </c>
      <c r="F1480" s="47" t="s">
        <v>200</v>
      </c>
      <c r="G1480" s="47" t="s">
        <v>1333</v>
      </c>
      <c r="H1480" s="47">
        <v>40.1</v>
      </c>
      <c r="I1480" s="47">
        <v>-88.25</v>
      </c>
      <c r="J1480" s="47">
        <v>235.6</v>
      </c>
      <c r="P1480" s="82" t="s">
        <v>186</v>
      </c>
      <c r="Q1480" s="82" t="s">
        <v>1161</v>
      </c>
      <c r="R1480" s="82" t="s">
        <v>1338</v>
      </c>
      <c r="S1480" s="82" t="s">
        <v>817</v>
      </c>
      <c r="W1480" s="47" t="s">
        <v>182</v>
      </c>
      <c r="AA1480" s="47" t="s">
        <v>1684</v>
      </c>
      <c r="AB1480" s="47" t="s">
        <v>1122</v>
      </c>
      <c r="AC1480" s="47" t="s">
        <v>219</v>
      </c>
      <c r="AD1480" s="47" t="s">
        <v>1316</v>
      </c>
      <c r="AE1480" s="47" t="s">
        <v>1316</v>
      </c>
      <c r="AF1480" s="47" t="s">
        <v>252</v>
      </c>
      <c r="AG1480" s="47" t="s">
        <v>217</v>
      </c>
      <c r="AH1480" s="47" t="s">
        <v>217</v>
      </c>
      <c r="AI1480" s="47" t="s">
        <v>252</v>
      </c>
      <c r="AJ1480" s="47" t="s">
        <v>1334</v>
      </c>
      <c r="AK1480" s="47" t="s">
        <v>1334</v>
      </c>
      <c r="AL1480" s="47" t="s">
        <v>252</v>
      </c>
      <c r="AM1480" s="47" t="s">
        <v>160</v>
      </c>
      <c r="AN1480" s="47">
        <v>4</v>
      </c>
      <c r="AO1480" s="47">
        <v>4</v>
      </c>
      <c r="AP1480" s="47" t="s">
        <v>448</v>
      </c>
      <c r="BB1480" s="47">
        <v>1.4</v>
      </c>
      <c r="BC1480" s="47">
        <v>1.36</v>
      </c>
      <c r="BE1480" s="47">
        <v>3.2</v>
      </c>
      <c r="BF1480" s="47">
        <v>3.5</v>
      </c>
      <c r="BG1480" s="47" t="s">
        <v>1336</v>
      </c>
      <c r="BH1480" s="47">
        <v>11.1</v>
      </c>
      <c r="BI1480" s="47">
        <v>8.5</v>
      </c>
      <c r="BJ1480" s="47" t="s">
        <v>1339</v>
      </c>
      <c r="CI1480" s="47">
        <v>1.835</v>
      </c>
      <c r="CJ1480" s="47">
        <v>1.9970000000000001</v>
      </c>
      <c r="CK1480" s="47" t="s">
        <v>1340</v>
      </c>
      <c r="EN1480" s="47">
        <v>67</v>
      </c>
    </row>
    <row r="1481" spans="1:144" s="47" customFormat="1" x14ac:dyDescent="0.25">
      <c r="A1481" s="47">
        <v>67</v>
      </c>
      <c r="B1481" s="47" t="s">
        <v>1331</v>
      </c>
      <c r="C1481" s="47" t="s">
        <v>1332</v>
      </c>
      <c r="D1481" s="47">
        <v>2006</v>
      </c>
      <c r="E1481" s="47">
        <v>2002</v>
      </c>
      <c r="F1481" s="47" t="s">
        <v>200</v>
      </c>
      <c r="G1481" s="47" t="s">
        <v>1333</v>
      </c>
      <c r="H1481" s="47">
        <v>40.1</v>
      </c>
      <c r="I1481" s="47">
        <v>-88.25</v>
      </c>
      <c r="J1481" s="47">
        <v>235.6</v>
      </c>
      <c r="P1481" s="82" t="s">
        <v>186</v>
      </c>
      <c r="Q1481" s="82" t="s">
        <v>1161</v>
      </c>
      <c r="R1481" s="82" t="s">
        <v>1338</v>
      </c>
      <c r="S1481" s="82" t="s">
        <v>1143</v>
      </c>
      <c r="W1481" s="47" t="s">
        <v>182</v>
      </c>
      <c r="AA1481" s="47" t="s">
        <v>1684</v>
      </c>
      <c r="AB1481" s="47" t="s">
        <v>1122</v>
      </c>
      <c r="AC1481" s="47" t="s">
        <v>219</v>
      </c>
      <c r="AD1481" s="47" t="s">
        <v>1316</v>
      </c>
      <c r="AE1481" s="47" t="s">
        <v>1316</v>
      </c>
      <c r="AF1481" s="47" t="s">
        <v>252</v>
      </c>
      <c r="AG1481" s="47" t="s">
        <v>217</v>
      </c>
      <c r="AH1481" s="47" t="s">
        <v>217</v>
      </c>
      <c r="AI1481" s="47" t="s">
        <v>252</v>
      </c>
      <c r="AJ1481" s="47" t="s">
        <v>1334</v>
      </c>
      <c r="AK1481" s="47" t="s">
        <v>1334</v>
      </c>
      <c r="AL1481" s="47" t="s">
        <v>252</v>
      </c>
      <c r="AM1481" s="47" t="s">
        <v>160</v>
      </c>
      <c r="AN1481" s="47">
        <v>4</v>
      </c>
      <c r="AO1481" s="47">
        <v>4</v>
      </c>
      <c r="AP1481" s="47" t="s">
        <v>448</v>
      </c>
      <c r="BB1481" s="47">
        <v>1.45</v>
      </c>
      <c r="BC1481" s="47">
        <v>1.43</v>
      </c>
      <c r="BE1481" s="47">
        <v>3.3</v>
      </c>
      <c r="BF1481" s="47">
        <v>3.3</v>
      </c>
      <c r="BG1481" s="47" t="s">
        <v>1336</v>
      </c>
      <c r="BH1481" s="47">
        <v>4.0999999999999996</v>
      </c>
      <c r="BI1481" s="47">
        <v>15.6</v>
      </c>
      <c r="BJ1481" s="47" t="s">
        <v>1339</v>
      </c>
      <c r="CI1481" s="47">
        <v>1.7390000000000001</v>
      </c>
      <c r="CJ1481" s="47">
        <v>2.1440000000000001</v>
      </c>
      <c r="CK1481" s="47" t="s">
        <v>1340</v>
      </c>
      <c r="EN1481" s="47">
        <v>67</v>
      </c>
    </row>
    <row r="1482" spans="1:144" s="47" customFormat="1" x14ac:dyDescent="0.25">
      <c r="A1482" s="47">
        <v>67</v>
      </c>
      <c r="B1482" s="47" t="s">
        <v>1331</v>
      </c>
      <c r="C1482" s="47" t="s">
        <v>1332</v>
      </c>
      <c r="D1482" s="47">
        <v>2006</v>
      </c>
      <c r="E1482" s="47">
        <v>2002</v>
      </c>
      <c r="F1482" s="47" t="s">
        <v>200</v>
      </c>
      <c r="G1482" s="47" t="s">
        <v>1333</v>
      </c>
      <c r="H1482" s="47">
        <v>40.1</v>
      </c>
      <c r="I1482" s="47">
        <v>-88.25</v>
      </c>
      <c r="J1482" s="47">
        <v>235.6</v>
      </c>
      <c r="P1482" s="82" t="s">
        <v>186</v>
      </c>
      <c r="Q1482" s="82" t="s">
        <v>1161</v>
      </c>
      <c r="R1482" s="82" t="s">
        <v>1338</v>
      </c>
      <c r="S1482" s="82" t="s">
        <v>669</v>
      </c>
      <c r="W1482" s="47" t="s">
        <v>182</v>
      </c>
      <c r="AA1482" s="47" t="s">
        <v>1684</v>
      </c>
      <c r="AB1482" s="47" t="s">
        <v>1122</v>
      </c>
      <c r="AC1482" s="47" t="s">
        <v>219</v>
      </c>
      <c r="AD1482" s="47" t="s">
        <v>1316</v>
      </c>
      <c r="AE1482" s="47" t="s">
        <v>1316</v>
      </c>
      <c r="AF1482" s="47" t="s">
        <v>252</v>
      </c>
      <c r="AG1482" s="47" t="s">
        <v>217</v>
      </c>
      <c r="AH1482" s="47" t="s">
        <v>217</v>
      </c>
      <c r="AI1482" s="47" t="s">
        <v>252</v>
      </c>
      <c r="AJ1482" s="47" t="s">
        <v>1334</v>
      </c>
      <c r="AK1482" s="47" t="s">
        <v>1334</v>
      </c>
      <c r="AL1482" s="47" t="s">
        <v>252</v>
      </c>
      <c r="AM1482" s="47" t="s">
        <v>160</v>
      </c>
      <c r="AN1482" s="47">
        <v>4</v>
      </c>
      <c r="AO1482" s="47">
        <v>4</v>
      </c>
      <c r="AP1482" s="47" t="s">
        <v>448</v>
      </c>
      <c r="BB1482" s="47">
        <v>1.45</v>
      </c>
      <c r="BC1482" s="47">
        <v>1.39</v>
      </c>
      <c r="BE1482" s="47">
        <v>3.7</v>
      </c>
      <c r="BF1482" s="47">
        <v>4</v>
      </c>
      <c r="BG1482" s="47" t="s">
        <v>1336</v>
      </c>
      <c r="BH1482" s="47">
        <v>12.2</v>
      </c>
      <c r="BI1482" s="47">
        <v>10.4</v>
      </c>
      <c r="BJ1482" s="47" t="s">
        <v>1339</v>
      </c>
      <c r="CI1482" s="47">
        <v>1.6240000000000001</v>
      </c>
      <c r="CJ1482" s="47">
        <v>2.0339999999999998</v>
      </c>
      <c r="CK1482" s="47" t="s">
        <v>1340</v>
      </c>
      <c r="EN1482" s="47">
        <v>67</v>
      </c>
    </row>
    <row r="1483" spans="1:144" s="31" customFormat="1" x14ac:dyDescent="0.25">
      <c r="A1483" s="31">
        <v>68</v>
      </c>
      <c r="B1483" s="31" t="s">
        <v>1350</v>
      </c>
      <c r="C1483" s="31" t="s">
        <v>1351</v>
      </c>
      <c r="D1483" s="31">
        <v>2011</v>
      </c>
      <c r="E1483" s="31">
        <v>2000</v>
      </c>
      <c r="F1483" s="31" t="s">
        <v>394</v>
      </c>
      <c r="G1483" s="31" t="s">
        <v>1354</v>
      </c>
      <c r="H1483" s="31">
        <f t="shared" ref="H1483:H1506" si="247">43+18/60</f>
        <v>43.3</v>
      </c>
      <c r="I1483" s="31">
        <f t="shared" ref="I1483:I1506" si="248">-89-21/60</f>
        <v>-89.35</v>
      </c>
      <c r="J1483" s="31">
        <v>317.10000000000002</v>
      </c>
      <c r="P1483" s="56" t="s">
        <v>1352</v>
      </c>
      <c r="Q1483" s="56" t="s">
        <v>1161</v>
      </c>
      <c r="R1483" s="56" t="s">
        <v>1353</v>
      </c>
      <c r="S1483" s="56" t="s">
        <v>671</v>
      </c>
      <c r="W1483" s="31" t="s">
        <v>175</v>
      </c>
      <c r="AA1483" s="31" t="s">
        <v>1708</v>
      </c>
      <c r="AB1483" s="31" t="s">
        <v>613</v>
      </c>
      <c r="AC1483" s="31" t="s">
        <v>174</v>
      </c>
      <c r="AD1483" s="31" t="s">
        <v>174</v>
      </c>
      <c r="AE1483" s="31" t="s">
        <v>1251</v>
      </c>
      <c r="AF1483" s="31" t="s">
        <v>693</v>
      </c>
      <c r="AG1483" s="31" t="s">
        <v>645</v>
      </c>
      <c r="AH1483" s="31" t="s">
        <v>1362</v>
      </c>
      <c r="AI1483" s="31" t="s">
        <v>693</v>
      </c>
      <c r="AJ1483" s="31" t="s">
        <v>1363</v>
      </c>
      <c r="AK1483" s="31" t="s">
        <v>1364</v>
      </c>
      <c r="AL1483" s="31" t="s">
        <v>693</v>
      </c>
      <c r="AM1483" s="31" t="s">
        <v>222</v>
      </c>
      <c r="AN1483" s="31">
        <v>4</v>
      </c>
      <c r="AO1483" s="31">
        <v>4</v>
      </c>
      <c r="AP1483" s="31" t="s">
        <v>184</v>
      </c>
      <c r="AU1483" s="31" t="s">
        <v>1355</v>
      </c>
      <c r="BB1483" s="31">
        <v>1.1000000000000001</v>
      </c>
      <c r="BC1483" s="31">
        <v>1.07</v>
      </c>
      <c r="BE1483" s="31">
        <v>2.41</v>
      </c>
      <c r="BF1483" s="31">
        <v>2.19</v>
      </c>
      <c r="BG1483" s="31" t="s">
        <v>832</v>
      </c>
      <c r="BH1483" s="31">
        <v>2230</v>
      </c>
      <c r="BI1483" s="31">
        <v>2030</v>
      </c>
      <c r="BJ1483" s="31" t="s">
        <v>315</v>
      </c>
      <c r="BK1483" s="31">
        <v>52.5</v>
      </c>
      <c r="BL1483" s="31">
        <v>45.3</v>
      </c>
      <c r="BN1483" s="31">
        <v>237</v>
      </c>
      <c r="BO1483" s="31">
        <v>148</v>
      </c>
      <c r="BQ1483" s="31">
        <v>6.3</v>
      </c>
      <c r="BR1483" s="31">
        <v>6.7</v>
      </c>
      <c r="CC1483" s="31">
        <v>778</v>
      </c>
      <c r="CD1483" s="31">
        <v>665</v>
      </c>
      <c r="CE1483" s="31" t="s">
        <v>1382</v>
      </c>
      <c r="DD1483" s="31">
        <v>28</v>
      </c>
      <c r="DE1483" s="31">
        <v>28</v>
      </c>
      <c r="DF1483" s="31" t="s">
        <v>226</v>
      </c>
      <c r="DS1483" s="31">
        <v>1740</v>
      </c>
      <c r="DT1483" s="31">
        <v>1840</v>
      </c>
      <c r="DU1483" s="31" t="s">
        <v>592</v>
      </c>
      <c r="DV1483" s="31">
        <v>29.9</v>
      </c>
      <c r="DW1483" s="31">
        <v>31.5</v>
      </c>
      <c r="EE1483" s="31">
        <f>200*0.000012</f>
        <v>2.4000000000000002E-3</v>
      </c>
      <c r="EF1483" s="31">
        <f>161*0.000012</f>
        <v>1.9320000000000001E-3</v>
      </c>
      <c r="EG1483" s="31" t="s">
        <v>1371</v>
      </c>
      <c r="EL1483" s="31" t="s">
        <v>595</v>
      </c>
      <c r="EN1483" s="31">
        <v>68</v>
      </c>
    </row>
    <row r="1484" spans="1:144" s="31" customFormat="1" x14ac:dyDescent="0.25">
      <c r="A1484" s="31">
        <v>68</v>
      </c>
      <c r="B1484" s="31" t="s">
        <v>1350</v>
      </c>
      <c r="C1484" s="31" t="s">
        <v>1351</v>
      </c>
      <c r="D1484" s="31">
        <v>2011</v>
      </c>
      <c r="E1484" s="31">
        <v>2000</v>
      </c>
      <c r="F1484" s="31" t="s">
        <v>394</v>
      </c>
      <c r="G1484" s="31" t="s">
        <v>1354</v>
      </c>
      <c r="H1484" s="31">
        <f t="shared" si="247"/>
        <v>43.3</v>
      </c>
      <c r="I1484" s="31">
        <f t="shared" si="248"/>
        <v>-89.35</v>
      </c>
      <c r="J1484" s="31">
        <v>317.10000000000002</v>
      </c>
      <c r="P1484" s="56" t="s">
        <v>1352</v>
      </c>
      <c r="Q1484" s="56" t="s">
        <v>1161</v>
      </c>
      <c r="R1484" s="56" t="s">
        <v>1353</v>
      </c>
      <c r="S1484" s="56" t="s">
        <v>671</v>
      </c>
      <c r="W1484" s="31" t="s">
        <v>175</v>
      </c>
      <c r="AA1484" s="31" t="s">
        <v>1708</v>
      </c>
      <c r="AB1484" s="31" t="s">
        <v>152</v>
      </c>
      <c r="AC1484" s="31" t="s">
        <v>174</v>
      </c>
      <c r="AD1484" s="31" t="s">
        <v>174</v>
      </c>
      <c r="AE1484" s="31" t="s">
        <v>174</v>
      </c>
      <c r="AF1484" s="31" t="s">
        <v>252</v>
      </c>
      <c r="AG1484" s="31" t="s">
        <v>645</v>
      </c>
      <c r="AH1484" s="31" t="s">
        <v>1362</v>
      </c>
      <c r="AI1484" s="31" t="s">
        <v>693</v>
      </c>
      <c r="AJ1484" s="31" t="s">
        <v>1363</v>
      </c>
      <c r="AK1484" s="31" t="s">
        <v>1365</v>
      </c>
      <c r="AL1484" s="31" t="s">
        <v>693</v>
      </c>
      <c r="AM1484" s="31" t="s">
        <v>222</v>
      </c>
      <c r="AN1484" s="31">
        <v>4</v>
      </c>
      <c r="AO1484" s="31">
        <v>4</v>
      </c>
      <c r="AP1484" s="31" t="s">
        <v>184</v>
      </c>
      <c r="AU1484" s="31" t="s">
        <v>1356</v>
      </c>
      <c r="BB1484" s="31">
        <v>1.1000000000000001</v>
      </c>
      <c r="BC1484" s="31">
        <v>1.32</v>
      </c>
      <c r="BE1484" s="31">
        <v>2.41</v>
      </c>
      <c r="BF1484" s="31">
        <v>2.5</v>
      </c>
      <c r="BG1484" s="31" t="s">
        <v>832</v>
      </c>
      <c r="BH1484" s="31">
        <v>2230</v>
      </c>
      <c r="BI1484" s="31">
        <v>2430</v>
      </c>
      <c r="BJ1484" s="31" t="s">
        <v>315</v>
      </c>
      <c r="BK1484" s="31">
        <v>52.5</v>
      </c>
      <c r="BL1484" s="31">
        <v>61.5</v>
      </c>
      <c r="BN1484" s="31">
        <v>237</v>
      </c>
      <c r="BO1484" s="31">
        <v>135</v>
      </c>
      <c r="BQ1484" s="31">
        <v>6.3</v>
      </c>
      <c r="BR1484" s="31">
        <v>6.9</v>
      </c>
      <c r="CC1484" s="31">
        <v>778</v>
      </c>
      <c r="CD1484" s="31">
        <v>817</v>
      </c>
      <c r="CE1484" s="31" t="s">
        <v>1382</v>
      </c>
      <c r="DD1484" s="31">
        <v>28</v>
      </c>
      <c r="DE1484" s="31">
        <v>28</v>
      </c>
      <c r="DF1484" s="31" t="s">
        <v>226</v>
      </c>
      <c r="DS1484" s="31">
        <v>1740</v>
      </c>
      <c r="DT1484" s="31">
        <v>1880</v>
      </c>
      <c r="DU1484" s="31" t="s">
        <v>592</v>
      </c>
      <c r="DV1484" s="31">
        <v>29.9</v>
      </c>
      <c r="DW1484" s="31">
        <v>37.4</v>
      </c>
      <c r="EE1484" s="31">
        <f t="shared" ref="EE1484:EE1488" si="249">200*0.000012</f>
        <v>2.4000000000000002E-3</v>
      </c>
      <c r="EF1484" s="31">
        <f>250*0.000012</f>
        <v>3.0000000000000001E-3</v>
      </c>
      <c r="EG1484" s="31" t="s">
        <v>1371</v>
      </c>
      <c r="EL1484" s="31" t="s">
        <v>595</v>
      </c>
      <c r="EN1484" s="31">
        <v>68</v>
      </c>
    </row>
    <row r="1485" spans="1:144" s="31" customFormat="1" x14ac:dyDescent="0.25">
      <c r="A1485" s="31">
        <v>68</v>
      </c>
      <c r="B1485" s="31" t="s">
        <v>1350</v>
      </c>
      <c r="C1485" s="31" t="s">
        <v>1351</v>
      </c>
      <c r="D1485" s="31">
        <v>2011</v>
      </c>
      <c r="E1485" s="31">
        <v>2000</v>
      </c>
      <c r="F1485" s="31" t="s">
        <v>394</v>
      </c>
      <c r="G1485" s="31" t="s">
        <v>1354</v>
      </c>
      <c r="H1485" s="31">
        <f t="shared" si="247"/>
        <v>43.3</v>
      </c>
      <c r="I1485" s="31">
        <f t="shared" si="248"/>
        <v>-89.35</v>
      </c>
      <c r="J1485" s="31">
        <v>317.10000000000002</v>
      </c>
      <c r="P1485" s="56" t="s">
        <v>1352</v>
      </c>
      <c r="Q1485" s="56" t="s">
        <v>1161</v>
      </c>
      <c r="R1485" s="56" t="s">
        <v>1353</v>
      </c>
      <c r="S1485" s="56" t="s">
        <v>671</v>
      </c>
      <c r="W1485" s="31" t="s">
        <v>175</v>
      </c>
      <c r="AA1485" s="31" t="s">
        <v>1708</v>
      </c>
      <c r="AB1485" s="31" t="s">
        <v>152</v>
      </c>
      <c r="AC1485" s="31" t="s">
        <v>174</v>
      </c>
      <c r="AD1485" s="31" t="s">
        <v>174</v>
      </c>
      <c r="AE1485" s="31" t="s">
        <v>174</v>
      </c>
      <c r="AF1485" s="31" t="s">
        <v>252</v>
      </c>
      <c r="AG1485" s="31" t="s">
        <v>645</v>
      </c>
      <c r="AH1485" s="31" t="s">
        <v>1362</v>
      </c>
      <c r="AI1485" s="31" t="s">
        <v>693</v>
      </c>
      <c r="AJ1485" s="31" t="s">
        <v>1363</v>
      </c>
      <c r="AK1485" s="31" t="s">
        <v>1366</v>
      </c>
      <c r="AL1485" s="31" t="s">
        <v>693</v>
      </c>
      <c r="AM1485" s="31" t="s">
        <v>222</v>
      </c>
      <c r="AN1485" s="31">
        <v>4</v>
      </c>
      <c r="AO1485" s="31">
        <v>4</v>
      </c>
      <c r="AP1485" s="31" t="s">
        <v>184</v>
      </c>
      <c r="AU1485" s="31" t="s">
        <v>1357</v>
      </c>
      <c r="BB1485" s="31">
        <v>1.1000000000000001</v>
      </c>
      <c r="BC1485" s="31">
        <v>1.37</v>
      </c>
      <c r="BE1485" s="31">
        <v>2.41</v>
      </c>
      <c r="BF1485" s="31">
        <v>2.59</v>
      </c>
      <c r="BG1485" s="31" t="s">
        <v>832</v>
      </c>
      <c r="BH1485" s="31">
        <v>2230</v>
      </c>
      <c r="BI1485" s="31">
        <v>2680</v>
      </c>
      <c r="BJ1485" s="31" t="s">
        <v>315</v>
      </c>
      <c r="BK1485" s="31">
        <v>52.5</v>
      </c>
      <c r="BL1485" s="31">
        <v>72.8</v>
      </c>
      <c r="BN1485" s="31">
        <v>237</v>
      </c>
      <c r="BO1485" s="31">
        <v>231</v>
      </c>
      <c r="BQ1485" s="31">
        <v>6.3</v>
      </c>
      <c r="BR1485" s="31">
        <v>6.6</v>
      </c>
      <c r="CC1485" s="31">
        <v>778</v>
      </c>
      <c r="CD1485" s="31">
        <v>801</v>
      </c>
      <c r="CE1485" s="31" t="s">
        <v>1382</v>
      </c>
      <c r="DD1485" s="31">
        <v>28</v>
      </c>
      <c r="DE1485" s="31">
        <v>23</v>
      </c>
      <c r="DF1485" s="31" t="s">
        <v>226</v>
      </c>
      <c r="DS1485" s="31">
        <v>1740</v>
      </c>
      <c r="DT1485" s="31">
        <v>1900</v>
      </c>
      <c r="DU1485" s="31" t="s">
        <v>592</v>
      </c>
      <c r="DV1485" s="31">
        <v>29.9</v>
      </c>
      <c r="DW1485" s="31">
        <v>36.799999999999997</v>
      </c>
      <c r="EE1485" s="31">
        <f t="shared" si="249"/>
        <v>2.4000000000000002E-3</v>
      </c>
      <c r="EF1485" s="31">
        <f>181*0.000012</f>
        <v>2.1719999999999999E-3</v>
      </c>
      <c r="EG1485" s="31" t="s">
        <v>1380</v>
      </c>
      <c r="EL1485" s="31" t="s">
        <v>595</v>
      </c>
      <c r="EN1485" s="31">
        <v>68</v>
      </c>
    </row>
    <row r="1486" spans="1:144" s="31" customFormat="1" x14ac:dyDescent="0.25">
      <c r="A1486" s="31">
        <v>68</v>
      </c>
      <c r="B1486" s="31" t="s">
        <v>1350</v>
      </c>
      <c r="C1486" s="31" t="s">
        <v>1351</v>
      </c>
      <c r="D1486" s="31">
        <v>2011</v>
      </c>
      <c r="E1486" s="31">
        <v>2000</v>
      </c>
      <c r="F1486" s="31" t="s">
        <v>394</v>
      </c>
      <c r="G1486" s="31" t="s">
        <v>1354</v>
      </c>
      <c r="H1486" s="31">
        <f t="shared" si="247"/>
        <v>43.3</v>
      </c>
      <c r="I1486" s="31">
        <f t="shared" si="248"/>
        <v>-89.35</v>
      </c>
      <c r="J1486" s="31">
        <v>317.10000000000002</v>
      </c>
      <c r="P1486" s="56" t="s">
        <v>1352</v>
      </c>
      <c r="Q1486" s="56" t="s">
        <v>1161</v>
      </c>
      <c r="R1486" s="56" t="s">
        <v>1353</v>
      </c>
      <c r="S1486" s="56" t="s">
        <v>671</v>
      </c>
      <c r="W1486" s="31" t="s">
        <v>175</v>
      </c>
      <c r="AA1486" s="31" t="s">
        <v>1708</v>
      </c>
      <c r="AB1486" s="31" t="s">
        <v>152</v>
      </c>
      <c r="AC1486" s="31" t="s">
        <v>174</v>
      </c>
      <c r="AD1486" s="31" t="s">
        <v>174</v>
      </c>
      <c r="AE1486" s="31" t="s">
        <v>174</v>
      </c>
      <c r="AF1486" s="31" t="s">
        <v>252</v>
      </c>
      <c r="AG1486" s="31" t="s">
        <v>645</v>
      </c>
      <c r="AH1486" s="31" t="s">
        <v>1362</v>
      </c>
      <c r="AI1486" s="31" t="s">
        <v>693</v>
      </c>
      <c r="AJ1486" s="31" t="s">
        <v>1363</v>
      </c>
      <c r="AK1486" s="31" t="s">
        <v>1367</v>
      </c>
      <c r="AL1486" s="31" t="s">
        <v>693</v>
      </c>
      <c r="AM1486" s="31" t="s">
        <v>222</v>
      </c>
      <c r="AN1486" s="31">
        <v>4</v>
      </c>
      <c r="AO1486" s="31">
        <v>4</v>
      </c>
      <c r="AP1486" s="31" t="s">
        <v>184</v>
      </c>
      <c r="AU1486" s="31" t="s">
        <v>1358</v>
      </c>
      <c r="BB1486" s="31">
        <v>1.1000000000000001</v>
      </c>
      <c r="BC1486" s="31">
        <v>1.1299999999999999</v>
      </c>
      <c r="BE1486" s="31">
        <v>2.41</v>
      </c>
      <c r="BF1486" s="31">
        <v>2.39</v>
      </c>
      <c r="BG1486" s="31" t="s">
        <v>832</v>
      </c>
      <c r="BH1486" s="31">
        <v>2230</v>
      </c>
      <c r="BI1486" s="31">
        <v>2300</v>
      </c>
      <c r="BJ1486" s="31" t="s">
        <v>315</v>
      </c>
      <c r="BK1486" s="31">
        <v>52.5</v>
      </c>
      <c r="BL1486" s="31">
        <v>58.3</v>
      </c>
      <c r="BN1486" s="31">
        <v>237</v>
      </c>
      <c r="BO1486" s="31">
        <v>145</v>
      </c>
      <c r="BQ1486" s="31">
        <v>6.3</v>
      </c>
      <c r="BR1486" s="31">
        <v>6.8</v>
      </c>
      <c r="CC1486" s="31">
        <v>778</v>
      </c>
      <c r="CD1486" s="31">
        <v>766</v>
      </c>
      <c r="CE1486" s="31" t="s">
        <v>1382</v>
      </c>
      <c r="DD1486" s="31">
        <v>28</v>
      </c>
      <c r="DE1486" s="31">
        <v>28</v>
      </c>
      <c r="DF1486" s="31" t="s">
        <v>226</v>
      </c>
      <c r="DS1486" s="31">
        <v>1740</v>
      </c>
      <c r="DT1486" s="31">
        <v>1810</v>
      </c>
      <c r="DU1486" s="31" t="s">
        <v>592</v>
      </c>
      <c r="DV1486" s="31">
        <v>29.9</v>
      </c>
      <c r="DW1486" s="31">
        <v>31.2</v>
      </c>
      <c r="EE1486" s="31">
        <f t="shared" si="249"/>
        <v>2.4000000000000002E-3</v>
      </c>
      <c r="EF1486" s="31">
        <f>170*0.000012</f>
        <v>2.0400000000000001E-3</v>
      </c>
      <c r="EG1486" s="31" t="s">
        <v>1380</v>
      </c>
      <c r="EL1486" s="31" t="s">
        <v>595</v>
      </c>
      <c r="EN1486" s="31">
        <v>68</v>
      </c>
    </row>
    <row r="1487" spans="1:144" s="31" customFormat="1" x14ac:dyDescent="0.25">
      <c r="A1487" s="31">
        <v>68</v>
      </c>
      <c r="B1487" s="31" t="s">
        <v>1350</v>
      </c>
      <c r="C1487" s="31" t="s">
        <v>1351</v>
      </c>
      <c r="D1487" s="31">
        <v>2011</v>
      </c>
      <c r="E1487" s="31">
        <v>2000</v>
      </c>
      <c r="F1487" s="31" t="s">
        <v>394</v>
      </c>
      <c r="G1487" s="31" t="s">
        <v>1354</v>
      </c>
      <c r="H1487" s="31">
        <f t="shared" si="247"/>
        <v>43.3</v>
      </c>
      <c r="I1487" s="31">
        <f t="shared" si="248"/>
        <v>-89.35</v>
      </c>
      <c r="J1487" s="31">
        <v>317.10000000000002</v>
      </c>
      <c r="P1487" s="56" t="s">
        <v>1352</v>
      </c>
      <c r="Q1487" s="56" t="s">
        <v>1161</v>
      </c>
      <c r="R1487" s="56" t="s">
        <v>1353</v>
      </c>
      <c r="S1487" s="56" t="s">
        <v>671</v>
      </c>
      <c r="W1487" s="31" t="s">
        <v>175</v>
      </c>
      <c r="AA1487" s="31" t="s">
        <v>1708</v>
      </c>
      <c r="AB1487" s="31" t="s">
        <v>152</v>
      </c>
      <c r="AC1487" s="31" t="s">
        <v>174</v>
      </c>
      <c r="AD1487" s="31" t="s">
        <v>174</v>
      </c>
      <c r="AE1487" s="31" t="s">
        <v>174</v>
      </c>
      <c r="AF1487" s="31" t="s">
        <v>252</v>
      </c>
      <c r="AG1487" s="31" t="s">
        <v>645</v>
      </c>
      <c r="AH1487" s="31" t="s">
        <v>1362</v>
      </c>
      <c r="AI1487" s="31" t="s">
        <v>693</v>
      </c>
      <c r="AJ1487" s="31" t="s">
        <v>1363</v>
      </c>
      <c r="AK1487" s="31" t="s">
        <v>1368</v>
      </c>
      <c r="AL1487" s="31" t="s">
        <v>693</v>
      </c>
      <c r="AM1487" s="31" t="s">
        <v>222</v>
      </c>
      <c r="AN1487" s="31">
        <v>4</v>
      </c>
      <c r="AO1487" s="31">
        <v>4</v>
      </c>
      <c r="AP1487" s="31" t="s">
        <v>184</v>
      </c>
      <c r="AU1487" s="31" t="s">
        <v>1359</v>
      </c>
      <c r="BB1487" s="31">
        <v>1.1000000000000001</v>
      </c>
      <c r="BC1487" s="31">
        <v>1.32</v>
      </c>
      <c r="BE1487" s="31">
        <v>2.41</v>
      </c>
      <c r="BF1487" s="31">
        <v>2.39</v>
      </c>
      <c r="BG1487" s="31" t="s">
        <v>832</v>
      </c>
      <c r="BH1487" s="31">
        <v>2230</v>
      </c>
      <c r="BI1487" s="31">
        <v>2400</v>
      </c>
      <c r="BJ1487" s="31" t="s">
        <v>315</v>
      </c>
      <c r="BK1487" s="31">
        <v>52.5</v>
      </c>
      <c r="BL1487" s="31">
        <v>56.3</v>
      </c>
      <c r="BN1487" s="31">
        <v>237</v>
      </c>
      <c r="BO1487" s="31">
        <v>173</v>
      </c>
      <c r="BQ1487" s="31">
        <v>6.3</v>
      </c>
      <c r="BR1487" s="31">
        <v>6.7</v>
      </c>
      <c r="CC1487" s="31">
        <v>778</v>
      </c>
      <c r="CD1487" s="31">
        <v>829</v>
      </c>
      <c r="CE1487" s="31" t="s">
        <v>1382</v>
      </c>
      <c r="DD1487" s="31">
        <v>28</v>
      </c>
      <c r="DE1487" s="31">
        <v>26</v>
      </c>
      <c r="DF1487" s="31" t="s">
        <v>226</v>
      </c>
      <c r="DS1487" s="31">
        <v>1740</v>
      </c>
      <c r="DT1487" s="31">
        <v>1890</v>
      </c>
      <c r="DU1487" s="31" t="s">
        <v>592</v>
      </c>
      <c r="DV1487" s="31">
        <v>29.9</v>
      </c>
      <c r="DW1487" s="31">
        <v>37.9</v>
      </c>
      <c r="EE1487" s="31">
        <f t="shared" si="249"/>
        <v>2.4000000000000002E-3</v>
      </c>
      <c r="EF1487" s="31">
        <f>204*0.000012</f>
        <v>2.4480000000000001E-3</v>
      </c>
      <c r="EG1487" s="31" t="s">
        <v>1380</v>
      </c>
      <c r="EL1487" s="31" t="s">
        <v>595</v>
      </c>
      <c r="EN1487" s="31">
        <v>68</v>
      </c>
    </row>
    <row r="1488" spans="1:144" s="31" customFormat="1" x14ac:dyDescent="0.25">
      <c r="A1488" s="31">
        <v>68</v>
      </c>
      <c r="B1488" s="31" t="s">
        <v>1350</v>
      </c>
      <c r="C1488" s="31" t="s">
        <v>1351</v>
      </c>
      <c r="D1488" s="31">
        <v>2011</v>
      </c>
      <c r="E1488" s="31">
        <v>2000</v>
      </c>
      <c r="F1488" s="31" t="s">
        <v>394</v>
      </c>
      <c r="G1488" s="31" t="s">
        <v>1354</v>
      </c>
      <c r="H1488" s="31">
        <f t="shared" si="247"/>
        <v>43.3</v>
      </c>
      <c r="I1488" s="31">
        <f t="shared" si="248"/>
        <v>-89.35</v>
      </c>
      <c r="J1488" s="31">
        <v>317.10000000000002</v>
      </c>
      <c r="P1488" s="56" t="s">
        <v>1352</v>
      </c>
      <c r="Q1488" s="56" t="s">
        <v>1161</v>
      </c>
      <c r="R1488" s="56" t="s">
        <v>1353</v>
      </c>
      <c r="S1488" s="56" t="s">
        <v>671</v>
      </c>
      <c r="W1488" s="31" t="s">
        <v>175</v>
      </c>
      <c r="AA1488" s="31" t="s">
        <v>1708</v>
      </c>
      <c r="AB1488" s="31" t="s">
        <v>851</v>
      </c>
      <c r="AC1488" s="31" t="s">
        <v>174</v>
      </c>
      <c r="AD1488" s="31" t="s">
        <v>174</v>
      </c>
      <c r="AE1488" s="31" t="s">
        <v>1361</v>
      </c>
      <c r="AF1488" s="31" t="s">
        <v>693</v>
      </c>
      <c r="AG1488" s="31" t="s">
        <v>645</v>
      </c>
      <c r="AH1488" s="31" t="s">
        <v>1362</v>
      </c>
      <c r="AI1488" s="31" t="s">
        <v>693</v>
      </c>
      <c r="AJ1488" s="31" t="s">
        <v>1363</v>
      </c>
      <c r="AK1488" s="31" t="s">
        <v>1369</v>
      </c>
      <c r="AL1488" s="31" t="s">
        <v>693</v>
      </c>
      <c r="AM1488" s="31" t="s">
        <v>222</v>
      </c>
      <c r="AN1488" s="31">
        <v>4</v>
      </c>
      <c r="AO1488" s="31">
        <v>4</v>
      </c>
      <c r="AP1488" s="31" t="s">
        <v>184</v>
      </c>
      <c r="AU1488" s="31" t="s">
        <v>1360</v>
      </c>
      <c r="BB1488" s="31">
        <v>1.1000000000000001</v>
      </c>
      <c r="BC1488" s="31">
        <v>1.24</v>
      </c>
      <c r="BE1488" s="31">
        <v>2.41</v>
      </c>
      <c r="BF1488" s="31">
        <v>3.36</v>
      </c>
      <c r="BG1488" s="31" t="s">
        <v>832</v>
      </c>
      <c r="BH1488" s="31">
        <v>2230</v>
      </c>
      <c r="BI1488" s="31">
        <v>3360</v>
      </c>
      <c r="BJ1488" s="31" t="s">
        <v>315</v>
      </c>
      <c r="BK1488" s="31">
        <v>52.5</v>
      </c>
      <c r="BL1488" s="31">
        <v>49.8</v>
      </c>
      <c r="BN1488" s="31">
        <v>237</v>
      </c>
      <c r="BO1488" s="31">
        <v>163</v>
      </c>
      <c r="BQ1488" s="31">
        <v>6.3</v>
      </c>
      <c r="BR1488" s="31">
        <v>6.2</v>
      </c>
      <c r="CC1488" s="31">
        <v>778</v>
      </c>
      <c r="CD1488" s="31">
        <v>889</v>
      </c>
      <c r="CE1488" s="31" t="s">
        <v>1382</v>
      </c>
      <c r="DD1488" s="31">
        <v>28</v>
      </c>
      <c r="DE1488" s="31">
        <v>29</v>
      </c>
      <c r="DF1488" s="31" t="s">
        <v>226</v>
      </c>
      <c r="DS1488" s="31">
        <v>1740</v>
      </c>
      <c r="DT1488" s="31">
        <v>2350</v>
      </c>
      <c r="DU1488" s="31" t="s">
        <v>592</v>
      </c>
      <c r="DV1488" s="31">
        <v>29.9</v>
      </c>
      <c r="DW1488" s="31">
        <v>61.2</v>
      </c>
      <c r="EE1488" s="31">
        <f t="shared" si="249"/>
        <v>2.4000000000000002E-3</v>
      </c>
      <c r="EF1488" s="31">
        <f>523*0.000012</f>
        <v>6.2760000000000003E-3</v>
      </c>
      <c r="EG1488" s="31" t="s">
        <v>1380</v>
      </c>
      <c r="EL1488" s="31" t="s">
        <v>595</v>
      </c>
      <c r="EN1488" s="31">
        <v>68</v>
      </c>
    </row>
    <row r="1489" spans="1:144" s="38" customFormat="1" x14ac:dyDescent="0.25">
      <c r="A1489" s="38">
        <v>68</v>
      </c>
      <c r="B1489" s="38" t="s">
        <v>1350</v>
      </c>
      <c r="C1489" s="38" t="s">
        <v>1351</v>
      </c>
      <c r="D1489" s="38">
        <v>2011</v>
      </c>
      <c r="E1489" s="38">
        <v>2000</v>
      </c>
      <c r="F1489" s="38" t="s">
        <v>394</v>
      </c>
      <c r="G1489" s="38" t="s">
        <v>1354</v>
      </c>
      <c r="H1489" s="38">
        <f t="shared" si="247"/>
        <v>43.3</v>
      </c>
      <c r="I1489" s="38">
        <f t="shared" si="248"/>
        <v>-89.35</v>
      </c>
      <c r="J1489" s="38">
        <v>317.10000000000002</v>
      </c>
      <c r="P1489" s="57" t="s">
        <v>1352</v>
      </c>
      <c r="Q1489" s="57" t="s">
        <v>1161</v>
      </c>
      <c r="R1489" s="57" t="s">
        <v>1353</v>
      </c>
      <c r="S1489" s="57" t="s">
        <v>671</v>
      </c>
      <c r="W1489" s="38" t="s">
        <v>175</v>
      </c>
      <c r="AA1489" s="38" t="s">
        <v>1708</v>
      </c>
      <c r="AB1489" s="38" t="s">
        <v>613</v>
      </c>
      <c r="AC1489" s="38" t="s">
        <v>1740</v>
      </c>
      <c r="AD1489" s="38" t="s">
        <v>914</v>
      </c>
      <c r="AE1489" s="38" t="s">
        <v>1251</v>
      </c>
      <c r="AF1489" s="38" t="s">
        <v>252</v>
      </c>
      <c r="AG1489" s="38" t="s">
        <v>1379</v>
      </c>
      <c r="AH1489" s="38" t="s">
        <v>1362</v>
      </c>
      <c r="AI1489" s="38" t="s">
        <v>693</v>
      </c>
      <c r="AJ1489" s="38" t="s">
        <v>1378</v>
      </c>
      <c r="AK1489" s="38" t="s">
        <v>1364</v>
      </c>
      <c r="AL1489" s="38" t="s">
        <v>693</v>
      </c>
      <c r="AM1489" s="38" t="s">
        <v>222</v>
      </c>
      <c r="AN1489" s="38">
        <v>4</v>
      </c>
      <c r="AO1489" s="38">
        <v>4</v>
      </c>
      <c r="AP1489" s="38" t="s">
        <v>184</v>
      </c>
      <c r="AU1489" s="38" t="s">
        <v>1372</v>
      </c>
      <c r="BB1489" s="38">
        <v>1.18</v>
      </c>
      <c r="BC1489" s="38">
        <v>1.07</v>
      </c>
      <c r="BE1489" s="38">
        <v>2.65</v>
      </c>
      <c r="BF1489" s="38">
        <v>2.19</v>
      </c>
      <c r="BG1489" s="38" t="s">
        <v>832</v>
      </c>
      <c r="BH1489" s="38">
        <v>2470</v>
      </c>
      <c r="BI1489" s="38">
        <v>2030</v>
      </c>
      <c r="BJ1489" s="38" t="s">
        <v>315</v>
      </c>
      <c r="BK1489" s="38">
        <v>37</v>
      </c>
      <c r="BL1489" s="38">
        <v>45.3</v>
      </c>
      <c r="BN1489" s="38">
        <v>144</v>
      </c>
      <c r="BO1489" s="38">
        <v>148</v>
      </c>
      <c r="BQ1489" s="38">
        <v>6.6</v>
      </c>
      <c r="BR1489" s="38">
        <v>6.7</v>
      </c>
      <c r="CC1489" s="38">
        <v>742</v>
      </c>
      <c r="CD1489" s="38">
        <v>665</v>
      </c>
      <c r="CE1489" s="38" t="s">
        <v>1382</v>
      </c>
      <c r="DD1489" s="38">
        <v>29</v>
      </c>
      <c r="DE1489" s="38">
        <v>28</v>
      </c>
      <c r="DF1489" s="38" t="s">
        <v>226</v>
      </c>
      <c r="DS1489" s="38">
        <v>1900</v>
      </c>
      <c r="DT1489" s="38">
        <v>1840</v>
      </c>
      <c r="DU1489" s="38" t="s">
        <v>592</v>
      </c>
      <c r="DV1489" s="38">
        <v>36.700000000000003</v>
      </c>
      <c r="DW1489" s="38">
        <v>31.5</v>
      </c>
      <c r="EE1489" s="38">
        <f>198*0.000012</f>
        <v>2.3760000000000001E-3</v>
      </c>
      <c r="EF1489" s="38">
        <f>161*0.000012</f>
        <v>1.9320000000000001E-3</v>
      </c>
      <c r="EG1489" s="38" t="s">
        <v>1371</v>
      </c>
      <c r="EL1489" s="38" t="s">
        <v>595</v>
      </c>
      <c r="EN1489" s="38">
        <v>68</v>
      </c>
    </row>
    <row r="1490" spans="1:144" s="38" customFormat="1" x14ac:dyDescent="0.25">
      <c r="A1490" s="38">
        <v>68</v>
      </c>
      <c r="B1490" s="38" t="s">
        <v>1350</v>
      </c>
      <c r="C1490" s="38" t="s">
        <v>1351</v>
      </c>
      <c r="D1490" s="38">
        <v>2011</v>
      </c>
      <c r="E1490" s="38">
        <v>2000</v>
      </c>
      <c r="F1490" s="38" t="s">
        <v>394</v>
      </c>
      <c r="G1490" s="38" t="s">
        <v>1354</v>
      </c>
      <c r="H1490" s="38">
        <f t="shared" si="247"/>
        <v>43.3</v>
      </c>
      <c r="I1490" s="38">
        <f t="shared" si="248"/>
        <v>-89.35</v>
      </c>
      <c r="J1490" s="38">
        <v>317.10000000000002</v>
      </c>
      <c r="P1490" s="57" t="s">
        <v>1352</v>
      </c>
      <c r="Q1490" s="57" t="s">
        <v>1161</v>
      </c>
      <c r="R1490" s="57" t="s">
        <v>1353</v>
      </c>
      <c r="S1490" s="57" t="s">
        <v>671</v>
      </c>
      <c r="W1490" s="38" t="s">
        <v>175</v>
      </c>
      <c r="AA1490" s="38" t="s">
        <v>1708</v>
      </c>
      <c r="AB1490" s="38" t="s">
        <v>152</v>
      </c>
      <c r="AC1490" s="38" t="s">
        <v>1740</v>
      </c>
      <c r="AD1490" s="38" t="s">
        <v>914</v>
      </c>
      <c r="AE1490" s="38" t="s">
        <v>174</v>
      </c>
      <c r="AF1490" s="38" t="s">
        <v>693</v>
      </c>
      <c r="AG1490" s="38" t="s">
        <v>1379</v>
      </c>
      <c r="AH1490" s="38" t="s">
        <v>1362</v>
      </c>
      <c r="AI1490" s="38" t="s">
        <v>693</v>
      </c>
      <c r="AJ1490" s="38" t="s">
        <v>1378</v>
      </c>
      <c r="AK1490" s="38" t="s">
        <v>1365</v>
      </c>
      <c r="AL1490" s="38" t="s">
        <v>693</v>
      </c>
      <c r="AM1490" s="38" t="s">
        <v>222</v>
      </c>
      <c r="AN1490" s="38">
        <v>4</v>
      </c>
      <c r="AO1490" s="38">
        <v>4</v>
      </c>
      <c r="AP1490" s="38" t="s">
        <v>184</v>
      </c>
      <c r="AU1490" s="38" t="s">
        <v>1373</v>
      </c>
      <c r="BB1490" s="38">
        <v>1.18</v>
      </c>
      <c r="BC1490" s="38">
        <v>1.32</v>
      </c>
      <c r="BE1490" s="38">
        <v>2.65</v>
      </c>
      <c r="BF1490" s="38">
        <v>2.5</v>
      </c>
      <c r="BG1490" s="38" t="s">
        <v>832</v>
      </c>
      <c r="BH1490" s="38">
        <v>2470</v>
      </c>
      <c r="BI1490" s="38">
        <v>2430</v>
      </c>
      <c r="BJ1490" s="38" t="s">
        <v>315</v>
      </c>
      <c r="BK1490" s="38">
        <v>37</v>
      </c>
      <c r="BL1490" s="38">
        <v>61.5</v>
      </c>
      <c r="BN1490" s="38">
        <v>144</v>
      </c>
      <c r="BO1490" s="38">
        <v>135</v>
      </c>
      <c r="BQ1490" s="38">
        <v>6.6</v>
      </c>
      <c r="BR1490" s="38">
        <v>6.9</v>
      </c>
      <c r="CC1490" s="38">
        <v>742</v>
      </c>
      <c r="CD1490" s="38">
        <v>817</v>
      </c>
      <c r="CE1490" s="38" t="s">
        <v>1382</v>
      </c>
      <c r="DD1490" s="38">
        <v>29</v>
      </c>
      <c r="DE1490" s="38">
        <v>28</v>
      </c>
      <c r="DF1490" s="38" t="s">
        <v>226</v>
      </c>
      <c r="DS1490" s="38">
        <v>1900</v>
      </c>
      <c r="DT1490" s="38">
        <v>1880</v>
      </c>
      <c r="DU1490" s="38" t="s">
        <v>592</v>
      </c>
      <c r="DV1490" s="38">
        <v>36.700000000000003</v>
      </c>
      <c r="DW1490" s="38">
        <v>37.4</v>
      </c>
      <c r="EE1490" s="38">
        <f t="shared" ref="EE1490:EE1494" si="250">198*0.000012</f>
        <v>2.3760000000000001E-3</v>
      </c>
      <c r="EF1490" s="38">
        <f>250*0.000012</f>
        <v>3.0000000000000001E-3</v>
      </c>
      <c r="EG1490" s="38" t="s">
        <v>1371</v>
      </c>
      <c r="EL1490" s="38" t="s">
        <v>595</v>
      </c>
      <c r="EN1490" s="38">
        <v>68</v>
      </c>
    </row>
    <row r="1491" spans="1:144" s="38" customFormat="1" x14ac:dyDescent="0.25">
      <c r="A1491" s="38">
        <v>68</v>
      </c>
      <c r="B1491" s="38" t="s">
        <v>1350</v>
      </c>
      <c r="C1491" s="38" t="s">
        <v>1351</v>
      </c>
      <c r="D1491" s="38">
        <v>2011</v>
      </c>
      <c r="E1491" s="38">
        <v>2000</v>
      </c>
      <c r="F1491" s="38" t="s">
        <v>394</v>
      </c>
      <c r="G1491" s="38" t="s">
        <v>1354</v>
      </c>
      <c r="H1491" s="38">
        <f t="shared" si="247"/>
        <v>43.3</v>
      </c>
      <c r="I1491" s="38">
        <f t="shared" si="248"/>
        <v>-89.35</v>
      </c>
      <c r="J1491" s="38">
        <v>317.10000000000002</v>
      </c>
      <c r="P1491" s="57" t="s">
        <v>1352</v>
      </c>
      <c r="Q1491" s="57" t="s">
        <v>1161</v>
      </c>
      <c r="R1491" s="57" t="s">
        <v>1353</v>
      </c>
      <c r="S1491" s="57" t="s">
        <v>671</v>
      </c>
      <c r="W1491" s="38" t="s">
        <v>175</v>
      </c>
      <c r="AA1491" s="38" t="s">
        <v>1708</v>
      </c>
      <c r="AB1491" s="38" t="s">
        <v>152</v>
      </c>
      <c r="AC1491" s="38" t="s">
        <v>1740</v>
      </c>
      <c r="AD1491" s="38" t="s">
        <v>914</v>
      </c>
      <c r="AE1491" s="38" t="s">
        <v>174</v>
      </c>
      <c r="AF1491" s="38" t="s">
        <v>693</v>
      </c>
      <c r="AG1491" s="38" t="s">
        <v>1379</v>
      </c>
      <c r="AH1491" s="38" t="s">
        <v>1362</v>
      </c>
      <c r="AI1491" s="38" t="s">
        <v>693</v>
      </c>
      <c r="AJ1491" s="38" t="s">
        <v>1378</v>
      </c>
      <c r="AK1491" s="38" t="s">
        <v>1366</v>
      </c>
      <c r="AL1491" s="38" t="s">
        <v>693</v>
      </c>
      <c r="AM1491" s="38" t="s">
        <v>222</v>
      </c>
      <c r="AN1491" s="38">
        <v>4</v>
      </c>
      <c r="AO1491" s="38">
        <v>4</v>
      </c>
      <c r="AP1491" s="38" t="s">
        <v>184</v>
      </c>
      <c r="AU1491" s="38" t="s">
        <v>1374</v>
      </c>
      <c r="BB1491" s="38">
        <v>1.18</v>
      </c>
      <c r="BC1491" s="38">
        <v>1.37</v>
      </c>
      <c r="BE1491" s="38">
        <v>2.65</v>
      </c>
      <c r="BF1491" s="38">
        <v>2.59</v>
      </c>
      <c r="BG1491" s="38" t="s">
        <v>832</v>
      </c>
      <c r="BH1491" s="38">
        <v>2470</v>
      </c>
      <c r="BI1491" s="38">
        <v>2680</v>
      </c>
      <c r="BJ1491" s="38" t="s">
        <v>315</v>
      </c>
      <c r="BK1491" s="38">
        <v>37</v>
      </c>
      <c r="BL1491" s="38">
        <v>72.8</v>
      </c>
      <c r="BN1491" s="38">
        <v>144</v>
      </c>
      <c r="BO1491" s="38">
        <v>231</v>
      </c>
      <c r="BQ1491" s="38">
        <v>6.6</v>
      </c>
      <c r="BR1491" s="38">
        <v>6.6</v>
      </c>
      <c r="CC1491" s="38">
        <v>742</v>
      </c>
      <c r="CD1491" s="38">
        <v>801</v>
      </c>
      <c r="CE1491" s="38" t="s">
        <v>1382</v>
      </c>
      <c r="DD1491" s="38">
        <v>29</v>
      </c>
      <c r="DE1491" s="38">
        <v>23</v>
      </c>
      <c r="DF1491" s="38" t="s">
        <v>226</v>
      </c>
      <c r="DS1491" s="38">
        <v>1900</v>
      </c>
      <c r="DT1491" s="38">
        <v>1900</v>
      </c>
      <c r="DU1491" s="38" t="s">
        <v>592</v>
      </c>
      <c r="DV1491" s="38">
        <v>36.700000000000003</v>
      </c>
      <c r="DW1491" s="38">
        <v>36.799999999999997</v>
      </c>
      <c r="EE1491" s="38">
        <f t="shared" si="250"/>
        <v>2.3760000000000001E-3</v>
      </c>
      <c r="EF1491" s="38">
        <f>181*0.000012</f>
        <v>2.1719999999999999E-3</v>
      </c>
      <c r="EG1491" s="38" t="s">
        <v>1380</v>
      </c>
      <c r="EL1491" s="38" t="s">
        <v>595</v>
      </c>
      <c r="EN1491" s="38">
        <v>68</v>
      </c>
    </row>
    <row r="1492" spans="1:144" s="38" customFormat="1" x14ac:dyDescent="0.25">
      <c r="A1492" s="38">
        <v>68</v>
      </c>
      <c r="B1492" s="38" t="s">
        <v>1350</v>
      </c>
      <c r="C1492" s="38" t="s">
        <v>1351</v>
      </c>
      <c r="D1492" s="38">
        <v>2011</v>
      </c>
      <c r="E1492" s="38">
        <v>2000</v>
      </c>
      <c r="F1492" s="38" t="s">
        <v>394</v>
      </c>
      <c r="G1492" s="38" t="s">
        <v>1354</v>
      </c>
      <c r="H1492" s="38">
        <f t="shared" si="247"/>
        <v>43.3</v>
      </c>
      <c r="I1492" s="38">
        <f t="shared" si="248"/>
        <v>-89.35</v>
      </c>
      <c r="J1492" s="38">
        <v>317.10000000000002</v>
      </c>
      <c r="P1492" s="57" t="s">
        <v>1352</v>
      </c>
      <c r="Q1492" s="57" t="s">
        <v>1161</v>
      </c>
      <c r="R1492" s="57" t="s">
        <v>1353</v>
      </c>
      <c r="S1492" s="57" t="s">
        <v>671</v>
      </c>
      <c r="W1492" s="38" t="s">
        <v>175</v>
      </c>
      <c r="AA1492" s="38" t="s">
        <v>1708</v>
      </c>
      <c r="AB1492" s="38" t="s">
        <v>152</v>
      </c>
      <c r="AC1492" s="38" t="s">
        <v>1740</v>
      </c>
      <c r="AD1492" s="38" t="s">
        <v>914</v>
      </c>
      <c r="AE1492" s="38" t="s">
        <v>174</v>
      </c>
      <c r="AF1492" s="38" t="s">
        <v>693</v>
      </c>
      <c r="AG1492" s="38" t="s">
        <v>1379</v>
      </c>
      <c r="AH1492" s="38" t="s">
        <v>1362</v>
      </c>
      <c r="AI1492" s="38" t="s">
        <v>693</v>
      </c>
      <c r="AJ1492" s="38" t="s">
        <v>1378</v>
      </c>
      <c r="AK1492" s="38" t="s">
        <v>1367</v>
      </c>
      <c r="AL1492" s="38" t="s">
        <v>693</v>
      </c>
      <c r="AM1492" s="38" t="s">
        <v>222</v>
      </c>
      <c r="AN1492" s="38">
        <v>4</v>
      </c>
      <c r="AO1492" s="38">
        <v>4</v>
      </c>
      <c r="AP1492" s="38" t="s">
        <v>184</v>
      </c>
      <c r="AU1492" s="38" t="s">
        <v>1375</v>
      </c>
      <c r="BB1492" s="38">
        <v>1.18</v>
      </c>
      <c r="BC1492" s="38">
        <v>1.1299999999999999</v>
      </c>
      <c r="BE1492" s="38">
        <v>2.65</v>
      </c>
      <c r="BF1492" s="38">
        <v>2.39</v>
      </c>
      <c r="BG1492" s="38" t="s">
        <v>832</v>
      </c>
      <c r="BH1492" s="38">
        <v>2470</v>
      </c>
      <c r="BI1492" s="38">
        <v>2300</v>
      </c>
      <c r="BJ1492" s="38" t="s">
        <v>315</v>
      </c>
      <c r="BK1492" s="38">
        <v>37</v>
      </c>
      <c r="BL1492" s="38">
        <v>58.3</v>
      </c>
      <c r="BN1492" s="38">
        <v>144</v>
      </c>
      <c r="BO1492" s="38">
        <v>145</v>
      </c>
      <c r="BQ1492" s="38">
        <v>6.6</v>
      </c>
      <c r="BR1492" s="38">
        <v>6.8</v>
      </c>
      <c r="CC1492" s="38">
        <v>742</v>
      </c>
      <c r="CD1492" s="38">
        <v>766</v>
      </c>
      <c r="CE1492" s="38" t="s">
        <v>1382</v>
      </c>
      <c r="DD1492" s="38">
        <v>29</v>
      </c>
      <c r="DE1492" s="38">
        <v>28</v>
      </c>
      <c r="DF1492" s="38" t="s">
        <v>226</v>
      </c>
      <c r="DS1492" s="38">
        <v>1900</v>
      </c>
      <c r="DT1492" s="38">
        <v>1810</v>
      </c>
      <c r="DU1492" s="38" t="s">
        <v>592</v>
      </c>
      <c r="DV1492" s="38">
        <v>36.700000000000003</v>
      </c>
      <c r="DW1492" s="38">
        <v>31.2</v>
      </c>
      <c r="EE1492" s="38">
        <f t="shared" si="250"/>
        <v>2.3760000000000001E-3</v>
      </c>
      <c r="EF1492" s="38">
        <f>170*0.000012</f>
        <v>2.0400000000000001E-3</v>
      </c>
      <c r="EG1492" s="38" t="s">
        <v>1380</v>
      </c>
      <c r="EL1492" s="38" t="s">
        <v>595</v>
      </c>
      <c r="EN1492" s="38">
        <v>68</v>
      </c>
    </row>
    <row r="1493" spans="1:144" s="38" customFormat="1" x14ac:dyDescent="0.25">
      <c r="A1493" s="38">
        <v>68</v>
      </c>
      <c r="B1493" s="38" t="s">
        <v>1350</v>
      </c>
      <c r="C1493" s="38" t="s">
        <v>1351</v>
      </c>
      <c r="D1493" s="38">
        <v>2011</v>
      </c>
      <c r="E1493" s="38">
        <v>2000</v>
      </c>
      <c r="F1493" s="38" t="s">
        <v>394</v>
      </c>
      <c r="G1493" s="38" t="s">
        <v>1354</v>
      </c>
      <c r="H1493" s="38">
        <f t="shared" si="247"/>
        <v>43.3</v>
      </c>
      <c r="I1493" s="38">
        <f t="shared" si="248"/>
        <v>-89.35</v>
      </c>
      <c r="J1493" s="38">
        <v>317.10000000000002</v>
      </c>
      <c r="P1493" s="57" t="s">
        <v>1352</v>
      </c>
      <c r="Q1493" s="57" t="s">
        <v>1161</v>
      </c>
      <c r="R1493" s="57" t="s">
        <v>1353</v>
      </c>
      <c r="S1493" s="57" t="s">
        <v>671</v>
      </c>
      <c r="W1493" s="38" t="s">
        <v>175</v>
      </c>
      <c r="AA1493" s="38" t="s">
        <v>1708</v>
      </c>
      <c r="AB1493" s="38" t="s">
        <v>152</v>
      </c>
      <c r="AC1493" s="38" t="s">
        <v>1740</v>
      </c>
      <c r="AD1493" s="38" t="s">
        <v>914</v>
      </c>
      <c r="AE1493" s="38" t="s">
        <v>174</v>
      </c>
      <c r="AF1493" s="38" t="s">
        <v>693</v>
      </c>
      <c r="AG1493" s="38" t="s">
        <v>1379</v>
      </c>
      <c r="AH1493" s="38" t="s">
        <v>1362</v>
      </c>
      <c r="AI1493" s="38" t="s">
        <v>693</v>
      </c>
      <c r="AJ1493" s="38" t="s">
        <v>1378</v>
      </c>
      <c r="AK1493" s="38" t="s">
        <v>1368</v>
      </c>
      <c r="AL1493" s="38" t="s">
        <v>693</v>
      </c>
      <c r="AM1493" s="38" t="s">
        <v>222</v>
      </c>
      <c r="AN1493" s="38">
        <v>4</v>
      </c>
      <c r="AO1493" s="38">
        <v>4</v>
      </c>
      <c r="AP1493" s="38" t="s">
        <v>184</v>
      </c>
      <c r="AU1493" s="38" t="s">
        <v>1376</v>
      </c>
      <c r="BB1493" s="38">
        <v>1.18</v>
      </c>
      <c r="BC1493" s="38">
        <v>1.32</v>
      </c>
      <c r="BE1493" s="38">
        <v>2.65</v>
      </c>
      <c r="BF1493" s="38">
        <v>2.39</v>
      </c>
      <c r="BG1493" s="38" t="s">
        <v>832</v>
      </c>
      <c r="BH1493" s="38">
        <v>2470</v>
      </c>
      <c r="BI1493" s="38">
        <v>2400</v>
      </c>
      <c r="BJ1493" s="38" t="s">
        <v>315</v>
      </c>
      <c r="BK1493" s="38">
        <v>37</v>
      </c>
      <c r="BL1493" s="38">
        <v>56.3</v>
      </c>
      <c r="BN1493" s="38">
        <v>144</v>
      </c>
      <c r="BO1493" s="38">
        <v>173</v>
      </c>
      <c r="BQ1493" s="38">
        <v>6.6</v>
      </c>
      <c r="BR1493" s="38">
        <v>6.7</v>
      </c>
      <c r="CC1493" s="38">
        <v>742</v>
      </c>
      <c r="CD1493" s="38">
        <v>829</v>
      </c>
      <c r="CE1493" s="38" t="s">
        <v>1382</v>
      </c>
      <c r="DD1493" s="38">
        <v>29</v>
      </c>
      <c r="DE1493" s="38">
        <v>26</v>
      </c>
      <c r="DF1493" s="38" t="s">
        <v>226</v>
      </c>
      <c r="DS1493" s="38">
        <v>1900</v>
      </c>
      <c r="DT1493" s="38">
        <v>1890</v>
      </c>
      <c r="DU1493" s="38" t="s">
        <v>592</v>
      </c>
      <c r="DV1493" s="38">
        <v>36.700000000000003</v>
      </c>
      <c r="DW1493" s="38">
        <v>37.9</v>
      </c>
      <c r="EE1493" s="38">
        <f t="shared" si="250"/>
        <v>2.3760000000000001E-3</v>
      </c>
      <c r="EF1493" s="38">
        <f>204*0.000012</f>
        <v>2.4480000000000001E-3</v>
      </c>
      <c r="EG1493" s="38" t="s">
        <v>1380</v>
      </c>
      <c r="EL1493" s="38" t="s">
        <v>595</v>
      </c>
      <c r="EN1493" s="38">
        <v>68</v>
      </c>
    </row>
    <row r="1494" spans="1:144" s="38" customFormat="1" x14ac:dyDescent="0.25">
      <c r="A1494" s="38">
        <v>68</v>
      </c>
      <c r="B1494" s="38" t="s">
        <v>1350</v>
      </c>
      <c r="C1494" s="38" t="s">
        <v>1351</v>
      </c>
      <c r="D1494" s="38">
        <v>2011</v>
      </c>
      <c r="E1494" s="38">
        <v>2000</v>
      </c>
      <c r="F1494" s="38" t="s">
        <v>394</v>
      </c>
      <c r="G1494" s="38" t="s">
        <v>1354</v>
      </c>
      <c r="H1494" s="38">
        <f t="shared" si="247"/>
        <v>43.3</v>
      </c>
      <c r="I1494" s="38">
        <f t="shared" si="248"/>
        <v>-89.35</v>
      </c>
      <c r="J1494" s="38">
        <v>317.10000000000002</v>
      </c>
      <c r="P1494" s="57" t="s">
        <v>1352</v>
      </c>
      <c r="Q1494" s="57" t="s">
        <v>1161</v>
      </c>
      <c r="R1494" s="57" t="s">
        <v>1353</v>
      </c>
      <c r="S1494" s="57" t="s">
        <v>671</v>
      </c>
      <c r="W1494" s="38" t="s">
        <v>175</v>
      </c>
      <c r="AA1494" s="38" t="s">
        <v>1708</v>
      </c>
      <c r="AB1494" s="38" t="s">
        <v>851</v>
      </c>
      <c r="AC1494" s="38" t="s">
        <v>1740</v>
      </c>
      <c r="AD1494" s="38" t="s">
        <v>914</v>
      </c>
      <c r="AE1494" s="38" t="s">
        <v>1361</v>
      </c>
      <c r="AF1494" s="38" t="s">
        <v>693</v>
      </c>
      <c r="AG1494" s="38" t="s">
        <v>1379</v>
      </c>
      <c r="AH1494" s="38" t="s">
        <v>1362</v>
      </c>
      <c r="AI1494" s="38" t="s">
        <v>693</v>
      </c>
      <c r="AJ1494" s="38" t="s">
        <v>1378</v>
      </c>
      <c r="AK1494" s="38" t="s">
        <v>1369</v>
      </c>
      <c r="AL1494" s="38" t="s">
        <v>693</v>
      </c>
      <c r="AM1494" s="38" t="s">
        <v>222</v>
      </c>
      <c r="AN1494" s="38">
        <v>4</v>
      </c>
      <c r="AO1494" s="38">
        <v>4</v>
      </c>
      <c r="AP1494" s="38" t="s">
        <v>184</v>
      </c>
      <c r="AU1494" s="38" t="s">
        <v>1377</v>
      </c>
      <c r="BB1494" s="38">
        <v>1.18</v>
      </c>
      <c r="BC1494" s="38">
        <v>1.24</v>
      </c>
      <c r="BE1494" s="38">
        <v>2.65</v>
      </c>
      <c r="BF1494" s="38">
        <v>3.36</v>
      </c>
      <c r="BG1494" s="38" t="s">
        <v>832</v>
      </c>
      <c r="BH1494" s="38">
        <v>2470</v>
      </c>
      <c r="BI1494" s="38">
        <v>3360</v>
      </c>
      <c r="BJ1494" s="38" t="s">
        <v>315</v>
      </c>
      <c r="BK1494" s="38">
        <v>37</v>
      </c>
      <c r="BL1494" s="38">
        <v>49.8</v>
      </c>
      <c r="BN1494" s="38">
        <v>144</v>
      </c>
      <c r="BO1494" s="38">
        <v>163</v>
      </c>
      <c r="BQ1494" s="38">
        <v>6.6</v>
      </c>
      <c r="BR1494" s="38">
        <v>6.2</v>
      </c>
      <c r="CC1494" s="38">
        <v>742</v>
      </c>
      <c r="CD1494" s="38">
        <v>889</v>
      </c>
      <c r="CE1494" s="38" t="s">
        <v>1382</v>
      </c>
      <c r="DD1494" s="38">
        <v>29</v>
      </c>
      <c r="DE1494" s="38">
        <v>29</v>
      </c>
      <c r="DF1494" s="38" t="s">
        <v>226</v>
      </c>
      <c r="DS1494" s="38">
        <v>1900</v>
      </c>
      <c r="DT1494" s="38">
        <v>2350</v>
      </c>
      <c r="DU1494" s="38" t="s">
        <v>592</v>
      </c>
      <c r="DV1494" s="38">
        <v>36.700000000000003</v>
      </c>
      <c r="DW1494" s="38">
        <v>61.2</v>
      </c>
      <c r="EE1494" s="38">
        <f t="shared" si="250"/>
        <v>2.3760000000000001E-3</v>
      </c>
      <c r="EF1494" s="38">
        <f>523*0.000012</f>
        <v>6.2760000000000003E-3</v>
      </c>
      <c r="EG1494" s="38" t="s">
        <v>1380</v>
      </c>
      <c r="EL1494" s="38" t="s">
        <v>595</v>
      </c>
      <c r="EN1494" s="38">
        <v>68</v>
      </c>
    </row>
    <row r="1495" spans="1:144" s="109" customFormat="1" x14ac:dyDescent="0.25">
      <c r="A1495" s="109">
        <v>68</v>
      </c>
      <c r="B1495" s="109" t="s">
        <v>1350</v>
      </c>
      <c r="C1495" s="109" t="s">
        <v>1351</v>
      </c>
      <c r="D1495" s="109">
        <v>2011</v>
      </c>
      <c r="E1495" s="109">
        <v>2000</v>
      </c>
      <c r="F1495" s="109" t="s">
        <v>394</v>
      </c>
      <c r="G1495" s="109" t="s">
        <v>1354</v>
      </c>
      <c r="H1495" s="109">
        <f t="shared" si="247"/>
        <v>43.3</v>
      </c>
      <c r="I1495" s="109">
        <f t="shared" si="248"/>
        <v>-89.35</v>
      </c>
      <c r="J1495" s="109">
        <v>317.10000000000002</v>
      </c>
      <c r="P1495" s="110" t="s">
        <v>1352</v>
      </c>
      <c r="Q1495" s="110" t="s">
        <v>1161</v>
      </c>
      <c r="R1495" s="110" t="s">
        <v>1353</v>
      </c>
      <c r="S1495" s="110" t="s">
        <v>1381</v>
      </c>
      <c r="W1495" s="109" t="s">
        <v>175</v>
      </c>
      <c r="AA1495" s="31" t="s">
        <v>1708</v>
      </c>
      <c r="AB1495" s="109" t="s">
        <v>613</v>
      </c>
      <c r="AC1495" s="109" t="s">
        <v>174</v>
      </c>
      <c r="AD1495" s="109" t="s">
        <v>174</v>
      </c>
      <c r="AE1495" s="109" t="s">
        <v>1251</v>
      </c>
      <c r="AF1495" s="109" t="s">
        <v>693</v>
      </c>
      <c r="AG1495" s="109" t="s">
        <v>645</v>
      </c>
      <c r="AH1495" s="109" t="s">
        <v>1362</v>
      </c>
      <c r="AI1495" s="109" t="s">
        <v>693</v>
      </c>
      <c r="AJ1495" s="109" t="s">
        <v>1363</v>
      </c>
      <c r="AK1495" s="109" t="s">
        <v>1364</v>
      </c>
      <c r="AL1495" s="109" t="s">
        <v>693</v>
      </c>
      <c r="AM1495" s="109" t="s">
        <v>222</v>
      </c>
      <c r="AN1495" s="109">
        <v>4</v>
      </c>
      <c r="AO1495" s="109">
        <v>4</v>
      </c>
      <c r="AP1495" s="109" t="s">
        <v>184</v>
      </c>
      <c r="AU1495" s="109" t="s">
        <v>1355</v>
      </c>
      <c r="BB1495" s="109">
        <v>1.41</v>
      </c>
      <c r="BC1495" s="109">
        <v>1.47</v>
      </c>
      <c r="BE1495" s="109">
        <v>2.1800000000000002</v>
      </c>
      <c r="BF1495" s="109">
        <v>2.08</v>
      </c>
      <c r="BG1495" s="109" t="s">
        <v>832</v>
      </c>
      <c r="BH1495" s="109">
        <v>2100</v>
      </c>
      <c r="BI1495" s="109">
        <v>2100</v>
      </c>
      <c r="BJ1495" s="109" t="s">
        <v>315</v>
      </c>
      <c r="BK1495" s="109">
        <v>42</v>
      </c>
      <c r="BL1495" s="109">
        <v>31.8</v>
      </c>
      <c r="BN1495" s="109">
        <v>134</v>
      </c>
      <c r="BO1495" s="109">
        <v>89</v>
      </c>
      <c r="BQ1495" s="109">
        <v>6.4</v>
      </c>
      <c r="BR1495" s="109">
        <v>6.6</v>
      </c>
      <c r="CC1495" s="109">
        <v>809</v>
      </c>
      <c r="CD1495" s="109">
        <v>861</v>
      </c>
      <c r="CE1495" s="109" t="s">
        <v>1382</v>
      </c>
      <c r="DD1495" s="109">
        <v>27</v>
      </c>
      <c r="DE1495" s="109">
        <v>26</v>
      </c>
      <c r="DF1495" s="109" t="s">
        <v>226</v>
      </c>
      <c r="DS1495" s="109">
        <v>1600</v>
      </c>
      <c r="DT1495" s="109">
        <v>1670</v>
      </c>
      <c r="DU1495" s="109" t="s">
        <v>592</v>
      </c>
      <c r="DV1495" s="109">
        <v>21.4</v>
      </c>
      <c r="DW1495" s="109">
        <v>22.3</v>
      </c>
      <c r="EE1495" s="109">
        <f>169*0.000012</f>
        <v>2.0279999999999999E-3</v>
      </c>
      <c r="EF1495" s="109">
        <f>150*0.000012</f>
        <v>1.8E-3</v>
      </c>
      <c r="EG1495" s="109" t="s">
        <v>1371</v>
      </c>
      <c r="EL1495" s="31" t="s">
        <v>595</v>
      </c>
      <c r="EN1495" s="109">
        <v>68</v>
      </c>
    </row>
    <row r="1496" spans="1:144" s="109" customFormat="1" x14ac:dyDescent="0.25">
      <c r="A1496" s="109">
        <v>68</v>
      </c>
      <c r="B1496" s="109" t="s">
        <v>1350</v>
      </c>
      <c r="C1496" s="109" t="s">
        <v>1351</v>
      </c>
      <c r="D1496" s="109">
        <v>2011</v>
      </c>
      <c r="E1496" s="109">
        <v>2000</v>
      </c>
      <c r="F1496" s="109" t="s">
        <v>394</v>
      </c>
      <c r="G1496" s="109" t="s">
        <v>1354</v>
      </c>
      <c r="H1496" s="109">
        <f t="shared" si="247"/>
        <v>43.3</v>
      </c>
      <c r="I1496" s="109">
        <f t="shared" si="248"/>
        <v>-89.35</v>
      </c>
      <c r="J1496" s="109">
        <v>317.10000000000002</v>
      </c>
      <c r="P1496" s="110" t="s">
        <v>1352</v>
      </c>
      <c r="Q1496" s="110" t="s">
        <v>1161</v>
      </c>
      <c r="R1496" s="110" t="s">
        <v>1353</v>
      </c>
      <c r="S1496" s="110" t="s">
        <v>1381</v>
      </c>
      <c r="W1496" s="109" t="s">
        <v>175</v>
      </c>
      <c r="AA1496" s="31" t="s">
        <v>1708</v>
      </c>
      <c r="AB1496" s="109" t="s">
        <v>152</v>
      </c>
      <c r="AC1496" s="109" t="s">
        <v>174</v>
      </c>
      <c r="AD1496" s="109" t="s">
        <v>174</v>
      </c>
      <c r="AE1496" s="109" t="s">
        <v>174</v>
      </c>
      <c r="AF1496" s="109" t="s">
        <v>252</v>
      </c>
      <c r="AG1496" s="109" t="s">
        <v>645</v>
      </c>
      <c r="AH1496" s="109" t="s">
        <v>1362</v>
      </c>
      <c r="AI1496" s="109" t="s">
        <v>693</v>
      </c>
      <c r="AJ1496" s="109" t="s">
        <v>1363</v>
      </c>
      <c r="AK1496" s="109" t="s">
        <v>1365</v>
      </c>
      <c r="AL1496" s="109" t="s">
        <v>693</v>
      </c>
      <c r="AM1496" s="109" t="s">
        <v>222</v>
      </c>
      <c r="AN1496" s="109">
        <v>4</v>
      </c>
      <c r="AO1496" s="109">
        <v>4</v>
      </c>
      <c r="AP1496" s="109" t="s">
        <v>184</v>
      </c>
      <c r="AU1496" s="109" t="s">
        <v>1356</v>
      </c>
      <c r="BB1496" s="109">
        <v>1.41</v>
      </c>
      <c r="BC1496" s="109">
        <v>1.48</v>
      </c>
      <c r="BE1496" s="109">
        <v>2.1800000000000002</v>
      </c>
      <c r="BF1496" s="109">
        <v>2.11</v>
      </c>
      <c r="BG1496" s="109" t="s">
        <v>832</v>
      </c>
      <c r="BH1496" s="109">
        <v>2100</v>
      </c>
      <c r="BI1496" s="109">
        <v>2100</v>
      </c>
      <c r="BJ1496" s="109" t="s">
        <v>315</v>
      </c>
      <c r="BK1496" s="109">
        <v>42</v>
      </c>
      <c r="BL1496" s="109">
        <v>40.799999999999997</v>
      </c>
      <c r="BN1496" s="109">
        <v>134</v>
      </c>
      <c r="BO1496" s="109">
        <v>72</v>
      </c>
      <c r="BQ1496" s="109">
        <v>6.4</v>
      </c>
      <c r="BR1496" s="109">
        <v>6.8</v>
      </c>
      <c r="CC1496" s="109">
        <v>809</v>
      </c>
      <c r="CD1496" s="109">
        <v>857</v>
      </c>
      <c r="CE1496" s="109" t="s">
        <v>1382</v>
      </c>
      <c r="DD1496" s="109">
        <v>27</v>
      </c>
      <c r="DE1496" s="109">
        <v>26</v>
      </c>
      <c r="DF1496" s="109" t="s">
        <v>226</v>
      </c>
      <c r="DS1496" s="109">
        <v>1600</v>
      </c>
      <c r="DT1496" s="109">
        <v>1610</v>
      </c>
      <c r="DU1496" s="109" t="s">
        <v>592</v>
      </c>
      <c r="DV1496" s="109">
        <v>21.4</v>
      </c>
      <c r="DW1496" s="109">
        <v>23.3</v>
      </c>
      <c r="EE1496" s="109">
        <f t="shared" ref="EE1496:EE1500" si="251">169*0.000012</f>
        <v>2.0279999999999999E-3</v>
      </c>
      <c r="EF1496" s="109">
        <f>144*0.000012</f>
        <v>1.7279999999999999E-3</v>
      </c>
      <c r="EG1496" s="109" t="s">
        <v>1371</v>
      </c>
      <c r="EL1496" s="31" t="s">
        <v>595</v>
      </c>
      <c r="EN1496" s="109">
        <v>68</v>
      </c>
    </row>
    <row r="1497" spans="1:144" s="109" customFormat="1" x14ac:dyDescent="0.25">
      <c r="A1497" s="109">
        <v>68</v>
      </c>
      <c r="B1497" s="109" t="s">
        <v>1350</v>
      </c>
      <c r="C1497" s="109" t="s">
        <v>1351</v>
      </c>
      <c r="D1497" s="109">
        <v>2011</v>
      </c>
      <c r="E1497" s="109">
        <v>2000</v>
      </c>
      <c r="F1497" s="109" t="s">
        <v>394</v>
      </c>
      <c r="G1497" s="109" t="s">
        <v>1354</v>
      </c>
      <c r="H1497" s="109">
        <f t="shared" si="247"/>
        <v>43.3</v>
      </c>
      <c r="I1497" s="109">
        <f t="shared" si="248"/>
        <v>-89.35</v>
      </c>
      <c r="J1497" s="109">
        <v>317.10000000000002</v>
      </c>
      <c r="P1497" s="110" t="s">
        <v>1352</v>
      </c>
      <c r="Q1497" s="110" t="s">
        <v>1161</v>
      </c>
      <c r="R1497" s="110" t="s">
        <v>1353</v>
      </c>
      <c r="S1497" s="110" t="s">
        <v>1381</v>
      </c>
      <c r="W1497" s="109" t="s">
        <v>175</v>
      </c>
      <c r="AA1497" s="31" t="s">
        <v>1708</v>
      </c>
      <c r="AB1497" s="109" t="s">
        <v>152</v>
      </c>
      <c r="AC1497" s="109" t="s">
        <v>174</v>
      </c>
      <c r="AD1497" s="109" t="s">
        <v>174</v>
      </c>
      <c r="AE1497" s="109" t="s">
        <v>174</v>
      </c>
      <c r="AF1497" s="109" t="s">
        <v>252</v>
      </c>
      <c r="AG1497" s="109" t="s">
        <v>645</v>
      </c>
      <c r="AH1497" s="109" t="s">
        <v>1362</v>
      </c>
      <c r="AI1497" s="109" t="s">
        <v>693</v>
      </c>
      <c r="AJ1497" s="109" t="s">
        <v>1363</v>
      </c>
      <c r="AK1497" s="109" t="s">
        <v>1366</v>
      </c>
      <c r="AL1497" s="109" t="s">
        <v>693</v>
      </c>
      <c r="AM1497" s="109" t="s">
        <v>222</v>
      </c>
      <c r="AN1497" s="109">
        <v>4</v>
      </c>
      <c r="AO1497" s="109">
        <v>4</v>
      </c>
      <c r="AP1497" s="109" t="s">
        <v>184</v>
      </c>
      <c r="AU1497" s="109" t="s">
        <v>1357</v>
      </c>
      <c r="BB1497" s="109">
        <v>1.41</v>
      </c>
      <c r="BC1497" s="109">
        <v>1.37</v>
      </c>
      <c r="BE1497" s="109">
        <v>2.1800000000000002</v>
      </c>
      <c r="BF1497" s="109">
        <v>2.2000000000000002</v>
      </c>
      <c r="BG1497" s="109" t="s">
        <v>832</v>
      </c>
      <c r="BH1497" s="109">
        <v>2100</v>
      </c>
      <c r="BI1497" s="109">
        <v>2200</v>
      </c>
      <c r="BJ1497" s="109" t="s">
        <v>315</v>
      </c>
      <c r="BK1497" s="109">
        <v>42</v>
      </c>
      <c r="BL1497" s="109">
        <v>50</v>
      </c>
      <c r="BN1497" s="109">
        <v>134</v>
      </c>
      <c r="BO1497" s="109">
        <v>83</v>
      </c>
      <c r="BQ1497" s="109">
        <v>6.4</v>
      </c>
      <c r="BR1497" s="109">
        <v>6.6</v>
      </c>
      <c r="CC1497" s="109">
        <v>809</v>
      </c>
      <c r="CD1497" s="109">
        <v>842</v>
      </c>
      <c r="CE1497" s="109" t="s">
        <v>1382</v>
      </c>
      <c r="DD1497" s="109">
        <v>27</v>
      </c>
      <c r="DE1497" s="109">
        <v>25</v>
      </c>
      <c r="DF1497" s="109" t="s">
        <v>226</v>
      </c>
      <c r="DS1497" s="109">
        <v>1600</v>
      </c>
      <c r="DT1497" s="109">
        <v>1540</v>
      </c>
      <c r="DU1497" s="109" t="s">
        <v>592</v>
      </c>
      <c r="DV1497" s="109">
        <v>21.4</v>
      </c>
      <c r="DW1497" s="109">
        <v>25.9</v>
      </c>
      <c r="EE1497" s="109">
        <f t="shared" si="251"/>
        <v>2.0279999999999999E-3</v>
      </c>
      <c r="EF1497" s="109">
        <f>114*0.000012</f>
        <v>1.3680000000000001E-3</v>
      </c>
      <c r="EG1497" s="109" t="s">
        <v>1380</v>
      </c>
      <c r="EL1497" s="31" t="s">
        <v>595</v>
      </c>
      <c r="EN1497" s="109">
        <v>68</v>
      </c>
    </row>
    <row r="1498" spans="1:144" s="109" customFormat="1" x14ac:dyDescent="0.25">
      <c r="A1498" s="109">
        <v>68</v>
      </c>
      <c r="B1498" s="109" t="s">
        <v>1350</v>
      </c>
      <c r="C1498" s="109" t="s">
        <v>1351</v>
      </c>
      <c r="D1498" s="109">
        <v>2011</v>
      </c>
      <c r="E1498" s="109">
        <v>2000</v>
      </c>
      <c r="F1498" s="109" t="s">
        <v>394</v>
      </c>
      <c r="G1498" s="109" t="s">
        <v>1354</v>
      </c>
      <c r="H1498" s="109">
        <f t="shared" si="247"/>
        <v>43.3</v>
      </c>
      <c r="I1498" s="109">
        <f t="shared" si="248"/>
        <v>-89.35</v>
      </c>
      <c r="J1498" s="109">
        <v>317.10000000000002</v>
      </c>
      <c r="P1498" s="110" t="s">
        <v>1352</v>
      </c>
      <c r="Q1498" s="110" t="s">
        <v>1161</v>
      </c>
      <c r="R1498" s="110" t="s">
        <v>1353</v>
      </c>
      <c r="S1498" s="110" t="s">
        <v>1381</v>
      </c>
      <c r="W1498" s="109" t="s">
        <v>175</v>
      </c>
      <c r="AA1498" s="31" t="s">
        <v>1708</v>
      </c>
      <c r="AB1498" s="109" t="s">
        <v>152</v>
      </c>
      <c r="AC1498" s="109" t="s">
        <v>174</v>
      </c>
      <c r="AD1498" s="109" t="s">
        <v>174</v>
      </c>
      <c r="AE1498" s="109" t="s">
        <v>174</v>
      </c>
      <c r="AF1498" s="109" t="s">
        <v>252</v>
      </c>
      <c r="AG1498" s="109" t="s">
        <v>645</v>
      </c>
      <c r="AH1498" s="109" t="s">
        <v>1362</v>
      </c>
      <c r="AI1498" s="109" t="s">
        <v>693</v>
      </c>
      <c r="AJ1498" s="109" t="s">
        <v>1363</v>
      </c>
      <c r="AK1498" s="109" t="s">
        <v>1367</v>
      </c>
      <c r="AL1498" s="109" t="s">
        <v>693</v>
      </c>
      <c r="AM1498" s="109" t="s">
        <v>222</v>
      </c>
      <c r="AN1498" s="109">
        <v>4</v>
      </c>
      <c r="AO1498" s="109">
        <v>4</v>
      </c>
      <c r="AP1498" s="109" t="s">
        <v>184</v>
      </c>
      <c r="AU1498" s="109" t="s">
        <v>1358</v>
      </c>
      <c r="BB1498" s="109">
        <v>1.41</v>
      </c>
      <c r="BC1498" s="109">
        <v>1.37</v>
      </c>
      <c r="BE1498" s="109">
        <v>2.1800000000000002</v>
      </c>
      <c r="BF1498" s="109">
        <v>2.2999999999999998</v>
      </c>
      <c r="BG1498" s="109" t="s">
        <v>832</v>
      </c>
      <c r="BH1498" s="109">
        <v>2100</v>
      </c>
      <c r="BI1498" s="109">
        <v>2300</v>
      </c>
      <c r="BJ1498" s="109" t="s">
        <v>315</v>
      </c>
      <c r="BK1498" s="109">
        <v>42</v>
      </c>
      <c r="BL1498" s="109">
        <v>46.8</v>
      </c>
      <c r="BN1498" s="109">
        <v>134</v>
      </c>
      <c r="BO1498" s="109">
        <v>79</v>
      </c>
      <c r="BQ1498" s="109">
        <v>6.4</v>
      </c>
      <c r="BR1498" s="109">
        <v>6.8</v>
      </c>
      <c r="CC1498" s="109">
        <v>809</v>
      </c>
      <c r="CD1498" s="109">
        <v>851</v>
      </c>
      <c r="CE1498" s="109" t="s">
        <v>1382</v>
      </c>
      <c r="DD1498" s="109">
        <v>27</v>
      </c>
      <c r="DE1498" s="109">
        <v>26</v>
      </c>
      <c r="DF1498" s="109" t="s">
        <v>226</v>
      </c>
      <c r="DS1498" s="109">
        <v>1600</v>
      </c>
      <c r="DT1498" s="109">
        <v>1840</v>
      </c>
      <c r="DU1498" s="109" t="s">
        <v>592</v>
      </c>
      <c r="DV1498" s="109">
        <v>21.4</v>
      </c>
      <c r="DW1498" s="109">
        <v>29.8</v>
      </c>
      <c r="EE1498" s="109">
        <f t="shared" si="251"/>
        <v>2.0279999999999999E-3</v>
      </c>
      <c r="EF1498" s="109">
        <f>134*0.000012</f>
        <v>1.6080000000000001E-3</v>
      </c>
      <c r="EG1498" s="109" t="s">
        <v>1380</v>
      </c>
      <c r="EL1498" s="31" t="s">
        <v>595</v>
      </c>
      <c r="EN1498" s="109">
        <v>68</v>
      </c>
    </row>
    <row r="1499" spans="1:144" s="109" customFormat="1" x14ac:dyDescent="0.25">
      <c r="A1499" s="109">
        <v>68</v>
      </c>
      <c r="B1499" s="109" t="s">
        <v>1350</v>
      </c>
      <c r="C1499" s="109" t="s">
        <v>1351</v>
      </c>
      <c r="D1499" s="109">
        <v>2011</v>
      </c>
      <c r="E1499" s="109">
        <v>2000</v>
      </c>
      <c r="F1499" s="109" t="s">
        <v>394</v>
      </c>
      <c r="G1499" s="109" t="s">
        <v>1354</v>
      </c>
      <c r="H1499" s="109">
        <f t="shared" si="247"/>
        <v>43.3</v>
      </c>
      <c r="I1499" s="109">
        <f t="shared" si="248"/>
        <v>-89.35</v>
      </c>
      <c r="J1499" s="109">
        <v>317.10000000000002</v>
      </c>
      <c r="P1499" s="110" t="s">
        <v>1352</v>
      </c>
      <c r="Q1499" s="110" t="s">
        <v>1161</v>
      </c>
      <c r="R1499" s="110" t="s">
        <v>1353</v>
      </c>
      <c r="S1499" s="110" t="s">
        <v>1381</v>
      </c>
      <c r="W1499" s="109" t="s">
        <v>175</v>
      </c>
      <c r="AA1499" s="31" t="s">
        <v>1708</v>
      </c>
      <c r="AB1499" s="109" t="s">
        <v>152</v>
      </c>
      <c r="AC1499" s="109" t="s">
        <v>174</v>
      </c>
      <c r="AD1499" s="109" t="s">
        <v>174</v>
      </c>
      <c r="AE1499" s="109" t="s">
        <v>174</v>
      </c>
      <c r="AF1499" s="109" t="s">
        <v>252</v>
      </c>
      <c r="AG1499" s="109" t="s">
        <v>645</v>
      </c>
      <c r="AH1499" s="109" t="s">
        <v>1362</v>
      </c>
      <c r="AI1499" s="109" t="s">
        <v>693</v>
      </c>
      <c r="AJ1499" s="109" t="s">
        <v>1363</v>
      </c>
      <c r="AK1499" s="109" t="s">
        <v>1368</v>
      </c>
      <c r="AL1499" s="109" t="s">
        <v>693</v>
      </c>
      <c r="AM1499" s="109" t="s">
        <v>222</v>
      </c>
      <c r="AN1499" s="109">
        <v>4</v>
      </c>
      <c r="AO1499" s="109">
        <v>4</v>
      </c>
      <c r="AP1499" s="109" t="s">
        <v>184</v>
      </c>
      <c r="AU1499" s="109" t="s">
        <v>1359</v>
      </c>
      <c r="BB1499" s="109">
        <v>1.41</v>
      </c>
      <c r="BC1499" s="109">
        <v>1.41</v>
      </c>
      <c r="BE1499" s="109">
        <v>2.1800000000000002</v>
      </c>
      <c r="BF1499" s="109">
        <v>2.4</v>
      </c>
      <c r="BG1499" s="109" t="s">
        <v>832</v>
      </c>
      <c r="BH1499" s="109">
        <v>2100</v>
      </c>
      <c r="BI1499" s="109">
        <v>2300</v>
      </c>
      <c r="BJ1499" s="109" t="s">
        <v>315</v>
      </c>
      <c r="BK1499" s="109">
        <v>42</v>
      </c>
      <c r="BL1499" s="109">
        <v>50.5</v>
      </c>
      <c r="BN1499" s="109">
        <v>134</v>
      </c>
      <c r="BO1499" s="109">
        <v>75</v>
      </c>
      <c r="BQ1499" s="109">
        <v>6.4</v>
      </c>
      <c r="BR1499" s="109">
        <v>6.7</v>
      </c>
      <c r="CC1499" s="109">
        <v>809</v>
      </c>
      <c r="CD1499" s="109">
        <v>882</v>
      </c>
      <c r="CE1499" s="109" t="s">
        <v>1382</v>
      </c>
      <c r="DD1499" s="109">
        <v>27</v>
      </c>
      <c r="DE1499" s="109">
        <v>26</v>
      </c>
      <c r="DF1499" s="109" t="s">
        <v>226</v>
      </c>
      <c r="DS1499" s="109">
        <v>1600</v>
      </c>
      <c r="DT1499" s="109">
        <v>1820</v>
      </c>
      <c r="DU1499" s="109" t="s">
        <v>592</v>
      </c>
      <c r="DV1499" s="109">
        <v>21.4</v>
      </c>
      <c r="DW1499" s="109">
        <v>30.9</v>
      </c>
      <c r="EE1499" s="109">
        <f t="shared" si="251"/>
        <v>2.0279999999999999E-3</v>
      </c>
      <c r="EF1499" s="109">
        <f>95*0.000012</f>
        <v>1.14E-3</v>
      </c>
      <c r="EG1499" s="109" t="s">
        <v>1380</v>
      </c>
      <c r="EL1499" s="31" t="s">
        <v>595</v>
      </c>
      <c r="EN1499" s="109">
        <v>68</v>
      </c>
    </row>
    <row r="1500" spans="1:144" s="109" customFormat="1" x14ac:dyDescent="0.25">
      <c r="A1500" s="109">
        <v>68</v>
      </c>
      <c r="B1500" s="109" t="s">
        <v>1350</v>
      </c>
      <c r="C1500" s="109" t="s">
        <v>1351</v>
      </c>
      <c r="D1500" s="109">
        <v>2011</v>
      </c>
      <c r="E1500" s="109">
        <v>2000</v>
      </c>
      <c r="F1500" s="109" t="s">
        <v>394</v>
      </c>
      <c r="G1500" s="109" t="s">
        <v>1354</v>
      </c>
      <c r="H1500" s="109">
        <f t="shared" si="247"/>
        <v>43.3</v>
      </c>
      <c r="I1500" s="109">
        <f t="shared" si="248"/>
        <v>-89.35</v>
      </c>
      <c r="J1500" s="109">
        <v>317.10000000000002</v>
      </c>
      <c r="P1500" s="110" t="s">
        <v>1352</v>
      </c>
      <c r="Q1500" s="110" t="s">
        <v>1161</v>
      </c>
      <c r="R1500" s="110" t="s">
        <v>1353</v>
      </c>
      <c r="S1500" s="110" t="s">
        <v>1381</v>
      </c>
      <c r="W1500" s="109" t="s">
        <v>175</v>
      </c>
      <c r="AA1500" s="31" t="s">
        <v>1708</v>
      </c>
      <c r="AB1500" s="109" t="s">
        <v>851</v>
      </c>
      <c r="AC1500" s="109" t="s">
        <v>174</v>
      </c>
      <c r="AD1500" s="109" t="s">
        <v>174</v>
      </c>
      <c r="AE1500" s="109" t="s">
        <v>1361</v>
      </c>
      <c r="AF1500" s="109" t="s">
        <v>693</v>
      </c>
      <c r="AG1500" s="109" t="s">
        <v>645</v>
      </c>
      <c r="AH1500" s="109" t="s">
        <v>1362</v>
      </c>
      <c r="AI1500" s="109" t="s">
        <v>693</v>
      </c>
      <c r="AJ1500" s="109" t="s">
        <v>1363</v>
      </c>
      <c r="AK1500" s="109" t="s">
        <v>1369</v>
      </c>
      <c r="AL1500" s="109" t="s">
        <v>693</v>
      </c>
      <c r="AM1500" s="109" t="s">
        <v>222</v>
      </c>
      <c r="AN1500" s="109">
        <v>4</v>
      </c>
      <c r="AO1500" s="109">
        <v>4</v>
      </c>
      <c r="AP1500" s="109" t="s">
        <v>184</v>
      </c>
      <c r="AU1500" s="109" t="s">
        <v>1360</v>
      </c>
      <c r="BB1500" s="109">
        <v>1.41</v>
      </c>
      <c r="BC1500" s="109">
        <v>1.42</v>
      </c>
      <c r="BE1500" s="109">
        <v>2.1800000000000002</v>
      </c>
      <c r="BF1500" s="109">
        <v>2.2400000000000002</v>
      </c>
      <c r="BG1500" s="109" t="s">
        <v>832</v>
      </c>
      <c r="BH1500" s="109">
        <v>2100</v>
      </c>
      <c r="BI1500" s="109">
        <v>2100</v>
      </c>
      <c r="BJ1500" s="109" t="s">
        <v>315</v>
      </c>
      <c r="BK1500" s="109">
        <v>42</v>
      </c>
      <c r="BL1500" s="109">
        <v>36</v>
      </c>
      <c r="BN1500" s="109">
        <v>134</v>
      </c>
      <c r="BO1500" s="109">
        <v>75</v>
      </c>
      <c r="BQ1500" s="109">
        <v>6.4</v>
      </c>
      <c r="BR1500" s="109">
        <v>6.5</v>
      </c>
      <c r="CC1500" s="109">
        <v>809</v>
      </c>
      <c r="CD1500" s="109">
        <v>873</v>
      </c>
      <c r="CE1500" s="109" t="s">
        <v>1382</v>
      </c>
      <c r="DD1500" s="109">
        <v>27</v>
      </c>
      <c r="DE1500" s="109">
        <v>23</v>
      </c>
      <c r="DF1500" s="109" t="s">
        <v>226</v>
      </c>
      <c r="DS1500" s="109">
        <v>1600</v>
      </c>
      <c r="DT1500" s="109">
        <v>1380</v>
      </c>
      <c r="DU1500" s="109" t="s">
        <v>592</v>
      </c>
      <c r="DV1500" s="109">
        <v>21.4</v>
      </c>
      <c r="DW1500" s="109">
        <v>24.4</v>
      </c>
      <c r="EE1500" s="109">
        <f t="shared" si="251"/>
        <v>2.0279999999999999E-3</v>
      </c>
      <c r="EF1500" s="109">
        <f>193*0.000012</f>
        <v>2.3159999999999999E-3</v>
      </c>
      <c r="EG1500" s="109" t="s">
        <v>1380</v>
      </c>
      <c r="EL1500" s="31" t="s">
        <v>595</v>
      </c>
      <c r="EN1500" s="109">
        <v>68</v>
      </c>
    </row>
    <row r="1501" spans="1:144" s="111" customFormat="1" x14ac:dyDescent="0.25">
      <c r="A1501" s="111">
        <v>68</v>
      </c>
      <c r="B1501" s="111" t="s">
        <v>1350</v>
      </c>
      <c r="C1501" s="111" t="s">
        <v>1351</v>
      </c>
      <c r="D1501" s="111">
        <v>2011</v>
      </c>
      <c r="E1501" s="111">
        <v>2000</v>
      </c>
      <c r="F1501" s="111" t="s">
        <v>394</v>
      </c>
      <c r="G1501" s="111" t="s">
        <v>1354</v>
      </c>
      <c r="H1501" s="111">
        <f t="shared" si="247"/>
        <v>43.3</v>
      </c>
      <c r="I1501" s="111">
        <f t="shared" si="248"/>
        <v>-89.35</v>
      </c>
      <c r="J1501" s="111">
        <v>317.10000000000002</v>
      </c>
      <c r="P1501" s="112" t="s">
        <v>1352</v>
      </c>
      <c r="Q1501" s="112" t="s">
        <v>1161</v>
      </c>
      <c r="R1501" s="112" t="s">
        <v>1353</v>
      </c>
      <c r="S1501" s="112" t="s">
        <v>1381</v>
      </c>
      <c r="W1501" s="111" t="s">
        <v>175</v>
      </c>
      <c r="AA1501" s="38" t="s">
        <v>1708</v>
      </c>
      <c r="AB1501" s="111" t="s">
        <v>613</v>
      </c>
      <c r="AC1501" s="111" t="s">
        <v>1740</v>
      </c>
      <c r="AD1501" s="111" t="s">
        <v>914</v>
      </c>
      <c r="AE1501" s="111" t="s">
        <v>1251</v>
      </c>
      <c r="AF1501" s="111" t="s">
        <v>252</v>
      </c>
      <c r="AG1501" s="111" t="s">
        <v>1379</v>
      </c>
      <c r="AH1501" s="111" t="s">
        <v>1362</v>
      </c>
      <c r="AI1501" s="111" t="s">
        <v>693</v>
      </c>
      <c r="AJ1501" s="111" t="s">
        <v>1378</v>
      </c>
      <c r="AK1501" s="111" t="s">
        <v>1364</v>
      </c>
      <c r="AL1501" s="111" t="s">
        <v>693</v>
      </c>
      <c r="AM1501" s="111" t="s">
        <v>222</v>
      </c>
      <c r="AN1501" s="111">
        <v>4</v>
      </c>
      <c r="AO1501" s="111">
        <v>4</v>
      </c>
      <c r="AP1501" s="111" t="s">
        <v>184</v>
      </c>
      <c r="AU1501" s="111" t="s">
        <v>1372</v>
      </c>
      <c r="BB1501" s="111">
        <v>1.38</v>
      </c>
      <c r="BC1501" s="111">
        <v>1.47</v>
      </c>
      <c r="BE1501" s="111">
        <v>1.95</v>
      </c>
      <c r="BF1501" s="111">
        <v>2.08</v>
      </c>
      <c r="BG1501" s="111" t="s">
        <v>832</v>
      </c>
      <c r="BH1501" s="111">
        <v>1900</v>
      </c>
      <c r="BI1501" s="111">
        <v>2100</v>
      </c>
      <c r="BJ1501" s="111" t="s">
        <v>315</v>
      </c>
      <c r="BK1501" s="111">
        <v>33</v>
      </c>
      <c r="BL1501" s="111">
        <v>31.8</v>
      </c>
      <c r="BN1501" s="111">
        <v>97</v>
      </c>
      <c r="BO1501" s="111">
        <v>89</v>
      </c>
      <c r="BQ1501" s="111">
        <v>6.5</v>
      </c>
      <c r="BR1501" s="111">
        <v>6.6</v>
      </c>
      <c r="CC1501" s="111">
        <v>887</v>
      </c>
      <c r="CD1501" s="111">
        <v>861</v>
      </c>
      <c r="CE1501" s="111" t="s">
        <v>1382</v>
      </c>
      <c r="DD1501" s="111">
        <v>26</v>
      </c>
      <c r="DE1501" s="111">
        <v>26</v>
      </c>
      <c r="DF1501" s="111" t="s">
        <v>226</v>
      </c>
      <c r="DS1501" s="111">
        <v>1380</v>
      </c>
      <c r="DT1501" s="111">
        <v>1670</v>
      </c>
      <c r="DU1501" s="111" t="s">
        <v>592</v>
      </c>
      <c r="DV1501" s="111">
        <v>17.100000000000001</v>
      </c>
      <c r="DW1501" s="111">
        <v>22.3</v>
      </c>
      <c r="EE1501" s="111">
        <f>109*0.000012</f>
        <v>1.3080000000000001E-3</v>
      </c>
      <c r="EF1501" s="111">
        <v>1.8E-3</v>
      </c>
      <c r="EG1501" s="111" t="s">
        <v>1371</v>
      </c>
      <c r="EL1501" s="38" t="s">
        <v>595</v>
      </c>
      <c r="EN1501" s="111">
        <v>68</v>
      </c>
    </row>
    <row r="1502" spans="1:144" s="111" customFormat="1" x14ac:dyDescent="0.25">
      <c r="A1502" s="111">
        <v>68</v>
      </c>
      <c r="B1502" s="111" t="s">
        <v>1350</v>
      </c>
      <c r="C1502" s="111" t="s">
        <v>1351</v>
      </c>
      <c r="D1502" s="111">
        <v>2011</v>
      </c>
      <c r="E1502" s="111">
        <v>2000</v>
      </c>
      <c r="F1502" s="111" t="s">
        <v>394</v>
      </c>
      <c r="G1502" s="111" t="s">
        <v>1354</v>
      </c>
      <c r="H1502" s="111">
        <f t="shared" si="247"/>
        <v>43.3</v>
      </c>
      <c r="I1502" s="111">
        <f t="shared" si="248"/>
        <v>-89.35</v>
      </c>
      <c r="J1502" s="111">
        <v>317.10000000000002</v>
      </c>
      <c r="P1502" s="112" t="s">
        <v>1352</v>
      </c>
      <c r="Q1502" s="112" t="s">
        <v>1161</v>
      </c>
      <c r="R1502" s="112" t="s">
        <v>1353</v>
      </c>
      <c r="S1502" s="112" t="s">
        <v>1381</v>
      </c>
      <c r="W1502" s="111" t="s">
        <v>175</v>
      </c>
      <c r="AA1502" s="38" t="s">
        <v>1708</v>
      </c>
      <c r="AB1502" s="111" t="s">
        <v>152</v>
      </c>
      <c r="AC1502" s="111" t="s">
        <v>1740</v>
      </c>
      <c r="AD1502" s="111" t="s">
        <v>914</v>
      </c>
      <c r="AE1502" s="111" t="s">
        <v>174</v>
      </c>
      <c r="AF1502" s="111" t="s">
        <v>693</v>
      </c>
      <c r="AG1502" s="111" t="s">
        <v>1379</v>
      </c>
      <c r="AH1502" s="111" t="s">
        <v>1362</v>
      </c>
      <c r="AI1502" s="111" t="s">
        <v>693</v>
      </c>
      <c r="AJ1502" s="111" t="s">
        <v>1378</v>
      </c>
      <c r="AK1502" s="111" t="s">
        <v>1365</v>
      </c>
      <c r="AL1502" s="111" t="s">
        <v>693</v>
      </c>
      <c r="AM1502" s="111" t="s">
        <v>222</v>
      </c>
      <c r="AN1502" s="111">
        <v>4</v>
      </c>
      <c r="AO1502" s="111">
        <v>4</v>
      </c>
      <c r="AP1502" s="111" t="s">
        <v>184</v>
      </c>
      <c r="AU1502" s="111" t="s">
        <v>1373</v>
      </c>
      <c r="BB1502" s="111">
        <v>1.38</v>
      </c>
      <c r="BC1502" s="111">
        <v>1.48</v>
      </c>
      <c r="BE1502" s="111">
        <v>1.95</v>
      </c>
      <c r="BF1502" s="111">
        <v>2.11</v>
      </c>
      <c r="BG1502" s="111" t="s">
        <v>832</v>
      </c>
      <c r="BH1502" s="111">
        <v>1900</v>
      </c>
      <c r="BI1502" s="111">
        <v>2100</v>
      </c>
      <c r="BJ1502" s="111" t="s">
        <v>315</v>
      </c>
      <c r="BK1502" s="111">
        <v>33</v>
      </c>
      <c r="BL1502" s="111">
        <v>40.799999999999997</v>
      </c>
      <c r="BN1502" s="111">
        <v>97</v>
      </c>
      <c r="BO1502" s="111">
        <v>72</v>
      </c>
      <c r="BQ1502" s="111">
        <v>6.5</v>
      </c>
      <c r="BR1502" s="111">
        <v>6.8</v>
      </c>
      <c r="CC1502" s="111">
        <v>887</v>
      </c>
      <c r="CD1502" s="111">
        <v>857</v>
      </c>
      <c r="CE1502" s="111" t="s">
        <v>1382</v>
      </c>
      <c r="DD1502" s="111">
        <v>26</v>
      </c>
      <c r="DE1502" s="111">
        <v>26</v>
      </c>
      <c r="DF1502" s="111" t="s">
        <v>226</v>
      </c>
      <c r="DS1502" s="111">
        <v>1380</v>
      </c>
      <c r="DT1502" s="111">
        <v>1610</v>
      </c>
      <c r="DU1502" s="111" t="s">
        <v>592</v>
      </c>
      <c r="DV1502" s="111">
        <v>17.100000000000001</v>
      </c>
      <c r="DW1502" s="111">
        <v>23.3</v>
      </c>
      <c r="EE1502" s="111">
        <f t="shared" ref="EE1502:EE1506" si="252">109*0.000012</f>
        <v>1.3080000000000001E-3</v>
      </c>
      <c r="EF1502" s="111">
        <v>1.7279999999999999E-3</v>
      </c>
      <c r="EG1502" s="111" t="s">
        <v>1371</v>
      </c>
      <c r="EL1502" s="38" t="s">
        <v>595</v>
      </c>
      <c r="EN1502" s="111">
        <v>68</v>
      </c>
    </row>
    <row r="1503" spans="1:144" s="111" customFormat="1" x14ac:dyDescent="0.25">
      <c r="A1503" s="111">
        <v>68</v>
      </c>
      <c r="B1503" s="111" t="s">
        <v>1350</v>
      </c>
      <c r="C1503" s="111" t="s">
        <v>1351</v>
      </c>
      <c r="D1503" s="111">
        <v>2011</v>
      </c>
      <c r="E1503" s="111">
        <v>2000</v>
      </c>
      <c r="F1503" s="111" t="s">
        <v>394</v>
      </c>
      <c r="G1503" s="111" t="s">
        <v>1354</v>
      </c>
      <c r="H1503" s="111">
        <f t="shared" si="247"/>
        <v>43.3</v>
      </c>
      <c r="I1503" s="111">
        <f t="shared" si="248"/>
        <v>-89.35</v>
      </c>
      <c r="J1503" s="111">
        <v>317.10000000000002</v>
      </c>
      <c r="P1503" s="112" t="s">
        <v>1352</v>
      </c>
      <c r="Q1503" s="112" t="s">
        <v>1161</v>
      </c>
      <c r="R1503" s="112" t="s">
        <v>1353</v>
      </c>
      <c r="S1503" s="112" t="s">
        <v>1381</v>
      </c>
      <c r="W1503" s="111" t="s">
        <v>175</v>
      </c>
      <c r="AA1503" s="38" t="s">
        <v>1708</v>
      </c>
      <c r="AB1503" s="111" t="s">
        <v>152</v>
      </c>
      <c r="AC1503" s="111" t="s">
        <v>1740</v>
      </c>
      <c r="AD1503" s="111" t="s">
        <v>914</v>
      </c>
      <c r="AE1503" s="111" t="s">
        <v>174</v>
      </c>
      <c r="AF1503" s="111" t="s">
        <v>693</v>
      </c>
      <c r="AG1503" s="111" t="s">
        <v>1379</v>
      </c>
      <c r="AH1503" s="111" t="s">
        <v>1362</v>
      </c>
      <c r="AI1503" s="111" t="s">
        <v>693</v>
      </c>
      <c r="AJ1503" s="111" t="s">
        <v>1378</v>
      </c>
      <c r="AK1503" s="111" t="s">
        <v>1366</v>
      </c>
      <c r="AL1503" s="111" t="s">
        <v>693</v>
      </c>
      <c r="AM1503" s="111" t="s">
        <v>222</v>
      </c>
      <c r="AN1503" s="111">
        <v>4</v>
      </c>
      <c r="AO1503" s="111">
        <v>4</v>
      </c>
      <c r="AP1503" s="111" t="s">
        <v>184</v>
      </c>
      <c r="AU1503" s="111" t="s">
        <v>1374</v>
      </c>
      <c r="BB1503" s="111">
        <v>1.38</v>
      </c>
      <c r="BC1503" s="111">
        <v>1.37</v>
      </c>
      <c r="BE1503" s="111">
        <v>1.95</v>
      </c>
      <c r="BF1503" s="111">
        <v>2.2000000000000002</v>
      </c>
      <c r="BG1503" s="111" t="s">
        <v>832</v>
      </c>
      <c r="BH1503" s="111">
        <v>1900</v>
      </c>
      <c r="BI1503" s="111">
        <v>2200</v>
      </c>
      <c r="BJ1503" s="111" t="s">
        <v>315</v>
      </c>
      <c r="BK1503" s="111">
        <v>33</v>
      </c>
      <c r="BL1503" s="111">
        <v>50</v>
      </c>
      <c r="BN1503" s="111">
        <v>97</v>
      </c>
      <c r="BO1503" s="111">
        <v>83</v>
      </c>
      <c r="BQ1503" s="111">
        <v>6.5</v>
      </c>
      <c r="BR1503" s="111">
        <v>6.6</v>
      </c>
      <c r="CC1503" s="111">
        <v>887</v>
      </c>
      <c r="CD1503" s="111">
        <v>842</v>
      </c>
      <c r="CE1503" s="111" t="s">
        <v>1382</v>
      </c>
      <c r="DD1503" s="111">
        <v>26</v>
      </c>
      <c r="DE1503" s="111">
        <v>25</v>
      </c>
      <c r="DF1503" s="111" t="s">
        <v>226</v>
      </c>
      <c r="DS1503" s="111">
        <v>1380</v>
      </c>
      <c r="DT1503" s="111">
        <v>1540</v>
      </c>
      <c r="DU1503" s="111" t="s">
        <v>592</v>
      </c>
      <c r="DV1503" s="111">
        <v>17.100000000000001</v>
      </c>
      <c r="DW1503" s="111">
        <v>25.9</v>
      </c>
      <c r="EE1503" s="111">
        <f t="shared" si="252"/>
        <v>1.3080000000000001E-3</v>
      </c>
      <c r="EF1503" s="111">
        <v>1.3680000000000001E-3</v>
      </c>
      <c r="EG1503" s="111" t="s">
        <v>1380</v>
      </c>
      <c r="EL1503" s="38" t="s">
        <v>595</v>
      </c>
      <c r="EN1503" s="111">
        <v>68</v>
      </c>
    </row>
    <row r="1504" spans="1:144" s="111" customFormat="1" x14ac:dyDescent="0.25">
      <c r="A1504" s="111">
        <v>68</v>
      </c>
      <c r="B1504" s="111" t="s">
        <v>1350</v>
      </c>
      <c r="C1504" s="111" t="s">
        <v>1351</v>
      </c>
      <c r="D1504" s="111">
        <v>2011</v>
      </c>
      <c r="E1504" s="111">
        <v>2000</v>
      </c>
      <c r="F1504" s="111" t="s">
        <v>394</v>
      </c>
      <c r="G1504" s="111" t="s">
        <v>1354</v>
      </c>
      <c r="H1504" s="111">
        <f t="shared" si="247"/>
        <v>43.3</v>
      </c>
      <c r="I1504" s="111">
        <f t="shared" si="248"/>
        <v>-89.35</v>
      </c>
      <c r="J1504" s="111">
        <v>317.10000000000002</v>
      </c>
      <c r="P1504" s="112" t="s">
        <v>1352</v>
      </c>
      <c r="Q1504" s="112" t="s">
        <v>1161</v>
      </c>
      <c r="R1504" s="112" t="s">
        <v>1353</v>
      </c>
      <c r="S1504" s="112" t="s">
        <v>1381</v>
      </c>
      <c r="W1504" s="111" t="s">
        <v>175</v>
      </c>
      <c r="AA1504" s="38" t="s">
        <v>1708</v>
      </c>
      <c r="AB1504" s="111" t="s">
        <v>152</v>
      </c>
      <c r="AC1504" s="111" t="s">
        <v>1740</v>
      </c>
      <c r="AD1504" s="111" t="s">
        <v>914</v>
      </c>
      <c r="AE1504" s="111" t="s">
        <v>174</v>
      </c>
      <c r="AF1504" s="111" t="s">
        <v>693</v>
      </c>
      <c r="AG1504" s="111" t="s">
        <v>1379</v>
      </c>
      <c r="AH1504" s="111" t="s">
        <v>1362</v>
      </c>
      <c r="AI1504" s="111" t="s">
        <v>693</v>
      </c>
      <c r="AJ1504" s="111" t="s">
        <v>1378</v>
      </c>
      <c r="AK1504" s="111" t="s">
        <v>1367</v>
      </c>
      <c r="AL1504" s="111" t="s">
        <v>693</v>
      </c>
      <c r="AM1504" s="111" t="s">
        <v>222</v>
      </c>
      <c r="AN1504" s="111">
        <v>4</v>
      </c>
      <c r="AO1504" s="111">
        <v>4</v>
      </c>
      <c r="AP1504" s="111" t="s">
        <v>184</v>
      </c>
      <c r="AU1504" s="111" t="s">
        <v>1375</v>
      </c>
      <c r="BB1504" s="111">
        <v>1.38</v>
      </c>
      <c r="BC1504" s="111">
        <v>1.37</v>
      </c>
      <c r="BE1504" s="111">
        <v>1.95</v>
      </c>
      <c r="BF1504" s="111">
        <v>2.2999999999999998</v>
      </c>
      <c r="BG1504" s="111" t="s">
        <v>832</v>
      </c>
      <c r="BH1504" s="111">
        <v>1900</v>
      </c>
      <c r="BI1504" s="111">
        <v>2300</v>
      </c>
      <c r="BJ1504" s="111" t="s">
        <v>315</v>
      </c>
      <c r="BK1504" s="111">
        <v>33</v>
      </c>
      <c r="BL1504" s="111">
        <v>46.8</v>
      </c>
      <c r="BN1504" s="111">
        <v>97</v>
      </c>
      <c r="BO1504" s="111">
        <v>79</v>
      </c>
      <c r="BQ1504" s="111">
        <v>6.5</v>
      </c>
      <c r="BR1504" s="111">
        <v>6.8</v>
      </c>
      <c r="CC1504" s="111">
        <v>887</v>
      </c>
      <c r="CD1504" s="111">
        <v>851</v>
      </c>
      <c r="CE1504" s="111" t="s">
        <v>1382</v>
      </c>
      <c r="DD1504" s="111">
        <v>26</v>
      </c>
      <c r="DE1504" s="111">
        <v>26</v>
      </c>
      <c r="DF1504" s="111" t="s">
        <v>226</v>
      </c>
      <c r="DS1504" s="111">
        <v>1380</v>
      </c>
      <c r="DT1504" s="111">
        <v>1840</v>
      </c>
      <c r="DU1504" s="111" t="s">
        <v>592</v>
      </c>
      <c r="DV1504" s="111">
        <v>17.100000000000001</v>
      </c>
      <c r="DW1504" s="111">
        <v>29.8</v>
      </c>
      <c r="EE1504" s="111">
        <f t="shared" si="252"/>
        <v>1.3080000000000001E-3</v>
      </c>
      <c r="EF1504" s="111">
        <v>1.6080000000000001E-3</v>
      </c>
      <c r="EG1504" s="111" t="s">
        <v>1380</v>
      </c>
      <c r="EL1504" s="38" t="s">
        <v>595</v>
      </c>
      <c r="EN1504" s="111">
        <v>68</v>
      </c>
    </row>
    <row r="1505" spans="1:144" s="111" customFormat="1" x14ac:dyDescent="0.25">
      <c r="A1505" s="111">
        <v>68</v>
      </c>
      <c r="B1505" s="111" t="s">
        <v>1350</v>
      </c>
      <c r="C1505" s="111" t="s">
        <v>1351</v>
      </c>
      <c r="D1505" s="111">
        <v>2011</v>
      </c>
      <c r="E1505" s="111">
        <v>2000</v>
      </c>
      <c r="F1505" s="111" t="s">
        <v>394</v>
      </c>
      <c r="G1505" s="111" t="s">
        <v>1354</v>
      </c>
      <c r="H1505" s="111">
        <f t="shared" si="247"/>
        <v>43.3</v>
      </c>
      <c r="I1505" s="111">
        <f t="shared" si="248"/>
        <v>-89.35</v>
      </c>
      <c r="J1505" s="111">
        <v>317.10000000000002</v>
      </c>
      <c r="P1505" s="112" t="s">
        <v>1352</v>
      </c>
      <c r="Q1505" s="112" t="s">
        <v>1161</v>
      </c>
      <c r="R1505" s="112" t="s">
        <v>1353</v>
      </c>
      <c r="S1505" s="112" t="s">
        <v>1381</v>
      </c>
      <c r="W1505" s="111" t="s">
        <v>175</v>
      </c>
      <c r="AA1505" s="38" t="s">
        <v>1708</v>
      </c>
      <c r="AB1505" s="111" t="s">
        <v>152</v>
      </c>
      <c r="AC1505" s="111" t="s">
        <v>1740</v>
      </c>
      <c r="AD1505" s="111" t="s">
        <v>914</v>
      </c>
      <c r="AE1505" s="111" t="s">
        <v>174</v>
      </c>
      <c r="AF1505" s="111" t="s">
        <v>693</v>
      </c>
      <c r="AG1505" s="111" t="s">
        <v>1379</v>
      </c>
      <c r="AH1505" s="111" t="s">
        <v>1362</v>
      </c>
      <c r="AI1505" s="111" t="s">
        <v>693</v>
      </c>
      <c r="AJ1505" s="111" t="s">
        <v>1378</v>
      </c>
      <c r="AK1505" s="111" t="s">
        <v>1368</v>
      </c>
      <c r="AL1505" s="111" t="s">
        <v>693</v>
      </c>
      <c r="AM1505" s="111" t="s">
        <v>222</v>
      </c>
      <c r="AN1505" s="111">
        <v>4</v>
      </c>
      <c r="AO1505" s="111">
        <v>4</v>
      </c>
      <c r="AP1505" s="111" t="s">
        <v>184</v>
      </c>
      <c r="AU1505" s="111" t="s">
        <v>1376</v>
      </c>
      <c r="BB1505" s="111">
        <v>1.38</v>
      </c>
      <c r="BC1505" s="111">
        <v>1.41</v>
      </c>
      <c r="BE1505" s="111">
        <v>1.95</v>
      </c>
      <c r="BF1505" s="111">
        <v>2.4</v>
      </c>
      <c r="BG1505" s="111" t="s">
        <v>832</v>
      </c>
      <c r="BH1505" s="111">
        <v>1900</v>
      </c>
      <c r="BI1505" s="111">
        <v>2300</v>
      </c>
      <c r="BJ1505" s="111" t="s">
        <v>315</v>
      </c>
      <c r="BK1505" s="111">
        <v>33</v>
      </c>
      <c r="BL1505" s="111">
        <v>50.5</v>
      </c>
      <c r="BN1505" s="111">
        <v>97</v>
      </c>
      <c r="BO1505" s="111">
        <v>75</v>
      </c>
      <c r="BQ1505" s="111">
        <v>6.5</v>
      </c>
      <c r="BR1505" s="111">
        <v>6.7</v>
      </c>
      <c r="CC1505" s="111">
        <v>887</v>
      </c>
      <c r="CD1505" s="111">
        <v>882</v>
      </c>
      <c r="CE1505" s="111" t="s">
        <v>1382</v>
      </c>
      <c r="DD1505" s="111">
        <v>26</v>
      </c>
      <c r="DE1505" s="111">
        <v>26</v>
      </c>
      <c r="DF1505" s="111" t="s">
        <v>226</v>
      </c>
      <c r="DS1505" s="111">
        <v>1380</v>
      </c>
      <c r="DT1505" s="111">
        <v>1820</v>
      </c>
      <c r="DU1505" s="111" t="s">
        <v>592</v>
      </c>
      <c r="DV1505" s="111">
        <v>17.100000000000001</v>
      </c>
      <c r="DW1505" s="111">
        <v>30.9</v>
      </c>
      <c r="EE1505" s="111">
        <f t="shared" si="252"/>
        <v>1.3080000000000001E-3</v>
      </c>
      <c r="EF1505" s="111">
        <v>1.14E-3</v>
      </c>
      <c r="EG1505" s="111" t="s">
        <v>1380</v>
      </c>
      <c r="EL1505" s="38" t="s">
        <v>595</v>
      </c>
      <c r="EN1505" s="111">
        <v>68</v>
      </c>
    </row>
    <row r="1506" spans="1:144" s="111" customFormat="1" x14ac:dyDescent="0.25">
      <c r="A1506" s="111">
        <v>68</v>
      </c>
      <c r="B1506" s="111" t="s">
        <v>1350</v>
      </c>
      <c r="C1506" s="111" t="s">
        <v>1351</v>
      </c>
      <c r="D1506" s="111">
        <v>2011</v>
      </c>
      <c r="E1506" s="111">
        <v>2000</v>
      </c>
      <c r="F1506" s="111" t="s">
        <v>394</v>
      </c>
      <c r="G1506" s="111" t="s">
        <v>1354</v>
      </c>
      <c r="H1506" s="111">
        <f t="shared" si="247"/>
        <v>43.3</v>
      </c>
      <c r="I1506" s="111">
        <f t="shared" si="248"/>
        <v>-89.35</v>
      </c>
      <c r="J1506" s="111">
        <v>317.10000000000002</v>
      </c>
      <c r="P1506" s="112" t="s">
        <v>1352</v>
      </c>
      <c r="Q1506" s="112" t="s">
        <v>1161</v>
      </c>
      <c r="R1506" s="112" t="s">
        <v>1353</v>
      </c>
      <c r="S1506" s="112" t="s">
        <v>1381</v>
      </c>
      <c r="W1506" s="111" t="s">
        <v>175</v>
      </c>
      <c r="AA1506" s="38" t="s">
        <v>1708</v>
      </c>
      <c r="AB1506" s="111" t="s">
        <v>851</v>
      </c>
      <c r="AC1506" s="111" t="s">
        <v>1740</v>
      </c>
      <c r="AD1506" s="111" t="s">
        <v>914</v>
      </c>
      <c r="AE1506" s="111" t="s">
        <v>1361</v>
      </c>
      <c r="AF1506" s="111" t="s">
        <v>693</v>
      </c>
      <c r="AG1506" s="111" t="s">
        <v>1379</v>
      </c>
      <c r="AH1506" s="111" t="s">
        <v>1362</v>
      </c>
      <c r="AI1506" s="111" t="s">
        <v>693</v>
      </c>
      <c r="AJ1506" s="111" t="s">
        <v>1378</v>
      </c>
      <c r="AK1506" s="111" t="s">
        <v>1369</v>
      </c>
      <c r="AL1506" s="111" t="s">
        <v>693</v>
      </c>
      <c r="AM1506" s="111" t="s">
        <v>222</v>
      </c>
      <c r="AN1506" s="111">
        <v>4</v>
      </c>
      <c r="AO1506" s="111">
        <v>4</v>
      </c>
      <c r="AP1506" s="111" t="s">
        <v>184</v>
      </c>
      <c r="AU1506" s="111" t="s">
        <v>1377</v>
      </c>
      <c r="BB1506" s="111">
        <v>1.38</v>
      </c>
      <c r="BC1506" s="111">
        <v>1.42</v>
      </c>
      <c r="BE1506" s="111">
        <v>1.95</v>
      </c>
      <c r="BF1506" s="111">
        <v>2.2400000000000002</v>
      </c>
      <c r="BG1506" s="111" t="s">
        <v>832</v>
      </c>
      <c r="BH1506" s="111">
        <v>1900</v>
      </c>
      <c r="BI1506" s="111">
        <v>2100</v>
      </c>
      <c r="BJ1506" s="111" t="s">
        <v>315</v>
      </c>
      <c r="BK1506" s="111">
        <v>33</v>
      </c>
      <c r="BL1506" s="111">
        <v>36</v>
      </c>
      <c r="BN1506" s="111">
        <v>97</v>
      </c>
      <c r="BO1506" s="111">
        <v>75</v>
      </c>
      <c r="BQ1506" s="111">
        <v>6.5</v>
      </c>
      <c r="BR1506" s="111">
        <v>6.5</v>
      </c>
      <c r="CC1506" s="111">
        <v>887</v>
      </c>
      <c r="CD1506" s="111">
        <v>873</v>
      </c>
      <c r="CE1506" s="111" t="s">
        <v>1382</v>
      </c>
      <c r="DD1506" s="111">
        <v>26</v>
      </c>
      <c r="DE1506" s="111">
        <v>23</v>
      </c>
      <c r="DF1506" s="111" t="s">
        <v>226</v>
      </c>
      <c r="DS1506" s="111">
        <v>1380</v>
      </c>
      <c r="DT1506" s="111">
        <v>1380</v>
      </c>
      <c r="DU1506" s="111" t="s">
        <v>592</v>
      </c>
      <c r="DV1506" s="111">
        <v>17.100000000000001</v>
      </c>
      <c r="DW1506" s="111">
        <v>24.4</v>
      </c>
      <c r="EE1506" s="111">
        <f t="shared" si="252"/>
        <v>1.3080000000000001E-3</v>
      </c>
      <c r="EF1506" s="111">
        <v>2.3159999999999999E-3</v>
      </c>
      <c r="EG1506" s="111" t="s">
        <v>1380</v>
      </c>
      <c r="EL1506" s="38" t="s">
        <v>595</v>
      </c>
      <c r="EN1506" s="111">
        <v>68</v>
      </c>
    </row>
    <row r="1507" spans="1:144" s="26" customFormat="1" x14ac:dyDescent="0.25">
      <c r="A1507" s="26">
        <v>69</v>
      </c>
      <c r="B1507" s="26" t="s">
        <v>1383</v>
      </c>
      <c r="C1507" s="26" t="s">
        <v>1384</v>
      </c>
      <c r="D1507" s="26">
        <v>2000</v>
      </c>
      <c r="E1507" s="26">
        <v>1995</v>
      </c>
      <c r="F1507" s="26" t="s">
        <v>439</v>
      </c>
      <c r="G1507" s="26" t="s">
        <v>1385</v>
      </c>
      <c r="H1507" s="26">
        <v>41.15</v>
      </c>
      <c r="I1507" s="26">
        <v>-96.5</v>
      </c>
      <c r="J1507" s="26">
        <v>346.8</v>
      </c>
      <c r="P1507" s="52" t="s">
        <v>186</v>
      </c>
      <c r="Q1507" s="52"/>
      <c r="R1507" s="52"/>
      <c r="S1507" s="52" t="s">
        <v>1393</v>
      </c>
      <c r="T1507" s="26">
        <v>1.28</v>
      </c>
      <c r="W1507" s="26" t="s">
        <v>1386</v>
      </c>
      <c r="X1507" s="26">
        <v>6.3</v>
      </c>
      <c r="Y1507" s="26">
        <v>2.6</v>
      </c>
      <c r="AA1507" s="26" t="s">
        <v>1718</v>
      </c>
      <c r="AB1507" s="26" t="s">
        <v>1387</v>
      </c>
      <c r="AC1507" s="26" t="s">
        <v>219</v>
      </c>
      <c r="AM1507" s="26" t="s">
        <v>222</v>
      </c>
      <c r="AN1507" s="26">
        <v>3</v>
      </c>
      <c r="AO1507" s="26">
        <v>3</v>
      </c>
      <c r="AP1507" s="26" t="s">
        <v>184</v>
      </c>
      <c r="AR1507" s="26">
        <v>3170</v>
      </c>
      <c r="AT1507" s="26" t="s">
        <v>1390</v>
      </c>
      <c r="AU1507" s="26" t="s">
        <v>1388</v>
      </c>
      <c r="AY1507" s="26">
        <v>2150</v>
      </c>
      <c r="AZ1507" s="26">
        <v>2160</v>
      </c>
      <c r="DB1507" s="26">
        <v>29.66</v>
      </c>
      <c r="DC1507" s="26">
        <v>27</v>
      </c>
      <c r="DD1507" s="26">
        <f>27.05/1.28</f>
        <v>21.1328125</v>
      </c>
      <c r="DE1507" s="26">
        <f>25.62/1.28</f>
        <v>20.015625</v>
      </c>
      <c r="DF1507" s="26" t="s">
        <v>1410</v>
      </c>
      <c r="EL1507" s="26" t="s">
        <v>1394</v>
      </c>
      <c r="EN1507" s="26">
        <v>69</v>
      </c>
    </row>
    <row r="1508" spans="1:144" s="26" customFormat="1" x14ac:dyDescent="0.25">
      <c r="A1508" s="26">
        <v>69</v>
      </c>
      <c r="B1508" s="26" t="s">
        <v>1383</v>
      </c>
      <c r="C1508" s="26" t="s">
        <v>1384</v>
      </c>
      <c r="D1508" s="26">
        <v>2000</v>
      </c>
      <c r="E1508" s="26">
        <v>1995</v>
      </c>
      <c r="F1508" s="26" t="s">
        <v>439</v>
      </c>
      <c r="G1508" s="26" t="s">
        <v>1385</v>
      </c>
      <c r="H1508" s="26">
        <v>41.15</v>
      </c>
      <c r="I1508" s="26">
        <v>-96.5</v>
      </c>
      <c r="J1508" s="26">
        <v>346.8</v>
      </c>
      <c r="P1508" s="52" t="s">
        <v>186</v>
      </c>
      <c r="Q1508" s="52"/>
      <c r="R1508" s="52"/>
      <c r="S1508" s="52" t="s">
        <v>1393</v>
      </c>
      <c r="T1508" s="26">
        <v>1.28</v>
      </c>
      <c r="W1508" s="26" t="s">
        <v>1386</v>
      </c>
      <c r="X1508" s="26">
        <v>6.3</v>
      </c>
      <c r="Y1508" s="26">
        <v>2.6</v>
      </c>
      <c r="AA1508" s="26" t="s">
        <v>1718</v>
      </c>
      <c r="AB1508" s="26" t="s">
        <v>173</v>
      </c>
      <c r="AC1508" s="26" t="s">
        <v>219</v>
      </c>
      <c r="AM1508" s="26" t="s">
        <v>222</v>
      </c>
      <c r="AN1508" s="26">
        <v>3</v>
      </c>
      <c r="AO1508" s="26">
        <v>3</v>
      </c>
      <c r="AP1508" s="26" t="s">
        <v>184</v>
      </c>
      <c r="AR1508" s="26">
        <v>6310</v>
      </c>
      <c r="AT1508" s="26" t="s">
        <v>1390</v>
      </c>
      <c r="AU1508" s="26" t="s">
        <v>1388</v>
      </c>
      <c r="AY1508" s="26">
        <v>2150</v>
      </c>
      <c r="AZ1508" s="26">
        <v>1910</v>
      </c>
      <c r="DD1508" s="26">
        <f t="shared" ref="DD1508:DD1510" si="253">27.05/1.28</f>
        <v>21.1328125</v>
      </c>
      <c r="DE1508" s="26">
        <f>30.54/1.28</f>
        <v>23.859375</v>
      </c>
      <c r="DF1508" s="26" t="s">
        <v>1410</v>
      </c>
      <c r="EL1508" s="26" t="s">
        <v>1394</v>
      </c>
      <c r="EN1508" s="26">
        <v>69</v>
      </c>
    </row>
    <row r="1509" spans="1:144" s="26" customFormat="1" x14ac:dyDescent="0.25">
      <c r="A1509" s="26">
        <v>69</v>
      </c>
      <c r="B1509" s="26" t="s">
        <v>1383</v>
      </c>
      <c r="C1509" s="26" t="s">
        <v>1384</v>
      </c>
      <c r="D1509" s="26">
        <v>2000</v>
      </c>
      <c r="E1509" s="26">
        <v>1995</v>
      </c>
      <c r="F1509" s="26" t="s">
        <v>439</v>
      </c>
      <c r="G1509" s="26" t="s">
        <v>1385</v>
      </c>
      <c r="H1509" s="26">
        <v>41.15</v>
      </c>
      <c r="I1509" s="26">
        <v>-96.5</v>
      </c>
      <c r="J1509" s="26">
        <v>346.8</v>
      </c>
      <c r="P1509" s="52" t="s">
        <v>186</v>
      </c>
      <c r="Q1509" s="52"/>
      <c r="R1509" s="52"/>
      <c r="S1509" s="52" t="s">
        <v>1393</v>
      </c>
      <c r="T1509" s="26">
        <v>1.28</v>
      </c>
      <c r="W1509" s="26" t="s">
        <v>1386</v>
      </c>
      <c r="X1509" s="26">
        <v>6.3</v>
      </c>
      <c r="Y1509" s="26">
        <v>2.6</v>
      </c>
      <c r="AA1509" s="26" t="s">
        <v>1718</v>
      </c>
      <c r="AB1509" s="26" t="s">
        <v>1040</v>
      </c>
      <c r="AC1509" s="26" t="s">
        <v>219</v>
      </c>
      <c r="AM1509" s="26" t="s">
        <v>222</v>
      </c>
      <c r="AN1509" s="26">
        <v>3</v>
      </c>
      <c r="AO1509" s="26">
        <v>3</v>
      </c>
      <c r="AP1509" s="26" t="s">
        <v>184</v>
      </c>
      <c r="AR1509" s="26">
        <v>7160</v>
      </c>
      <c r="AT1509" s="26" t="s">
        <v>1390</v>
      </c>
      <c r="AU1509" s="26" t="s">
        <v>1388</v>
      </c>
      <c r="AY1509" s="26">
        <v>2150</v>
      </c>
      <c r="AZ1509" s="26">
        <v>2200</v>
      </c>
      <c r="DD1509" s="26">
        <f t="shared" si="253"/>
        <v>21.1328125</v>
      </c>
      <c r="DE1509" s="26">
        <f>28.9/1.28</f>
        <v>22.578125</v>
      </c>
      <c r="DF1509" s="26" t="s">
        <v>1410</v>
      </c>
      <c r="EL1509" s="26" t="s">
        <v>1394</v>
      </c>
      <c r="EN1509" s="26">
        <v>69</v>
      </c>
    </row>
    <row r="1510" spans="1:144" s="26" customFormat="1" x14ac:dyDescent="0.25">
      <c r="A1510" s="26">
        <v>69</v>
      </c>
      <c r="B1510" s="26" t="s">
        <v>1383</v>
      </c>
      <c r="C1510" s="26" t="s">
        <v>1384</v>
      </c>
      <c r="D1510" s="26">
        <v>2000</v>
      </c>
      <c r="E1510" s="26">
        <v>1995</v>
      </c>
      <c r="F1510" s="26" t="s">
        <v>439</v>
      </c>
      <c r="G1510" s="26" t="s">
        <v>1385</v>
      </c>
      <c r="H1510" s="26">
        <v>41.15</v>
      </c>
      <c r="I1510" s="26">
        <v>-96.5</v>
      </c>
      <c r="J1510" s="26">
        <v>346.8</v>
      </c>
      <c r="P1510" s="52" t="s">
        <v>186</v>
      </c>
      <c r="Q1510" s="52"/>
      <c r="R1510" s="52"/>
      <c r="S1510" s="52" t="s">
        <v>1393</v>
      </c>
      <c r="T1510" s="26">
        <v>1.28</v>
      </c>
      <c r="W1510" s="26" t="s">
        <v>1386</v>
      </c>
      <c r="X1510" s="26">
        <v>6.3</v>
      </c>
      <c r="Y1510" s="26">
        <v>2.6</v>
      </c>
      <c r="AA1510" s="26" t="s">
        <v>1718</v>
      </c>
      <c r="AB1510" s="26" t="s">
        <v>156</v>
      </c>
      <c r="AC1510" s="26" t="s">
        <v>219</v>
      </c>
      <c r="AM1510" s="26" t="s">
        <v>222</v>
      </c>
      <c r="AN1510" s="26">
        <v>3</v>
      </c>
      <c r="AO1510" s="26">
        <v>3</v>
      </c>
      <c r="AP1510" s="26" t="s">
        <v>184</v>
      </c>
      <c r="AR1510" s="26">
        <v>6710</v>
      </c>
      <c r="AT1510" s="26" t="s">
        <v>1390</v>
      </c>
      <c r="AU1510" s="26" t="s">
        <v>1388</v>
      </c>
      <c r="AY1510" s="26">
        <v>2150</v>
      </c>
      <c r="AZ1510" s="26">
        <v>2330</v>
      </c>
      <c r="DD1510" s="26">
        <f t="shared" si="253"/>
        <v>21.1328125</v>
      </c>
      <c r="DE1510" s="26">
        <f>28.9/1.28</f>
        <v>22.578125</v>
      </c>
      <c r="DF1510" s="26" t="s">
        <v>1410</v>
      </c>
      <c r="EL1510" s="26" t="s">
        <v>1394</v>
      </c>
      <c r="EN1510" s="26">
        <v>69</v>
      </c>
    </row>
    <row r="1511" spans="1:144" s="26" customFormat="1" x14ac:dyDescent="0.25">
      <c r="A1511" s="26">
        <v>69</v>
      </c>
      <c r="B1511" s="26" t="s">
        <v>1383</v>
      </c>
      <c r="C1511" s="26" t="s">
        <v>1384</v>
      </c>
      <c r="D1511" s="26">
        <v>2000</v>
      </c>
      <c r="E1511" s="26">
        <v>1995</v>
      </c>
      <c r="F1511" s="26" t="s">
        <v>439</v>
      </c>
      <c r="G1511" s="26" t="s">
        <v>1385</v>
      </c>
      <c r="H1511" s="26">
        <v>41.15</v>
      </c>
      <c r="I1511" s="26">
        <v>-96.5</v>
      </c>
      <c r="J1511" s="26">
        <v>346.8</v>
      </c>
      <c r="P1511" s="52" t="s">
        <v>186</v>
      </c>
      <c r="Q1511" s="52"/>
      <c r="R1511" s="52"/>
      <c r="S1511" s="52" t="s">
        <v>1393</v>
      </c>
      <c r="T1511" s="26">
        <v>1.28</v>
      </c>
      <c r="W1511" s="26" t="s">
        <v>1386</v>
      </c>
      <c r="X1511" s="26">
        <v>6.3</v>
      </c>
      <c r="Y1511" s="26">
        <v>2.6</v>
      </c>
      <c r="AA1511" s="26" t="s">
        <v>1718</v>
      </c>
      <c r="AB1511" s="26" t="s">
        <v>1387</v>
      </c>
      <c r="AC1511" s="26" t="s">
        <v>219</v>
      </c>
      <c r="AM1511" s="26" t="s">
        <v>222</v>
      </c>
      <c r="AN1511" s="26">
        <v>3</v>
      </c>
      <c r="AO1511" s="26">
        <v>3</v>
      </c>
      <c r="AP1511" s="26" t="s">
        <v>184</v>
      </c>
      <c r="AR1511" s="26">
        <v>3170</v>
      </c>
      <c r="AT1511" s="26" t="s">
        <v>1390</v>
      </c>
      <c r="AU1511" s="26" t="s">
        <v>1389</v>
      </c>
      <c r="AY1511" s="26">
        <v>1980</v>
      </c>
      <c r="AZ1511" s="26">
        <v>1100</v>
      </c>
      <c r="DD1511" s="26">
        <f>18.19/1.28</f>
        <v>14.2109375</v>
      </c>
      <c r="DE1511" s="26">
        <f>20.79/1.28</f>
        <v>16.2421875</v>
      </c>
      <c r="DF1511" s="26" t="s">
        <v>1410</v>
      </c>
      <c r="EL1511" s="26" t="s">
        <v>1394</v>
      </c>
      <c r="EN1511" s="26">
        <v>69</v>
      </c>
    </row>
    <row r="1512" spans="1:144" s="26" customFormat="1" x14ac:dyDescent="0.25">
      <c r="A1512" s="26">
        <v>69</v>
      </c>
      <c r="B1512" s="26" t="s">
        <v>1383</v>
      </c>
      <c r="C1512" s="26" t="s">
        <v>1384</v>
      </c>
      <c r="D1512" s="26">
        <v>2000</v>
      </c>
      <c r="E1512" s="26">
        <v>1995</v>
      </c>
      <c r="F1512" s="26" t="s">
        <v>439</v>
      </c>
      <c r="G1512" s="26" t="s">
        <v>1385</v>
      </c>
      <c r="H1512" s="26">
        <v>41.15</v>
      </c>
      <c r="I1512" s="26">
        <v>-96.5</v>
      </c>
      <c r="J1512" s="26">
        <v>346.8</v>
      </c>
      <c r="P1512" s="52" t="s">
        <v>186</v>
      </c>
      <c r="Q1512" s="52"/>
      <c r="R1512" s="52"/>
      <c r="S1512" s="52" t="s">
        <v>1393</v>
      </c>
      <c r="T1512" s="26">
        <v>1.28</v>
      </c>
      <c r="W1512" s="26" t="s">
        <v>1386</v>
      </c>
      <c r="X1512" s="26">
        <v>6.3</v>
      </c>
      <c r="Y1512" s="26">
        <v>2.6</v>
      </c>
      <c r="AA1512" s="26" t="s">
        <v>1718</v>
      </c>
      <c r="AB1512" s="26" t="s">
        <v>173</v>
      </c>
      <c r="AC1512" s="26" t="s">
        <v>219</v>
      </c>
      <c r="AM1512" s="26" t="s">
        <v>222</v>
      </c>
      <c r="AN1512" s="26">
        <v>3</v>
      </c>
      <c r="AO1512" s="26">
        <v>3</v>
      </c>
      <c r="AP1512" s="26" t="s">
        <v>184</v>
      </c>
      <c r="AR1512" s="26">
        <v>6310</v>
      </c>
      <c r="AT1512" s="26" t="s">
        <v>1390</v>
      </c>
      <c r="AU1512" s="26" t="s">
        <v>1389</v>
      </c>
      <c r="AY1512" s="26">
        <v>1980</v>
      </c>
      <c r="AZ1512" s="26">
        <v>1170</v>
      </c>
      <c r="DD1512" s="26">
        <f t="shared" ref="DD1512:DD1514" si="254">18.19/1.28</f>
        <v>14.2109375</v>
      </c>
      <c r="DE1512" s="26">
        <f>22.62/1.28</f>
        <v>17.671875</v>
      </c>
      <c r="DF1512" s="26" t="s">
        <v>1410</v>
      </c>
      <c r="EL1512" s="26" t="s">
        <v>1394</v>
      </c>
      <c r="EN1512" s="26">
        <v>69</v>
      </c>
    </row>
    <row r="1513" spans="1:144" s="26" customFormat="1" x14ac:dyDescent="0.25">
      <c r="A1513" s="26">
        <v>69</v>
      </c>
      <c r="B1513" s="26" t="s">
        <v>1383</v>
      </c>
      <c r="C1513" s="26" t="s">
        <v>1384</v>
      </c>
      <c r="D1513" s="26">
        <v>2000</v>
      </c>
      <c r="E1513" s="26">
        <v>1995</v>
      </c>
      <c r="F1513" s="26" t="s">
        <v>439</v>
      </c>
      <c r="G1513" s="26" t="s">
        <v>1385</v>
      </c>
      <c r="H1513" s="26">
        <v>41.15</v>
      </c>
      <c r="I1513" s="26">
        <v>-96.5</v>
      </c>
      <c r="J1513" s="26">
        <v>346.8</v>
      </c>
      <c r="P1513" s="52" t="s">
        <v>186</v>
      </c>
      <c r="Q1513" s="52"/>
      <c r="R1513" s="52"/>
      <c r="S1513" s="52" t="s">
        <v>1393</v>
      </c>
      <c r="T1513" s="26">
        <v>1.28</v>
      </c>
      <c r="W1513" s="26" t="s">
        <v>1386</v>
      </c>
      <c r="X1513" s="26">
        <v>6.3</v>
      </c>
      <c r="Y1513" s="26">
        <v>2.6</v>
      </c>
      <c r="AA1513" s="26" t="s">
        <v>1718</v>
      </c>
      <c r="AB1513" s="26" t="s">
        <v>1040</v>
      </c>
      <c r="AC1513" s="26" t="s">
        <v>219</v>
      </c>
      <c r="AM1513" s="26" t="s">
        <v>222</v>
      </c>
      <c r="AN1513" s="26">
        <v>3</v>
      </c>
      <c r="AO1513" s="26">
        <v>3</v>
      </c>
      <c r="AP1513" s="26" t="s">
        <v>184</v>
      </c>
      <c r="AR1513" s="26">
        <v>7160</v>
      </c>
      <c r="AT1513" s="26" t="s">
        <v>1390</v>
      </c>
      <c r="AU1513" s="26" t="s">
        <v>1389</v>
      </c>
      <c r="AY1513" s="26">
        <v>1980</v>
      </c>
      <c r="AZ1513" s="26">
        <v>1410</v>
      </c>
      <c r="DD1513" s="26">
        <f t="shared" si="254"/>
        <v>14.2109375</v>
      </c>
      <c r="DE1513" s="26">
        <f>20.18/1.28</f>
        <v>15.765625</v>
      </c>
      <c r="DF1513" s="26" t="s">
        <v>1410</v>
      </c>
      <c r="EL1513" s="26" t="s">
        <v>1394</v>
      </c>
      <c r="EN1513" s="26">
        <v>69</v>
      </c>
    </row>
    <row r="1514" spans="1:144" s="26" customFormat="1" x14ac:dyDescent="0.25">
      <c r="A1514" s="26">
        <v>69</v>
      </c>
      <c r="B1514" s="26" t="s">
        <v>1383</v>
      </c>
      <c r="C1514" s="26" t="s">
        <v>1384</v>
      </c>
      <c r="D1514" s="26">
        <v>2000</v>
      </c>
      <c r="E1514" s="26">
        <v>1995</v>
      </c>
      <c r="F1514" s="26" t="s">
        <v>439</v>
      </c>
      <c r="G1514" s="26" t="s">
        <v>1385</v>
      </c>
      <c r="H1514" s="26">
        <v>41.15</v>
      </c>
      <c r="I1514" s="26">
        <v>-96.5</v>
      </c>
      <c r="J1514" s="26">
        <v>346.8</v>
      </c>
      <c r="P1514" s="52" t="s">
        <v>186</v>
      </c>
      <c r="Q1514" s="52"/>
      <c r="R1514" s="52"/>
      <c r="S1514" s="52" t="s">
        <v>1393</v>
      </c>
      <c r="T1514" s="26">
        <v>1.28</v>
      </c>
      <c r="W1514" s="26" t="s">
        <v>1386</v>
      </c>
      <c r="X1514" s="26">
        <v>6.3</v>
      </c>
      <c r="Y1514" s="26">
        <v>2.6</v>
      </c>
      <c r="AA1514" s="26" t="s">
        <v>1718</v>
      </c>
      <c r="AB1514" s="26" t="s">
        <v>156</v>
      </c>
      <c r="AC1514" s="26" t="s">
        <v>219</v>
      </c>
      <c r="AM1514" s="26" t="s">
        <v>222</v>
      </c>
      <c r="AN1514" s="26">
        <v>3</v>
      </c>
      <c r="AO1514" s="26">
        <v>3</v>
      </c>
      <c r="AP1514" s="26" t="s">
        <v>184</v>
      </c>
      <c r="AR1514" s="26">
        <v>6710</v>
      </c>
      <c r="AT1514" s="26" t="s">
        <v>1390</v>
      </c>
      <c r="AU1514" s="26" t="s">
        <v>1389</v>
      </c>
      <c r="AY1514" s="26">
        <v>1980</v>
      </c>
      <c r="AZ1514" s="26">
        <v>1510</v>
      </c>
      <c r="DD1514" s="26">
        <f t="shared" si="254"/>
        <v>14.2109375</v>
      </c>
      <c r="DE1514" s="26">
        <f>20.18/1.28</f>
        <v>15.765625</v>
      </c>
      <c r="DF1514" s="26" t="s">
        <v>1410</v>
      </c>
      <c r="EL1514" s="26" t="s">
        <v>1394</v>
      </c>
      <c r="EN1514" s="26">
        <v>69</v>
      </c>
    </row>
    <row r="1515" spans="1:144" s="35" customFormat="1" x14ac:dyDescent="0.25">
      <c r="A1515" s="35">
        <v>69</v>
      </c>
      <c r="B1515" s="35" t="s">
        <v>1383</v>
      </c>
      <c r="C1515" s="35" t="s">
        <v>1384</v>
      </c>
      <c r="D1515" s="35">
        <v>2000</v>
      </c>
      <c r="E1515" s="35">
        <v>1996</v>
      </c>
      <c r="F1515" s="35" t="s">
        <v>439</v>
      </c>
      <c r="G1515" s="35" t="s">
        <v>1385</v>
      </c>
      <c r="H1515" s="35">
        <v>41.15</v>
      </c>
      <c r="I1515" s="35">
        <v>-96.5</v>
      </c>
      <c r="J1515" s="35">
        <v>346.8</v>
      </c>
      <c r="P1515" s="54" t="s">
        <v>187</v>
      </c>
      <c r="Q1515" s="54"/>
      <c r="R1515" s="54"/>
      <c r="S1515" s="54" t="s">
        <v>1393</v>
      </c>
      <c r="T1515" s="35">
        <v>1.28</v>
      </c>
      <c r="W1515" s="35" t="s">
        <v>1386</v>
      </c>
      <c r="X1515" s="35">
        <v>6.3</v>
      </c>
      <c r="Y1515" s="35">
        <v>2.6</v>
      </c>
      <c r="AA1515" s="35" t="s">
        <v>1718</v>
      </c>
      <c r="AB1515" s="35" t="s">
        <v>1387</v>
      </c>
      <c r="AC1515" s="35" t="s">
        <v>219</v>
      </c>
      <c r="AM1515" s="35" t="s">
        <v>222</v>
      </c>
      <c r="AN1515" s="35">
        <v>3</v>
      </c>
      <c r="AO1515" s="35">
        <v>3</v>
      </c>
      <c r="AP1515" s="35" t="s">
        <v>184</v>
      </c>
      <c r="AR1515" s="35">
        <v>130</v>
      </c>
      <c r="AT1515" s="35" t="s">
        <v>1391</v>
      </c>
      <c r="AY1515" s="35">
        <v>1200</v>
      </c>
      <c r="AZ1515" s="35">
        <v>1480</v>
      </c>
      <c r="DB1515" s="35">
        <v>24.88</v>
      </c>
      <c r="DC1515" s="35">
        <v>20.39</v>
      </c>
      <c r="DD1515" s="35">
        <f>17.57/1.28</f>
        <v>13.7265625</v>
      </c>
      <c r="DE1515" s="35">
        <f>22.21/1.28</f>
        <v>17.3515625</v>
      </c>
      <c r="DF1515" s="35" t="s">
        <v>1410</v>
      </c>
      <c r="EL1515" s="35" t="s">
        <v>1394</v>
      </c>
      <c r="EN1515" s="35">
        <v>69</v>
      </c>
    </row>
    <row r="1516" spans="1:144" s="35" customFormat="1" x14ac:dyDescent="0.25">
      <c r="A1516" s="35">
        <v>69</v>
      </c>
      <c r="B1516" s="35" t="s">
        <v>1383</v>
      </c>
      <c r="C1516" s="35" t="s">
        <v>1384</v>
      </c>
      <c r="D1516" s="35">
        <v>2000</v>
      </c>
      <c r="E1516" s="35">
        <v>1996</v>
      </c>
      <c r="F1516" s="35" t="s">
        <v>439</v>
      </c>
      <c r="G1516" s="35" t="s">
        <v>1385</v>
      </c>
      <c r="H1516" s="35">
        <v>41.15</v>
      </c>
      <c r="I1516" s="35">
        <v>-96.5</v>
      </c>
      <c r="J1516" s="35">
        <v>346.8</v>
      </c>
      <c r="P1516" s="54" t="s">
        <v>187</v>
      </c>
      <c r="Q1516" s="54"/>
      <c r="R1516" s="54"/>
      <c r="S1516" s="54" t="s">
        <v>1393</v>
      </c>
      <c r="T1516" s="35">
        <v>1.28</v>
      </c>
      <c r="W1516" s="35" t="s">
        <v>1386</v>
      </c>
      <c r="X1516" s="35">
        <v>6.3</v>
      </c>
      <c r="Y1516" s="35">
        <v>2.6</v>
      </c>
      <c r="AA1516" s="35" t="s">
        <v>1718</v>
      </c>
      <c r="AB1516" s="35" t="s">
        <v>173</v>
      </c>
      <c r="AC1516" s="35" t="s">
        <v>219</v>
      </c>
      <c r="AM1516" s="35" t="s">
        <v>222</v>
      </c>
      <c r="AN1516" s="35">
        <v>3</v>
      </c>
      <c r="AO1516" s="35">
        <v>3</v>
      </c>
      <c r="AP1516" s="35" t="s">
        <v>184</v>
      </c>
      <c r="AR1516" s="35">
        <v>2890</v>
      </c>
      <c r="AT1516" s="35" t="s">
        <v>1392</v>
      </c>
      <c r="AY1516" s="35">
        <v>1200</v>
      </c>
      <c r="AZ1516" s="35">
        <v>2190</v>
      </c>
      <c r="DD1516" s="35">
        <f t="shared" ref="DD1516:DD1519" si="255">17.57/1.28</f>
        <v>13.7265625</v>
      </c>
      <c r="DE1516" s="35">
        <f>19.61/1.28</f>
        <v>15.3203125</v>
      </c>
      <c r="DF1516" s="35" t="s">
        <v>1410</v>
      </c>
      <c r="EL1516" s="35" t="s">
        <v>1394</v>
      </c>
      <c r="EN1516" s="35">
        <v>69</v>
      </c>
    </row>
    <row r="1517" spans="1:144" s="35" customFormat="1" x14ac:dyDescent="0.25">
      <c r="A1517" s="35">
        <v>69</v>
      </c>
      <c r="B1517" s="35" t="s">
        <v>1383</v>
      </c>
      <c r="C1517" s="35" t="s">
        <v>1384</v>
      </c>
      <c r="D1517" s="35">
        <v>2000</v>
      </c>
      <c r="E1517" s="35">
        <v>1996</v>
      </c>
      <c r="F1517" s="35" t="s">
        <v>439</v>
      </c>
      <c r="G1517" s="35" t="s">
        <v>1385</v>
      </c>
      <c r="H1517" s="35">
        <v>41.15</v>
      </c>
      <c r="I1517" s="35">
        <v>-96.5</v>
      </c>
      <c r="J1517" s="35">
        <v>346.8</v>
      </c>
      <c r="P1517" s="54" t="s">
        <v>187</v>
      </c>
      <c r="Q1517" s="54"/>
      <c r="R1517" s="54"/>
      <c r="S1517" s="54" t="s">
        <v>1393</v>
      </c>
      <c r="T1517" s="35">
        <v>1.28</v>
      </c>
      <c r="W1517" s="35" t="s">
        <v>1386</v>
      </c>
      <c r="X1517" s="35">
        <v>6.3</v>
      </c>
      <c r="Y1517" s="35">
        <v>2.6</v>
      </c>
      <c r="AA1517" s="35" t="s">
        <v>1718</v>
      </c>
      <c r="AB1517" s="35" t="s">
        <v>1040</v>
      </c>
      <c r="AC1517" s="35" t="s">
        <v>219</v>
      </c>
      <c r="AM1517" s="35" t="s">
        <v>222</v>
      </c>
      <c r="AN1517" s="35">
        <v>3</v>
      </c>
      <c r="AO1517" s="35">
        <v>3</v>
      </c>
      <c r="AP1517" s="35" t="s">
        <v>184</v>
      </c>
      <c r="AR1517" s="35">
        <v>750</v>
      </c>
      <c r="AT1517" s="35" t="s">
        <v>1392</v>
      </c>
      <c r="AY1517" s="35">
        <v>1200</v>
      </c>
      <c r="AZ1517" s="35">
        <v>1440</v>
      </c>
      <c r="DD1517" s="35">
        <f t="shared" si="255"/>
        <v>13.7265625</v>
      </c>
      <c r="DE1517" s="35">
        <f>16</f>
        <v>16</v>
      </c>
      <c r="DF1517" s="35" t="s">
        <v>1410</v>
      </c>
      <c r="EL1517" s="35" t="s">
        <v>1394</v>
      </c>
      <c r="EN1517" s="35">
        <v>69</v>
      </c>
    </row>
    <row r="1518" spans="1:144" s="35" customFormat="1" x14ac:dyDescent="0.25">
      <c r="A1518" s="35">
        <v>69</v>
      </c>
      <c r="B1518" s="35" t="s">
        <v>1383</v>
      </c>
      <c r="C1518" s="35" t="s">
        <v>1384</v>
      </c>
      <c r="D1518" s="35">
        <v>2000</v>
      </c>
      <c r="E1518" s="35">
        <v>1996</v>
      </c>
      <c r="F1518" s="35" t="s">
        <v>439</v>
      </c>
      <c r="G1518" s="35" t="s">
        <v>1385</v>
      </c>
      <c r="H1518" s="35">
        <v>41.15</v>
      </c>
      <c r="I1518" s="35">
        <v>-96.5</v>
      </c>
      <c r="J1518" s="35">
        <v>346.8</v>
      </c>
      <c r="P1518" s="54" t="s">
        <v>187</v>
      </c>
      <c r="Q1518" s="54"/>
      <c r="R1518" s="54"/>
      <c r="S1518" s="54" t="s">
        <v>1393</v>
      </c>
      <c r="T1518" s="35">
        <v>1.28</v>
      </c>
      <c r="W1518" s="35" t="s">
        <v>1386</v>
      </c>
      <c r="X1518" s="35">
        <v>6.3</v>
      </c>
      <c r="Y1518" s="35">
        <v>2.6</v>
      </c>
      <c r="AA1518" s="35" t="s">
        <v>1718</v>
      </c>
      <c r="AB1518" s="35" t="s">
        <v>156</v>
      </c>
      <c r="AC1518" s="35" t="s">
        <v>219</v>
      </c>
      <c r="AM1518" s="35" t="s">
        <v>222</v>
      </c>
      <c r="AN1518" s="35">
        <v>3</v>
      </c>
      <c r="AO1518" s="35">
        <v>3</v>
      </c>
      <c r="AP1518" s="35" t="s">
        <v>184</v>
      </c>
      <c r="AR1518" s="35">
        <v>2170</v>
      </c>
      <c r="AT1518" s="35" t="s">
        <v>1391</v>
      </c>
      <c r="AY1518" s="35">
        <v>1200</v>
      </c>
      <c r="AZ1518" s="35">
        <v>1960</v>
      </c>
      <c r="DD1518" s="35">
        <f t="shared" si="255"/>
        <v>13.7265625</v>
      </c>
      <c r="DE1518" s="35">
        <f>16</f>
        <v>16</v>
      </c>
      <c r="DF1518" s="35" t="s">
        <v>1410</v>
      </c>
      <c r="EL1518" s="35" t="s">
        <v>1394</v>
      </c>
      <c r="EN1518" s="35">
        <v>69</v>
      </c>
    </row>
    <row r="1519" spans="1:144" s="35" customFormat="1" x14ac:dyDescent="0.25">
      <c r="A1519" s="35">
        <v>69</v>
      </c>
      <c r="B1519" s="35" t="s">
        <v>1383</v>
      </c>
      <c r="C1519" s="35" t="s">
        <v>1384</v>
      </c>
      <c r="D1519" s="35">
        <v>2000</v>
      </c>
      <c r="E1519" s="35">
        <v>1996</v>
      </c>
      <c r="F1519" s="35" t="s">
        <v>439</v>
      </c>
      <c r="G1519" s="35" t="s">
        <v>1385</v>
      </c>
      <c r="H1519" s="35">
        <v>41.15</v>
      </c>
      <c r="I1519" s="35">
        <v>-96.5</v>
      </c>
      <c r="J1519" s="35">
        <v>346.8</v>
      </c>
      <c r="P1519" s="54" t="s">
        <v>187</v>
      </c>
      <c r="Q1519" s="54"/>
      <c r="R1519" s="54"/>
      <c r="S1519" s="54" t="s">
        <v>1393</v>
      </c>
      <c r="T1519" s="35">
        <v>1.28</v>
      </c>
      <c r="W1519" s="35" t="s">
        <v>1386</v>
      </c>
      <c r="X1519" s="35">
        <v>6.3</v>
      </c>
      <c r="Y1519" s="35">
        <v>2.6</v>
      </c>
      <c r="AA1519" s="35" t="s">
        <v>1718</v>
      </c>
      <c r="AB1519" s="35" t="s">
        <v>326</v>
      </c>
      <c r="AC1519" s="35" t="s">
        <v>219</v>
      </c>
      <c r="AM1519" s="35" t="s">
        <v>222</v>
      </c>
      <c r="AN1519" s="35">
        <v>3</v>
      </c>
      <c r="AO1519" s="35">
        <v>3</v>
      </c>
      <c r="AP1519" s="35" t="s">
        <v>184</v>
      </c>
      <c r="AR1519" s="35">
        <v>650</v>
      </c>
      <c r="AT1519" s="35" t="s">
        <v>1391</v>
      </c>
      <c r="AY1519" s="35">
        <v>1200</v>
      </c>
      <c r="AZ1519" s="35">
        <v>1700</v>
      </c>
      <c r="DD1519" s="35">
        <f t="shared" si="255"/>
        <v>13.7265625</v>
      </c>
      <c r="DE1519" s="35">
        <f>16</f>
        <v>16</v>
      </c>
      <c r="DF1519" s="35" t="s">
        <v>1410</v>
      </c>
      <c r="EL1519" s="35" t="s">
        <v>1394</v>
      </c>
      <c r="EN1519" s="35">
        <v>69</v>
      </c>
    </row>
    <row r="1520" spans="1:144" s="38" customFormat="1" x14ac:dyDescent="0.25">
      <c r="A1520" s="38">
        <v>70</v>
      </c>
      <c r="B1520" s="38" t="s">
        <v>1395</v>
      </c>
      <c r="C1520" s="38" t="s">
        <v>1396</v>
      </c>
      <c r="D1520" s="38">
        <v>1996</v>
      </c>
      <c r="E1520" s="38">
        <v>1992</v>
      </c>
      <c r="F1520" s="38" t="s">
        <v>1397</v>
      </c>
      <c r="G1520" s="38" t="s">
        <v>1398</v>
      </c>
      <c r="H1520" s="38">
        <v>36.69</v>
      </c>
      <c r="I1520" s="38">
        <v>-121.64</v>
      </c>
      <c r="J1520" s="38">
        <v>11.5</v>
      </c>
      <c r="P1520" s="57" t="s">
        <v>186</v>
      </c>
      <c r="Q1520" s="57" t="s">
        <v>1161</v>
      </c>
      <c r="R1520" s="57" t="s">
        <v>1400</v>
      </c>
      <c r="S1520" s="57" t="s">
        <v>672</v>
      </c>
      <c r="T1520" s="38">
        <v>1.46</v>
      </c>
      <c r="U1520" s="38">
        <v>69</v>
      </c>
      <c r="V1520" s="38">
        <v>20</v>
      </c>
      <c r="W1520" s="38" t="s">
        <v>182</v>
      </c>
      <c r="X1520" s="38">
        <v>7.7</v>
      </c>
      <c r="Y1520" s="38">
        <v>0.62</v>
      </c>
      <c r="AA1520" s="38" t="s">
        <v>1719</v>
      </c>
      <c r="AB1520" s="38" t="s">
        <v>1399</v>
      </c>
      <c r="AC1520" s="38" t="s">
        <v>850</v>
      </c>
      <c r="AM1520" s="38" t="s">
        <v>160</v>
      </c>
      <c r="AN1520" s="38">
        <v>3</v>
      </c>
      <c r="AO1520" s="38">
        <v>3</v>
      </c>
      <c r="AP1520" s="38" t="s">
        <v>184</v>
      </c>
      <c r="AR1520" s="38">
        <v>2.9</v>
      </c>
      <c r="AS1520" s="38">
        <f>AR1520/0.1</f>
        <v>28.999999999999996</v>
      </c>
      <c r="AY1520" s="38">
        <v>3</v>
      </c>
      <c r="AZ1520" s="38">
        <v>4</v>
      </c>
      <c r="BH1520" s="38">
        <v>67.489999999999995</v>
      </c>
      <c r="BI1520" s="38">
        <v>53.72</v>
      </c>
      <c r="BJ1520" s="38" t="s">
        <v>1406</v>
      </c>
      <c r="DD1520" s="38">
        <v>4.82</v>
      </c>
      <c r="DE1520" s="38">
        <v>5.87</v>
      </c>
      <c r="DJ1520" s="38">
        <v>0.75</v>
      </c>
      <c r="DK1520" s="38">
        <v>0.75</v>
      </c>
      <c r="DL1520" s="38" t="s">
        <v>1411</v>
      </c>
      <c r="DM1520" s="38">
        <v>1.38</v>
      </c>
      <c r="DN1520" s="38">
        <v>6.13</v>
      </c>
      <c r="DO1520" s="38" t="s">
        <v>1412</v>
      </c>
      <c r="DV1520" s="38">
        <v>6.56</v>
      </c>
      <c r="DW1520" s="38">
        <v>6.13</v>
      </c>
      <c r="EE1520" s="38">
        <v>86.95</v>
      </c>
      <c r="EF1520" s="38">
        <v>86.95</v>
      </c>
      <c r="EG1520" s="38">
        <v>10.52</v>
      </c>
      <c r="EH1520" s="38">
        <v>11.66</v>
      </c>
      <c r="EL1520" s="38" t="s">
        <v>1028</v>
      </c>
      <c r="EM1520" s="38" t="s">
        <v>1409</v>
      </c>
      <c r="EN1520" s="38">
        <v>70</v>
      </c>
    </row>
    <row r="1521" spans="1:144" s="38" customFormat="1" x14ac:dyDescent="0.25">
      <c r="A1521" s="38">
        <v>70</v>
      </c>
      <c r="B1521" s="38" t="s">
        <v>1395</v>
      </c>
      <c r="C1521" s="38" t="s">
        <v>1396</v>
      </c>
      <c r="D1521" s="38">
        <v>1996</v>
      </c>
      <c r="E1521" s="38">
        <v>1992</v>
      </c>
      <c r="F1521" s="38" t="s">
        <v>1397</v>
      </c>
      <c r="G1521" s="38" t="s">
        <v>1398</v>
      </c>
      <c r="H1521" s="38">
        <v>36.69</v>
      </c>
      <c r="I1521" s="38">
        <v>-121.64</v>
      </c>
      <c r="J1521" s="38">
        <v>11.5</v>
      </c>
      <c r="P1521" s="57" t="s">
        <v>186</v>
      </c>
      <c r="Q1521" s="57" t="s">
        <v>1161</v>
      </c>
      <c r="R1521" s="57" t="s">
        <v>1401</v>
      </c>
      <c r="S1521" s="57" t="s">
        <v>672</v>
      </c>
      <c r="T1521" s="38">
        <v>1.46</v>
      </c>
      <c r="U1521" s="38">
        <v>69</v>
      </c>
      <c r="V1521" s="38">
        <v>20</v>
      </c>
      <c r="W1521" s="38" t="s">
        <v>182</v>
      </c>
      <c r="X1521" s="38">
        <v>7.7</v>
      </c>
      <c r="Y1521" s="38">
        <v>0.62</v>
      </c>
      <c r="AA1521" s="38" t="s">
        <v>1719</v>
      </c>
      <c r="AB1521" s="38" t="s">
        <v>1399</v>
      </c>
      <c r="AC1521" s="38" t="s">
        <v>850</v>
      </c>
      <c r="AM1521" s="38" t="s">
        <v>160</v>
      </c>
      <c r="AN1521" s="38">
        <v>3</v>
      </c>
      <c r="AO1521" s="38">
        <v>3</v>
      </c>
      <c r="AP1521" s="38" t="s">
        <v>184</v>
      </c>
      <c r="AR1521" s="38">
        <v>203</v>
      </c>
      <c r="AS1521" s="38">
        <f>AR1521/11.1</f>
        <v>18.288288288288289</v>
      </c>
      <c r="AY1521" s="38">
        <v>123</v>
      </c>
      <c r="AZ1521" s="38">
        <v>106</v>
      </c>
      <c r="BH1521" s="38">
        <v>80.33</v>
      </c>
      <c r="BI1521" s="38">
        <v>88.86</v>
      </c>
      <c r="BJ1521" s="38" t="s">
        <v>1406</v>
      </c>
      <c r="DD1521" s="38">
        <v>11.17</v>
      </c>
      <c r="DE1521" s="38">
        <v>10.87</v>
      </c>
      <c r="DJ1521" s="38">
        <v>5.86</v>
      </c>
      <c r="DK1521" s="38">
        <v>1.4</v>
      </c>
      <c r="DL1521" s="38" t="s">
        <v>1411</v>
      </c>
      <c r="DM1521" s="38">
        <v>10.8</v>
      </c>
      <c r="DN1521" s="38">
        <v>16.510000000000002</v>
      </c>
      <c r="DO1521" s="38" t="s">
        <v>1412</v>
      </c>
      <c r="DV1521" s="38">
        <v>12.79</v>
      </c>
      <c r="DW1521" s="38">
        <v>10.47</v>
      </c>
      <c r="EE1521" s="38">
        <v>203.57</v>
      </c>
      <c r="EF1521" s="38">
        <v>97.11</v>
      </c>
      <c r="EG1521" s="38">
        <v>19.37</v>
      </c>
      <c r="EH1521" s="38">
        <v>15.79</v>
      </c>
      <c r="EL1521" s="38" t="s">
        <v>1181</v>
      </c>
      <c r="EM1521" s="38" t="s">
        <v>1409</v>
      </c>
      <c r="EN1521" s="38">
        <v>70</v>
      </c>
    </row>
    <row r="1522" spans="1:144" s="38" customFormat="1" x14ac:dyDescent="0.25">
      <c r="A1522" s="38">
        <v>70</v>
      </c>
      <c r="B1522" s="38" t="s">
        <v>1395</v>
      </c>
      <c r="C1522" s="38" t="s">
        <v>1396</v>
      </c>
      <c r="D1522" s="38">
        <v>1996</v>
      </c>
      <c r="E1522" s="38">
        <v>1993</v>
      </c>
      <c r="F1522" s="38" t="s">
        <v>1397</v>
      </c>
      <c r="G1522" s="38" t="s">
        <v>1398</v>
      </c>
      <c r="H1522" s="38">
        <v>36.69</v>
      </c>
      <c r="I1522" s="38">
        <v>-121.64</v>
      </c>
      <c r="J1522" s="38">
        <v>11.5</v>
      </c>
      <c r="P1522" s="57" t="s">
        <v>186</v>
      </c>
      <c r="Q1522" s="57" t="s">
        <v>1161</v>
      </c>
      <c r="R1522" s="57" t="s">
        <v>1402</v>
      </c>
      <c r="S1522" s="57" t="s">
        <v>672</v>
      </c>
      <c r="T1522" s="38">
        <v>1.46</v>
      </c>
      <c r="U1522" s="38">
        <v>69</v>
      </c>
      <c r="V1522" s="38">
        <v>20</v>
      </c>
      <c r="W1522" s="38" t="s">
        <v>182</v>
      </c>
      <c r="X1522" s="38">
        <v>7.7</v>
      </c>
      <c r="Y1522" s="38">
        <v>0.62</v>
      </c>
      <c r="AA1522" s="38" t="s">
        <v>1719</v>
      </c>
      <c r="AB1522" s="38" t="s">
        <v>1399</v>
      </c>
      <c r="AC1522" s="38" t="s">
        <v>850</v>
      </c>
      <c r="AM1522" s="38" t="s">
        <v>160</v>
      </c>
      <c r="AN1522" s="38">
        <v>3</v>
      </c>
      <c r="AO1522" s="38">
        <v>3</v>
      </c>
      <c r="AP1522" s="38" t="s">
        <v>184</v>
      </c>
      <c r="AR1522" s="38">
        <v>1219</v>
      </c>
      <c r="AS1522" s="38">
        <f>AR1522/54</f>
        <v>22.574074074074073</v>
      </c>
      <c r="AY1522" s="38">
        <v>1285</v>
      </c>
      <c r="AZ1522" s="38">
        <v>1360</v>
      </c>
      <c r="BH1522" s="38">
        <v>42.55</v>
      </c>
      <c r="BI1522" s="38">
        <v>50.38</v>
      </c>
      <c r="BJ1522" s="38" t="s">
        <v>1406</v>
      </c>
      <c r="DD1522" s="38">
        <v>8.9</v>
      </c>
      <c r="DE1522" s="38">
        <v>8.09</v>
      </c>
      <c r="DJ1522" s="38">
        <v>0.74</v>
      </c>
      <c r="DK1522" s="38">
        <v>0.74</v>
      </c>
      <c r="DL1522" s="38" t="s">
        <v>1411</v>
      </c>
      <c r="DM1522" s="38">
        <v>9.8000000000000007</v>
      </c>
      <c r="DN1522" s="38">
        <v>40.19</v>
      </c>
      <c r="DO1522" s="38" t="s">
        <v>1412</v>
      </c>
      <c r="DV1522" s="38">
        <v>6.56</v>
      </c>
      <c r="DW1522" s="38">
        <v>6.56</v>
      </c>
      <c r="EE1522" s="38">
        <v>189.18</v>
      </c>
      <c r="EF1522" s="38">
        <v>264.92</v>
      </c>
      <c r="EG1522" s="38">
        <v>10.18</v>
      </c>
      <c r="EH1522" s="38">
        <v>12.76</v>
      </c>
      <c r="EL1522" s="38" t="s">
        <v>1309</v>
      </c>
      <c r="EM1522" s="38" t="s">
        <v>1409</v>
      </c>
      <c r="EN1522" s="38">
        <v>70</v>
      </c>
    </row>
    <row r="1523" spans="1:144" s="38" customFormat="1" x14ac:dyDescent="0.25">
      <c r="A1523" s="38">
        <v>70</v>
      </c>
      <c r="B1523" s="38" t="s">
        <v>1395</v>
      </c>
      <c r="C1523" s="38" t="s">
        <v>1396</v>
      </c>
      <c r="D1523" s="38">
        <v>1996</v>
      </c>
      <c r="E1523" s="38">
        <v>1993</v>
      </c>
      <c r="F1523" s="38" t="s">
        <v>1397</v>
      </c>
      <c r="G1523" s="38" t="s">
        <v>1398</v>
      </c>
      <c r="H1523" s="38">
        <v>36.69</v>
      </c>
      <c r="I1523" s="38">
        <v>-121.64</v>
      </c>
      <c r="J1523" s="38">
        <v>11.5</v>
      </c>
      <c r="P1523" s="57" t="s">
        <v>186</v>
      </c>
      <c r="Q1523" s="57" t="s">
        <v>1161</v>
      </c>
      <c r="R1523" s="57" t="s">
        <v>1403</v>
      </c>
      <c r="S1523" s="57" t="s">
        <v>672</v>
      </c>
      <c r="T1523" s="38">
        <v>1.46</v>
      </c>
      <c r="U1523" s="38">
        <v>69</v>
      </c>
      <c r="V1523" s="38">
        <v>20</v>
      </c>
      <c r="W1523" s="38" t="s">
        <v>182</v>
      </c>
      <c r="X1523" s="38">
        <v>7.7</v>
      </c>
      <c r="Y1523" s="38">
        <v>0.62</v>
      </c>
      <c r="AA1523" s="38" t="s">
        <v>1719</v>
      </c>
      <c r="AB1523" s="38" t="s">
        <v>1399</v>
      </c>
      <c r="AC1523" s="38" t="s">
        <v>850</v>
      </c>
      <c r="AM1523" s="38" t="s">
        <v>160</v>
      </c>
      <c r="AN1523" s="38">
        <v>3</v>
      </c>
      <c r="AO1523" s="38">
        <v>3</v>
      </c>
      <c r="AP1523" s="38" t="s">
        <v>184</v>
      </c>
      <c r="AR1523" s="38">
        <v>1962</v>
      </c>
      <c r="AS1523" s="38">
        <f>AR1523/69</f>
        <v>28.434782608695652</v>
      </c>
      <c r="AY1523" s="38">
        <v>5821</v>
      </c>
      <c r="AZ1523" s="38">
        <v>6180</v>
      </c>
      <c r="BH1523" s="38">
        <v>18.420000000000002</v>
      </c>
      <c r="BI1523" s="38">
        <v>3.96</v>
      </c>
      <c r="BJ1523" s="38" t="s">
        <v>1406</v>
      </c>
      <c r="DD1523" s="38">
        <v>8.3699999999999992</v>
      </c>
      <c r="DE1523" s="38">
        <v>6.65</v>
      </c>
      <c r="DJ1523" s="38">
        <v>3.62</v>
      </c>
      <c r="DK1523" s="38">
        <v>1.46</v>
      </c>
      <c r="DL1523" s="38" t="s">
        <v>1411</v>
      </c>
      <c r="DM1523" s="38">
        <v>22.13</v>
      </c>
      <c r="DN1523" s="38">
        <v>107.59</v>
      </c>
      <c r="DO1523" s="38" t="s">
        <v>1412</v>
      </c>
      <c r="DV1523" s="38">
        <v>7.56</v>
      </c>
      <c r="DW1523" s="38">
        <v>8.15</v>
      </c>
      <c r="EE1523" s="38">
        <v>275.08999999999997</v>
      </c>
      <c r="EF1523" s="38">
        <v>236.2</v>
      </c>
      <c r="EG1523" s="38">
        <v>15.46</v>
      </c>
      <c r="EH1523" s="38">
        <v>19.62</v>
      </c>
      <c r="EL1523" s="38" t="s">
        <v>1310</v>
      </c>
      <c r="EM1523" s="38" t="s">
        <v>1409</v>
      </c>
      <c r="EN1523" s="38">
        <v>70</v>
      </c>
    </row>
    <row r="1524" spans="1:144" s="38" customFormat="1" x14ac:dyDescent="0.25">
      <c r="A1524" s="38">
        <v>70</v>
      </c>
      <c r="B1524" s="38" t="s">
        <v>1395</v>
      </c>
      <c r="C1524" s="38" t="s">
        <v>1396</v>
      </c>
      <c r="D1524" s="38">
        <v>1996</v>
      </c>
      <c r="E1524" s="38">
        <v>1993</v>
      </c>
      <c r="F1524" s="38" t="s">
        <v>1397</v>
      </c>
      <c r="G1524" s="38" t="s">
        <v>1398</v>
      </c>
      <c r="H1524" s="38">
        <v>36.69</v>
      </c>
      <c r="I1524" s="38">
        <v>-121.64</v>
      </c>
      <c r="J1524" s="38">
        <v>11.5</v>
      </c>
      <c r="P1524" s="57" t="s">
        <v>186</v>
      </c>
      <c r="Q1524" s="57" t="s">
        <v>1161</v>
      </c>
      <c r="R1524" s="57" t="s">
        <v>1404</v>
      </c>
      <c r="S1524" s="57" t="s">
        <v>672</v>
      </c>
      <c r="T1524" s="38">
        <v>1.46</v>
      </c>
      <c r="U1524" s="38">
        <v>69</v>
      </c>
      <c r="V1524" s="38">
        <v>20</v>
      </c>
      <c r="W1524" s="38" t="s">
        <v>182</v>
      </c>
      <c r="X1524" s="38">
        <v>7.7</v>
      </c>
      <c r="Y1524" s="38">
        <v>0.62</v>
      </c>
      <c r="AA1524" s="38" t="s">
        <v>1719</v>
      </c>
      <c r="AB1524" s="38" t="s">
        <v>1399</v>
      </c>
      <c r="AC1524" s="38" t="s">
        <v>850</v>
      </c>
      <c r="AM1524" s="38" t="s">
        <v>160</v>
      </c>
      <c r="AN1524" s="38">
        <v>3</v>
      </c>
      <c r="AO1524" s="38">
        <v>3</v>
      </c>
      <c r="AP1524" s="38" t="s">
        <v>184</v>
      </c>
      <c r="AR1524" s="38">
        <v>3640</v>
      </c>
      <c r="AS1524" s="38">
        <f>AR1524/106</f>
        <v>34.339622641509436</v>
      </c>
      <c r="AY1524" s="38">
        <v>8303</v>
      </c>
      <c r="AZ1524" s="38">
        <v>9375</v>
      </c>
      <c r="BH1524" s="38">
        <v>15.37</v>
      </c>
      <c r="BI1524" s="38">
        <v>5.74</v>
      </c>
      <c r="BJ1524" s="38" t="s">
        <v>1406</v>
      </c>
      <c r="DD1524" s="38">
        <v>7.55</v>
      </c>
      <c r="DE1524" s="38">
        <v>6.35</v>
      </c>
      <c r="DJ1524" s="38">
        <v>3.42</v>
      </c>
      <c r="DK1524" s="38">
        <v>5</v>
      </c>
      <c r="DL1524" s="38" t="s">
        <v>1411</v>
      </c>
      <c r="DM1524" s="38">
        <v>8.8000000000000007</v>
      </c>
      <c r="DN1524" s="38">
        <v>36.33</v>
      </c>
      <c r="DO1524" s="38" t="s">
        <v>1412</v>
      </c>
      <c r="DV1524" s="38">
        <v>4.8</v>
      </c>
      <c r="DW1524" s="38">
        <v>12.93</v>
      </c>
      <c r="EE1524" s="38">
        <v>152.24</v>
      </c>
      <c r="EF1524" s="38">
        <v>199.32</v>
      </c>
      <c r="EG1524" s="38">
        <v>4.99</v>
      </c>
      <c r="EH1524" s="38">
        <v>8</v>
      </c>
      <c r="EL1524" s="38" t="s">
        <v>1027</v>
      </c>
      <c r="EM1524" s="38" t="s">
        <v>1409</v>
      </c>
      <c r="EN1524" s="38">
        <v>70</v>
      </c>
    </row>
    <row r="1525" spans="1:144" s="111" customFormat="1" x14ac:dyDescent="0.25">
      <c r="A1525" s="111">
        <v>70</v>
      </c>
      <c r="B1525" s="111" t="s">
        <v>1395</v>
      </c>
      <c r="C1525" s="111" t="s">
        <v>1396</v>
      </c>
      <c r="D1525" s="111">
        <v>1996</v>
      </c>
      <c r="E1525" s="111">
        <v>1992</v>
      </c>
      <c r="F1525" s="111" t="s">
        <v>1397</v>
      </c>
      <c r="G1525" s="111" t="s">
        <v>1398</v>
      </c>
      <c r="H1525" s="111">
        <v>36.69</v>
      </c>
      <c r="I1525" s="111">
        <v>-121.64</v>
      </c>
      <c r="J1525" s="111">
        <v>11.5</v>
      </c>
      <c r="P1525" s="112" t="s">
        <v>186</v>
      </c>
      <c r="Q1525" s="112" t="s">
        <v>1161</v>
      </c>
      <c r="R1525" s="112"/>
      <c r="S1525" s="57" t="s">
        <v>672</v>
      </c>
      <c r="T1525" s="111">
        <v>1.46</v>
      </c>
      <c r="U1525" s="111">
        <v>69</v>
      </c>
      <c r="V1525" s="111">
        <v>20</v>
      </c>
      <c r="W1525" s="111" t="s">
        <v>182</v>
      </c>
      <c r="X1525" s="111">
        <v>7.7</v>
      </c>
      <c r="Y1525" s="111">
        <v>0.62</v>
      </c>
      <c r="AA1525" s="38" t="s">
        <v>1719</v>
      </c>
      <c r="AB1525" s="111" t="s">
        <v>1399</v>
      </c>
      <c r="AC1525" s="111" t="s">
        <v>850</v>
      </c>
      <c r="AM1525" s="111" t="s">
        <v>160</v>
      </c>
      <c r="AN1525" s="111">
        <v>3</v>
      </c>
      <c r="AO1525" s="111">
        <v>3</v>
      </c>
      <c r="AP1525" s="111" t="s">
        <v>184</v>
      </c>
      <c r="AR1525" s="111">
        <v>2.9</v>
      </c>
      <c r="AS1525" s="111">
        <f>AR1525/0.1</f>
        <v>28.999999999999996</v>
      </c>
      <c r="BH1525" s="111">
        <v>20.61</v>
      </c>
      <c r="BI1525" s="111">
        <v>9.26</v>
      </c>
      <c r="BJ1525" s="38" t="s">
        <v>1406</v>
      </c>
      <c r="DD1525" s="111">
        <v>11.36</v>
      </c>
      <c r="DE1525" s="111">
        <v>11.36</v>
      </c>
      <c r="DJ1525" s="111">
        <v>0.65</v>
      </c>
      <c r="DK1525" s="111">
        <v>0.52</v>
      </c>
      <c r="DL1525" s="38" t="s">
        <v>1411</v>
      </c>
      <c r="DM1525" s="111">
        <v>2.82</v>
      </c>
      <c r="DN1525" s="111">
        <v>2.82</v>
      </c>
      <c r="DO1525" s="38" t="s">
        <v>1412</v>
      </c>
      <c r="DV1525" s="111">
        <v>6.19</v>
      </c>
      <c r="DW1525" s="111">
        <v>13</v>
      </c>
      <c r="EE1525" s="111">
        <v>74.430000000000007</v>
      </c>
      <c r="EF1525" s="111">
        <v>238.2</v>
      </c>
      <c r="EG1525" s="111">
        <v>12.3</v>
      </c>
      <c r="EH1525" s="111">
        <v>20.61</v>
      </c>
      <c r="EL1525" s="111" t="s">
        <v>279</v>
      </c>
      <c r="EM1525" s="38" t="s">
        <v>1409</v>
      </c>
      <c r="EN1525" s="111">
        <v>70</v>
      </c>
    </row>
    <row r="1526" spans="1:144" s="111" customFormat="1" x14ac:dyDescent="0.25">
      <c r="A1526" s="111">
        <v>70</v>
      </c>
      <c r="B1526" s="111" t="s">
        <v>1395</v>
      </c>
      <c r="C1526" s="111" t="s">
        <v>1396</v>
      </c>
      <c r="D1526" s="111">
        <v>1996</v>
      </c>
      <c r="E1526" s="111">
        <v>1992</v>
      </c>
      <c r="F1526" s="111" t="s">
        <v>1397</v>
      </c>
      <c r="G1526" s="111" t="s">
        <v>1398</v>
      </c>
      <c r="H1526" s="111">
        <v>36.69</v>
      </c>
      <c r="I1526" s="111">
        <v>-121.64</v>
      </c>
      <c r="J1526" s="111">
        <v>11.5</v>
      </c>
      <c r="P1526" s="112" t="s">
        <v>186</v>
      </c>
      <c r="Q1526" s="112" t="s">
        <v>1161</v>
      </c>
      <c r="R1526" s="112"/>
      <c r="S1526" s="57" t="s">
        <v>672</v>
      </c>
      <c r="T1526" s="111">
        <v>1.46</v>
      </c>
      <c r="U1526" s="111">
        <v>69</v>
      </c>
      <c r="V1526" s="111">
        <v>20</v>
      </c>
      <c r="W1526" s="111" t="s">
        <v>182</v>
      </c>
      <c r="X1526" s="111">
        <v>7.7</v>
      </c>
      <c r="Y1526" s="111">
        <v>0.62</v>
      </c>
      <c r="AA1526" s="38" t="s">
        <v>1719</v>
      </c>
      <c r="AB1526" s="111" t="s">
        <v>1399</v>
      </c>
      <c r="AC1526" s="111" t="s">
        <v>850</v>
      </c>
      <c r="AM1526" s="111" t="s">
        <v>160</v>
      </c>
      <c r="AN1526" s="111">
        <v>3</v>
      </c>
      <c r="AO1526" s="111">
        <v>3</v>
      </c>
      <c r="AP1526" s="111" t="s">
        <v>184</v>
      </c>
      <c r="AR1526" s="111">
        <v>203</v>
      </c>
      <c r="AS1526" s="111">
        <f>AR1526/11.1</f>
        <v>18.288288288288289</v>
      </c>
      <c r="BH1526" s="111">
        <v>22.56</v>
      </c>
      <c r="BI1526" s="111">
        <v>21.76</v>
      </c>
      <c r="BJ1526" s="38" t="s">
        <v>1406</v>
      </c>
      <c r="DD1526" s="111">
        <v>9.19</v>
      </c>
      <c r="DE1526" s="111">
        <v>8.89</v>
      </c>
      <c r="DJ1526" s="111">
        <v>1.43</v>
      </c>
      <c r="DK1526" s="111">
        <v>1.43</v>
      </c>
      <c r="DL1526" s="38" t="s">
        <v>1411</v>
      </c>
      <c r="DM1526" s="111">
        <v>29.28</v>
      </c>
      <c r="DN1526" s="111">
        <v>90.06</v>
      </c>
      <c r="DO1526" s="38" t="s">
        <v>1412</v>
      </c>
      <c r="DV1526" s="111">
        <v>3.22</v>
      </c>
      <c r="DW1526" s="111">
        <v>7.64</v>
      </c>
      <c r="EE1526" s="111">
        <v>103.08</v>
      </c>
      <c r="EF1526" s="111">
        <v>289.37</v>
      </c>
      <c r="EG1526" s="111">
        <v>4.41</v>
      </c>
      <c r="EH1526" s="111">
        <v>17.3</v>
      </c>
      <c r="EL1526" s="111" t="s">
        <v>1182</v>
      </c>
      <c r="EM1526" s="38" t="s">
        <v>1409</v>
      </c>
      <c r="EN1526" s="111">
        <v>70</v>
      </c>
    </row>
    <row r="1527" spans="1:144" s="111" customFormat="1" x14ac:dyDescent="0.25">
      <c r="A1527" s="111">
        <v>70</v>
      </c>
      <c r="B1527" s="111" t="s">
        <v>1395</v>
      </c>
      <c r="C1527" s="111" t="s">
        <v>1396</v>
      </c>
      <c r="D1527" s="111">
        <v>1996</v>
      </c>
      <c r="E1527" s="111">
        <v>1993</v>
      </c>
      <c r="F1527" s="111" t="s">
        <v>1397</v>
      </c>
      <c r="G1527" s="111" t="s">
        <v>1398</v>
      </c>
      <c r="H1527" s="111">
        <v>36.69</v>
      </c>
      <c r="I1527" s="111">
        <v>-121.64</v>
      </c>
      <c r="J1527" s="111">
        <v>11.5</v>
      </c>
      <c r="P1527" s="112" t="s">
        <v>186</v>
      </c>
      <c r="Q1527" s="112" t="s">
        <v>1161</v>
      </c>
      <c r="R1527" s="112"/>
      <c r="S1527" s="57" t="s">
        <v>672</v>
      </c>
      <c r="T1527" s="111">
        <v>1.46</v>
      </c>
      <c r="U1527" s="111">
        <v>69</v>
      </c>
      <c r="V1527" s="111">
        <v>20</v>
      </c>
      <c r="W1527" s="111" t="s">
        <v>182</v>
      </c>
      <c r="X1527" s="111">
        <v>7.7</v>
      </c>
      <c r="Y1527" s="111">
        <v>0.62</v>
      </c>
      <c r="AA1527" s="38" t="s">
        <v>1719</v>
      </c>
      <c r="AB1527" s="111" t="s">
        <v>1399</v>
      </c>
      <c r="AC1527" s="111" t="s">
        <v>850</v>
      </c>
      <c r="AM1527" s="111" t="s">
        <v>160</v>
      </c>
      <c r="AN1527" s="111">
        <v>3</v>
      </c>
      <c r="AO1527" s="111">
        <v>3</v>
      </c>
      <c r="AP1527" s="111" t="s">
        <v>184</v>
      </c>
      <c r="AR1527" s="111">
        <v>1219</v>
      </c>
      <c r="AS1527" s="111">
        <f>AR1527/54</f>
        <v>22.574074074074073</v>
      </c>
      <c r="BH1527" s="111">
        <v>44.05</v>
      </c>
      <c r="BI1527" s="111">
        <v>35.81</v>
      </c>
      <c r="BJ1527" s="38" t="s">
        <v>1406</v>
      </c>
      <c r="DD1527" s="111">
        <v>8.2799999999999994</v>
      </c>
      <c r="DE1527" s="111">
        <v>7.76</v>
      </c>
      <c r="DJ1527" s="111">
        <v>9.02</v>
      </c>
      <c r="DK1527" s="111">
        <v>8.1</v>
      </c>
      <c r="DL1527" s="38" t="s">
        <v>1411</v>
      </c>
      <c r="DM1527" s="111">
        <v>153.53</v>
      </c>
      <c r="DN1527" s="111">
        <v>217.16</v>
      </c>
      <c r="DO1527" s="38" t="s">
        <v>1412</v>
      </c>
      <c r="DV1527" s="111">
        <v>5.32</v>
      </c>
      <c r="DW1527" s="111">
        <v>6.99</v>
      </c>
      <c r="EE1527" s="111">
        <v>49.83</v>
      </c>
      <c r="EF1527" s="111">
        <v>162.41999999999999</v>
      </c>
      <c r="EG1527" s="111">
        <v>11.14</v>
      </c>
      <c r="EH1527" s="111">
        <v>15.29</v>
      </c>
      <c r="EL1527" s="111" t="s">
        <v>1408</v>
      </c>
      <c r="EM1527" s="38" t="s">
        <v>1409</v>
      </c>
      <c r="EN1527" s="111">
        <v>70</v>
      </c>
    </row>
    <row r="1528" spans="1:144" s="111" customFormat="1" x14ac:dyDescent="0.25">
      <c r="A1528" s="111">
        <v>70</v>
      </c>
      <c r="B1528" s="111" t="s">
        <v>1395</v>
      </c>
      <c r="C1528" s="111" t="s">
        <v>1396</v>
      </c>
      <c r="D1528" s="111">
        <v>1996</v>
      </c>
      <c r="E1528" s="111">
        <v>1993</v>
      </c>
      <c r="F1528" s="111" t="s">
        <v>1397</v>
      </c>
      <c r="G1528" s="111" t="s">
        <v>1398</v>
      </c>
      <c r="H1528" s="111">
        <v>36.69</v>
      </c>
      <c r="I1528" s="111">
        <v>-121.64</v>
      </c>
      <c r="J1528" s="111">
        <v>11.5</v>
      </c>
      <c r="P1528" s="112" t="s">
        <v>186</v>
      </c>
      <c r="Q1528" s="112" t="s">
        <v>1161</v>
      </c>
      <c r="R1528" s="112"/>
      <c r="S1528" s="57" t="s">
        <v>672</v>
      </c>
      <c r="T1528" s="111">
        <v>1.46</v>
      </c>
      <c r="U1528" s="111">
        <v>69</v>
      </c>
      <c r="V1528" s="111">
        <v>20</v>
      </c>
      <c r="W1528" s="111" t="s">
        <v>182</v>
      </c>
      <c r="X1528" s="111">
        <v>7.7</v>
      </c>
      <c r="Y1528" s="111">
        <v>0.62</v>
      </c>
      <c r="AA1528" s="38" t="s">
        <v>1719</v>
      </c>
      <c r="AB1528" s="111" t="s">
        <v>1399</v>
      </c>
      <c r="AC1528" s="111" t="s">
        <v>850</v>
      </c>
      <c r="AM1528" s="111" t="s">
        <v>160</v>
      </c>
      <c r="AN1528" s="111">
        <v>3</v>
      </c>
      <c r="AO1528" s="111">
        <v>3</v>
      </c>
      <c r="AP1528" s="111" t="s">
        <v>184</v>
      </c>
      <c r="AR1528" s="111">
        <v>1962</v>
      </c>
      <c r="AS1528" s="111">
        <f>AR1528/69</f>
        <v>28.434782608695652</v>
      </c>
      <c r="BH1528" s="111">
        <v>57.76</v>
      </c>
      <c r="BI1528" s="111">
        <v>23.09</v>
      </c>
      <c r="BJ1528" s="38" t="s">
        <v>1406</v>
      </c>
      <c r="DD1528" s="111">
        <v>7.15</v>
      </c>
      <c r="DE1528" s="111">
        <v>7.97</v>
      </c>
      <c r="DJ1528" s="111">
        <v>15.1</v>
      </c>
      <c r="DK1528" s="111">
        <v>7.63</v>
      </c>
      <c r="DL1528" s="38" t="s">
        <v>1411</v>
      </c>
      <c r="DM1528" s="111">
        <v>46.96</v>
      </c>
      <c r="DN1528" s="111">
        <v>75.45</v>
      </c>
      <c r="DO1528" s="38" t="s">
        <v>1412</v>
      </c>
      <c r="DV1528" s="111">
        <v>7.05</v>
      </c>
      <c r="DW1528" s="111">
        <v>4.3</v>
      </c>
      <c r="EE1528" s="111">
        <v>117.26</v>
      </c>
      <c r="EF1528" s="111">
        <v>244.18</v>
      </c>
      <c r="EG1528" s="111">
        <v>6.37</v>
      </c>
      <c r="EH1528" s="111">
        <v>15.97</v>
      </c>
      <c r="EL1528" s="111" t="s">
        <v>1408</v>
      </c>
      <c r="EM1528" s="38" t="s">
        <v>1409</v>
      </c>
      <c r="EN1528" s="111">
        <v>70</v>
      </c>
    </row>
    <row r="1529" spans="1:144" s="111" customFormat="1" x14ac:dyDescent="0.25">
      <c r="A1529" s="111">
        <v>70</v>
      </c>
      <c r="B1529" s="111" t="s">
        <v>1395</v>
      </c>
      <c r="C1529" s="111" t="s">
        <v>1396</v>
      </c>
      <c r="D1529" s="111">
        <v>1996</v>
      </c>
      <c r="E1529" s="111">
        <v>1993</v>
      </c>
      <c r="F1529" s="111" t="s">
        <v>1397</v>
      </c>
      <c r="G1529" s="111" t="s">
        <v>1398</v>
      </c>
      <c r="H1529" s="111">
        <v>36.69</v>
      </c>
      <c r="I1529" s="111">
        <v>-121.64</v>
      </c>
      <c r="J1529" s="111">
        <v>11.5</v>
      </c>
      <c r="P1529" s="112" t="s">
        <v>186</v>
      </c>
      <c r="Q1529" s="112" t="s">
        <v>1161</v>
      </c>
      <c r="R1529" s="112"/>
      <c r="S1529" s="57" t="s">
        <v>672</v>
      </c>
      <c r="T1529" s="111">
        <v>1.46</v>
      </c>
      <c r="U1529" s="111">
        <v>69</v>
      </c>
      <c r="V1529" s="111">
        <v>20</v>
      </c>
      <c r="W1529" s="111" t="s">
        <v>182</v>
      </c>
      <c r="X1529" s="111">
        <v>7.7</v>
      </c>
      <c r="Y1529" s="111">
        <v>0.62</v>
      </c>
      <c r="AA1529" s="38" t="s">
        <v>1719</v>
      </c>
      <c r="AB1529" s="111" t="s">
        <v>1399</v>
      </c>
      <c r="AC1529" s="111" t="s">
        <v>850</v>
      </c>
      <c r="AM1529" s="111" t="s">
        <v>160</v>
      </c>
      <c r="AN1529" s="111">
        <v>3</v>
      </c>
      <c r="AO1529" s="111">
        <v>3</v>
      </c>
      <c r="AP1529" s="111" t="s">
        <v>184</v>
      </c>
      <c r="AR1529" s="111">
        <v>3640</v>
      </c>
      <c r="AS1529" s="111">
        <f>AR1529/106</f>
        <v>34.339622641509436</v>
      </c>
      <c r="BH1529" s="111">
        <v>70.599999999999994</v>
      </c>
      <c r="BI1529" s="111">
        <v>70.31</v>
      </c>
      <c r="BJ1529" s="38" t="s">
        <v>1406</v>
      </c>
      <c r="DD1529" s="111">
        <v>5.56</v>
      </c>
      <c r="DE1529" s="111">
        <v>5.78</v>
      </c>
      <c r="DJ1529" s="111">
        <v>8.41</v>
      </c>
      <c r="DK1529" s="111">
        <v>7.1</v>
      </c>
      <c r="DL1529" s="38" t="s">
        <v>1411</v>
      </c>
      <c r="DM1529" s="111">
        <v>42.08</v>
      </c>
      <c r="DN1529" s="111">
        <v>33.54</v>
      </c>
      <c r="DO1529" s="38" t="s">
        <v>1412</v>
      </c>
      <c r="DV1529" s="111">
        <v>3.86</v>
      </c>
      <c r="DW1529" s="111">
        <v>3.86</v>
      </c>
      <c r="EE1529" s="111">
        <v>119.25</v>
      </c>
      <c r="EF1529" s="111">
        <v>190.9</v>
      </c>
      <c r="EG1529" s="111">
        <v>11.22</v>
      </c>
      <c r="EH1529" s="111">
        <v>12.94</v>
      </c>
      <c r="EL1529" s="111" t="s">
        <v>1028</v>
      </c>
      <c r="EM1529" s="38" t="s">
        <v>1409</v>
      </c>
      <c r="EN1529" s="111">
        <v>70</v>
      </c>
    </row>
    <row r="1530" spans="1:144" s="31" customFormat="1" x14ac:dyDescent="0.25">
      <c r="A1530" s="31">
        <v>70</v>
      </c>
      <c r="B1530" s="31" t="s">
        <v>1395</v>
      </c>
      <c r="C1530" s="31" t="s">
        <v>1396</v>
      </c>
      <c r="D1530" s="31">
        <v>1996</v>
      </c>
      <c r="E1530" s="31">
        <v>1992</v>
      </c>
      <c r="F1530" s="31" t="s">
        <v>1397</v>
      </c>
      <c r="G1530" s="31" t="s">
        <v>1398</v>
      </c>
      <c r="H1530" s="31">
        <v>36.69</v>
      </c>
      <c r="I1530" s="31">
        <v>-121.64</v>
      </c>
      <c r="J1530" s="31">
        <v>11.5</v>
      </c>
      <c r="P1530" s="56" t="s">
        <v>186</v>
      </c>
      <c r="Q1530" s="56" t="s">
        <v>1161</v>
      </c>
      <c r="R1530" s="56" t="s">
        <v>1400</v>
      </c>
      <c r="S1530" s="56" t="s">
        <v>672</v>
      </c>
      <c r="T1530" s="31">
        <v>1.46</v>
      </c>
      <c r="U1530" s="31">
        <v>69</v>
      </c>
      <c r="V1530" s="31">
        <v>20</v>
      </c>
      <c r="W1530" s="31" t="s">
        <v>182</v>
      </c>
      <c r="X1530" s="31">
        <v>7.7</v>
      </c>
      <c r="Y1530" s="31">
        <v>0.62</v>
      </c>
      <c r="AA1530" s="31" t="s">
        <v>1719</v>
      </c>
      <c r="AB1530" s="31" t="s">
        <v>173</v>
      </c>
      <c r="AC1530" s="31" t="s">
        <v>850</v>
      </c>
      <c r="AM1530" s="31" t="s">
        <v>160</v>
      </c>
      <c r="AN1530" s="31">
        <v>3</v>
      </c>
      <c r="AO1530" s="31">
        <v>3</v>
      </c>
      <c r="AP1530" s="31" t="s">
        <v>184</v>
      </c>
      <c r="AR1530" s="31">
        <v>8.1</v>
      </c>
      <c r="AS1530" s="31">
        <f>AR1530/0.5</f>
        <v>16.2</v>
      </c>
      <c r="AY1530" s="31">
        <v>3</v>
      </c>
      <c r="AZ1530" s="31">
        <v>4</v>
      </c>
      <c r="BH1530" s="31">
        <v>67.489999999999995</v>
      </c>
      <c r="BI1530" s="31">
        <v>35.72</v>
      </c>
      <c r="BJ1530" s="31" t="s">
        <v>1406</v>
      </c>
      <c r="DD1530" s="31">
        <v>4.82</v>
      </c>
      <c r="DE1530" s="31">
        <v>6.39</v>
      </c>
      <c r="DJ1530" s="31">
        <v>0.75</v>
      </c>
      <c r="DK1530" s="31">
        <v>6.06</v>
      </c>
      <c r="DL1530" s="31" t="s">
        <v>1411</v>
      </c>
      <c r="DM1530" s="31">
        <v>1.38</v>
      </c>
      <c r="DN1530" s="31">
        <v>4.2300000000000004</v>
      </c>
      <c r="DO1530" s="31" t="s">
        <v>1412</v>
      </c>
      <c r="DV1530" s="31">
        <v>6.56</v>
      </c>
      <c r="DW1530" s="31">
        <v>7.72</v>
      </c>
      <c r="EE1530" s="31">
        <v>86.95</v>
      </c>
      <c r="EF1530" s="31">
        <v>86.95</v>
      </c>
      <c r="EG1530" s="31">
        <v>10.52</v>
      </c>
      <c r="EH1530" s="31">
        <v>10.52</v>
      </c>
      <c r="EL1530" s="31" t="s">
        <v>1028</v>
      </c>
      <c r="EM1530" s="31" t="s">
        <v>1409</v>
      </c>
      <c r="EN1530" s="31">
        <v>70</v>
      </c>
    </row>
    <row r="1531" spans="1:144" s="31" customFormat="1" x14ac:dyDescent="0.25">
      <c r="A1531" s="31">
        <v>70</v>
      </c>
      <c r="B1531" s="31" t="s">
        <v>1395</v>
      </c>
      <c r="C1531" s="31" t="s">
        <v>1396</v>
      </c>
      <c r="D1531" s="31">
        <v>1996</v>
      </c>
      <c r="E1531" s="31">
        <v>1992</v>
      </c>
      <c r="F1531" s="31" t="s">
        <v>1397</v>
      </c>
      <c r="G1531" s="31" t="s">
        <v>1398</v>
      </c>
      <c r="H1531" s="31">
        <v>36.69</v>
      </c>
      <c r="I1531" s="31">
        <v>-121.64</v>
      </c>
      <c r="J1531" s="31">
        <v>11.5</v>
      </c>
      <c r="P1531" s="56" t="s">
        <v>186</v>
      </c>
      <c r="Q1531" s="56" t="s">
        <v>1161</v>
      </c>
      <c r="R1531" s="56" t="s">
        <v>1401</v>
      </c>
      <c r="S1531" s="56" t="s">
        <v>672</v>
      </c>
      <c r="T1531" s="31">
        <v>1.46</v>
      </c>
      <c r="U1531" s="31">
        <v>69</v>
      </c>
      <c r="V1531" s="31">
        <v>20</v>
      </c>
      <c r="W1531" s="31" t="s">
        <v>182</v>
      </c>
      <c r="X1531" s="31">
        <v>7.7</v>
      </c>
      <c r="Y1531" s="31">
        <v>0.62</v>
      </c>
      <c r="AA1531" s="31" t="s">
        <v>1719</v>
      </c>
      <c r="AB1531" s="31" t="s">
        <v>173</v>
      </c>
      <c r="AC1531" s="31" t="s">
        <v>850</v>
      </c>
      <c r="AM1531" s="31" t="s">
        <v>160</v>
      </c>
      <c r="AN1531" s="31">
        <v>3</v>
      </c>
      <c r="AO1531" s="31">
        <v>3</v>
      </c>
      <c r="AP1531" s="31" t="s">
        <v>184</v>
      </c>
      <c r="AR1531" s="31">
        <v>347</v>
      </c>
      <c r="AS1531" s="31">
        <f>AR1531/21</f>
        <v>16.523809523809526</v>
      </c>
      <c r="AY1531" s="31">
        <v>123</v>
      </c>
      <c r="AZ1531" s="31">
        <v>115</v>
      </c>
      <c r="BH1531" s="31">
        <v>80.33</v>
      </c>
      <c r="BI1531" s="31">
        <v>84.17</v>
      </c>
      <c r="BJ1531" s="31" t="s">
        <v>1406</v>
      </c>
      <c r="DD1531" s="31">
        <v>11.17</v>
      </c>
      <c r="DE1531" s="31">
        <v>12.06</v>
      </c>
      <c r="DJ1531" s="31">
        <v>5.86</v>
      </c>
      <c r="DK1531" s="31">
        <v>1.4</v>
      </c>
      <c r="DL1531" s="31" t="s">
        <v>1411</v>
      </c>
      <c r="DM1531" s="31">
        <v>10.8</v>
      </c>
      <c r="DN1531" s="31">
        <v>9.86</v>
      </c>
      <c r="DO1531" s="31" t="s">
        <v>1412</v>
      </c>
      <c r="DV1531" s="31">
        <v>12.79</v>
      </c>
      <c r="DW1531" s="31">
        <v>8.59</v>
      </c>
      <c r="EE1531" s="31">
        <v>203.57</v>
      </c>
      <c r="EF1531" s="31">
        <v>154.43</v>
      </c>
      <c r="EG1531" s="31">
        <v>19.37</v>
      </c>
      <c r="EH1531" s="31">
        <v>19.23</v>
      </c>
      <c r="EL1531" s="31" t="s">
        <v>1181</v>
      </c>
      <c r="EM1531" s="31" t="s">
        <v>1409</v>
      </c>
      <c r="EN1531" s="31">
        <v>70</v>
      </c>
    </row>
    <row r="1532" spans="1:144" s="31" customFormat="1" x14ac:dyDescent="0.25">
      <c r="A1532" s="31">
        <v>70</v>
      </c>
      <c r="B1532" s="31" t="s">
        <v>1395</v>
      </c>
      <c r="C1532" s="31" t="s">
        <v>1396</v>
      </c>
      <c r="D1532" s="31">
        <v>1996</v>
      </c>
      <c r="E1532" s="31">
        <v>1993</v>
      </c>
      <c r="F1532" s="31" t="s">
        <v>1397</v>
      </c>
      <c r="G1532" s="31" t="s">
        <v>1398</v>
      </c>
      <c r="H1532" s="31">
        <v>36.69</v>
      </c>
      <c r="I1532" s="31">
        <v>-121.64</v>
      </c>
      <c r="J1532" s="31">
        <v>11.5</v>
      </c>
      <c r="P1532" s="56" t="s">
        <v>186</v>
      </c>
      <c r="Q1532" s="56" t="s">
        <v>1161</v>
      </c>
      <c r="R1532" s="56" t="s">
        <v>1402</v>
      </c>
      <c r="S1532" s="56" t="s">
        <v>672</v>
      </c>
      <c r="T1532" s="31">
        <v>1.46</v>
      </c>
      <c r="U1532" s="31">
        <v>69</v>
      </c>
      <c r="V1532" s="31">
        <v>20</v>
      </c>
      <c r="W1532" s="31" t="s">
        <v>182</v>
      </c>
      <c r="X1532" s="31">
        <v>7.7</v>
      </c>
      <c r="Y1532" s="31">
        <v>0.62</v>
      </c>
      <c r="AA1532" s="31" t="s">
        <v>1719</v>
      </c>
      <c r="AB1532" s="31" t="s">
        <v>173</v>
      </c>
      <c r="AC1532" s="31" t="s">
        <v>850</v>
      </c>
      <c r="AM1532" s="31" t="s">
        <v>160</v>
      </c>
      <c r="AN1532" s="31">
        <v>3</v>
      </c>
      <c r="AO1532" s="31">
        <v>3</v>
      </c>
      <c r="AP1532" s="31" t="s">
        <v>184</v>
      </c>
      <c r="AR1532" s="31">
        <v>1399</v>
      </c>
      <c r="AS1532" s="31">
        <f>AR1532/59</f>
        <v>23.711864406779661</v>
      </c>
      <c r="AY1532" s="31">
        <v>1285</v>
      </c>
      <c r="AZ1532" s="31">
        <v>1215</v>
      </c>
      <c r="BH1532" s="31">
        <v>42.55</v>
      </c>
      <c r="BI1532" s="31">
        <v>38.950000000000003</v>
      </c>
      <c r="BJ1532" s="31" t="s">
        <v>1406</v>
      </c>
      <c r="DD1532" s="31">
        <v>8.9</v>
      </c>
      <c r="DE1532" s="31">
        <v>7.34</v>
      </c>
      <c r="DJ1532" s="31">
        <v>0.74</v>
      </c>
      <c r="DK1532" s="31">
        <v>0.74</v>
      </c>
      <c r="DL1532" s="31" t="s">
        <v>1411</v>
      </c>
      <c r="DM1532" s="31">
        <v>9.8000000000000007</v>
      </c>
      <c r="DN1532" s="31">
        <v>47.8</v>
      </c>
      <c r="DO1532" s="31" t="s">
        <v>1412</v>
      </c>
      <c r="DV1532" s="31">
        <v>6.56</v>
      </c>
      <c r="DW1532" s="31">
        <v>9.5299999999999994</v>
      </c>
      <c r="EE1532" s="31">
        <v>189.18</v>
      </c>
      <c r="EF1532" s="31">
        <v>299.72000000000003</v>
      </c>
      <c r="EG1532" s="31">
        <v>10.18</v>
      </c>
      <c r="EH1532" s="31">
        <v>12.76</v>
      </c>
      <c r="EL1532" s="31" t="s">
        <v>1309</v>
      </c>
      <c r="EM1532" s="31" t="s">
        <v>1409</v>
      </c>
      <c r="EN1532" s="31">
        <v>70</v>
      </c>
    </row>
    <row r="1533" spans="1:144" s="31" customFormat="1" x14ac:dyDescent="0.25">
      <c r="A1533" s="31">
        <v>70</v>
      </c>
      <c r="B1533" s="31" t="s">
        <v>1395</v>
      </c>
      <c r="C1533" s="31" t="s">
        <v>1396</v>
      </c>
      <c r="D1533" s="31">
        <v>1996</v>
      </c>
      <c r="E1533" s="31">
        <v>1993</v>
      </c>
      <c r="F1533" s="31" t="s">
        <v>1397</v>
      </c>
      <c r="G1533" s="31" t="s">
        <v>1398</v>
      </c>
      <c r="H1533" s="31">
        <v>36.69</v>
      </c>
      <c r="I1533" s="31">
        <v>-121.64</v>
      </c>
      <c r="J1533" s="31">
        <v>11.5</v>
      </c>
      <c r="P1533" s="56" t="s">
        <v>186</v>
      </c>
      <c r="Q1533" s="56" t="s">
        <v>1161</v>
      </c>
      <c r="R1533" s="56" t="s">
        <v>1403</v>
      </c>
      <c r="S1533" s="56" t="s">
        <v>672</v>
      </c>
      <c r="T1533" s="31">
        <v>1.46</v>
      </c>
      <c r="U1533" s="31">
        <v>69</v>
      </c>
      <c r="V1533" s="31">
        <v>20</v>
      </c>
      <c r="W1533" s="31" t="s">
        <v>182</v>
      </c>
      <c r="X1533" s="31">
        <v>7.7</v>
      </c>
      <c r="Y1533" s="31">
        <v>0.62</v>
      </c>
      <c r="AA1533" s="31" t="s">
        <v>1719</v>
      </c>
      <c r="AB1533" s="31" t="s">
        <v>173</v>
      </c>
      <c r="AC1533" s="31" t="s">
        <v>850</v>
      </c>
      <c r="AM1533" s="31" t="s">
        <v>160</v>
      </c>
      <c r="AN1533" s="31">
        <v>3</v>
      </c>
      <c r="AO1533" s="31">
        <v>3</v>
      </c>
      <c r="AP1533" s="31" t="s">
        <v>184</v>
      </c>
      <c r="AR1533" s="31">
        <v>2151</v>
      </c>
      <c r="AS1533" s="31">
        <f>AR1533/78</f>
        <v>27.576923076923077</v>
      </c>
      <c r="AY1533" s="31">
        <v>5821</v>
      </c>
      <c r="AZ1533" s="31">
        <v>5902</v>
      </c>
      <c r="BH1533" s="31">
        <v>18.420000000000002</v>
      </c>
      <c r="BI1533" s="31">
        <v>1.34</v>
      </c>
      <c r="BJ1533" s="31" t="s">
        <v>1406</v>
      </c>
      <c r="DD1533" s="31">
        <v>8.3699999999999992</v>
      </c>
      <c r="DE1533" s="31">
        <v>6.13</v>
      </c>
      <c r="DJ1533" s="31">
        <v>3.62</v>
      </c>
      <c r="DK1533" s="31">
        <v>6.9</v>
      </c>
      <c r="DL1533" s="31" t="s">
        <v>1411</v>
      </c>
      <c r="DM1533" s="31">
        <v>22.13</v>
      </c>
      <c r="DN1533" s="31">
        <v>56.3</v>
      </c>
      <c r="DO1533" s="31" t="s">
        <v>1412</v>
      </c>
      <c r="DV1533" s="31">
        <v>7.56</v>
      </c>
      <c r="DW1533" s="31">
        <v>7.57</v>
      </c>
      <c r="EE1533" s="31">
        <v>275.08999999999997</v>
      </c>
      <c r="EF1533" s="31">
        <v>150.22</v>
      </c>
      <c r="EG1533" s="31">
        <v>15.46</v>
      </c>
      <c r="EH1533" s="31">
        <v>19.62</v>
      </c>
      <c r="EL1533" s="31" t="s">
        <v>1310</v>
      </c>
      <c r="EM1533" s="31" t="s">
        <v>1409</v>
      </c>
      <c r="EN1533" s="31">
        <v>70</v>
      </c>
    </row>
    <row r="1534" spans="1:144" s="31" customFormat="1" x14ac:dyDescent="0.25">
      <c r="A1534" s="31">
        <v>70</v>
      </c>
      <c r="B1534" s="31" t="s">
        <v>1395</v>
      </c>
      <c r="C1534" s="31" t="s">
        <v>1396</v>
      </c>
      <c r="D1534" s="31">
        <v>1996</v>
      </c>
      <c r="E1534" s="31">
        <v>1993</v>
      </c>
      <c r="F1534" s="31" t="s">
        <v>1397</v>
      </c>
      <c r="G1534" s="31" t="s">
        <v>1398</v>
      </c>
      <c r="H1534" s="31">
        <v>36.69</v>
      </c>
      <c r="I1534" s="31">
        <v>-121.64</v>
      </c>
      <c r="J1534" s="31">
        <v>11.5</v>
      </c>
      <c r="P1534" s="56" t="s">
        <v>186</v>
      </c>
      <c r="Q1534" s="56" t="s">
        <v>1161</v>
      </c>
      <c r="R1534" s="56" t="s">
        <v>1404</v>
      </c>
      <c r="S1534" s="56" t="s">
        <v>672</v>
      </c>
      <c r="T1534" s="31">
        <v>1.46</v>
      </c>
      <c r="U1534" s="31">
        <v>69</v>
      </c>
      <c r="V1534" s="31">
        <v>20</v>
      </c>
      <c r="W1534" s="31" t="s">
        <v>182</v>
      </c>
      <c r="X1534" s="31">
        <v>7.7</v>
      </c>
      <c r="Y1534" s="31">
        <v>0.62</v>
      </c>
      <c r="AA1534" s="31" t="s">
        <v>1719</v>
      </c>
      <c r="AB1534" s="31" t="s">
        <v>173</v>
      </c>
      <c r="AC1534" s="31" t="s">
        <v>850</v>
      </c>
      <c r="AM1534" s="31" t="s">
        <v>160</v>
      </c>
      <c r="AN1534" s="31">
        <v>3</v>
      </c>
      <c r="AO1534" s="31">
        <v>3</v>
      </c>
      <c r="AP1534" s="31" t="s">
        <v>184</v>
      </c>
      <c r="AR1534" s="31">
        <v>3727</v>
      </c>
      <c r="AS1534" s="31">
        <f>AR1534/136</f>
        <v>27.404411764705884</v>
      </c>
      <c r="AY1534" s="31">
        <v>8303</v>
      </c>
      <c r="AZ1534" s="31">
        <v>8672</v>
      </c>
      <c r="BH1534" s="31">
        <v>15.37</v>
      </c>
      <c r="BI1534" s="31">
        <v>7.27</v>
      </c>
      <c r="BJ1534" s="31" t="s">
        <v>1406</v>
      </c>
      <c r="DD1534" s="31">
        <v>7.55</v>
      </c>
      <c r="DE1534" s="31">
        <v>5.75</v>
      </c>
      <c r="DJ1534" s="31">
        <v>3.42</v>
      </c>
      <c r="DK1534" s="31">
        <v>9.4499999999999993</v>
      </c>
      <c r="DL1534" s="31" t="s">
        <v>1411</v>
      </c>
      <c r="DM1534" s="31">
        <v>8.8000000000000007</v>
      </c>
      <c r="DN1534" s="31">
        <v>14.5</v>
      </c>
      <c r="DO1534" s="31" t="s">
        <v>1412</v>
      </c>
      <c r="DV1534" s="31">
        <v>4.8</v>
      </c>
      <c r="DW1534" s="31">
        <v>7.64</v>
      </c>
      <c r="EE1534" s="31">
        <v>152.24</v>
      </c>
      <c r="EF1534" s="31">
        <v>273.02</v>
      </c>
      <c r="EG1534" s="31">
        <v>4.99</v>
      </c>
      <c r="EH1534" s="31">
        <v>10.3</v>
      </c>
      <c r="EL1534" s="31" t="s">
        <v>1027</v>
      </c>
      <c r="EM1534" s="31" t="s">
        <v>1409</v>
      </c>
      <c r="EN1534" s="31">
        <v>70</v>
      </c>
    </row>
    <row r="1535" spans="1:144" s="109" customFormat="1" x14ac:dyDescent="0.25">
      <c r="A1535" s="109">
        <v>70</v>
      </c>
      <c r="B1535" s="109" t="s">
        <v>1395</v>
      </c>
      <c r="C1535" s="109" t="s">
        <v>1396</v>
      </c>
      <c r="D1535" s="109">
        <v>1996</v>
      </c>
      <c r="E1535" s="109">
        <v>1992</v>
      </c>
      <c r="F1535" s="109" t="s">
        <v>1397</v>
      </c>
      <c r="G1535" s="109" t="s">
        <v>1398</v>
      </c>
      <c r="H1535" s="109">
        <v>36.69</v>
      </c>
      <c r="I1535" s="109">
        <v>-121.64</v>
      </c>
      <c r="J1535" s="109">
        <v>11.5</v>
      </c>
      <c r="P1535" s="110" t="s">
        <v>186</v>
      </c>
      <c r="Q1535" s="110" t="s">
        <v>1161</v>
      </c>
      <c r="R1535" s="110"/>
      <c r="S1535" s="110" t="s">
        <v>672</v>
      </c>
      <c r="T1535" s="109">
        <v>1.46</v>
      </c>
      <c r="U1535" s="109">
        <v>69</v>
      </c>
      <c r="V1535" s="109">
        <v>20</v>
      </c>
      <c r="W1535" s="109" t="s">
        <v>182</v>
      </c>
      <c r="X1535" s="109">
        <v>7.7</v>
      </c>
      <c r="Y1535" s="109">
        <v>0.62</v>
      </c>
      <c r="AA1535" s="109" t="s">
        <v>1719</v>
      </c>
      <c r="AB1535" s="109" t="s">
        <v>173</v>
      </c>
      <c r="AC1535" s="109" t="s">
        <v>850</v>
      </c>
      <c r="AM1535" s="109" t="s">
        <v>160</v>
      </c>
      <c r="AN1535" s="109">
        <v>3</v>
      </c>
      <c r="AO1535" s="109">
        <v>3</v>
      </c>
      <c r="AP1535" s="109" t="s">
        <v>184</v>
      </c>
      <c r="AR1535" s="109">
        <v>8.1</v>
      </c>
      <c r="AS1535" s="109">
        <f>AR1535/0.5</f>
        <v>16.2</v>
      </c>
      <c r="BH1535" s="109">
        <v>20.61</v>
      </c>
      <c r="BI1535" s="109">
        <v>10.96</v>
      </c>
      <c r="BJ1535" s="109" t="s">
        <v>1406</v>
      </c>
      <c r="DD1535" s="109">
        <v>11.36</v>
      </c>
      <c r="DE1535" s="109">
        <v>11.36</v>
      </c>
      <c r="DJ1535" s="109">
        <v>0.65</v>
      </c>
      <c r="DK1535" s="109">
        <v>0.52</v>
      </c>
      <c r="DL1535" s="109" t="s">
        <v>1411</v>
      </c>
      <c r="DM1535" s="109">
        <v>2.82</v>
      </c>
      <c r="DN1535" s="109">
        <v>2.8</v>
      </c>
      <c r="DO1535" s="109" t="s">
        <v>1412</v>
      </c>
      <c r="DV1535" s="109">
        <v>6.19</v>
      </c>
      <c r="DW1535" s="109">
        <v>11.77</v>
      </c>
      <c r="EE1535" s="109">
        <v>74.430000000000007</v>
      </c>
      <c r="EF1535" s="109">
        <v>146.09</v>
      </c>
      <c r="EG1535" s="109">
        <v>12.3</v>
      </c>
      <c r="EH1535" s="109">
        <v>18.32</v>
      </c>
      <c r="EL1535" s="109" t="s">
        <v>279</v>
      </c>
      <c r="EM1535" s="109" t="s">
        <v>1409</v>
      </c>
      <c r="EN1535" s="109">
        <v>70</v>
      </c>
    </row>
    <row r="1536" spans="1:144" s="109" customFormat="1" x14ac:dyDescent="0.25">
      <c r="A1536" s="109">
        <v>70</v>
      </c>
      <c r="B1536" s="109" t="s">
        <v>1395</v>
      </c>
      <c r="C1536" s="109" t="s">
        <v>1396</v>
      </c>
      <c r="D1536" s="109">
        <v>1996</v>
      </c>
      <c r="E1536" s="109">
        <v>1992</v>
      </c>
      <c r="F1536" s="109" t="s">
        <v>1397</v>
      </c>
      <c r="G1536" s="109" t="s">
        <v>1398</v>
      </c>
      <c r="H1536" s="109">
        <v>36.69</v>
      </c>
      <c r="I1536" s="109">
        <v>-121.64</v>
      </c>
      <c r="J1536" s="109">
        <v>11.5</v>
      </c>
      <c r="P1536" s="110" t="s">
        <v>186</v>
      </c>
      <c r="Q1536" s="110" t="s">
        <v>1161</v>
      </c>
      <c r="R1536" s="110"/>
      <c r="S1536" s="110" t="s">
        <v>672</v>
      </c>
      <c r="T1536" s="109">
        <v>1.46</v>
      </c>
      <c r="U1536" s="109">
        <v>69</v>
      </c>
      <c r="V1536" s="109">
        <v>20</v>
      </c>
      <c r="W1536" s="109" t="s">
        <v>182</v>
      </c>
      <c r="X1536" s="109">
        <v>7.7</v>
      </c>
      <c r="Y1536" s="109">
        <v>0.62</v>
      </c>
      <c r="AA1536" s="109" t="s">
        <v>1719</v>
      </c>
      <c r="AB1536" s="109" t="s">
        <v>173</v>
      </c>
      <c r="AC1536" s="109" t="s">
        <v>850</v>
      </c>
      <c r="AM1536" s="109" t="s">
        <v>160</v>
      </c>
      <c r="AN1536" s="109">
        <v>3</v>
      </c>
      <c r="AO1536" s="109">
        <v>3</v>
      </c>
      <c r="AP1536" s="109" t="s">
        <v>184</v>
      </c>
      <c r="AR1536" s="109">
        <v>347</v>
      </c>
      <c r="AS1536" s="109">
        <f>AR1536/21</f>
        <v>16.523809523809526</v>
      </c>
      <c r="BH1536" s="109">
        <v>22.56</v>
      </c>
      <c r="BI1536" s="109">
        <v>25.01</v>
      </c>
      <c r="BJ1536" s="109" t="s">
        <v>1406</v>
      </c>
      <c r="DD1536" s="109">
        <v>9.19</v>
      </c>
      <c r="DE1536" s="109">
        <v>8.89</v>
      </c>
      <c r="DJ1536" s="109">
        <v>1.43</v>
      </c>
      <c r="DK1536" s="109">
        <v>2.41</v>
      </c>
      <c r="DL1536" s="109" t="s">
        <v>1411</v>
      </c>
      <c r="DM1536" s="109">
        <v>29.28</v>
      </c>
      <c r="DN1536" s="109">
        <v>23.58</v>
      </c>
      <c r="DO1536" s="109" t="s">
        <v>1412</v>
      </c>
      <c r="DV1536" s="109">
        <v>3.22</v>
      </c>
      <c r="DW1536" s="109">
        <v>7.06</v>
      </c>
      <c r="EE1536" s="109">
        <v>103.08</v>
      </c>
      <c r="EF1536" s="109">
        <v>176.78</v>
      </c>
      <c r="EG1536" s="109">
        <v>4.41</v>
      </c>
      <c r="EH1536" s="109">
        <v>10.85</v>
      </c>
      <c r="EL1536" s="109" t="s">
        <v>1182</v>
      </c>
      <c r="EM1536" s="109" t="s">
        <v>1409</v>
      </c>
      <c r="EN1536" s="109">
        <v>70</v>
      </c>
    </row>
    <row r="1537" spans="1:144" s="109" customFormat="1" x14ac:dyDescent="0.25">
      <c r="A1537" s="109">
        <v>70</v>
      </c>
      <c r="B1537" s="109" t="s">
        <v>1395</v>
      </c>
      <c r="C1537" s="109" t="s">
        <v>1396</v>
      </c>
      <c r="D1537" s="109">
        <v>1996</v>
      </c>
      <c r="E1537" s="109">
        <v>1993</v>
      </c>
      <c r="F1537" s="109" t="s">
        <v>1397</v>
      </c>
      <c r="G1537" s="109" t="s">
        <v>1398</v>
      </c>
      <c r="H1537" s="109">
        <v>36.69</v>
      </c>
      <c r="I1537" s="109">
        <v>-121.64</v>
      </c>
      <c r="J1537" s="109">
        <v>11.5</v>
      </c>
      <c r="P1537" s="110" t="s">
        <v>186</v>
      </c>
      <c r="Q1537" s="110" t="s">
        <v>1161</v>
      </c>
      <c r="R1537" s="110"/>
      <c r="S1537" s="110" t="s">
        <v>672</v>
      </c>
      <c r="T1537" s="109">
        <v>1.46</v>
      </c>
      <c r="U1537" s="109">
        <v>69</v>
      </c>
      <c r="V1537" s="109">
        <v>20</v>
      </c>
      <c r="W1537" s="109" t="s">
        <v>182</v>
      </c>
      <c r="X1537" s="109">
        <v>7.7</v>
      </c>
      <c r="Y1537" s="109">
        <v>0.62</v>
      </c>
      <c r="AA1537" s="109" t="s">
        <v>1719</v>
      </c>
      <c r="AB1537" s="109" t="s">
        <v>173</v>
      </c>
      <c r="AC1537" s="109" t="s">
        <v>850</v>
      </c>
      <c r="AM1537" s="109" t="s">
        <v>160</v>
      </c>
      <c r="AN1537" s="109">
        <v>3</v>
      </c>
      <c r="AO1537" s="109">
        <v>3</v>
      </c>
      <c r="AP1537" s="109" t="s">
        <v>184</v>
      </c>
      <c r="AR1537" s="109">
        <v>1399</v>
      </c>
      <c r="AS1537" s="109">
        <f>AR1537/59</f>
        <v>23.711864406779661</v>
      </c>
      <c r="BH1537" s="109">
        <v>44.05</v>
      </c>
      <c r="BI1537" s="109">
        <v>44.76</v>
      </c>
      <c r="BJ1537" s="109" t="s">
        <v>1406</v>
      </c>
      <c r="DD1537" s="109">
        <v>8.2799999999999994</v>
      </c>
      <c r="DE1537" s="109">
        <v>7.76</v>
      </c>
      <c r="DJ1537" s="109">
        <v>9.02</v>
      </c>
      <c r="DK1537" s="109">
        <v>6</v>
      </c>
      <c r="DL1537" s="109" t="s">
        <v>1411</v>
      </c>
      <c r="DM1537" s="109">
        <v>153.53</v>
      </c>
      <c r="DN1537" s="109">
        <v>130.69999999999999</v>
      </c>
      <c r="DO1537" s="109" t="s">
        <v>1412</v>
      </c>
      <c r="DV1537" s="109">
        <v>5.32</v>
      </c>
      <c r="DW1537" s="109">
        <v>6.41</v>
      </c>
      <c r="EE1537" s="109">
        <v>49.83</v>
      </c>
      <c r="EF1537" s="109">
        <v>101.01</v>
      </c>
      <c r="EG1537" s="109">
        <v>11.14</v>
      </c>
      <c r="EH1537" s="109">
        <v>7.56</v>
      </c>
      <c r="EL1537" s="109" t="s">
        <v>1408</v>
      </c>
      <c r="EM1537" s="109" t="s">
        <v>1409</v>
      </c>
      <c r="EN1537" s="109">
        <v>70</v>
      </c>
    </row>
    <row r="1538" spans="1:144" s="109" customFormat="1" x14ac:dyDescent="0.25">
      <c r="A1538" s="109">
        <v>70</v>
      </c>
      <c r="B1538" s="109" t="s">
        <v>1395</v>
      </c>
      <c r="C1538" s="109" t="s">
        <v>1396</v>
      </c>
      <c r="D1538" s="109">
        <v>1996</v>
      </c>
      <c r="E1538" s="109">
        <v>1993</v>
      </c>
      <c r="F1538" s="109" t="s">
        <v>1397</v>
      </c>
      <c r="G1538" s="109" t="s">
        <v>1398</v>
      </c>
      <c r="H1538" s="109">
        <v>36.69</v>
      </c>
      <c r="I1538" s="109">
        <v>-121.64</v>
      </c>
      <c r="J1538" s="109">
        <v>11.5</v>
      </c>
      <c r="P1538" s="110" t="s">
        <v>186</v>
      </c>
      <c r="Q1538" s="110" t="s">
        <v>1161</v>
      </c>
      <c r="R1538" s="110"/>
      <c r="S1538" s="110" t="s">
        <v>672</v>
      </c>
      <c r="T1538" s="109">
        <v>1.46</v>
      </c>
      <c r="U1538" s="109">
        <v>69</v>
      </c>
      <c r="V1538" s="109">
        <v>20</v>
      </c>
      <c r="W1538" s="109" t="s">
        <v>182</v>
      </c>
      <c r="X1538" s="109">
        <v>7.7</v>
      </c>
      <c r="Y1538" s="109">
        <v>0.62</v>
      </c>
      <c r="AA1538" s="109" t="s">
        <v>1719</v>
      </c>
      <c r="AB1538" s="109" t="s">
        <v>173</v>
      </c>
      <c r="AC1538" s="109" t="s">
        <v>850</v>
      </c>
      <c r="AM1538" s="109" t="s">
        <v>160</v>
      </c>
      <c r="AN1538" s="109">
        <v>3</v>
      </c>
      <c r="AO1538" s="109">
        <v>3</v>
      </c>
      <c r="AP1538" s="109" t="s">
        <v>184</v>
      </c>
      <c r="AR1538" s="109">
        <v>2151</v>
      </c>
      <c r="AS1538" s="109">
        <f>AR1538/78</f>
        <v>27.576923076923077</v>
      </c>
      <c r="BH1538" s="109">
        <v>57.76</v>
      </c>
      <c r="BI1538" s="109">
        <v>43.79</v>
      </c>
      <c r="BJ1538" s="109" t="s">
        <v>1406</v>
      </c>
      <c r="DD1538" s="109">
        <v>7.15</v>
      </c>
      <c r="DE1538" s="109">
        <v>8.1199999999999992</v>
      </c>
      <c r="DJ1538" s="109">
        <v>15.1</v>
      </c>
      <c r="DK1538" s="109">
        <v>9.07</v>
      </c>
      <c r="DL1538" s="109" t="s">
        <v>1411</v>
      </c>
      <c r="DM1538" s="109">
        <v>46.96</v>
      </c>
      <c r="DN1538" s="109">
        <v>40.31</v>
      </c>
      <c r="DO1538" s="109" t="s">
        <v>1412</v>
      </c>
      <c r="DV1538" s="109">
        <v>7.05</v>
      </c>
      <c r="DW1538" s="109">
        <v>7.42</v>
      </c>
      <c r="EE1538" s="109">
        <v>117.26</v>
      </c>
      <c r="EF1538" s="109">
        <v>332.21</v>
      </c>
      <c r="EG1538" s="109">
        <v>6.37</v>
      </c>
      <c r="EH1538" s="109">
        <v>12.53</v>
      </c>
      <c r="EL1538" s="109" t="s">
        <v>1408</v>
      </c>
      <c r="EM1538" s="109" t="s">
        <v>1409</v>
      </c>
      <c r="EN1538" s="109">
        <v>70</v>
      </c>
    </row>
    <row r="1539" spans="1:144" s="109" customFormat="1" x14ac:dyDescent="0.25">
      <c r="A1539" s="109">
        <v>70</v>
      </c>
      <c r="B1539" s="109" t="s">
        <v>1395</v>
      </c>
      <c r="C1539" s="109" t="s">
        <v>1396</v>
      </c>
      <c r="D1539" s="109">
        <v>1996</v>
      </c>
      <c r="E1539" s="109">
        <v>1993</v>
      </c>
      <c r="F1539" s="109" t="s">
        <v>1397</v>
      </c>
      <c r="G1539" s="109" t="s">
        <v>1398</v>
      </c>
      <c r="H1539" s="109">
        <v>36.69</v>
      </c>
      <c r="I1539" s="109">
        <v>-121.64</v>
      </c>
      <c r="J1539" s="109">
        <v>11.5</v>
      </c>
      <c r="P1539" s="110" t="s">
        <v>186</v>
      </c>
      <c r="Q1539" s="110" t="s">
        <v>1161</v>
      </c>
      <c r="R1539" s="110"/>
      <c r="S1539" s="110" t="s">
        <v>672</v>
      </c>
      <c r="T1539" s="109">
        <v>1.46</v>
      </c>
      <c r="U1539" s="109">
        <v>69</v>
      </c>
      <c r="V1539" s="109">
        <v>20</v>
      </c>
      <c r="W1539" s="109" t="s">
        <v>182</v>
      </c>
      <c r="X1539" s="109">
        <v>7.7</v>
      </c>
      <c r="Y1539" s="109">
        <v>0.62</v>
      </c>
      <c r="AA1539" s="109" t="s">
        <v>1719</v>
      </c>
      <c r="AB1539" s="109" t="s">
        <v>173</v>
      </c>
      <c r="AC1539" s="109" t="s">
        <v>850</v>
      </c>
      <c r="AM1539" s="109" t="s">
        <v>160</v>
      </c>
      <c r="AN1539" s="109">
        <v>3</v>
      </c>
      <c r="AO1539" s="109">
        <v>3</v>
      </c>
      <c r="AP1539" s="109" t="s">
        <v>184</v>
      </c>
      <c r="AR1539" s="109">
        <v>3727</v>
      </c>
      <c r="AS1539" s="109">
        <f>AR1539/136</f>
        <v>27.404411764705884</v>
      </c>
      <c r="BH1539" s="109">
        <v>70.599999999999994</v>
      </c>
      <c r="BI1539" s="109">
        <v>70.8</v>
      </c>
      <c r="BJ1539" s="109" t="s">
        <v>1406</v>
      </c>
      <c r="DD1539" s="109">
        <v>5.56</v>
      </c>
      <c r="DE1539" s="109">
        <v>6</v>
      </c>
      <c r="DJ1539" s="109">
        <v>8.41</v>
      </c>
      <c r="DK1539" s="109">
        <v>5.13</v>
      </c>
      <c r="DL1539" s="109" t="s">
        <v>1411</v>
      </c>
      <c r="DM1539" s="109">
        <v>42.08</v>
      </c>
      <c r="DN1539" s="109">
        <v>29.7</v>
      </c>
      <c r="DO1539" s="109" t="s">
        <v>1412</v>
      </c>
      <c r="DV1539" s="109">
        <v>3.86</v>
      </c>
      <c r="DW1539" s="109">
        <v>2.41</v>
      </c>
      <c r="EE1539" s="109">
        <v>119.25</v>
      </c>
      <c r="EF1539" s="109">
        <v>176.57</v>
      </c>
      <c r="EG1539" s="109">
        <v>11.22</v>
      </c>
      <c r="EH1539" s="109">
        <v>12.94</v>
      </c>
      <c r="EL1539" s="109" t="s">
        <v>1028</v>
      </c>
      <c r="EM1539" s="109" t="s">
        <v>1409</v>
      </c>
      <c r="EN1539" s="109">
        <v>70</v>
      </c>
    </row>
    <row r="1540" spans="1:144" s="47" customFormat="1" x14ac:dyDescent="0.25">
      <c r="A1540" s="47">
        <v>71</v>
      </c>
      <c r="B1540" s="47" t="s">
        <v>1413</v>
      </c>
      <c r="C1540" s="47" t="s">
        <v>1414</v>
      </c>
      <c r="D1540" s="47">
        <v>1988</v>
      </c>
      <c r="E1540" s="47">
        <v>1984</v>
      </c>
      <c r="F1540" s="47" t="s">
        <v>1415</v>
      </c>
      <c r="G1540" s="47" t="s">
        <v>1417</v>
      </c>
      <c r="H1540" s="47">
        <v>34.67</v>
      </c>
      <c r="I1540" s="47">
        <v>-86.89</v>
      </c>
      <c r="J1540" s="47">
        <v>182</v>
      </c>
      <c r="P1540" s="82" t="s">
        <v>186</v>
      </c>
      <c r="Q1540" s="82" t="s">
        <v>1161</v>
      </c>
      <c r="R1540" s="82" t="s">
        <v>1434</v>
      </c>
      <c r="S1540" s="82"/>
      <c r="U1540" s="47">
        <v>13</v>
      </c>
      <c r="V1540" s="47">
        <v>54</v>
      </c>
      <c r="W1540" s="47" t="s">
        <v>417</v>
      </c>
      <c r="AA1540" s="47" t="s">
        <v>1720</v>
      </c>
      <c r="AB1540" s="47" t="s">
        <v>613</v>
      </c>
      <c r="AC1540" s="47" t="s">
        <v>788</v>
      </c>
      <c r="AJ1540" s="47" t="s">
        <v>1416</v>
      </c>
      <c r="AK1540" s="47" t="s">
        <v>1416</v>
      </c>
      <c r="AL1540" s="47" t="s">
        <v>252</v>
      </c>
      <c r="AY1540" s="47">
        <v>3217</v>
      </c>
      <c r="AZ1540" s="47">
        <v>3613</v>
      </c>
      <c r="CR1540" s="47">
        <v>228</v>
      </c>
      <c r="CS1540" s="47">
        <v>944</v>
      </c>
      <c r="CT1540" s="47" t="s">
        <v>1432</v>
      </c>
      <c r="CU1540" s="47">
        <v>9.1999999999999993</v>
      </c>
      <c r="CV1540" s="47">
        <v>21.3</v>
      </c>
      <c r="CW1540" s="47" t="s">
        <v>1433</v>
      </c>
      <c r="EN1540" s="47">
        <v>71</v>
      </c>
    </row>
    <row r="1541" spans="1:144" s="47" customFormat="1" x14ac:dyDescent="0.25">
      <c r="A1541" s="47">
        <v>71</v>
      </c>
      <c r="B1541" s="47" t="s">
        <v>1413</v>
      </c>
      <c r="C1541" s="47" t="s">
        <v>1414</v>
      </c>
      <c r="D1541" s="47">
        <v>1988</v>
      </c>
      <c r="E1541" s="47">
        <v>1984</v>
      </c>
      <c r="F1541" s="47" t="s">
        <v>1415</v>
      </c>
      <c r="G1541" s="47" t="s">
        <v>1417</v>
      </c>
      <c r="H1541" s="47">
        <v>34.67</v>
      </c>
      <c r="I1541" s="47">
        <v>-86.89</v>
      </c>
      <c r="J1541" s="47">
        <v>182</v>
      </c>
      <c r="P1541" s="82" t="s">
        <v>186</v>
      </c>
      <c r="Q1541" s="82" t="s">
        <v>1161</v>
      </c>
      <c r="R1541" s="82" t="s">
        <v>1434</v>
      </c>
      <c r="S1541" s="82"/>
      <c r="U1541" s="47">
        <v>13</v>
      </c>
      <c r="V1541" s="47">
        <v>54</v>
      </c>
      <c r="W1541" s="47" t="s">
        <v>417</v>
      </c>
      <c r="AA1541" s="47" t="s">
        <v>1720</v>
      </c>
      <c r="AB1541" s="47" t="s">
        <v>613</v>
      </c>
      <c r="AC1541" s="47" t="s">
        <v>788</v>
      </c>
      <c r="AJ1541" s="47" t="s">
        <v>1416</v>
      </c>
      <c r="AK1541" s="47" t="s">
        <v>1416</v>
      </c>
      <c r="AL1541" s="47" t="s">
        <v>252</v>
      </c>
      <c r="AY1541" s="47">
        <v>3217</v>
      </c>
      <c r="AZ1541" s="47">
        <v>3108</v>
      </c>
      <c r="CR1541" s="47">
        <v>228</v>
      </c>
      <c r="CS1541" s="47">
        <v>2103</v>
      </c>
      <c r="CT1541" s="47" t="s">
        <v>1432</v>
      </c>
      <c r="CU1541" s="47">
        <v>9.1999999999999993</v>
      </c>
      <c r="CV1541" s="47">
        <v>24.5</v>
      </c>
      <c r="CW1541" s="47" t="s">
        <v>1433</v>
      </c>
      <c r="EN1541" s="47">
        <v>71</v>
      </c>
    </row>
    <row r="1542" spans="1:144" s="47" customFormat="1" x14ac:dyDescent="0.25">
      <c r="A1542" s="47">
        <v>71</v>
      </c>
      <c r="B1542" s="47" t="s">
        <v>1413</v>
      </c>
      <c r="C1542" s="47" t="s">
        <v>1414</v>
      </c>
      <c r="D1542" s="47">
        <v>1988</v>
      </c>
      <c r="E1542" s="47">
        <v>1984</v>
      </c>
      <c r="F1542" s="47" t="s">
        <v>1415</v>
      </c>
      <c r="G1542" s="47" t="s">
        <v>1417</v>
      </c>
      <c r="H1542" s="47">
        <v>34.67</v>
      </c>
      <c r="I1542" s="47">
        <v>-86.89</v>
      </c>
      <c r="J1542" s="47">
        <v>182</v>
      </c>
      <c r="P1542" s="82" t="s">
        <v>186</v>
      </c>
      <c r="Q1542" s="82" t="s">
        <v>1161</v>
      </c>
      <c r="R1542" s="82" t="s">
        <v>1435</v>
      </c>
      <c r="S1542" s="82"/>
      <c r="U1542" s="47">
        <v>13</v>
      </c>
      <c r="V1542" s="47">
        <v>54</v>
      </c>
      <c r="W1542" s="47" t="s">
        <v>417</v>
      </c>
      <c r="AA1542" s="47" t="s">
        <v>1720</v>
      </c>
      <c r="AB1542" s="47" t="s">
        <v>613</v>
      </c>
      <c r="AC1542" s="47" t="s">
        <v>788</v>
      </c>
      <c r="AJ1542" s="47" t="s">
        <v>1416</v>
      </c>
      <c r="AK1542" s="47" t="s">
        <v>1416</v>
      </c>
      <c r="AL1542" s="47" t="s">
        <v>252</v>
      </c>
      <c r="CR1542" s="47">
        <v>32</v>
      </c>
      <c r="CS1542" s="47">
        <v>123</v>
      </c>
      <c r="CT1542" s="47" t="s">
        <v>1432</v>
      </c>
      <c r="CU1542" s="47">
        <v>4.4000000000000004</v>
      </c>
      <c r="CV1542" s="47">
        <v>13.3</v>
      </c>
      <c r="CW1542" s="47" t="s">
        <v>1433</v>
      </c>
      <c r="EN1542" s="47">
        <v>71</v>
      </c>
    </row>
    <row r="1543" spans="1:144" s="47" customFormat="1" x14ac:dyDescent="0.25">
      <c r="A1543" s="47">
        <v>71</v>
      </c>
      <c r="B1543" s="47" t="s">
        <v>1413</v>
      </c>
      <c r="C1543" s="47" t="s">
        <v>1414</v>
      </c>
      <c r="D1543" s="47">
        <v>1988</v>
      </c>
      <c r="E1543" s="47">
        <v>1984</v>
      </c>
      <c r="F1543" s="47" t="s">
        <v>1415</v>
      </c>
      <c r="G1543" s="47" t="s">
        <v>1417</v>
      </c>
      <c r="H1543" s="47">
        <v>34.67</v>
      </c>
      <c r="I1543" s="47">
        <v>-86.89</v>
      </c>
      <c r="J1543" s="47">
        <v>182</v>
      </c>
      <c r="P1543" s="82" t="s">
        <v>186</v>
      </c>
      <c r="Q1543" s="82" t="s">
        <v>1161</v>
      </c>
      <c r="R1543" s="82" t="s">
        <v>1435</v>
      </c>
      <c r="S1543" s="82"/>
      <c r="U1543" s="47">
        <v>13</v>
      </c>
      <c r="V1543" s="47">
        <v>54</v>
      </c>
      <c r="W1543" s="47" t="s">
        <v>417</v>
      </c>
      <c r="AA1543" s="47" t="s">
        <v>1720</v>
      </c>
      <c r="AB1543" s="47" t="s">
        <v>613</v>
      </c>
      <c r="AC1543" s="47" t="s">
        <v>788</v>
      </c>
      <c r="AJ1543" s="47" t="s">
        <v>1416</v>
      </c>
      <c r="AK1543" s="47" t="s">
        <v>1416</v>
      </c>
      <c r="AL1543" s="47" t="s">
        <v>252</v>
      </c>
      <c r="CR1543" s="47">
        <v>32</v>
      </c>
      <c r="CS1543" s="47">
        <v>134</v>
      </c>
      <c r="CT1543" s="47" t="s">
        <v>1432</v>
      </c>
      <c r="CU1543" s="47">
        <v>4.4000000000000004</v>
      </c>
      <c r="CV1543" s="47">
        <v>10</v>
      </c>
      <c r="CW1543" s="47" t="s">
        <v>1433</v>
      </c>
      <c r="EN1543" s="47">
        <v>71</v>
      </c>
    </row>
    <row r="1544" spans="1:144" s="31" customFormat="1" x14ac:dyDescent="0.25">
      <c r="A1544" s="31">
        <v>72</v>
      </c>
      <c r="B1544" s="31" t="s">
        <v>1436</v>
      </c>
      <c r="C1544" s="31" t="s">
        <v>1437</v>
      </c>
      <c r="D1544" s="31">
        <v>1992</v>
      </c>
      <c r="E1544" s="31">
        <v>1989</v>
      </c>
      <c r="F1544" s="31" t="s">
        <v>168</v>
      </c>
      <c r="G1544" s="31" t="s">
        <v>1451</v>
      </c>
      <c r="P1544" s="56" t="s">
        <v>186</v>
      </c>
      <c r="Q1544" s="56" t="s">
        <v>1161</v>
      </c>
      <c r="R1544" s="56"/>
      <c r="S1544" s="56" t="s">
        <v>667</v>
      </c>
      <c r="U1544" s="31">
        <f>100-63-20</f>
        <v>17</v>
      </c>
      <c r="V1544" s="31">
        <v>63</v>
      </c>
      <c r="W1544" s="31" t="s">
        <v>182</v>
      </c>
      <c r="AA1544" s="31" t="s">
        <v>1721</v>
      </c>
      <c r="AB1544" s="31" t="s">
        <v>851</v>
      </c>
      <c r="AC1544" s="31" t="s">
        <v>1438</v>
      </c>
      <c r="AD1544" s="31" t="s">
        <v>1439</v>
      </c>
      <c r="AE1544" s="31" t="s">
        <v>1440</v>
      </c>
      <c r="AF1544" s="31" t="s">
        <v>693</v>
      </c>
      <c r="AJ1544" s="31" t="s">
        <v>1443</v>
      </c>
      <c r="AK1544" s="31" t="s">
        <v>1441</v>
      </c>
      <c r="AL1544" s="31" t="s">
        <v>693</v>
      </c>
      <c r="AM1544" s="31" t="s">
        <v>222</v>
      </c>
      <c r="BE1544" s="31">
        <v>0.89</v>
      </c>
      <c r="BF1544" s="31">
        <v>1.26</v>
      </c>
      <c r="BG1544" s="31" t="s">
        <v>1319</v>
      </c>
      <c r="DP1544" s="31">
        <v>61.6</v>
      </c>
      <c r="DQ1544" s="31">
        <v>105.6</v>
      </c>
      <c r="DR1544" s="31" t="s">
        <v>1445</v>
      </c>
      <c r="DY1544" s="31">
        <v>4.3999999999999997E-2</v>
      </c>
      <c r="DZ1544" s="31">
        <v>4.2999999999999997E-2</v>
      </c>
      <c r="EA1544" s="31" t="s">
        <v>1444</v>
      </c>
      <c r="EE1544" s="31">
        <v>281</v>
      </c>
      <c r="EF1544" s="31">
        <v>514</v>
      </c>
      <c r="EL1544" s="31" t="s">
        <v>1446</v>
      </c>
      <c r="EN1544" s="31">
        <v>72</v>
      </c>
    </row>
    <row r="1545" spans="1:144" s="31" customFormat="1" x14ac:dyDescent="0.25">
      <c r="A1545" s="31">
        <v>72</v>
      </c>
      <c r="B1545" s="31" t="s">
        <v>1436</v>
      </c>
      <c r="C1545" s="31" t="s">
        <v>1437</v>
      </c>
      <c r="D1545" s="31">
        <v>1992</v>
      </c>
      <c r="E1545" s="31">
        <v>1989</v>
      </c>
      <c r="F1545" s="31" t="s">
        <v>168</v>
      </c>
      <c r="G1545" s="31" t="s">
        <v>1451</v>
      </c>
      <c r="P1545" s="56" t="s">
        <v>186</v>
      </c>
      <c r="Q1545" s="56" t="s">
        <v>1161</v>
      </c>
      <c r="R1545" s="56"/>
      <c r="S1545" s="56" t="s">
        <v>667</v>
      </c>
      <c r="U1545" s="31">
        <f>100-63-20</f>
        <v>17</v>
      </c>
      <c r="V1545" s="31">
        <v>63</v>
      </c>
      <c r="W1545" s="31" t="s">
        <v>182</v>
      </c>
      <c r="AA1545" s="31" t="s">
        <v>1721</v>
      </c>
      <c r="AB1545" s="31" t="s">
        <v>851</v>
      </c>
      <c r="AC1545" s="31" t="s">
        <v>1438</v>
      </c>
      <c r="AD1545" s="31" t="s">
        <v>1439</v>
      </c>
      <c r="AE1545" s="31" t="s">
        <v>1440</v>
      </c>
      <c r="AF1545" s="31" t="s">
        <v>693</v>
      </c>
      <c r="AJ1545" s="31" t="s">
        <v>1442</v>
      </c>
      <c r="AK1545" s="31" t="s">
        <v>1441</v>
      </c>
      <c r="AL1545" s="31" t="s">
        <v>693</v>
      </c>
      <c r="AM1545" s="31" t="s">
        <v>222</v>
      </c>
      <c r="BE1545" s="31">
        <v>0.99</v>
      </c>
      <c r="BF1545" s="31">
        <v>1.26</v>
      </c>
      <c r="BG1545" s="31" t="s">
        <v>1319</v>
      </c>
      <c r="DP1545" s="31">
        <v>69.2</v>
      </c>
      <c r="DQ1545" s="31">
        <v>105.6</v>
      </c>
      <c r="DR1545" s="31" t="s">
        <v>1445</v>
      </c>
      <c r="DY1545" s="31">
        <v>4.2999999999999997E-2</v>
      </c>
      <c r="DZ1545" s="31">
        <v>4.2999999999999997E-2</v>
      </c>
      <c r="EA1545" s="31" t="s">
        <v>1444</v>
      </c>
      <c r="EE1545" s="31">
        <v>326</v>
      </c>
      <c r="EF1545" s="31">
        <v>514</v>
      </c>
      <c r="EL1545" s="31" t="s">
        <v>1446</v>
      </c>
      <c r="EN1545" s="31">
        <v>72</v>
      </c>
    </row>
    <row r="1546" spans="1:144" s="26" customFormat="1" x14ac:dyDescent="0.25">
      <c r="A1546" s="26">
        <v>73</v>
      </c>
      <c r="B1546" s="26" t="s">
        <v>1448</v>
      </c>
      <c r="C1546" s="26" t="s">
        <v>1449</v>
      </c>
      <c r="D1546" s="26">
        <v>2003</v>
      </c>
      <c r="E1546" s="26">
        <v>1988</v>
      </c>
      <c r="F1546" s="26" t="s">
        <v>1450</v>
      </c>
      <c r="G1546" s="26" t="s">
        <v>1481</v>
      </c>
      <c r="H1546" s="26">
        <v>50.29</v>
      </c>
      <c r="I1546" s="26">
        <v>-107.8</v>
      </c>
      <c r="J1546" s="26">
        <v>757</v>
      </c>
      <c r="P1546" s="52" t="s">
        <v>186</v>
      </c>
      <c r="Q1546" s="52" t="s">
        <v>1447</v>
      </c>
      <c r="R1546" s="52" t="s">
        <v>1455</v>
      </c>
      <c r="S1546" s="52" t="s">
        <v>676</v>
      </c>
      <c r="T1546" s="26">
        <f>(1.37+1.36+1.41+1.61+1.69)/5</f>
        <v>1.4880000000000002</v>
      </c>
      <c r="W1546" s="26" t="s">
        <v>182</v>
      </c>
      <c r="AA1546" s="26" t="s">
        <v>1722</v>
      </c>
      <c r="AB1546" s="26" t="s">
        <v>777</v>
      </c>
      <c r="AC1546" s="26" t="s">
        <v>156</v>
      </c>
      <c r="AD1546" s="26" t="s">
        <v>1439</v>
      </c>
      <c r="AE1546" s="26" t="s">
        <v>1439</v>
      </c>
      <c r="AF1546" s="26" t="s">
        <v>252</v>
      </c>
      <c r="AJ1546" s="26" t="s">
        <v>1453</v>
      </c>
      <c r="AK1546" s="26" t="s">
        <v>1454</v>
      </c>
      <c r="AL1546" s="26" t="s">
        <v>693</v>
      </c>
      <c r="AM1546" s="26" t="s">
        <v>1452</v>
      </c>
      <c r="AN1546" s="26">
        <v>3</v>
      </c>
      <c r="AO1546" s="26">
        <v>3</v>
      </c>
      <c r="AP1546" s="26" t="s">
        <v>184</v>
      </c>
      <c r="AU1546" s="26" t="s">
        <v>1456</v>
      </c>
      <c r="AV1546" s="26">
        <v>1555</v>
      </c>
      <c r="AW1546" s="26">
        <v>1011</v>
      </c>
      <c r="AX1546" s="26" t="s">
        <v>1457</v>
      </c>
      <c r="AY1546" s="26">
        <v>1168</v>
      </c>
      <c r="AZ1546" s="26">
        <v>700</v>
      </c>
      <c r="BA1546" s="26" t="s">
        <v>1460</v>
      </c>
      <c r="BH1546" s="26">
        <f>154*0.056</f>
        <v>8.6240000000000006</v>
      </c>
      <c r="BI1546" s="26">
        <f>86.5*0.056</f>
        <v>4.8440000000000003</v>
      </c>
      <c r="BJ1546" s="26" t="s">
        <v>1466</v>
      </c>
      <c r="CX1546" s="26">
        <v>4.5999999999999996</v>
      </c>
      <c r="CY1546" s="26">
        <v>3.65</v>
      </c>
      <c r="CZ1546" s="26" t="s">
        <v>1468</v>
      </c>
      <c r="DD1546" s="26">
        <v>231</v>
      </c>
      <c r="DE1546" s="26">
        <v>207</v>
      </c>
      <c r="DF1546" s="26" t="s">
        <v>1462</v>
      </c>
      <c r="DG1546" s="26">
        <v>148</v>
      </c>
      <c r="DH1546" s="26">
        <v>124</v>
      </c>
      <c r="DI1546" s="26" t="s">
        <v>1461</v>
      </c>
      <c r="EL1546" s="26" t="s">
        <v>1460</v>
      </c>
      <c r="EN1546" s="26">
        <v>73</v>
      </c>
    </row>
    <row r="1547" spans="1:144" s="26" customFormat="1" x14ac:dyDescent="0.25">
      <c r="A1547" s="26">
        <v>73</v>
      </c>
      <c r="B1547" s="26" t="s">
        <v>1448</v>
      </c>
      <c r="C1547" s="26" t="s">
        <v>1449</v>
      </c>
      <c r="D1547" s="26">
        <v>2003</v>
      </c>
      <c r="E1547" s="26">
        <v>1989</v>
      </c>
      <c r="F1547" s="26" t="s">
        <v>1450</v>
      </c>
      <c r="G1547" s="26" t="s">
        <v>1481</v>
      </c>
      <c r="H1547" s="26">
        <v>50.29</v>
      </c>
      <c r="I1547" s="26">
        <v>-107.8</v>
      </c>
      <c r="J1547" s="26">
        <v>757</v>
      </c>
      <c r="P1547" s="52" t="s">
        <v>187</v>
      </c>
      <c r="Q1547" s="52" t="s">
        <v>1447</v>
      </c>
      <c r="R1547" s="52" t="s">
        <v>1455</v>
      </c>
      <c r="S1547" s="52" t="s">
        <v>676</v>
      </c>
      <c r="T1547" s="26">
        <f t="shared" ref="T1547:T1557" si="256">(1.37+1.36+1.41+1.61+1.69)/5</f>
        <v>1.4880000000000002</v>
      </c>
      <c r="W1547" s="26" t="s">
        <v>182</v>
      </c>
      <c r="AA1547" s="26" t="s">
        <v>1722</v>
      </c>
      <c r="AB1547" s="26" t="s">
        <v>777</v>
      </c>
      <c r="AC1547" s="26" t="s">
        <v>156</v>
      </c>
      <c r="AD1547" s="26" t="s">
        <v>1439</v>
      </c>
      <c r="AE1547" s="26" t="s">
        <v>1439</v>
      </c>
      <c r="AF1547" s="26" t="s">
        <v>252</v>
      </c>
      <c r="AJ1547" s="26" t="s">
        <v>1453</v>
      </c>
      <c r="AK1547" s="26" t="s">
        <v>1454</v>
      </c>
      <c r="AL1547" s="26" t="s">
        <v>693</v>
      </c>
      <c r="AM1547" s="26" t="s">
        <v>1452</v>
      </c>
      <c r="AN1547" s="26">
        <v>3</v>
      </c>
      <c r="AO1547" s="26">
        <v>3</v>
      </c>
      <c r="AP1547" s="26" t="s">
        <v>184</v>
      </c>
      <c r="AU1547" s="26" t="s">
        <v>1456</v>
      </c>
      <c r="AV1547" s="26">
        <v>3024</v>
      </c>
      <c r="AW1547" s="26">
        <v>2663</v>
      </c>
      <c r="AX1547" s="26" t="s">
        <v>1457</v>
      </c>
      <c r="AY1547" s="26">
        <v>1815</v>
      </c>
      <c r="AZ1547" s="26">
        <v>1626</v>
      </c>
      <c r="BA1547" s="26" t="s">
        <v>1460</v>
      </c>
      <c r="BH1547" s="26">
        <f>168.5*0.056</f>
        <v>9.4359999999999999</v>
      </c>
      <c r="BI1547" s="26">
        <f>99.7*0.056</f>
        <v>5.5832000000000006</v>
      </c>
      <c r="BJ1547" s="26" t="s">
        <v>1466</v>
      </c>
      <c r="CX1547" s="26">
        <v>5.65</v>
      </c>
      <c r="CY1547" s="26">
        <v>6.04</v>
      </c>
      <c r="CZ1547" s="26" t="s">
        <v>1468</v>
      </c>
      <c r="DD1547" s="26">
        <v>230</v>
      </c>
      <c r="DE1547" s="26">
        <v>187</v>
      </c>
      <c r="DF1547" s="26" t="s">
        <v>1462</v>
      </c>
      <c r="DG1547" s="26">
        <v>147</v>
      </c>
      <c r="DH1547" s="26">
        <v>104</v>
      </c>
      <c r="DI1547" s="26" t="s">
        <v>1461</v>
      </c>
      <c r="EL1547" s="26" t="s">
        <v>1460</v>
      </c>
      <c r="EN1547" s="26">
        <v>73</v>
      </c>
    </row>
    <row r="1548" spans="1:144" s="26" customFormat="1" x14ac:dyDescent="0.25">
      <c r="A1548" s="26">
        <v>73</v>
      </c>
      <c r="B1548" s="26" t="s">
        <v>1448</v>
      </c>
      <c r="C1548" s="26" t="s">
        <v>1449</v>
      </c>
      <c r="D1548" s="26">
        <v>2003</v>
      </c>
      <c r="E1548" s="26">
        <v>1990</v>
      </c>
      <c r="F1548" s="26" t="s">
        <v>1450</v>
      </c>
      <c r="G1548" s="26" t="s">
        <v>1481</v>
      </c>
      <c r="H1548" s="26">
        <v>50.29</v>
      </c>
      <c r="I1548" s="26">
        <v>-107.8</v>
      </c>
      <c r="J1548" s="26">
        <v>757</v>
      </c>
      <c r="P1548" s="52" t="s">
        <v>188</v>
      </c>
      <c r="Q1548" s="52" t="s">
        <v>1447</v>
      </c>
      <c r="R1548" s="52" t="s">
        <v>1455</v>
      </c>
      <c r="S1548" s="52" t="s">
        <v>676</v>
      </c>
      <c r="T1548" s="26">
        <f t="shared" si="256"/>
        <v>1.4880000000000002</v>
      </c>
      <c r="W1548" s="26" t="s">
        <v>182</v>
      </c>
      <c r="AA1548" s="26" t="s">
        <v>1722</v>
      </c>
      <c r="AB1548" s="26" t="s">
        <v>777</v>
      </c>
      <c r="AC1548" s="26" t="s">
        <v>156</v>
      </c>
      <c r="AD1548" s="26" t="s">
        <v>1439</v>
      </c>
      <c r="AE1548" s="26" t="s">
        <v>1439</v>
      </c>
      <c r="AF1548" s="26" t="s">
        <v>252</v>
      </c>
      <c r="AJ1548" s="26" t="s">
        <v>1453</v>
      </c>
      <c r="AK1548" s="26" t="s">
        <v>1454</v>
      </c>
      <c r="AL1548" s="26" t="s">
        <v>693</v>
      </c>
      <c r="AM1548" s="26" t="s">
        <v>1452</v>
      </c>
      <c r="AN1548" s="26">
        <v>3</v>
      </c>
      <c r="AO1548" s="26">
        <v>3</v>
      </c>
      <c r="AP1548" s="26" t="s">
        <v>184</v>
      </c>
      <c r="AU1548" s="26" t="s">
        <v>1456</v>
      </c>
      <c r="AV1548" s="26">
        <v>4198</v>
      </c>
      <c r="AW1548" s="26">
        <v>1517</v>
      </c>
      <c r="AX1548" s="26" t="s">
        <v>1457</v>
      </c>
      <c r="AY1548" s="26">
        <v>2321</v>
      </c>
      <c r="AZ1548" s="26">
        <v>1136</v>
      </c>
      <c r="BA1548" s="26" t="s">
        <v>1460</v>
      </c>
      <c r="BH1548" s="26">
        <f>168.6*0.056</f>
        <v>9.4415999999999993</v>
      </c>
      <c r="BI1548" s="26">
        <f>150.7*0.056</f>
        <v>8.4391999999999996</v>
      </c>
      <c r="BJ1548" s="26" t="s">
        <v>1466</v>
      </c>
      <c r="CX1548" s="26">
        <v>6.1</v>
      </c>
      <c r="CY1548" s="26">
        <v>3.5</v>
      </c>
      <c r="CZ1548" s="26" t="s">
        <v>1468</v>
      </c>
      <c r="DD1548" s="26">
        <v>277</v>
      </c>
      <c r="DE1548" s="26">
        <v>214</v>
      </c>
      <c r="DF1548" s="26" t="s">
        <v>1462</v>
      </c>
      <c r="DG1548" s="26">
        <v>194</v>
      </c>
      <c r="DH1548" s="26">
        <v>131</v>
      </c>
      <c r="DI1548" s="26" t="s">
        <v>1461</v>
      </c>
      <c r="EL1548" s="26" t="s">
        <v>1460</v>
      </c>
      <c r="EN1548" s="26">
        <v>73</v>
      </c>
    </row>
    <row r="1549" spans="1:144" s="26" customFormat="1" x14ac:dyDescent="0.25">
      <c r="A1549" s="26">
        <v>73</v>
      </c>
      <c r="B1549" s="26" t="s">
        <v>1448</v>
      </c>
      <c r="C1549" s="26" t="s">
        <v>1449</v>
      </c>
      <c r="D1549" s="26">
        <v>2003</v>
      </c>
      <c r="E1549" s="26">
        <v>1991</v>
      </c>
      <c r="F1549" s="26" t="s">
        <v>1450</v>
      </c>
      <c r="G1549" s="26" t="s">
        <v>1481</v>
      </c>
      <c r="H1549" s="26">
        <v>50.29</v>
      </c>
      <c r="I1549" s="26">
        <v>-107.8</v>
      </c>
      <c r="J1549" s="26">
        <v>757</v>
      </c>
      <c r="P1549" s="52" t="s">
        <v>189</v>
      </c>
      <c r="Q1549" s="52" t="s">
        <v>1447</v>
      </c>
      <c r="R1549" s="52" t="s">
        <v>1455</v>
      </c>
      <c r="S1549" s="52" t="s">
        <v>676</v>
      </c>
      <c r="T1549" s="26">
        <f t="shared" si="256"/>
        <v>1.4880000000000002</v>
      </c>
      <c r="W1549" s="26" t="s">
        <v>182</v>
      </c>
      <c r="AA1549" s="26" t="s">
        <v>1722</v>
      </c>
      <c r="AB1549" s="26" t="s">
        <v>777</v>
      </c>
      <c r="AC1549" s="26" t="s">
        <v>156</v>
      </c>
      <c r="AD1549" s="26" t="s">
        <v>1439</v>
      </c>
      <c r="AE1549" s="26" t="s">
        <v>1439</v>
      </c>
      <c r="AF1549" s="26" t="s">
        <v>252</v>
      </c>
      <c r="AJ1549" s="26" t="s">
        <v>1453</v>
      </c>
      <c r="AK1549" s="26" t="s">
        <v>1454</v>
      </c>
      <c r="AL1549" s="26" t="s">
        <v>693</v>
      </c>
      <c r="AM1549" s="26" t="s">
        <v>1452</v>
      </c>
      <c r="AN1549" s="26">
        <v>3</v>
      </c>
      <c r="AO1549" s="26">
        <v>3</v>
      </c>
      <c r="AP1549" s="26" t="s">
        <v>184</v>
      </c>
      <c r="AU1549" s="26" t="s">
        <v>1456</v>
      </c>
      <c r="AV1549" s="26">
        <v>4598</v>
      </c>
      <c r="AW1549" s="26">
        <v>4374</v>
      </c>
      <c r="AX1549" s="26" t="s">
        <v>1457</v>
      </c>
      <c r="AY1549" s="26">
        <v>2478</v>
      </c>
      <c r="AZ1549" s="26">
        <v>2270</v>
      </c>
      <c r="BA1549" s="26" t="s">
        <v>1460</v>
      </c>
      <c r="BH1549" s="26">
        <f>134.3*0.056</f>
        <v>7.5208000000000004</v>
      </c>
      <c r="BI1549" s="26">
        <f>170.6*0.056</f>
        <v>9.5535999999999994</v>
      </c>
      <c r="BJ1549" s="26" t="s">
        <v>1466</v>
      </c>
      <c r="CX1549" s="26">
        <v>4.9800000000000004</v>
      </c>
      <c r="CY1549" s="26">
        <v>5.28</v>
      </c>
      <c r="CZ1549" s="26" t="s">
        <v>1468</v>
      </c>
      <c r="DD1549" s="26">
        <v>287</v>
      </c>
      <c r="DE1549" s="26">
        <v>223</v>
      </c>
      <c r="DF1549" s="26" t="s">
        <v>1462</v>
      </c>
      <c r="DG1549" s="26">
        <v>204</v>
      </c>
      <c r="DH1549" s="26">
        <v>140</v>
      </c>
      <c r="DI1549" s="26" t="s">
        <v>1461</v>
      </c>
      <c r="EL1549" s="26" t="s">
        <v>1460</v>
      </c>
      <c r="EN1549" s="26">
        <v>73</v>
      </c>
    </row>
    <row r="1550" spans="1:144" s="26" customFormat="1" x14ac:dyDescent="0.25">
      <c r="A1550" s="26">
        <v>73</v>
      </c>
      <c r="B1550" s="26" t="s">
        <v>1448</v>
      </c>
      <c r="C1550" s="26" t="s">
        <v>1449</v>
      </c>
      <c r="D1550" s="26">
        <v>2003</v>
      </c>
      <c r="E1550" s="26">
        <v>1992</v>
      </c>
      <c r="F1550" s="26" t="s">
        <v>1450</v>
      </c>
      <c r="G1550" s="26" t="s">
        <v>1481</v>
      </c>
      <c r="H1550" s="26">
        <v>50.29</v>
      </c>
      <c r="I1550" s="26">
        <v>-107.8</v>
      </c>
      <c r="J1550" s="26">
        <v>757</v>
      </c>
      <c r="P1550" s="52" t="s">
        <v>190</v>
      </c>
      <c r="Q1550" s="52" t="s">
        <v>1447</v>
      </c>
      <c r="R1550" s="52" t="s">
        <v>1455</v>
      </c>
      <c r="S1550" s="52" t="s">
        <v>676</v>
      </c>
      <c r="T1550" s="26">
        <f t="shared" si="256"/>
        <v>1.4880000000000002</v>
      </c>
      <c r="W1550" s="26" t="s">
        <v>182</v>
      </c>
      <c r="AA1550" s="26" t="s">
        <v>1722</v>
      </c>
      <c r="AB1550" s="26" t="s">
        <v>777</v>
      </c>
      <c r="AC1550" s="26" t="s">
        <v>156</v>
      </c>
      <c r="AD1550" s="26" t="s">
        <v>1439</v>
      </c>
      <c r="AE1550" s="26" t="s">
        <v>1439</v>
      </c>
      <c r="AF1550" s="26" t="s">
        <v>252</v>
      </c>
      <c r="AJ1550" s="26" t="s">
        <v>1453</v>
      </c>
      <c r="AK1550" s="26" t="s">
        <v>1454</v>
      </c>
      <c r="AL1550" s="26" t="s">
        <v>693</v>
      </c>
      <c r="AM1550" s="26" t="s">
        <v>1452</v>
      </c>
      <c r="AN1550" s="26">
        <v>3</v>
      </c>
      <c r="AO1550" s="26">
        <v>3</v>
      </c>
      <c r="AP1550" s="26" t="s">
        <v>184</v>
      </c>
      <c r="AU1550" s="26" t="s">
        <v>1456</v>
      </c>
      <c r="AV1550" s="26">
        <v>4324</v>
      </c>
      <c r="AW1550" s="26">
        <v>3058</v>
      </c>
      <c r="AX1550" s="26" t="s">
        <v>1457</v>
      </c>
      <c r="AY1550" s="26">
        <v>2756</v>
      </c>
      <c r="AZ1550" s="26">
        <v>2055</v>
      </c>
      <c r="BA1550" s="26" t="s">
        <v>1460</v>
      </c>
      <c r="BH1550" s="26">
        <f>77.4*0.056</f>
        <v>4.3344000000000005</v>
      </c>
      <c r="BI1550" s="26">
        <f>86.4*0.056</f>
        <v>4.8384</v>
      </c>
      <c r="BJ1550" s="26" t="s">
        <v>1466</v>
      </c>
      <c r="CX1550" s="26">
        <v>8.01</v>
      </c>
      <c r="CY1550" s="26">
        <v>7.16</v>
      </c>
      <c r="CZ1550" s="26" t="s">
        <v>1468</v>
      </c>
      <c r="DD1550" s="26">
        <v>281</v>
      </c>
      <c r="DE1550" s="26">
        <v>218</v>
      </c>
      <c r="DF1550" s="26" t="s">
        <v>1462</v>
      </c>
      <c r="DG1550" s="26">
        <v>198</v>
      </c>
      <c r="DH1550" s="26">
        <v>135</v>
      </c>
      <c r="DI1550" s="26" t="s">
        <v>1461</v>
      </c>
      <c r="EL1550" s="26" t="s">
        <v>1460</v>
      </c>
      <c r="EN1550" s="26">
        <v>73</v>
      </c>
    </row>
    <row r="1551" spans="1:144" s="26" customFormat="1" x14ac:dyDescent="0.25">
      <c r="A1551" s="26">
        <v>73</v>
      </c>
      <c r="B1551" s="26" t="s">
        <v>1448</v>
      </c>
      <c r="C1551" s="26" t="s">
        <v>1449</v>
      </c>
      <c r="D1551" s="26">
        <v>2003</v>
      </c>
      <c r="E1551" s="26">
        <v>1993</v>
      </c>
      <c r="F1551" s="26" t="s">
        <v>1450</v>
      </c>
      <c r="G1551" s="26" t="s">
        <v>1481</v>
      </c>
      <c r="H1551" s="26">
        <v>50.29</v>
      </c>
      <c r="I1551" s="26">
        <v>-107.8</v>
      </c>
      <c r="J1551" s="26">
        <v>757</v>
      </c>
      <c r="P1551" s="52" t="s">
        <v>207</v>
      </c>
      <c r="Q1551" s="52" t="s">
        <v>1447</v>
      </c>
      <c r="R1551" s="52" t="s">
        <v>1455</v>
      </c>
      <c r="S1551" s="52" t="s">
        <v>676</v>
      </c>
      <c r="T1551" s="26">
        <f t="shared" si="256"/>
        <v>1.4880000000000002</v>
      </c>
      <c r="W1551" s="26" t="s">
        <v>182</v>
      </c>
      <c r="AA1551" s="26" t="s">
        <v>1722</v>
      </c>
      <c r="AB1551" s="26" t="s">
        <v>777</v>
      </c>
      <c r="AC1551" s="26" t="s">
        <v>156</v>
      </c>
      <c r="AD1551" s="26" t="s">
        <v>1439</v>
      </c>
      <c r="AE1551" s="26" t="s">
        <v>1439</v>
      </c>
      <c r="AF1551" s="26" t="s">
        <v>252</v>
      </c>
      <c r="AJ1551" s="26" t="s">
        <v>1453</v>
      </c>
      <c r="AK1551" s="26" t="s">
        <v>1454</v>
      </c>
      <c r="AL1551" s="26" t="s">
        <v>693</v>
      </c>
      <c r="AM1551" s="26" t="s">
        <v>1452</v>
      </c>
      <c r="AN1551" s="26">
        <v>3</v>
      </c>
      <c r="AO1551" s="26">
        <v>3</v>
      </c>
      <c r="AP1551" s="26" t="s">
        <v>184</v>
      </c>
      <c r="AU1551" s="26" t="s">
        <v>1456</v>
      </c>
      <c r="AV1551" s="26">
        <v>5476</v>
      </c>
      <c r="AW1551" s="26">
        <v>3918</v>
      </c>
      <c r="AX1551" s="26" t="s">
        <v>1457</v>
      </c>
      <c r="AY1551" s="26">
        <v>3362</v>
      </c>
      <c r="AZ1551" s="26">
        <v>2533</v>
      </c>
      <c r="BA1551" s="26" t="s">
        <v>1460</v>
      </c>
      <c r="BH1551" s="26">
        <f>72*0.056</f>
        <v>4.032</v>
      </c>
      <c r="BI1551" s="26">
        <f>96.2*0.056</f>
        <v>5.3872</v>
      </c>
      <c r="BJ1551" s="26" t="s">
        <v>1466</v>
      </c>
      <c r="CX1551" s="26">
        <v>10.36</v>
      </c>
      <c r="CY1551" s="26">
        <v>8.67</v>
      </c>
      <c r="CZ1551" s="26" t="s">
        <v>1468</v>
      </c>
      <c r="DD1551" s="26">
        <v>300</v>
      </c>
      <c r="DE1551" s="26">
        <v>238</v>
      </c>
      <c r="DF1551" s="26" t="s">
        <v>1462</v>
      </c>
      <c r="DG1551" s="26">
        <v>217</v>
      </c>
      <c r="DH1551" s="26">
        <v>155</v>
      </c>
      <c r="DI1551" s="26" t="s">
        <v>1461</v>
      </c>
      <c r="EL1551" s="26" t="s">
        <v>1460</v>
      </c>
      <c r="EN1551" s="26">
        <v>73</v>
      </c>
    </row>
    <row r="1552" spans="1:144" s="26" customFormat="1" x14ac:dyDescent="0.25">
      <c r="A1552" s="26">
        <v>73</v>
      </c>
      <c r="B1552" s="26" t="s">
        <v>1448</v>
      </c>
      <c r="C1552" s="26" t="s">
        <v>1449</v>
      </c>
      <c r="D1552" s="26">
        <v>2003</v>
      </c>
      <c r="E1552" s="26">
        <v>1994</v>
      </c>
      <c r="F1552" s="26" t="s">
        <v>1450</v>
      </c>
      <c r="G1552" s="26" t="s">
        <v>1481</v>
      </c>
      <c r="H1552" s="26">
        <v>50.29</v>
      </c>
      <c r="I1552" s="26">
        <v>-107.8</v>
      </c>
      <c r="J1552" s="26">
        <v>757</v>
      </c>
      <c r="P1552" s="52" t="s">
        <v>1125</v>
      </c>
      <c r="Q1552" s="52" t="s">
        <v>1447</v>
      </c>
      <c r="R1552" s="52" t="s">
        <v>1455</v>
      </c>
      <c r="S1552" s="52" t="s">
        <v>676</v>
      </c>
      <c r="T1552" s="26">
        <f t="shared" si="256"/>
        <v>1.4880000000000002</v>
      </c>
      <c r="W1552" s="26" t="s">
        <v>182</v>
      </c>
      <c r="AA1552" s="26" t="s">
        <v>1722</v>
      </c>
      <c r="AB1552" s="26" t="s">
        <v>777</v>
      </c>
      <c r="AC1552" s="26" t="s">
        <v>156</v>
      </c>
      <c r="AD1552" s="26" t="s">
        <v>1439</v>
      </c>
      <c r="AE1552" s="26" t="s">
        <v>1439</v>
      </c>
      <c r="AF1552" s="26" t="s">
        <v>252</v>
      </c>
      <c r="AJ1552" s="26" t="s">
        <v>1453</v>
      </c>
      <c r="AK1552" s="26" t="s">
        <v>1454</v>
      </c>
      <c r="AL1552" s="26" t="s">
        <v>693</v>
      </c>
      <c r="AM1552" s="26" t="s">
        <v>1452</v>
      </c>
      <c r="AN1552" s="26">
        <v>3</v>
      </c>
      <c r="AO1552" s="26">
        <v>3</v>
      </c>
      <c r="AP1552" s="26" t="s">
        <v>184</v>
      </c>
      <c r="AU1552" s="26" t="s">
        <v>1456</v>
      </c>
      <c r="AV1552" s="26">
        <v>3968</v>
      </c>
      <c r="AW1552" s="26">
        <v>3837</v>
      </c>
      <c r="AX1552" s="26" t="s">
        <v>1457</v>
      </c>
      <c r="AY1552" s="26">
        <v>1992</v>
      </c>
      <c r="AZ1552" s="26">
        <v>1817</v>
      </c>
      <c r="BA1552" s="26" t="s">
        <v>1460</v>
      </c>
      <c r="BH1552" s="26">
        <f>39.9*0.056</f>
        <v>2.2343999999999999</v>
      </c>
      <c r="BI1552" s="26">
        <f>67.3*0.056</f>
        <v>3.7687999999999997</v>
      </c>
      <c r="BJ1552" s="26" t="s">
        <v>1466</v>
      </c>
      <c r="CX1552" s="26">
        <v>5.84</v>
      </c>
      <c r="CY1552" s="26">
        <v>5.03</v>
      </c>
      <c r="CZ1552" s="26" t="s">
        <v>1468</v>
      </c>
      <c r="DD1552" s="26">
        <v>299</v>
      </c>
      <c r="DE1552" s="26">
        <v>303</v>
      </c>
      <c r="DF1552" s="26" t="s">
        <v>1462</v>
      </c>
      <c r="DG1552" s="26">
        <v>216</v>
      </c>
      <c r="DH1552" s="26">
        <v>220</v>
      </c>
      <c r="DI1552" s="26" t="s">
        <v>1461</v>
      </c>
      <c r="EL1552" s="26" t="s">
        <v>1460</v>
      </c>
      <c r="EN1552" s="26">
        <v>73</v>
      </c>
    </row>
    <row r="1553" spans="1:144" s="26" customFormat="1" x14ac:dyDescent="0.25">
      <c r="A1553" s="26">
        <v>73</v>
      </c>
      <c r="B1553" s="26" t="s">
        <v>1448</v>
      </c>
      <c r="C1553" s="26" t="s">
        <v>1449</v>
      </c>
      <c r="D1553" s="26">
        <v>2003</v>
      </c>
      <c r="E1553" s="26">
        <v>1995</v>
      </c>
      <c r="F1553" s="26" t="s">
        <v>1450</v>
      </c>
      <c r="G1553" s="26" t="s">
        <v>1481</v>
      </c>
      <c r="H1553" s="26">
        <v>50.29</v>
      </c>
      <c r="I1553" s="26">
        <v>-107.8</v>
      </c>
      <c r="J1553" s="26">
        <v>757</v>
      </c>
      <c r="P1553" s="52" t="s">
        <v>1126</v>
      </c>
      <c r="Q1553" s="52" t="s">
        <v>1447</v>
      </c>
      <c r="R1553" s="52" t="s">
        <v>1455</v>
      </c>
      <c r="S1553" s="52" t="s">
        <v>676</v>
      </c>
      <c r="T1553" s="26">
        <f t="shared" si="256"/>
        <v>1.4880000000000002</v>
      </c>
      <c r="W1553" s="26" t="s">
        <v>182</v>
      </c>
      <c r="AA1553" s="26" t="s">
        <v>1722</v>
      </c>
      <c r="AB1553" s="26" t="s">
        <v>777</v>
      </c>
      <c r="AC1553" s="26" t="s">
        <v>156</v>
      </c>
      <c r="AD1553" s="26" t="s">
        <v>1439</v>
      </c>
      <c r="AE1553" s="26" t="s">
        <v>1439</v>
      </c>
      <c r="AF1553" s="26" t="s">
        <v>252</v>
      </c>
      <c r="AJ1553" s="26" t="s">
        <v>1453</v>
      </c>
      <c r="AK1553" s="26" t="s">
        <v>1454</v>
      </c>
      <c r="AL1553" s="26" t="s">
        <v>693</v>
      </c>
      <c r="AM1553" s="26" t="s">
        <v>1452</v>
      </c>
      <c r="AN1553" s="26">
        <v>3</v>
      </c>
      <c r="AO1553" s="26">
        <v>3</v>
      </c>
      <c r="AP1553" s="26" t="s">
        <v>184</v>
      </c>
      <c r="AU1553" s="26" t="s">
        <v>1456</v>
      </c>
      <c r="AV1553" s="26">
        <v>6058</v>
      </c>
      <c r="AW1553" s="26">
        <v>6058</v>
      </c>
      <c r="AX1553" s="26" t="s">
        <v>1457</v>
      </c>
      <c r="AY1553" s="26">
        <v>3085</v>
      </c>
      <c r="AZ1553" s="26">
        <v>3200</v>
      </c>
      <c r="BA1553" s="26" t="s">
        <v>1460</v>
      </c>
      <c r="BH1553" s="26">
        <f>68.7*0.056</f>
        <v>3.8472000000000004</v>
      </c>
      <c r="BI1553" s="26">
        <f>89.9*0.056</f>
        <v>5.0344000000000007</v>
      </c>
      <c r="BJ1553" s="26" t="s">
        <v>1466</v>
      </c>
      <c r="CX1553" s="26">
        <v>8.41</v>
      </c>
      <c r="CY1553" s="26">
        <v>9.23</v>
      </c>
      <c r="CZ1553" s="26" t="s">
        <v>1468</v>
      </c>
      <c r="DD1553" s="26">
        <v>305</v>
      </c>
      <c r="DE1553" s="26">
        <v>274</v>
      </c>
      <c r="DF1553" s="26" t="s">
        <v>1462</v>
      </c>
      <c r="DG1553" s="26">
        <v>222</v>
      </c>
      <c r="DH1553" s="26">
        <v>191</v>
      </c>
      <c r="DI1553" s="26" t="s">
        <v>1461</v>
      </c>
      <c r="EL1553" s="26" t="s">
        <v>1460</v>
      </c>
      <c r="EN1553" s="26">
        <v>73</v>
      </c>
    </row>
    <row r="1554" spans="1:144" s="26" customFormat="1" x14ac:dyDescent="0.25">
      <c r="A1554" s="26">
        <v>73</v>
      </c>
      <c r="B1554" s="26" t="s">
        <v>1448</v>
      </c>
      <c r="C1554" s="26" t="s">
        <v>1449</v>
      </c>
      <c r="D1554" s="26">
        <v>2003</v>
      </c>
      <c r="E1554" s="26">
        <v>1996</v>
      </c>
      <c r="F1554" s="26" t="s">
        <v>1450</v>
      </c>
      <c r="G1554" s="26" t="s">
        <v>1481</v>
      </c>
      <c r="H1554" s="26">
        <v>50.29</v>
      </c>
      <c r="I1554" s="26">
        <v>-107.8</v>
      </c>
      <c r="J1554" s="26">
        <v>757</v>
      </c>
      <c r="P1554" s="52" t="s">
        <v>1127</v>
      </c>
      <c r="Q1554" s="52" t="s">
        <v>1447</v>
      </c>
      <c r="R1554" s="52" t="s">
        <v>1455</v>
      </c>
      <c r="S1554" s="52" t="s">
        <v>676</v>
      </c>
      <c r="T1554" s="26">
        <f t="shared" si="256"/>
        <v>1.4880000000000002</v>
      </c>
      <c r="W1554" s="26" t="s">
        <v>182</v>
      </c>
      <c r="AA1554" s="26" t="s">
        <v>1722</v>
      </c>
      <c r="AB1554" s="26" t="s">
        <v>777</v>
      </c>
      <c r="AC1554" s="26" t="s">
        <v>156</v>
      </c>
      <c r="AD1554" s="26" t="s">
        <v>1439</v>
      </c>
      <c r="AE1554" s="26" t="s">
        <v>1439</v>
      </c>
      <c r="AF1554" s="26" t="s">
        <v>252</v>
      </c>
      <c r="AJ1554" s="26" t="s">
        <v>1453</v>
      </c>
      <c r="AK1554" s="26" t="s">
        <v>1454</v>
      </c>
      <c r="AL1554" s="26" t="s">
        <v>693</v>
      </c>
      <c r="AM1554" s="26" t="s">
        <v>1452</v>
      </c>
      <c r="AN1554" s="26">
        <v>3</v>
      </c>
      <c r="AO1554" s="26">
        <v>3</v>
      </c>
      <c r="AP1554" s="26" t="s">
        <v>184</v>
      </c>
      <c r="AU1554" s="26" t="s">
        <v>1456</v>
      </c>
      <c r="AV1554" s="26">
        <v>4721</v>
      </c>
      <c r="AW1554" s="26">
        <v>4728</v>
      </c>
      <c r="AX1554" s="26" t="s">
        <v>1457</v>
      </c>
      <c r="AY1554" s="26">
        <v>2395</v>
      </c>
      <c r="AZ1554" s="26">
        <v>2501</v>
      </c>
      <c r="BA1554" s="26" t="s">
        <v>1460</v>
      </c>
      <c r="BH1554" s="26">
        <f>64.8*0.056</f>
        <v>3.6288</v>
      </c>
      <c r="BI1554" s="26">
        <f>119.1*0.056</f>
        <v>6.6696</v>
      </c>
      <c r="BJ1554" s="26" t="s">
        <v>1466</v>
      </c>
      <c r="CX1554" s="26">
        <v>6.59</v>
      </c>
      <c r="CY1554" s="26">
        <v>6.98</v>
      </c>
      <c r="CZ1554" s="26" t="s">
        <v>1468</v>
      </c>
      <c r="DD1554" s="26">
        <v>325</v>
      </c>
      <c r="DE1554" s="26">
        <v>316</v>
      </c>
      <c r="DF1554" s="26" t="s">
        <v>1462</v>
      </c>
      <c r="DG1554" s="26">
        <v>242</v>
      </c>
      <c r="DH1554" s="26">
        <v>233</v>
      </c>
      <c r="DI1554" s="26" t="s">
        <v>1461</v>
      </c>
      <c r="EL1554" s="26" t="s">
        <v>1460</v>
      </c>
      <c r="EN1554" s="26">
        <v>73</v>
      </c>
    </row>
    <row r="1555" spans="1:144" s="26" customFormat="1" x14ac:dyDescent="0.25">
      <c r="A1555" s="26">
        <v>73</v>
      </c>
      <c r="B1555" s="26" t="s">
        <v>1448</v>
      </c>
      <c r="C1555" s="26" t="s">
        <v>1449</v>
      </c>
      <c r="D1555" s="26">
        <v>2003</v>
      </c>
      <c r="E1555" s="26">
        <v>1997</v>
      </c>
      <c r="F1555" s="26" t="s">
        <v>1450</v>
      </c>
      <c r="G1555" s="26" t="s">
        <v>1481</v>
      </c>
      <c r="H1555" s="26">
        <v>50.29</v>
      </c>
      <c r="I1555" s="26">
        <v>-107.8</v>
      </c>
      <c r="J1555" s="26">
        <v>757</v>
      </c>
      <c r="P1555" s="52" t="s">
        <v>1352</v>
      </c>
      <c r="Q1555" s="52" t="s">
        <v>1447</v>
      </c>
      <c r="R1555" s="52" t="s">
        <v>1455</v>
      </c>
      <c r="S1555" s="52" t="s">
        <v>676</v>
      </c>
      <c r="T1555" s="26">
        <f t="shared" si="256"/>
        <v>1.4880000000000002</v>
      </c>
      <c r="W1555" s="26" t="s">
        <v>182</v>
      </c>
      <c r="AA1555" s="26" t="s">
        <v>1722</v>
      </c>
      <c r="AB1555" s="26" t="s">
        <v>777</v>
      </c>
      <c r="AC1555" s="26" t="s">
        <v>156</v>
      </c>
      <c r="AD1555" s="26" t="s">
        <v>1439</v>
      </c>
      <c r="AE1555" s="26" t="s">
        <v>1439</v>
      </c>
      <c r="AF1555" s="26" t="s">
        <v>252</v>
      </c>
      <c r="AJ1555" s="26" t="s">
        <v>1453</v>
      </c>
      <c r="AK1555" s="26" t="s">
        <v>1454</v>
      </c>
      <c r="AL1555" s="26" t="s">
        <v>693</v>
      </c>
      <c r="AM1555" s="26" t="s">
        <v>1452</v>
      </c>
      <c r="AN1555" s="26">
        <v>3</v>
      </c>
      <c r="AO1555" s="26">
        <v>3</v>
      </c>
      <c r="AP1555" s="26" t="s">
        <v>184</v>
      </c>
      <c r="AU1555" s="26" t="s">
        <v>1456</v>
      </c>
      <c r="AV1555" s="26">
        <v>4439</v>
      </c>
      <c r="AW1555" s="26">
        <v>5034</v>
      </c>
      <c r="AX1555" s="26" t="s">
        <v>1457</v>
      </c>
      <c r="AY1555" s="26">
        <v>2998</v>
      </c>
      <c r="AZ1555" s="26">
        <v>3155</v>
      </c>
      <c r="BA1555" s="26" t="s">
        <v>1460</v>
      </c>
      <c r="BH1555" s="26">
        <f>66.2*0.056</f>
        <v>3.7072000000000003</v>
      </c>
      <c r="BI1555" s="26">
        <f>89.7*0.056</f>
        <v>5.0232000000000001</v>
      </c>
      <c r="BJ1555" s="26" t="s">
        <v>1466</v>
      </c>
      <c r="CX1555" s="26">
        <v>7.95</v>
      </c>
      <c r="CY1555" s="26">
        <v>8.6</v>
      </c>
      <c r="CZ1555" s="26" t="s">
        <v>1468</v>
      </c>
      <c r="DD1555" s="26">
        <v>324</v>
      </c>
      <c r="DE1555" s="26">
        <v>322</v>
      </c>
      <c r="DF1555" s="26" t="s">
        <v>1462</v>
      </c>
      <c r="DG1555" s="26">
        <v>241</v>
      </c>
      <c r="DH1555" s="26">
        <v>239</v>
      </c>
      <c r="DI1555" s="26" t="s">
        <v>1461</v>
      </c>
      <c r="EL1555" s="26" t="s">
        <v>1460</v>
      </c>
      <c r="EN1555" s="26">
        <v>73</v>
      </c>
    </row>
    <row r="1556" spans="1:144" s="26" customFormat="1" x14ac:dyDescent="0.25">
      <c r="A1556" s="26">
        <v>73</v>
      </c>
      <c r="B1556" s="26" t="s">
        <v>1448</v>
      </c>
      <c r="C1556" s="26" t="s">
        <v>1449</v>
      </c>
      <c r="D1556" s="26">
        <v>2003</v>
      </c>
      <c r="E1556" s="26">
        <v>1998</v>
      </c>
      <c r="F1556" s="26" t="s">
        <v>1450</v>
      </c>
      <c r="G1556" s="26" t="s">
        <v>1481</v>
      </c>
      <c r="H1556" s="26">
        <v>50.29</v>
      </c>
      <c r="I1556" s="26">
        <v>-107.8</v>
      </c>
      <c r="J1556" s="26">
        <v>757</v>
      </c>
      <c r="P1556" s="52" t="s">
        <v>1128</v>
      </c>
      <c r="Q1556" s="52" t="s">
        <v>1447</v>
      </c>
      <c r="R1556" s="52" t="s">
        <v>1455</v>
      </c>
      <c r="S1556" s="52" t="s">
        <v>676</v>
      </c>
      <c r="T1556" s="26">
        <f t="shared" si="256"/>
        <v>1.4880000000000002</v>
      </c>
      <c r="W1556" s="26" t="s">
        <v>182</v>
      </c>
      <c r="AA1556" s="26" t="s">
        <v>1722</v>
      </c>
      <c r="AB1556" s="26" t="s">
        <v>777</v>
      </c>
      <c r="AC1556" s="26" t="s">
        <v>156</v>
      </c>
      <c r="AD1556" s="26" t="s">
        <v>1439</v>
      </c>
      <c r="AE1556" s="26" t="s">
        <v>1439</v>
      </c>
      <c r="AF1556" s="26" t="s">
        <v>252</v>
      </c>
      <c r="AJ1556" s="26" t="s">
        <v>1453</v>
      </c>
      <c r="AK1556" s="26" t="s">
        <v>1454</v>
      </c>
      <c r="AL1556" s="26" t="s">
        <v>693</v>
      </c>
      <c r="AM1556" s="26" t="s">
        <v>1452</v>
      </c>
      <c r="AN1556" s="26">
        <v>3</v>
      </c>
      <c r="AO1556" s="26">
        <v>3</v>
      </c>
      <c r="AP1556" s="26" t="s">
        <v>184</v>
      </c>
      <c r="AU1556" s="26" t="s">
        <v>1456</v>
      </c>
      <c r="AV1556" s="26">
        <v>4414</v>
      </c>
      <c r="AW1556" s="26">
        <v>3843</v>
      </c>
      <c r="AX1556" s="26" t="s">
        <v>1457</v>
      </c>
      <c r="AY1556" s="26">
        <v>2587</v>
      </c>
      <c r="AZ1556" s="26">
        <v>2290</v>
      </c>
      <c r="BA1556" s="26" t="s">
        <v>1460</v>
      </c>
      <c r="BH1556" s="26">
        <f>105*0.056</f>
        <v>5.88</v>
      </c>
      <c r="BI1556" s="26">
        <f>139.3*0.056</f>
        <v>7.8008000000000006</v>
      </c>
      <c r="BJ1556" s="26" t="s">
        <v>1466</v>
      </c>
      <c r="CX1556" s="26">
        <v>7.15</v>
      </c>
      <c r="CY1556" s="26">
        <v>6.63</v>
      </c>
      <c r="CZ1556" s="26" t="s">
        <v>1468</v>
      </c>
      <c r="DD1556" s="26">
        <v>270</v>
      </c>
      <c r="DE1556" s="26">
        <v>248</v>
      </c>
      <c r="DF1556" s="26" t="s">
        <v>1462</v>
      </c>
      <c r="DG1556" s="26">
        <v>187</v>
      </c>
      <c r="DH1556" s="26">
        <v>165</v>
      </c>
      <c r="DI1556" s="26" t="s">
        <v>1461</v>
      </c>
      <c r="EL1556" s="26" t="s">
        <v>1460</v>
      </c>
      <c r="EN1556" s="26">
        <v>73</v>
      </c>
    </row>
    <row r="1557" spans="1:144" s="26" customFormat="1" x14ac:dyDescent="0.25">
      <c r="A1557" s="26">
        <v>73</v>
      </c>
      <c r="B1557" s="26" t="s">
        <v>1448</v>
      </c>
      <c r="C1557" s="26" t="s">
        <v>1449</v>
      </c>
      <c r="D1557" s="26">
        <v>2003</v>
      </c>
      <c r="E1557" s="26">
        <v>1999</v>
      </c>
      <c r="F1557" s="26" t="s">
        <v>1450</v>
      </c>
      <c r="G1557" s="26" t="s">
        <v>1481</v>
      </c>
      <c r="H1557" s="26">
        <v>50.29</v>
      </c>
      <c r="I1557" s="26">
        <v>-107.8</v>
      </c>
      <c r="J1557" s="26">
        <v>757</v>
      </c>
      <c r="P1557" s="52" t="s">
        <v>1129</v>
      </c>
      <c r="Q1557" s="52" t="s">
        <v>1447</v>
      </c>
      <c r="R1557" s="52" t="s">
        <v>1455</v>
      </c>
      <c r="S1557" s="52" t="s">
        <v>676</v>
      </c>
      <c r="T1557" s="26">
        <f t="shared" si="256"/>
        <v>1.4880000000000002</v>
      </c>
      <c r="W1557" s="26" t="s">
        <v>182</v>
      </c>
      <c r="AA1557" s="26" t="s">
        <v>1722</v>
      </c>
      <c r="AB1557" s="26" t="s">
        <v>777</v>
      </c>
      <c r="AC1557" s="26" t="s">
        <v>156</v>
      </c>
      <c r="AD1557" s="26" t="s">
        <v>1439</v>
      </c>
      <c r="AE1557" s="26" t="s">
        <v>1439</v>
      </c>
      <c r="AF1557" s="26" t="s">
        <v>252</v>
      </c>
      <c r="AJ1557" s="26" t="s">
        <v>1453</v>
      </c>
      <c r="AK1557" s="26" t="s">
        <v>1454</v>
      </c>
      <c r="AL1557" s="26" t="s">
        <v>693</v>
      </c>
      <c r="AM1557" s="26" t="s">
        <v>1452</v>
      </c>
      <c r="AN1557" s="26">
        <v>3</v>
      </c>
      <c r="AO1557" s="26">
        <v>3</v>
      </c>
      <c r="AP1557" s="26" t="s">
        <v>184</v>
      </c>
      <c r="AU1557" s="26" t="s">
        <v>1456</v>
      </c>
      <c r="AV1557" s="26">
        <v>5728</v>
      </c>
      <c r="AW1557" s="26">
        <v>5114</v>
      </c>
      <c r="AX1557" s="26" t="s">
        <v>1457</v>
      </c>
      <c r="AY1557" s="26">
        <v>3574</v>
      </c>
      <c r="AZ1557" s="26">
        <v>2876</v>
      </c>
      <c r="BA1557" s="26" t="s">
        <v>1460</v>
      </c>
      <c r="BH1557" s="26">
        <f>92.2*0.056</f>
        <v>5.1632000000000007</v>
      </c>
      <c r="BI1557" s="26">
        <f>109.2*0.056</f>
        <v>6.1152000000000006</v>
      </c>
      <c r="BJ1557" s="26" t="s">
        <v>1466</v>
      </c>
      <c r="CX1557" s="26">
        <v>8.9</v>
      </c>
      <c r="CY1557" s="26">
        <v>8.4499999999999993</v>
      </c>
      <c r="CZ1557" s="26" t="s">
        <v>1468</v>
      </c>
      <c r="DD1557" s="26">
        <v>300</v>
      </c>
      <c r="DE1557" s="26">
        <v>228</v>
      </c>
      <c r="DF1557" s="26" t="s">
        <v>1462</v>
      </c>
      <c r="DG1557" s="26">
        <v>217</v>
      </c>
      <c r="DH1557" s="26">
        <v>145</v>
      </c>
      <c r="DI1557" s="26" t="s">
        <v>1461</v>
      </c>
      <c r="EL1557" s="26" t="s">
        <v>1460</v>
      </c>
      <c r="EN1557" s="26">
        <v>73</v>
      </c>
    </row>
    <row r="1558" spans="1:144" s="35" customFormat="1" x14ac:dyDescent="0.25">
      <c r="A1558" s="35">
        <v>73</v>
      </c>
      <c r="B1558" s="35" t="s">
        <v>1448</v>
      </c>
      <c r="C1558" s="35" t="s">
        <v>1449</v>
      </c>
      <c r="D1558" s="35">
        <v>2003</v>
      </c>
      <c r="E1558" s="35">
        <v>1988</v>
      </c>
      <c r="F1558" s="35" t="s">
        <v>1450</v>
      </c>
      <c r="G1558" s="35" t="s">
        <v>1481</v>
      </c>
      <c r="H1558" s="35">
        <v>50.29</v>
      </c>
      <c r="I1558" s="35">
        <v>-107.8</v>
      </c>
      <c r="J1558" s="35">
        <v>757</v>
      </c>
      <c r="P1558" s="54" t="s">
        <v>186</v>
      </c>
      <c r="Q1558" s="54" t="s">
        <v>1447</v>
      </c>
      <c r="R1558" s="54" t="s">
        <v>1455</v>
      </c>
      <c r="S1558" s="54" t="s">
        <v>676</v>
      </c>
      <c r="T1558" s="35">
        <v>1.4880000000000002</v>
      </c>
      <c r="W1558" s="35" t="s">
        <v>182</v>
      </c>
      <c r="AA1558" s="35" t="s">
        <v>1722</v>
      </c>
      <c r="AB1558" s="35" t="s">
        <v>777</v>
      </c>
      <c r="AC1558" s="35" t="s">
        <v>156</v>
      </c>
      <c r="AD1558" s="35" t="s">
        <v>1439</v>
      </c>
      <c r="AE1558" s="35" t="s">
        <v>1439</v>
      </c>
      <c r="AF1558" s="35" t="s">
        <v>252</v>
      </c>
      <c r="AJ1558" s="35" t="s">
        <v>1453</v>
      </c>
      <c r="AK1558" s="35" t="s">
        <v>1454</v>
      </c>
      <c r="AL1558" s="35" t="s">
        <v>693</v>
      </c>
      <c r="AM1558" s="35" t="s">
        <v>1452</v>
      </c>
      <c r="AN1558" s="35">
        <v>3</v>
      </c>
      <c r="AO1558" s="35">
        <v>3</v>
      </c>
      <c r="AP1558" s="35" t="s">
        <v>184</v>
      </c>
      <c r="AU1558" s="35" t="s">
        <v>1463</v>
      </c>
      <c r="AV1558" s="35">
        <v>794</v>
      </c>
      <c r="AW1558" s="35">
        <v>745</v>
      </c>
      <c r="AX1558" s="35" t="s">
        <v>1457</v>
      </c>
      <c r="AY1558" s="35">
        <v>420</v>
      </c>
      <c r="AZ1558" s="35">
        <v>407</v>
      </c>
      <c r="BA1558" s="35" t="s">
        <v>1460</v>
      </c>
      <c r="CX1558" s="35">
        <v>2.06</v>
      </c>
      <c r="CY1558" s="35">
        <v>2.0499999999999998</v>
      </c>
      <c r="CZ1558" s="35" t="s">
        <v>1468</v>
      </c>
      <c r="DD1558" s="35">
        <v>188</v>
      </c>
      <c r="DE1558" s="35">
        <v>179</v>
      </c>
      <c r="DF1558" s="35" t="s">
        <v>1462</v>
      </c>
      <c r="DG1558" s="35">
        <v>105</v>
      </c>
      <c r="DH1558" s="35">
        <v>96</v>
      </c>
      <c r="DI1558" s="35" t="s">
        <v>1461</v>
      </c>
      <c r="EL1558" s="35" t="s">
        <v>1460</v>
      </c>
      <c r="EN1558" s="35">
        <v>73</v>
      </c>
    </row>
    <row r="1559" spans="1:144" s="35" customFormat="1" x14ac:dyDescent="0.25">
      <c r="A1559" s="35">
        <v>73</v>
      </c>
      <c r="B1559" s="35" t="s">
        <v>1448</v>
      </c>
      <c r="C1559" s="35" t="s">
        <v>1449</v>
      </c>
      <c r="D1559" s="35">
        <v>2003</v>
      </c>
      <c r="E1559" s="35">
        <v>1989</v>
      </c>
      <c r="F1559" s="35" t="s">
        <v>1450</v>
      </c>
      <c r="G1559" s="35" t="s">
        <v>1481</v>
      </c>
      <c r="H1559" s="35">
        <v>50.29</v>
      </c>
      <c r="I1559" s="35">
        <v>-107.8</v>
      </c>
      <c r="J1559" s="35">
        <v>757</v>
      </c>
      <c r="P1559" s="54" t="s">
        <v>187</v>
      </c>
      <c r="Q1559" s="54" t="s">
        <v>1447</v>
      </c>
      <c r="R1559" s="54" t="s">
        <v>1455</v>
      </c>
      <c r="S1559" s="54" t="s">
        <v>676</v>
      </c>
      <c r="T1559" s="35">
        <v>1.4880000000000002</v>
      </c>
      <c r="W1559" s="35" t="s">
        <v>182</v>
      </c>
      <c r="AA1559" s="35" t="s">
        <v>1722</v>
      </c>
      <c r="AB1559" s="35" t="s">
        <v>777</v>
      </c>
      <c r="AC1559" s="35" t="s">
        <v>156</v>
      </c>
      <c r="AD1559" s="35" t="s">
        <v>1439</v>
      </c>
      <c r="AE1559" s="35" t="s">
        <v>1439</v>
      </c>
      <c r="AF1559" s="35" t="s">
        <v>252</v>
      </c>
      <c r="AJ1559" s="35" t="s">
        <v>1453</v>
      </c>
      <c r="AK1559" s="35" t="s">
        <v>1454</v>
      </c>
      <c r="AL1559" s="35" t="s">
        <v>693</v>
      </c>
      <c r="AM1559" s="35" t="s">
        <v>1452</v>
      </c>
      <c r="AN1559" s="35">
        <v>3</v>
      </c>
      <c r="AO1559" s="35">
        <v>3</v>
      </c>
      <c r="AP1559" s="35" t="s">
        <v>184</v>
      </c>
      <c r="AU1559" s="35" t="s">
        <v>1463</v>
      </c>
      <c r="AV1559" s="35">
        <v>2732</v>
      </c>
      <c r="AW1559" s="35">
        <v>2926</v>
      </c>
      <c r="AX1559" s="35" t="s">
        <v>1457</v>
      </c>
      <c r="AY1559" s="35">
        <v>1655</v>
      </c>
      <c r="AZ1559" s="35">
        <v>1738</v>
      </c>
      <c r="BA1559" s="35" t="s">
        <v>1460</v>
      </c>
      <c r="CX1559" s="35">
        <v>6.2</v>
      </c>
      <c r="CY1559" s="35">
        <v>6.22</v>
      </c>
      <c r="CZ1559" s="35" t="s">
        <v>1468</v>
      </c>
      <c r="DD1559" s="35">
        <v>191</v>
      </c>
      <c r="DE1559" s="35">
        <v>198</v>
      </c>
      <c r="DF1559" s="35" t="s">
        <v>1462</v>
      </c>
      <c r="DG1559" s="35">
        <v>108</v>
      </c>
      <c r="DH1559" s="35">
        <v>115</v>
      </c>
      <c r="DI1559" s="35" t="s">
        <v>1461</v>
      </c>
      <c r="EL1559" s="35" t="s">
        <v>1460</v>
      </c>
      <c r="EN1559" s="35">
        <v>73</v>
      </c>
    </row>
    <row r="1560" spans="1:144" s="35" customFormat="1" x14ac:dyDescent="0.25">
      <c r="A1560" s="35">
        <v>73</v>
      </c>
      <c r="B1560" s="35" t="s">
        <v>1448</v>
      </c>
      <c r="C1560" s="35" t="s">
        <v>1449</v>
      </c>
      <c r="D1560" s="35">
        <v>2003</v>
      </c>
      <c r="E1560" s="35">
        <v>1990</v>
      </c>
      <c r="F1560" s="35" t="s">
        <v>1450</v>
      </c>
      <c r="G1560" s="35" t="s">
        <v>1481</v>
      </c>
      <c r="H1560" s="35">
        <v>50.29</v>
      </c>
      <c r="I1560" s="35">
        <v>-107.8</v>
      </c>
      <c r="J1560" s="35">
        <v>757</v>
      </c>
      <c r="P1560" s="54" t="s">
        <v>188</v>
      </c>
      <c r="Q1560" s="54" t="s">
        <v>1447</v>
      </c>
      <c r="R1560" s="54" t="s">
        <v>1455</v>
      </c>
      <c r="S1560" s="54" t="s">
        <v>676</v>
      </c>
      <c r="T1560" s="35">
        <v>1.4880000000000002</v>
      </c>
      <c r="W1560" s="35" t="s">
        <v>182</v>
      </c>
      <c r="AA1560" s="35" t="s">
        <v>1722</v>
      </c>
      <c r="AB1560" s="35" t="s">
        <v>777</v>
      </c>
      <c r="AC1560" s="35" t="s">
        <v>156</v>
      </c>
      <c r="AD1560" s="35" t="s">
        <v>1439</v>
      </c>
      <c r="AE1560" s="35" t="s">
        <v>1439</v>
      </c>
      <c r="AF1560" s="35" t="s">
        <v>252</v>
      </c>
      <c r="AJ1560" s="35" t="s">
        <v>1453</v>
      </c>
      <c r="AK1560" s="35" t="s">
        <v>1454</v>
      </c>
      <c r="AL1560" s="35" t="s">
        <v>693</v>
      </c>
      <c r="AM1560" s="35" t="s">
        <v>1452</v>
      </c>
      <c r="AN1560" s="35">
        <v>3</v>
      </c>
      <c r="AO1560" s="35">
        <v>3</v>
      </c>
      <c r="AP1560" s="35" t="s">
        <v>184</v>
      </c>
      <c r="AU1560" s="35" t="s">
        <v>1463</v>
      </c>
      <c r="AV1560" s="35">
        <v>2395</v>
      </c>
      <c r="AW1560" s="35">
        <v>2729</v>
      </c>
      <c r="AX1560" s="35" t="s">
        <v>1457</v>
      </c>
      <c r="AY1560" s="35">
        <v>1778</v>
      </c>
      <c r="AZ1560" s="35">
        <v>1879</v>
      </c>
      <c r="BA1560" s="35" t="s">
        <v>1460</v>
      </c>
      <c r="CX1560" s="35">
        <v>5.3</v>
      </c>
      <c r="CY1560" s="35">
        <v>5.5</v>
      </c>
      <c r="CZ1560" s="35" t="s">
        <v>1468</v>
      </c>
      <c r="DD1560" s="35">
        <v>231</v>
      </c>
      <c r="DE1560" s="35">
        <v>244</v>
      </c>
      <c r="DF1560" s="35" t="s">
        <v>1462</v>
      </c>
      <c r="DG1560" s="35">
        <v>148</v>
      </c>
      <c r="DH1560" s="35">
        <v>161</v>
      </c>
      <c r="DI1560" s="35" t="s">
        <v>1461</v>
      </c>
      <c r="EL1560" s="35" t="s">
        <v>1460</v>
      </c>
      <c r="EN1560" s="35">
        <v>73</v>
      </c>
    </row>
    <row r="1561" spans="1:144" s="35" customFormat="1" x14ac:dyDescent="0.25">
      <c r="A1561" s="35">
        <v>73</v>
      </c>
      <c r="B1561" s="35" t="s">
        <v>1448</v>
      </c>
      <c r="C1561" s="35" t="s">
        <v>1449</v>
      </c>
      <c r="D1561" s="35">
        <v>2003</v>
      </c>
      <c r="E1561" s="35">
        <v>1991</v>
      </c>
      <c r="F1561" s="35" t="s">
        <v>1450</v>
      </c>
      <c r="G1561" s="35" t="s">
        <v>1481</v>
      </c>
      <c r="H1561" s="35">
        <v>50.29</v>
      </c>
      <c r="I1561" s="35">
        <v>-107.8</v>
      </c>
      <c r="J1561" s="35">
        <v>757</v>
      </c>
      <c r="P1561" s="54" t="s">
        <v>189</v>
      </c>
      <c r="Q1561" s="54" t="s">
        <v>1447</v>
      </c>
      <c r="R1561" s="54" t="s">
        <v>1455</v>
      </c>
      <c r="S1561" s="54" t="s">
        <v>676</v>
      </c>
      <c r="T1561" s="35">
        <v>1.4880000000000002</v>
      </c>
      <c r="W1561" s="35" t="s">
        <v>182</v>
      </c>
      <c r="AA1561" s="35" t="s">
        <v>1722</v>
      </c>
      <c r="AB1561" s="35" t="s">
        <v>777</v>
      </c>
      <c r="AC1561" s="35" t="s">
        <v>156</v>
      </c>
      <c r="AD1561" s="35" t="s">
        <v>1439</v>
      </c>
      <c r="AE1561" s="35" t="s">
        <v>1439</v>
      </c>
      <c r="AF1561" s="35" t="s">
        <v>252</v>
      </c>
      <c r="AJ1561" s="35" t="s">
        <v>1453</v>
      </c>
      <c r="AK1561" s="35" t="s">
        <v>1454</v>
      </c>
      <c r="AL1561" s="35" t="s">
        <v>693</v>
      </c>
      <c r="AM1561" s="35" t="s">
        <v>1452</v>
      </c>
      <c r="AN1561" s="35">
        <v>3</v>
      </c>
      <c r="AO1561" s="35">
        <v>3</v>
      </c>
      <c r="AP1561" s="35" t="s">
        <v>184</v>
      </c>
      <c r="AU1561" s="35" t="s">
        <v>1463</v>
      </c>
      <c r="AV1561" s="35">
        <v>4339</v>
      </c>
      <c r="AW1561" s="35">
        <v>4550</v>
      </c>
      <c r="AX1561" s="35" t="s">
        <v>1457</v>
      </c>
      <c r="AY1561" s="35">
        <v>2581</v>
      </c>
      <c r="AZ1561" s="35">
        <v>2638</v>
      </c>
      <c r="BA1561" s="35" t="s">
        <v>1460</v>
      </c>
      <c r="CX1561" s="35">
        <v>5.77</v>
      </c>
      <c r="CY1561" s="35">
        <v>5.78</v>
      </c>
      <c r="CZ1561" s="35" t="s">
        <v>1468</v>
      </c>
      <c r="DD1561" s="35">
        <v>260</v>
      </c>
      <c r="DE1561" s="35">
        <v>257</v>
      </c>
      <c r="DF1561" s="35" t="s">
        <v>1462</v>
      </c>
      <c r="DG1561" s="35">
        <v>177</v>
      </c>
      <c r="DH1561" s="35">
        <v>174</v>
      </c>
      <c r="DI1561" s="35" t="s">
        <v>1461</v>
      </c>
      <c r="EL1561" s="35" t="s">
        <v>1460</v>
      </c>
      <c r="EN1561" s="35">
        <v>73</v>
      </c>
    </row>
    <row r="1562" spans="1:144" s="35" customFormat="1" x14ac:dyDescent="0.25">
      <c r="A1562" s="35">
        <v>73</v>
      </c>
      <c r="B1562" s="35" t="s">
        <v>1448</v>
      </c>
      <c r="C1562" s="35" t="s">
        <v>1449</v>
      </c>
      <c r="D1562" s="35">
        <v>2003</v>
      </c>
      <c r="E1562" s="35">
        <v>1992</v>
      </c>
      <c r="F1562" s="35" t="s">
        <v>1450</v>
      </c>
      <c r="G1562" s="35" t="s">
        <v>1481</v>
      </c>
      <c r="H1562" s="35">
        <v>50.29</v>
      </c>
      <c r="I1562" s="35">
        <v>-107.8</v>
      </c>
      <c r="J1562" s="35">
        <v>757</v>
      </c>
      <c r="P1562" s="54" t="s">
        <v>190</v>
      </c>
      <c r="Q1562" s="54" t="s">
        <v>1447</v>
      </c>
      <c r="R1562" s="54" t="s">
        <v>1455</v>
      </c>
      <c r="S1562" s="54" t="s">
        <v>676</v>
      </c>
      <c r="T1562" s="35">
        <v>1.4880000000000002</v>
      </c>
      <c r="W1562" s="35" t="s">
        <v>182</v>
      </c>
      <c r="AA1562" s="35" t="s">
        <v>1722</v>
      </c>
      <c r="AB1562" s="35" t="s">
        <v>777</v>
      </c>
      <c r="AC1562" s="35" t="s">
        <v>156</v>
      </c>
      <c r="AD1562" s="35" t="s">
        <v>1439</v>
      </c>
      <c r="AE1562" s="35" t="s">
        <v>1439</v>
      </c>
      <c r="AF1562" s="35" t="s">
        <v>252</v>
      </c>
      <c r="AJ1562" s="35" t="s">
        <v>1453</v>
      </c>
      <c r="AK1562" s="35" t="s">
        <v>1454</v>
      </c>
      <c r="AL1562" s="35" t="s">
        <v>693</v>
      </c>
      <c r="AM1562" s="35" t="s">
        <v>1452</v>
      </c>
      <c r="AN1562" s="35">
        <v>3</v>
      </c>
      <c r="AO1562" s="35">
        <v>3</v>
      </c>
      <c r="AP1562" s="35" t="s">
        <v>184</v>
      </c>
      <c r="AU1562" s="35" t="s">
        <v>1463</v>
      </c>
      <c r="AV1562" s="35">
        <v>2475</v>
      </c>
      <c r="AW1562" s="35">
        <v>2985</v>
      </c>
      <c r="AX1562" s="35" t="s">
        <v>1457</v>
      </c>
      <c r="AY1562" s="35">
        <v>1521</v>
      </c>
      <c r="AZ1562" s="35">
        <v>1616</v>
      </c>
      <c r="BA1562" s="35" t="s">
        <v>1460</v>
      </c>
      <c r="CX1562" s="35">
        <v>5.92</v>
      </c>
      <c r="CY1562" s="35">
        <v>6.74</v>
      </c>
      <c r="CZ1562" s="35" t="s">
        <v>1468</v>
      </c>
      <c r="DD1562" s="35">
        <v>217</v>
      </c>
      <c r="DE1562" s="35">
        <v>183</v>
      </c>
      <c r="DF1562" s="35" t="s">
        <v>1462</v>
      </c>
      <c r="DG1562" s="35">
        <v>134</v>
      </c>
      <c r="DH1562" s="35">
        <v>100</v>
      </c>
      <c r="DI1562" s="35" t="s">
        <v>1461</v>
      </c>
      <c r="EL1562" s="35" t="s">
        <v>1460</v>
      </c>
      <c r="EN1562" s="35">
        <v>73</v>
      </c>
    </row>
    <row r="1563" spans="1:144" s="35" customFormat="1" x14ac:dyDescent="0.25">
      <c r="A1563" s="35">
        <v>73</v>
      </c>
      <c r="B1563" s="35" t="s">
        <v>1448</v>
      </c>
      <c r="C1563" s="35" t="s">
        <v>1449</v>
      </c>
      <c r="D1563" s="35">
        <v>2003</v>
      </c>
      <c r="E1563" s="35">
        <v>1993</v>
      </c>
      <c r="F1563" s="35" t="s">
        <v>1450</v>
      </c>
      <c r="G1563" s="35" t="s">
        <v>1481</v>
      </c>
      <c r="H1563" s="35">
        <v>50.29</v>
      </c>
      <c r="I1563" s="35">
        <v>-107.8</v>
      </c>
      <c r="J1563" s="35">
        <v>757</v>
      </c>
      <c r="P1563" s="54" t="s">
        <v>207</v>
      </c>
      <c r="Q1563" s="54" t="s">
        <v>1447</v>
      </c>
      <c r="R1563" s="54" t="s">
        <v>1455</v>
      </c>
      <c r="S1563" s="54" t="s">
        <v>676</v>
      </c>
      <c r="T1563" s="35">
        <v>1.4880000000000002</v>
      </c>
      <c r="W1563" s="35" t="s">
        <v>182</v>
      </c>
      <c r="AA1563" s="35" t="s">
        <v>1722</v>
      </c>
      <c r="AB1563" s="35" t="s">
        <v>777</v>
      </c>
      <c r="AC1563" s="35" t="s">
        <v>156</v>
      </c>
      <c r="AD1563" s="35" t="s">
        <v>1439</v>
      </c>
      <c r="AE1563" s="35" t="s">
        <v>1439</v>
      </c>
      <c r="AF1563" s="35" t="s">
        <v>252</v>
      </c>
      <c r="AJ1563" s="35" t="s">
        <v>1453</v>
      </c>
      <c r="AK1563" s="35" t="s">
        <v>1454</v>
      </c>
      <c r="AL1563" s="35" t="s">
        <v>693</v>
      </c>
      <c r="AM1563" s="35" t="s">
        <v>1452</v>
      </c>
      <c r="AN1563" s="35">
        <v>3</v>
      </c>
      <c r="AO1563" s="35">
        <v>3</v>
      </c>
      <c r="AP1563" s="35" t="s">
        <v>184</v>
      </c>
      <c r="AU1563" s="35" t="s">
        <v>1463</v>
      </c>
      <c r="AV1563" s="35">
        <v>3183</v>
      </c>
      <c r="AW1563" s="35">
        <v>3049</v>
      </c>
      <c r="AX1563" s="35" t="s">
        <v>1457</v>
      </c>
      <c r="AY1563" s="35">
        <v>2232</v>
      </c>
      <c r="AZ1563" s="35">
        <v>2030</v>
      </c>
      <c r="BA1563" s="35" t="s">
        <v>1460</v>
      </c>
      <c r="CX1563" s="35">
        <v>9.2799999999999994</v>
      </c>
      <c r="CY1563" s="35">
        <v>8.4499999999999993</v>
      </c>
      <c r="CZ1563" s="35" t="s">
        <v>1468</v>
      </c>
      <c r="DD1563" s="35">
        <v>214</v>
      </c>
      <c r="DE1563" s="35">
        <v>221</v>
      </c>
      <c r="DF1563" s="35" t="s">
        <v>1462</v>
      </c>
      <c r="DG1563" s="35">
        <v>131</v>
      </c>
      <c r="DH1563" s="35">
        <v>138</v>
      </c>
      <c r="DI1563" s="35" t="s">
        <v>1461</v>
      </c>
      <c r="EL1563" s="35" t="s">
        <v>1460</v>
      </c>
      <c r="EN1563" s="35">
        <v>73</v>
      </c>
    </row>
    <row r="1564" spans="1:144" s="35" customFormat="1" x14ac:dyDescent="0.25">
      <c r="A1564" s="35">
        <v>73</v>
      </c>
      <c r="B1564" s="35" t="s">
        <v>1448</v>
      </c>
      <c r="C1564" s="35" t="s">
        <v>1449</v>
      </c>
      <c r="D1564" s="35">
        <v>2003</v>
      </c>
      <c r="E1564" s="35">
        <v>1994</v>
      </c>
      <c r="F1564" s="35" t="s">
        <v>1450</v>
      </c>
      <c r="G1564" s="35" t="s">
        <v>1481</v>
      </c>
      <c r="H1564" s="35">
        <v>50.29</v>
      </c>
      <c r="I1564" s="35">
        <v>-107.8</v>
      </c>
      <c r="J1564" s="35">
        <v>757</v>
      </c>
      <c r="P1564" s="54" t="s">
        <v>1125</v>
      </c>
      <c r="Q1564" s="54" t="s">
        <v>1447</v>
      </c>
      <c r="R1564" s="54" t="s">
        <v>1455</v>
      </c>
      <c r="S1564" s="54" t="s">
        <v>676</v>
      </c>
      <c r="T1564" s="35">
        <v>1.4880000000000002</v>
      </c>
      <c r="W1564" s="35" t="s">
        <v>182</v>
      </c>
      <c r="AA1564" s="35" t="s">
        <v>1722</v>
      </c>
      <c r="AB1564" s="35" t="s">
        <v>777</v>
      </c>
      <c r="AC1564" s="35" t="s">
        <v>156</v>
      </c>
      <c r="AD1564" s="35" t="s">
        <v>1439</v>
      </c>
      <c r="AE1564" s="35" t="s">
        <v>1439</v>
      </c>
      <c r="AF1564" s="35" t="s">
        <v>252</v>
      </c>
      <c r="AJ1564" s="35" t="s">
        <v>1453</v>
      </c>
      <c r="AK1564" s="35" t="s">
        <v>1454</v>
      </c>
      <c r="AL1564" s="35" t="s">
        <v>693</v>
      </c>
      <c r="AM1564" s="35" t="s">
        <v>1452</v>
      </c>
      <c r="AN1564" s="35">
        <v>3</v>
      </c>
      <c r="AO1564" s="35">
        <v>3</v>
      </c>
      <c r="AP1564" s="35" t="s">
        <v>184</v>
      </c>
      <c r="AU1564" s="35" t="s">
        <v>1463</v>
      </c>
      <c r="AV1564" s="35">
        <v>2961</v>
      </c>
      <c r="AW1564" s="35">
        <v>4238</v>
      </c>
      <c r="AX1564" s="35" t="s">
        <v>1457</v>
      </c>
      <c r="AY1564" s="35">
        <v>1546</v>
      </c>
      <c r="AZ1564" s="35">
        <v>2112</v>
      </c>
      <c r="BA1564" s="35" t="s">
        <v>1460</v>
      </c>
      <c r="CX1564" s="35">
        <v>4.71</v>
      </c>
      <c r="CY1564" s="35">
        <v>6.31</v>
      </c>
      <c r="CZ1564" s="35" t="s">
        <v>1468</v>
      </c>
      <c r="DD1564" s="35">
        <v>293</v>
      </c>
      <c r="DE1564" s="35">
        <v>282</v>
      </c>
      <c r="DF1564" s="35" t="s">
        <v>1462</v>
      </c>
      <c r="DG1564" s="35">
        <v>210</v>
      </c>
      <c r="DH1564" s="35">
        <v>199</v>
      </c>
      <c r="DI1564" s="35" t="s">
        <v>1461</v>
      </c>
      <c r="EL1564" s="35" t="s">
        <v>1460</v>
      </c>
      <c r="EN1564" s="35">
        <v>73</v>
      </c>
    </row>
    <row r="1565" spans="1:144" s="35" customFormat="1" x14ac:dyDescent="0.25">
      <c r="A1565" s="35">
        <v>73</v>
      </c>
      <c r="B1565" s="35" t="s">
        <v>1448</v>
      </c>
      <c r="C1565" s="35" t="s">
        <v>1449</v>
      </c>
      <c r="D1565" s="35">
        <v>2003</v>
      </c>
      <c r="E1565" s="35">
        <v>1995</v>
      </c>
      <c r="F1565" s="35" t="s">
        <v>1450</v>
      </c>
      <c r="G1565" s="35" t="s">
        <v>1481</v>
      </c>
      <c r="H1565" s="35">
        <v>50.29</v>
      </c>
      <c r="I1565" s="35">
        <v>-107.8</v>
      </c>
      <c r="J1565" s="35">
        <v>757</v>
      </c>
      <c r="P1565" s="54" t="s">
        <v>1126</v>
      </c>
      <c r="Q1565" s="54" t="s">
        <v>1447</v>
      </c>
      <c r="R1565" s="54" t="s">
        <v>1455</v>
      </c>
      <c r="S1565" s="54" t="s">
        <v>676</v>
      </c>
      <c r="T1565" s="35">
        <v>1.4880000000000002</v>
      </c>
      <c r="W1565" s="35" t="s">
        <v>182</v>
      </c>
      <c r="AA1565" s="35" t="s">
        <v>1722</v>
      </c>
      <c r="AB1565" s="35" t="s">
        <v>777</v>
      </c>
      <c r="AC1565" s="35" t="s">
        <v>156</v>
      </c>
      <c r="AD1565" s="35" t="s">
        <v>1439</v>
      </c>
      <c r="AE1565" s="35" t="s">
        <v>1439</v>
      </c>
      <c r="AF1565" s="35" t="s">
        <v>252</v>
      </c>
      <c r="AJ1565" s="35" t="s">
        <v>1453</v>
      </c>
      <c r="AK1565" s="35" t="s">
        <v>1454</v>
      </c>
      <c r="AL1565" s="35" t="s">
        <v>693</v>
      </c>
      <c r="AM1565" s="35" t="s">
        <v>1452</v>
      </c>
      <c r="AN1565" s="35">
        <v>3</v>
      </c>
      <c r="AO1565" s="35">
        <v>3</v>
      </c>
      <c r="AP1565" s="35" t="s">
        <v>184</v>
      </c>
      <c r="AU1565" s="35" t="s">
        <v>1463</v>
      </c>
      <c r="AV1565" s="35">
        <v>4791</v>
      </c>
      <c r="AW1565" s="35">
        <v>4694</v>
      </c>
      <c r="AX1565" s="35" t="s">
        <v>1457</v>
      </c>
      <c r="AY1565" s="35">
        <v>2703</v>
      </c>
      <c r="AZ1565" s="35">
        <v>2673</v>
      </c>
      <c r="BA1565" s="35" t="s">
        <v>1460</v>
      </c>
      <c r="CX1565" s="35">
        <v>8.24</v>
      </c>
      <c r="CY1565" s="35">
        <v>7.83</v>
      </c>
      <c r="CZ1565" s="35" t="s">
        <v>1468</v>
      </c>
      <c r="DD1565" s="35">
        <v>256</v>
      </c>
      <c r="DE1565" s="35">
        <v>282</v>
      </c>
      <c r="DF1565" s="35" t="s">
        <v>1462</v>
      </c>
      <c r="DG1565" s="35">
        <v>173</v>
      </c>
      <c r="DH1565" s="35">
        <v>199</v>
      </c>
      <c r="DI1565" s="35" t="s">
        <v>1461</v>
      </c>
      <c r="EL1565" s="35" t="s">
        <v>1460</v>
      </c>
      <c r="EN1565" s="35">
        <v>73</v>
      </c>
    </row>
    <row r="1566" spans="1:144" s="35" customFormat="1" x14ac:dyDescent="0.25">
      <c r="A1566" s="35">
        <v>73</v>
      </c>
      <c r="B1566" s="35" t="s">
        <v>1448</v>
      </c>
      <c r="C1566" s="35" t="s">
        <v>1449</v>
      </c>
      <c r="D1566" s="35">
        <v>2003</v>
      </c>
      <c r="E1566" s="35">
        <v>1996</v>
      </c>
      <c r="F1566" s="35" t="s">
        <v>1450</v>
      </c>
      <c r="G1566" s="35" t="s">
        <v>1481</v>
      </c>
      <c r="H1566" s="35">
        <v>50.29</v>
      </c>
      <c r="I1566" s="35">
        <v>-107.8</v>
      </c>
      <c r="J1566" s="35">
        <v>757</v>
      </c>
      <c r="P1566" s="54" t="s">
        <v>1127</v>
      </c>
      <c r="Q1566" s="54" t="s">
        <v>1447</v>
      </c>
      <c r="R1566" s="54" t="s">
        <v>1455</v>
      </c>
      <c r="S1566" s="54" t="s">
        <v>676</v>
      </c>
      <c r="T1566" s="35">
        <v>1.4880000000000002</v>
      </c>
      <c r="W1566" s="35" t="s">
        <v>182</v>
      </c>
      <c r="AA1566" s="35" t="s">
        <v>1722</v>
      </c>
      <c r="AB1566" s="35" t="s">
        <v>777</v>
      </c>
      <c r="AC1566" s="35" t="s">
        <v>156</v>
      </c>
      <c r="AD1566" s="35" t="s">
        <v>1439</v>
      </c>
      <c r="AE1566" s="35" t="s">
        <v>1439</v>
      </c>
      <c r="AF1566" s="35" t="s">
        <v>252</v>
      </c>
      <c r="AJ1566" s="35" t="s">
        <v>1453</v>
      </c>
      <c r="AK1566" s="35" t="s">
        <v>1454</v>
      </c>
      <c r="AL1566" s="35" t="s">
        <v>693</v>
      </c>
      <c r="AM1566" s="35" t="s">
        <v>1452</v>
      </c>
      <c r="AN1566" s="35">
        <v>3</v>
      </c>
      <c r="AO1566" s="35">
        <v>3</v>
      </c>
      <c r="AP1566" s="35" t="s">
        <v>184</v>
      </c>
      <c r="AU1566" s="35" t="s">
        <v>1463</v>
      </c>
      <c r="AV1566" s="35">
        <v>4196</v>
      </c>
      <c r="AW1566" s="35">
        <v>4044</v>
      </c>
      <c r="AX1566" s="35" t="s">
        <v>1457</v>
      </c>
      <c r="AY1566" s="35">
        <v>2566</v>
      </c>
      <c r="AZ1566" s="35">
        <v>2488</v>
      </c>
      <c r="BA1566" s="35" t="s">
        <v>1460</v>
      </c>
      <c r="CX1566" s="35">
        <v>8.23</v>
      </c>
      <c r="CY1566" s="35">
        <v>7.68</v>
      </c>
      <c r="CZ1566" s="35" t="s">
        <v>1468</v>
      </c>
      <c r="DD1566" s="35">
        <v>279</v>
      </c>
      <c r="DE1566" s="35">
        <v>282</v>
      </c>
      <c r="DF1566" s="35" t="s">
        <v>1462</v>
      </c>
      <c r="DG1566" s="35">
        <v>196</v>
      </c>
      <c r="DH1566" s="35">
        <v>199</v>
      </c>
      <c r="DI1566" s="35" t="s">
        <v>1461</v>
      </c>
      <c r="EL1566" s="35" t="s">
        <v>1460</v>
      </c>
      <c r="EN1566" s="35">
        <v>73</v>
      </c>
    </row>
    <row r="1567" spans="1:144" s="35" customFormat="1" x14ac:dyDescent="0.25">
      <c r="A1567" s="35">
        <v>73</v>
      </c>
      <c r="B1567" s="35" t="s">
        <v>1448</v>
      </c>
      <c r="C1567" s="35" t="s">
        <v>1449</v>
      </c>
      <c r="D1567" s="35">
        <v>2003</v>
      </c>
      <c r="E1567" s="35">
        <v>1997</v>
      </c>
      <c r="F1567" s="35" t="s">
        <v>1450</v>
      </c>
      <c r="G1567" s="35" t="s">
        <v>1481</v>
      </c>
      <c r="H1567" s="35">
        <v>50.29</v>
      </c>
      <c r="I1567" s="35">
        <v>-107.8</v>
      </c>
      <c r="J1567" s="35">
        <v>757</v>
      </c>
      <c r="P1567" s="54" t="s">
        <v>1352</v>
      </c>
      <c r="Q1567" s="54" t="s">
        <v>1447</v>
      </c>
      <c r="R1567" s="54" t="s">
        <v>1455</v>
      </c>
      <c r="S1567" s="54" t="s">
        <v>676</v>
      </c>
      <c r="T1567" s="35">
        <v>1.4880000000000002</v>
      </c>
      <c r="W1567" s="35" t="s">
        <v>182</v>
      </c>
      <c r="AA1567" s="35" t="s">
        <v>1722</v>
      </c>
      <c r="AB1567" s="35" t="s">
        <v>777</v>
      </c>
      <c r="AC1567" s="35" t="s">
        <v>156</v>
      </c>
      <c r="AD1567" s="35" t="s">
        <v>1439</v>
      </c>
      <c r="AE1567" s="35" t="s">
        <v>1439</v>
      </c>
      <c r="AF1567" s="35" t="s">
        <v>252</v>
      </c>
      <c r="AJ1567" s="35" t="s">
        <v>1453</v>
      </c>
      <c r="AK1567" s="35" t="s">
        <v>1454</v>
      </c>
      <c r="AL1567" s="35" t="s">
        <v>693</v>
      </c>
      <c r="AM1567" s="35" t="s">
        <v>1452</v>
      </c>
      <c r="AN1567" s="35">
        <v>3</v>
      </c>
      <c r="AO1567" s="35">
        <v>3</v>
      </c>
      <c r="AP1567" s="35" t="s">
        <v>184</v>
      </c>
      <c r="AU1567" s="35" t="s">
        <v>1463</v>
      </c>
      <c r="AV1567" s="35">
        <v>3869</v>
      </c>
      <c r="AW1567" s="35">
        <v>4507</v>
      </c>
      <c r="AX1567" s="35" t="s">
        <v>1457</v>
      </c>
      <c r="AY1567" s="35">
        <v>2647</v>
      </c>
      <c r="AZ1567" s="35">
        <v>3075</v>
      </c>
      <c r="BA1567" s="35" t="s">
        <v>1460</v>
      </c>
      <c r="CX1567" s="35">
        <v>8.25</v>
      </c>
      <c r="CY1567" s="35">
        <v>9.19</v>
      </c>
      <c r="CZ1567" s="35" t="s">
        <v>1468</v>
      </c>
      <c r="DD1567" s="35">
        <v>285</v>
      </c>
      <c r="DE1567" s="35">
        <v>288</v>
      </c>
      <c r="DF1567" s="35" t="s">
        <v>1462</v>
      </c>
      <c r="DG1567" s="35">
        <v>202</v>
      </c>
      <c r="DH1567" s="35">
        <v>205</v>
      </c>
      <c r="DI1567" s="35" t="s">
        <v>1461</v>
      </c>
      <c r="EL1567" s="35" t="s">
        <v>1460</v>
      </c>
      <c r="EN1567" s="35">
        <v>73</v>
      </c>
    </row>
    <row r="1568" spans="1:144" s="35" customFormat="1" x14ac:dyDescent="0.25">
      <c r="A1568" s="35">
        <v>73</v>
      </c>
      <c r="B1568" s="35" t="s">
        <v>1448</v>
      </c>
      <c r="C1568" s="35" t="s">
        <v>1449</v>
      </c>
      <c r="D1568" s="35">
        <v>2003</v>
      </c>
      <c r="E1568" s="35">
        <v>1998</v>
      </c>
      <c r="F1568" s="35" t="s">
        <v>1450</v>
      </c>
      <c r="G1568" s="35" t="s">
        <v>1481</v>
      </c>
      <c r="H1568" s="35">
        <v>50.29</v>
      </c>
      <c r="I1568" s="35">
        <v>-107.8</v>
      </c>
      <c r="J1568" s="35">
        <v>757</v>
      </c>
      <c r="P1568" s="54" t="s">
        <v>1128</v>
      </c>
      <c r="Q1568" s="54" t="s">
        <v>1447</v>
      </c>
      <c r="R1568" s="54" t="s">
        <v>1455</v>
      </c>
      <c r="S1568" s="54" t="s">
        <v>676</v>
      </c>
      <c r="T1568" s="35">
        <v>1.4880000000000002</v>
      </c>
      <c r="W1568" s="35" t="s">
        <v>182</v>
      </c>
      <c r="AA1568" s="35" t="s">
        <v>1722</v>
      </c>
      <c r="AB1568" s="35" t="s">
        <v>777</v>
      </c>
      <c r="AC1568" s="35" t="s">
        <v>156</v>
      </c>
      <c r="AD1568" s="35" t="s">
        <v>1439</v>
      </c>
      <c r="AE1568" s="35" t="s">
        <v>1439</v>
      </c>
      <c r="AF1568" s="35" t="s">
        <v>252</v>
      </c>
      <c r="AJ1568" s="35" t="s">
        <v>1453</v>
      </c>
      <c r="AK1568" s="35" t="s">
        <v>1454</v>
      </c>
      <c r="AL1568" s="35" t="s">
        <v>693</v>
      </c>
      <c r="AM1568" s="35" t="s">
        <v>1452</v>
      </c>
      <c r="AN1568" s="35">
        <v>3</v>
      </c>
      <c r="AO1568" s="35">
        <v>3</v>
      </c>
      <c r="AP1568" s="35" t="s">
        <v>184</v>
      </c>
      <c r="AU1568" s="35" t="s">
        <v>1463</v>
      </c>
      <c r="AV1568" s="35">
        <v>2248</v>
      </c>
      <c r="AW1568" s="35">
        <v>2210</v>
      </c>
      <c r="AX1568" s="35" t="s">
        <v>1457</v>
      </c>
      <c r="AY1568" s="35">
        <v>870</v>
      </c>
      <c r="AZ1568" s="35">
        <v>657</v>
      </c>
      <c r="BA1568" s="35" t="s">
        <v>1460</v>
      </c>
      <c r="CX1568" s="35">
        <v>3.16</v>
      </c>
      <c r="CY1568" s="35">
        <v>2.5099999999999998</v>
      </c>
      <c r="CZ1568" s="35" t="s">
        <v>1468</v>
      </c>
      <c r="DD1568" s="35">
        <v>196</v>
      </c>
      <c r="DE1568" s="35">
        <v>182</v>
      </c>
      <c r="DF1568" s="35" t="s">
        <v>1462</v>
      </c>
      <c r="DG1568" s="35">
        <v>113</v>
      </c>
      <c r="DH1568" s="35">
        <v>99</v>
      </c>
      <c r="DI1568" s="35" t="s">
        <v>1461</v>
      </c>
      <c r="EL1568" s="35" t="s">
        <v>1460</v>
      </c>
      <c r="EN1568" s="35">
        <v>73</v>
      </c>
    </row>
    <row r="1569" spans="1:144" s="35" customFormat="1" x14ac:dyDescent="0.25">
      <c r="A1569" s="35">
        <v>73</v>
      </c>
      <c r="B1569" s="35" t="s">
        <v>1448</v>
      </c>
      <c r="C1569" s="35" t="s">
        <v>1449</v>
      </c>
      <c r="D1569" s="35">
        <v>2003</v>
      </c>
      <c r="E1569" s="35">
        <v>1999</v>
      </c>
      <c r="F1569" s="35" t="s">
        <v>1450</v>
      </c>
      <c r="G1569" s="35" t="s">
        <v>1481</v>
      </c>
      <c r="H1569" s="35">
        <v>50.29</v>
      </c>
      <c r="I1569" s="35">
        <v>-107.8</v>
      </c>
      <c r="J1569" s="35">
        <v>757</v>
      </c>
      <c r="P1569" s="54" t="s">
        <v>1129</v>
      </c>
      <c r="Q1569" s="54" t="s">
        <v>1447</v>
      </c>
      <c r="R1569" s="54" t="s">
        <v>1455</v>
      </c>
      <c r="S1569" s="54" t="s">
        <v>676</v>
      </c>
      <c r="T1569" s="35">
        <v>1.4880000000000002</v>
      </c>
      <c r="W1569" s="35" t="s">
        <v>182</v>
      </c>
      <c r="AA1569" s="35" t="s">
        <v>1722</v>
      </c>
      <c r="AB1569" s="35" t="s">
        <v>777</v>
      </c>
      <c r="AC1569" s="35" t="s">
        <v>156</v>
      </c>
      <c r="AD1569" s="35" t="s">
        <v>1439</v>
      </c>
      <c r="AE1569" s="35" t="s">
        <v>1439</v>
      </c>
      <c r="AF1569" s="35" t="s">
        <v>252</v>
      </c>
      <c r="AJ1569" s="35" t="s">
        <v>1453</v>
      </c>
      <c r="AK1569" s="35" t="s">
        <v>1454</v>
      </c>
      <c r="AL1569" s="35" t="s">
        <v>693</v>
      </c>
      <c r="AM1569" s="35" t="s">
        <v>1452</v>
      </c>
      <c r="AN1569" s="35">
        <v>3</v>
      </c>
      <c r="AO1569" s="35">
        <v>3</v>
      </c>
      <c r="AP1569" s="35" t="s">
        <v>184</v>
      </c>
      <c r="AU1569" s="35" t="s">
        <v>1463</v>
      </c>
      <c r="AV1569" s="35">
        <v>5009</v>
      </c>
      <c r="AW1569" s="35">
        <v>5363</v>
      </c>
      <c r="AX1569" s="35" t="s">
        <v>1457</v>
      </c>
      <c r="AY1569" s="35">
        <v>3014</v>
      </c>
      <c r="AZ1569" s="35">
        <v>2961</v>
      </c>
      <c r="BA1569" s="35" t="s">
        <v>1460</v>
      </c>
      <c r="CX1569" s="35">
        <v>9.89</v>
      </c>
      <c r="CY1569" s="35">
        <v>8.6</v>
      </c>
      <c r="CZ1569" s="35" t="s">
        <v>1468</v>
      </c>
      <c r="DD1569" s="35">
        <v>207</v>
      </c>
      <c r="DE1569" s="35">
        <v>234</v>
      </c>
      <c r="DF1569" s="35" t="s">
        <v>1462</v>
      </c>
      <c r="DG1569" s="35">
        <v>124</v>
      </c>
      <c r="DH1569" s="35">
        <v>151</v>
      </c>
      <c r="DI1569" s="35" t="s">
        <v>1461</v>
      </c>
      <c r="EL1569" s="35" t="s">
        <v>1460</v>
      </c>
      <c r="EN1569" s="35">
        <v>73</v>
      </c>
    </row>
    <row r="1570" spans="1:144" s="113" customFormat="1" x14ac:dyDescent="0.25">
      <c r="A1570" s="113">
        <v>73</v>
      </c>
      <c r="B1570" s="113" t="s">
        <v>1448</v>
      </c>
      <c r="C1570" s="113" t="s">
        <v>1449</v>
      </c>
      <c r="D1570" s="113">
        <v>2003</v>
      </c>
      <c r="E1570" s="113">
        <v>1988</v>
      </c>
      <c r="F1570" s="113" t="s">
        <v>1450</v>
      </c>
      <c r="G1570" s="113" t="s">
        <v>1481</v>
      </c>
      <c r="H1570" s="113">
        <v>50.29</v>
      </c>
      <c r="I1570" s="113">
        <v>-107.8</v>
      </c>
      <c r="J1570" s="113">
        <v>757</v>
      </c>
      <c r="P1570" s="114" t="s">
        <v>186</v>
      </c>
      <c r="Q1570" s="114" t="s">
        <v>1447</v>
      </c>
      <c r="R1570" s="114" t="s">
        <v>1455</v>
      </c>
      <c r="S1570" s="114" t="s">
        <v>668</v>
      </c>
      <c r="T1570" s="113">
        <v>1.365</v>
      </c>
      <c r="W1570" s="113" t="s">
        <v>182</v>
      </c>
      <c r="AA1570" s="113" t="s">
        <v>1722</v>
      </c>
      <c r="AB1570" s="113" t="s">
        <v>777</v>
      </c>
      <c r="AC1570" s="113" t="s">
        <v>156</v>
      </c>
      <c r="AD1570" s="113" t="s">
        <v>1439</v>
      </c>
      <c r="AE1570" s="113" t="s">
        <v>1439</v>
      </c>
      <c r="AF1570" s="113" t="s">
        <v>252</v>
      </c>
      <c r="AJ1570" s="113" t="s">
        <v>1453</v>
      </c>
      <c r="AK1570" s="113" t="s">
        <v>1454</v>
      </c>
      <c r="AL1570" s="113" t="s">
        <v>693</v>
      </c>
      <c r="AM1570" s="113" t="s">
        <v>1452</v>
      </c>
      <c r="AN1570" s="113">
        <v>3</v>
      </c>
      <c r="AO1570" s="113">
        <v>3</v>
      </c>
      <c r="AP1570" s="113" t="s">
        <v>184</v>
      </c>
      <c r="AU1570" s="113" t="s">
        <v>1456</v>
      </c>
      <c r="BH1570" s="113">
        <f>73*(1000000/(100*100*0.3*1.365*1000))</f>
        <v>17.826617826617827</v>
      </c>
      <c r="BI1570" s="113">
        <f>33.5*(1000000/(100*100*0.3*1.365*1000))</f>
        <v>8.1807081807081801</v>
      </c>
      <c r="BJ1570" s="113" t="s">
        <v>1466</v>
      </c>
      <c r="EL1570" s="113" t="s">
        <v>1460</v>
      </c>
      <c r="EN1570" s="113">
        <v>73</v>
      </c>
    </row>
    <row r="1571" spans="1:144" s="113" customFormat="1" x14ac:dyDescent="0.25">
      <c r="A1571" s="113">
        <v>73</v>
      </c>
      <c r="B1571" s="113" t="s">
        <v>1448</v>
      </c>
      <c r="C1571" s="113" t="s">
        <v>1449</v>
      </c>
      <c r="D1571" s="113">
        <v>2003</v>
      </c>
      <c r="E1571" s="113">
        <v>1989</v>
      </c>
      <c r="F1571" s="113" t="s">
        <v>1450</v>
      </c>
      <c r="G1571" s="113" t="s">
        <v>1481</v>
      </c>
      <c r="H1571" s="113">
        <v>50.29</v>
      </c>
      <c r="I1571" s="113">
        <v>-107.8</v>
      </c>
      <c r="J1571" s="113">
        <v>757</v>
      </c>
      <c r="P1571" s="114" t="s">
        <v>187</v>
      </c>
      <c r="Q1571" s="114" t="s">
        <v>1447</v>
      </c>
      <c r="R1571" s="114" t="s">
        <v>1455</v>
      </c>
      <c r="S1571" s="114" t="s">
        <v>668</v>
      </c>
      <c r="T1571" s="113">
        <v>1.365</v>
      </c>
      <c r="W1571" s="113" t="s">
        <v>182</v>
      </c>
      <c r="AA1571" s="113" t="s">
        <v>1722</v>
      </c>
      <c r="AB1571" s="113" t="s">
        <v>777</v>
      </c>
      <c r="AC1571" s="113" t="s">
        <v>156</v>
      </c>
      <c r="AD1571" s="113" t="s">
        <v>1439</v>
      </c>
      <c r="AE1571" s="113" t="s">
        <v>1439</v>
      </c>
      <c r="AF1571" s="113" t="s">
        <v>252</v>
      </c>
      <c r="AJ1571" s="113" t="s">
        <v>1453</v>
      </c>
      <c r="AK1571" s="113" t="s">
        <v>1454</v>
      </c>
      <c r="AL1571" s="113" t="s">
        <v>693</v>
      </c>
      <c r="AM1571" s="113" t="s">
        <v>1452</v>
      </c>
      <c r="AN1571" s="113">
        <v>3</v>
      </c>
      <c r="AO1571" s="113">
        <v>3</v>
      </c>
      <c r="AP1571" s="113" t="s">
        <v>184</v>
      </c>
      <c r="AU1571" s="113" t="s">
        <v>1456</v>
      </c>
      <c r="BH1571" s="113">
        <f>52.2*(1000000/(100*100*0.3*1.365*1000))</f>
        <v>12.747252747252748</v>
      </c>
      <c r="BI1571" s="113">
        <f>29.1*(1000000/(100*100*0.3*1.365*1000))</f>
        <v>7.1062271062271067</v>
      </c>
      <c r="BJ1571" s="113" t="s">
        <v>1466</v>
      </c>
      <c r="EL1571" s="113" t="s">
        <v>1460</v>
      </c>
      <c r="EN1571" s="113">
        <v>73</v>
      </c>
    </row>
    <row r="1572" spans="1:144" s="113" customFormat="1" x14ac:dyDescent="0.25">
      <c r="A1572" s="113">
        <v>73</v>
      </c>
      <c r="B1572" s="113" t="s">
        <v>1448</v>
      </c>
      <c r="C1572" s="113" t="s">
        <v>1449</v>
      </c>
      <c r="D1572" s="113">
        <v>2003</v>
      </c>
      <c r="E1572" s="113">
        <v>1990</v>
      </c>
      <c r="F1572" s="113" t="s">
        <v>1450</v>
      </c>
      <c r="G1572" s="113" t="s">
        <v>1481</v>
      </c>
      <c r="H1572" s="113">
        <v>50.29</v>
      </c>
      <c r="I1572" s="113">
        <v>-107.8</v>
      </c>
      <c r="J1572" s="113">
        <v>757</v>
      </c>
      <c r="P1572" s="114" t="s">
        <v>188</v>
      </c>
      <c r="Q1572" s="114" t="s">
        <v>1447</v>
      </c>
      <c r="R1572" s="114" t="s">
        <v>1455</v>
      </c>
      <c r="S1572" s="114" t="s">
        <v>668</v>
      </c>
      <c r="T1572" s="113">
        <v>1.365</v>
      </c>
      <c r="W1572" s="113" t="s">
        <v>182</v>
      </c>
      <c r="AA1572" s="113" t="s">
        <v>1722</v>
      </c>
      <c r="AB1572" s="113" t="s">
        <v>777</v>
      </c>
      <c r="AC1572" s="113" t="s">
        <v>156</v>
      </c>
      <c r="AD1572" s="113" t="s">
        <v>1439</v>
      </c>
      <c r="AE1572" s="113" t="s">
        <v>1439</v>
      </c>
      <c r="AF1572" s="113" t="s">
        <v>252</v>
      </c>
      <c r="AJ1572" s="113" t="s">
        <v>1453</v>
      </c>
      <c r="AK1572" s="113" t="s">
        <v>1454</v>
      </c>
      <c r="AL1572" s="113" t="s">
        <v>693</v>
      </c>
      <c r="AM1572" s="113" t="s">
        <v>1452</v>
      </c>
      <c r="AN1572" s="113">
        <v>3</v>
      </c>
      <c r="AO1572" s="113">
        <v>3</v>
      </c>
      <c r="AP1572" s="113" t="s">
        <v>184</v>
      </c>
      <c r="AU1572" s="113" t="s">
        <v>1456</v>
      </c>
      <c r="BH1572" s="113">
        <f>66.6*(1000000/(100*100*0.3*1.365*1000))</f>
        <v>16.263736263736263</v>
      </c>
      <c r="BI1572" s="113">
        <f>53.2*(1000000/(100*100*0.3*1.365*1000))</f>
        <v>12.991452991452991</v>
      </c>
      <c r="BJ1572" s="113" t="s">
        <v>1466</v>
      </c>
      <c r="EL1572" s="113" t="s">
        <v>1460</v>
      </c>
      <c r="EN1572" s="113">
        <v>73</v>
      </c>
    </row>
    <row r="1573" spans="1:144" s="113" customFormat="1" x14ac:dyDescent="0.25">
      <c r="A1573" s="113">
        <v>73</v>
      </c>
      <c r="B1573" s="113" t="s">
        <v>1448</v>
      </c>
      <c r="C1573" s="113" t="s">
        <v>1449</v>
      </c>
      <c r="D1573" s="113">
        <v>2003</v>
      </c>
      <c r="E1573" s="113">
        <v>1991</v>
      </c>
      <c r="F1573" s="113" t="s">
        <v>1450</v>
      </c>
      <c r="G1573" s="113" t="s">
        <v>1481</v>
      </c>
      <c r="H1573" s="113">
        <v>50.29</v>
      </c>
      <c r="I1573" s="113">
        <v>-107.8</v>
      </c>
      <c r="J1573" s="113">
        <v>757</v>
      </c>
      <c r="P1573" s="114" t="s">
        <v>189</v>
      </c>
      <c r="Q1573" s="114" t="s">
        <v>1447</v>
      </c>
      <c r="R1573" s="114" t="s">
        <v>1455</v>
      </c>
      <c r="S1573" s="114" t="s">
        <v>668</v>
      </c>
      <c r="T1573" s="113">
        <v>1.365</v>
      </c>
      <c r="W1573" s="113" t="s">
        <v>182</v>
      </c>
      <c r="AA1573" s="113" t="s">
        <v>1722</v>
      </c>
      <c r="AB1573" s="113" t="s">
        <v>777</v>
      </c>
      <c r="AC1573" s="113" t="s">
        <v>156</v>
      </c>
      <c r="AD1573" s="113" t="s">
        <v>1439</v>
      </c>
      <c r="AE1573" s="113" t="s">
        <v>1439</v>
      </c>
      <c r="AF1573" s="113" t="s">
        <v>252</v>
      </c>
      <c r="AJ1573" s="113" t="s">
        <v>1453</v>
      </c>
      <c r="AK1573" s="113" t="s">
        <v>1454</v>
      </c>
      <c r="AL1573" s="113" t="s">
        <v>693</v>
      </c>
      <c r="AM1573" s="113" t="s">
        <v>1452</v>
      </c>
      <c r="AN1573" s="113">
        <v>3</v>
      </c>
      <c r="AO1573" s="113">
        <v>3</v>
      </c>
      <c r="AP1573" s="113" t="s">
        <v>184</v>
      </c>
      <c r="AU1573" s="113" t="s">
        <v>1456</v>
      </c>
      <c r="BH1573" s="113">
        <f>44.7*(1000000/(100*100*0.3*1.365*1000))</f>
        <v>10.915750915750916</v>
      </c>
      <c r="BI1573" s="113">
        <f>56.3*(1000000/(100*100*0.3*1.365*1000))</f>
        <v>13.748473748473748</v>
      </c>
      <c r="BJ1573" s="113" t="s">
        <v>1466</v>
      </c>
      <c r="EL1573" s="113" t="s">
        <v>1460</v>
      </c>
      <c r="EN1573" s="113">
        <v>73</v>
      </c>
    </row>
    <row r="1574" spans="1:144" s="113" customFormat="1" x14ac:dyDescent="0.25">
      <c r="A1574" s="113">
        <v>73</v>
      </c>
      <c r="B1574" s="113" t="s">
        <v>1448</v>
      </c>
      <c r="C1574" s="113" t="s">
        <v>1449</v>
      </c>
      <c r="D1574" s="113">
        <v>2003</v>
      </c>
      <c r="E1574" s="113">
        <v>1992</v>
      </c>
      <c r="F1574" s="113" t="s">
        <v>1450</v>
      </c>
      <c r="G1574" s="113" t="s">
        <v>1481</v>
      </c>
      <c r="H1574" s="113">
        <v>50.29</v>
      </c>
      <c r="I1574" s="113">
        <v>-107.8</v>
      </c>
      <c r="J1574" s="113">
        <v>757</v>
      </c>
      <c r="P1574" s="114" t="s">
        <v>190</v>
      </c>
      <c r="Q1574" s="114" t="s">
        <v>1447</v>
      </c>
      <c r="R1574" s="114" t="s">
        <v>1455</v>
      </c>
      <c r="S1574" s="114" t="s">
        <v>668</v>
      </c>
      <c r="T1574" s="113">
        <v>1.365</v>
      </c>
      <c r="W1574" s="113" t="s">
        <v>182</v>
      </c>
      <c r="AA1574" s="113" t="s">
        <v>1722</v>
      </c>
      <c r="AB1574" s="113" t="s">
        <v>777</v>
      </c>
      <c r="AC1574" s="113" t="s">
        <v>156</v>
      </c>
      <c r="AD1574" s="113" t="s">
        <v>1439</v>
      </c>
      <c r="AE1574" s="113" t="s">
        <v>1439</v>
      </c>
      <c r="AF1574" s="113" t="s">
        <v>252</v>
      </c>
      <c r="AJ1574" s="113" t="s">
        <v>1453</v>
      </c>
      <c r="AK1574" s="113" t="s">
        <v>1454</v>
      </c>
      <c r="AL1574" s="113" t="s">
        <v>693</v>
      </c>
      <c r="AM1574" s="113" t="s">
        <v>1452</v>
      </c>
      <c r="AN1574" s="113">
        <v>3</v>
      </c>
      <c r="AO1574" s="113">
        <v>3</v>
      </c>
      <c r="AP1574" s="113" t="s">
        <v>184</v>
      </c>
      <c r="AU1574" s="113" t="s">
        <v>1456</v>
      </c>
      <c r="BH1574" s="113">
        <f>33.4*(1000000/(100*100*0.3*1.365*1000))</f>
        <v>8.1562881562881557</v>
      </c>
      <c r="BI1574" s="113">
        <f>19.7*(1000000/(100*100*0.3*1.365*1000))</f>
        <v>4.8107448107448105</v>
      </c>
      <c r="BJ1574" s="113" t="s">
        <v>1466</v>
      </c>
      <c r="EL1574" s="113" t="s">
        <v>1460</v>
      </c>
      <c r="EN1574" s="113">
        <v>73</v>
      </c>
    </row>
    <row r="1575" spans="1:144" s="113" customFormat="1" x14ac:dyDescent="0.25">
      <c r="A1575" s="113">
        <v>73</v>
      </c>
      <c r="B1575" s="113" t="s">
        <v>1448</v>
      </c>
      <c r="C1575" s="113" t="s">
        <v>1449</v>
      </c>
      <c r="D1575" s="113">
        <v>2003</v>
      </c>
      <c r="E1575" s="113">
        <v>1993</v>
      </c>
      <c r="F1575" s="113" t="s">
        <v>1450</v>
      </c>
      <c r="G1575" s="113" t="s">
        <v>1481</v>
      </c>
      <c r="H1575" s="113">
        <v>50.29</v>
      </c>
      <c r="I1575" s="113">
        <v>-107.8</v>
      </c>
      <c r="J1575" s="113">
        <v>757</v>
      </c>
      <c r="P1575" s="114" t="s">
        <v>207</v>
      </c>
      <c r="Q1575" s="114" t="s">
        <v>1447</v>
      </c>
      <c r="R1575" s="114" t="s">
        <v>1455</v>
      </c>
      <c r="S1575" s="114" t="s">
        <v>668</v>
      </c>
      <c r="T1575" s="113">
        <v>1.365</v>
      </c>
      <c r="W1575" s="113" t="s">
        <v>182</v>
      </c>
      <c r="AA1575" s="113" t="s">
        <v>1722</v>
      </c>
      <c r="AB1575" s="113" t="s">
        <v>777</v>
      </c>
      <c r="AC1575" s="113" t="s">
        <v>156</v>
      </c>
      <c r="AD1575" s="113" t="s">
        <v>1439</v>
      </c>
      <c r="AE1575" s="113" t="s">
        <v>1439</v>
      </c>
      <c r="AF1575" s="113" t="s">
        <v>252</v>
      </c>
      <c r="AJ1575" s="113" t="s">
        <v>1453</v>
      </c>
      <c r="AK1575" s="113" t="s">
        <v>1454</v>
      </c>
      <c r="AL1575" s="113" t="s">
        <v>693</v>
      </c>
      <c r="AM1575" s="113" t="s">
        <v>1452</v>
      </c>
      <c r="AN1575" s="113">
        <v>3</v>
      </c>
      <c r="AO1575" s="113">
        <v>3</v>
      </c>
      <c r="AP1575" s="113" t="s">
        <v>184</v>
      </c>
      <c r="AU1575" s="113" t="s">
        <v>1456</v>
      </c>
      <c r="BH1575" s="113">
        <f>23*(1000000/(100*100*0.3*1.365*1000))</f>
        <v>5.6166056166056162</v>
      </c>
      <c r="BI1575" s="113">
        <f>44.7*(1000000/(100*100*0.3*1.365*1000))</f>
        <v>10.915750915750916</v>
      </c>
      <c r="BJ1575" s="113" t="s">
        <v>1466</v>
      </c>
      <c r="EL1575" s="113" t="s">
        <v>1460</v>
      </c>
      <c r="EN1575" s="113">
        <v>73</v>
      </c>
    </row>
    <row r="1576" spans="1:144" s="113" customFormat="1" x14ac:dyDescent="0.25">
      <c r="A1576" s="113">
        <v>73</v>
      </c>
      <c r="B1576" s="113" t="s">
        <v>1448</v>
      </c>
      <c r="C1576" s="113" t="s">
        <v>1449</v>
      </c>
      <c r="D1576" s="113">
        <v>2003</v>
      </c>
      <c r="E1576" s="113">
        <v>1994</v>
      </c>
      <c r="F1576" s="113" t="s">
        <v>1450</v>
      </c>
      <c r="G1576" s="113" t="s">
        <v>1481</v>
      </c>
      <c r="H1576" s="113">
        <v>50.29</v>
      </c>
      <c r="I1576" s="113">
        <v>-107.8</v>
      </c>
      <c r="J1576" s="113">
        <v>757</v>
      </c>
      <c r="P1576" s="114" t="s">
        <v>1125</v>
      </c>
      <c r="Q1576" s="114" t="s">
        <v>1447</v>
      </c>
      <c r="R1576" s="114" t="s">
        <v>1455</v>
      </c>
      <c r="S1576" s="114" t="s">
        <v>668</v>
      </c>
      <c r="T1576" s="113">
        <v>1.365</v>
      </c>
      <c r="W1576" s="113" t="s">
        <v>182</v>
      </c>
      <c r="AA1576" s="113" t="s">
        <v>1722</v>
      </c>
      <c r="AB1576" s="113" t="s">
        <v>777</v>
      </c>
      <c r="AC1576" s="113" t="s">
        <v>156</v>
      </c>
      <c r="AD1576" s="113" t="s">
        <v>1439</v>
      </c>
      <c r="AE1576" s="113" t="s">
        <v>1439</v>
      </c>
      <c r="AF1576" s="113" t="s">
        <v>252</v>
      </c>
      <c r="AJ1576" s="113" t="s">
        <v>1453</v>
      </c>
      <c r="AK1576" s="113" t="s">
        <v>1454</v>
      </c>
      <c r="AL1576" s="113" t="s">
        <v>693</v>
      </c>
      <c r="AM1576" s="113" t="s">
        <v>1452</v>
      </c>
      <c r="AN1576" s="113">
        <v>3</v>
      </c>
      <c r="AO1576" s="113">
        <v>3</v>
      </c>
      <c r="AP1576" s="113" t="s">
        <v>184</v>
      </c>
      <c r="AU1576" s="113" t="s">
        <v>1456</v>
      </c>
      <c r="BH1576" s="113">
        <f>15.1*(1000000/(100*100*0.3*1.365*1000))</f>
        <v>3.6874236874236872</v>
      </c>
      <c r="BI1576" s="113">
        <f>27.9*(1000000/(100*100*0.3*1.365*1000))</f>
        <v>6.813186813186813</v>
      </c>
      <c r="BJ1576" s="113" t="s">
        <v>1466</v>
      </c>
      <c r="EL1576" s="113" t="s">
        <v>1460</v>
      </c>
      <c r="EN1576" s="113">
        <v>73</v>
      </c>
    </row>
    <row r="1577" spans="1:144" s="113" customFormat="1" x14ac:dyDescent="0.25">
      <c r="A1577" s="113">
        <v>73</v>
      </c>
      <c r="B1577" s="113" t="s">
        <v>1448</v>
      </c>
      <c r="C1577" s="113" t="s">
        <v>1449</v>
      </c>
      <c r="D1577" s="113">
        <v>2003</v>
      </c>
      <c r="E1577" s="113">
        <v>1995</v>
      </c>
      <c r="F1577" s="113" t="s">
        <v>1450</v>
      </c>
      <c r="G1577" s="113" t="s">
        <v>1481</v>
      </c>
      <c r="H1577" s="113">
        <v>50.29</v>
      </c>
      <c r="I1577" s="113">
        <v>-107.8</v>
      </c>
      <c r="J1577" s="113">
        <v>757</v>
      </c>
      <c r="P1577" s="114" t="s">
        <v>1126</v>
      </c>
      <c r="Q1577" s="114" t="s">
        <v>1447</v>
      </c>
      <c r="R1577" s="114" t="s">
        <v>1455</v>
      </c>
      <c r="S1577" s="114" t="s">
        <v>668</v>
      </c>
      <c r="T1577" s="113">
        <v>1.365</v>
      </c>
      <c r="W1577" s="113" t="s">
        <v>182</v>
      </c>
      <c r="AA1577" s="113" t="s">
        <v>1722</v>
      </c>
      <c r="AB1577" s="113" t="s">
        <v>777</v>
      </c>
      <c r="AC1577" s="113" t="s">
        <v>156</v>
      </c>
      <c r="AD1577" s="113" t="s">
        <v>1439</v>
      </c>
      <c r="AE1577" s="113" t="s">
        <v>1439</v>
      </c>
      <c r="AF1577" s="113" t="s">
        <v>252</v>
      </c>
      <c r="AJ1577" s="113" t="s">
        <v>1453</v>
      </c>
      <c r="AK1577" s="113" t="s">
        <v>1454</v>
      </c>
      <c r="AL1577" s="113" t="s">
        <v>693</v>
      </c>
      <c r="AM1577" s="113" t="s">
        <v>1452</v>
      </c>
      <c r="AN1577" s="113">
        <v>3</v>
      </c>
      <c r="AO1577" s="113">
        <v>3</v>
      </c>
      <c r="AP1577" s="113" t="s">
        <v>184</v>
      </c>
      <c r="AU1577" s="113" t="s">
        <v>1456</v>
      </c>
      <c r="BH1577" s="113">
        <f>39.9*(1000000/(100*100*0.3*1.365*1000))</f>
        <v>9.7435897435897427</v>
      </c>
      <c r="BI1577" s="113">
        <f>54.1*(1000000/(100*100*0.3*1.365*1000))</f>
        <v>13.21123321123321</v>
      </c>
      <c r="BJ1577" s="113" t="s">
        <v>1466</v>
      </c>
      <c r="EL1577" s="113" t="s">
        <v>1460</v>
      </c>
      <c r="EN1577" s="113">
        <v>73</v>
      </c>
    </row>
    <row r="1578" spans="1:144" s="113" customFormat="1" x14ac:dyDescent="0.25">
      <c r="A1578" s="113">
        <v>73</v>
      </c>
      <c r="B1578" s="113" t="s">
        <v>1448</v>
      </c>
      <c r="C1578" s="113" t="s">
        <v>1449</v>
      </c>
      <c r="D1578" s="113">
        <v>2003</v>
      </c>
      <c r="E1578" s="113">
        <v>1996</v>
      </c>
      <c r="F1578" s="113" t="s">
        <v>1450</v>
      </c>
      <c r="G1578" s="113" t="s">
        <v>1481</v>
      </c>
      <c r="H1578" s="113">
        <v>50.29</v>
      </c>
      <c r="I1578" s="113">
        <v>-107.8</v>
      </c>
      <c r="J1578" s="113">
        <v>757</v>
      </c>
      <c r="P1578" s="114" t="s">
        <v>1127</v>
      </c>
      <c r="Q1578" s="114" t="s">
        <v>1447</v>
      </c>
      <c r="R1578" s="114" t="s">
        <v>1455</v>
      </c>
      <c r="S1578" s="114" t="s">
        <v>668</v>
      </c>
      <c r="T1578" s="113">
        <v>1.365</v>
      </c>
      <c r="W1578" s="113" t="s">
        <v>182</v>
      </c>
      <c r="AA1578" s="113" t="s">
        <v>1722</v>
      </c>
      <c r="AB1578" s="113" t="s">
        <v>777</v>
      </c>
      <c r="AC1578" s="113" t="s">
        <v>156</v>
      </c>
      <c r="AD1578" s="113" t="s">
        <v>1439</v>
      </c>
      <c r="AE1578" s="113" t="s">
        <v>1439</v>
      </c>
      <c r="AF1578" s="113" t="s">
        <v>252</v>
      </c>
      <c r="AJ1578" s="113" t="s">
        <v>1453</v>
      </c>
      <c r="AK1578" s="113" t="s">
        <v>1454</v>
      </c>
      <c r="AL1578" s="113" t="s">
        <v>693</v>
      </c>
      <c r="AM1578" s="113" t="s">
        <v>1452</v>
      </c>
      <c r="AN1578" s="113">
        <v>3</v>
      </c>
      <c r="AO1578" s="113">
        <v>3</v>
      </c>
      <c r="AP1578" s="113" t="s">
        <v>184</v>
      </c>
      <c r="AU1578" s="113" t="s">
        <v>1456</v>
      </c>
      <c r="BH1578" s="113">
        <f>29.2*(1000000/(100*100*0.3*1.365*1000))</f>
        <v>7.1306471306471302</v>
      </c>
      <c r="BI1578" s="113">
        <f>54.6*(1000000/(100*100*0.3*1.365*1000))</f>
        <v>13.333333333333334</v>
      </c>
      <c r="BJ1578" s="113" t="s">
        <v>1466</v>
      </c>
      <c r="EL1578" s="113" t="s">
        <v>1460</v>
      </c>
      <c r="EN1578" s="113">
        <v>73</v>
      </c>
    </row>
    <row r="1579" spans="1:144" s="113" customFormat="1" x14ac:dyDescent="0.25">
      <c r="A1579" s="113">
        <v>73</v>
      </c>
      <c r="B1579" s="113" t="s">
        <v>1448</v>
      </c>
      <c r="C1579" s="113" t="s">
        <v>1449</v>
      </c>
      <c r="D1579" s="113">
        <v>2003</v>
      </c>
      <c r="E1579" s="113">
        <v>1997</v>
      </c>
      <c r="F1579" s="113" t="s">
        <v>1450</v>
      </c>
      <c r="G1579" s="113" t="s">
        <v>1481</v>
      </c>
      <c r="H1579" s="113">
        <v>50.29</v>
      </c>
      <c r="I1579" s="113">
        <v>-107.8</v>
      </c>
      <c r="J1579" s="113">
        <v>757</v>
      </c>
      <c r="P1579" s="114" t="s">
        <v>1352</v>
      </c>
      <c r="Q1579" s="114" t="s">
        <v>1447</v>
      </c>
      <c r="R1579" s="114" t="s">
        <v>1455</v>
      </c>
      <c r="S1579" s="114" t="s">
        <v>668</v>
      </c>
      <c r="T1579" s="113">
        <v>1.365</v>
      </c>
      <c r="W1579" s="113" t="s">
        <v>182</v>
      </c>
      <c r="AA1579" s="113" t="s">
        <v>1722</v>
      </c>
      <c r="AB1579" s="113" t="s">
        <v>777</v>
      </c>
      <c r="AC1579" s="113" t="s">
        <v>156</v>
      </c>
      <c r="AD1579" s="113" t="s">
        <v>1439</v>
      </c>
      <c r="AE1579" s="113" t="s">
        <v>1439</v>
      </c>
      <c r="AF1579" s="113" t="s">
        <v>252</v>
      </c>
      <c r="AJ1579" s="113" t="s">
        <v>1453</v>
      </c>
      <c r="AK1579" s="113" t="s">
        <v>1454</v>
      </c>
      <c r="AL1579" s="113" t="s">
        <v>693</v>
      </c>
      <c r="AM1579" s="113" t="s">
        <v>1452</v>
      </c>
      <c r="AN1579" s="113">
        <v>3</v>
      </c>
      <c r="AO1579" s="113">
        <v>3</v>
      </c>
      <c r="AP1579" s="113" t="s">
        <v>184</v>
      </c>
      <c r="AU1579" s="113" t="s">
        <v>1456</v>
      </c>
      <c r="BH1579" s="113">
        <f>18.4*(1000000/(100*100*0.3*1.365*1000))</f>
        <v>4.4932844932844924</v>
      </c>
      <c r="BI1579" s="113">
        <f>24.9*(1000000/(100*100*0.3*1.365*1000))</f>
        <v>6.0805860805860803</v>
      </c>
      <c r="BJ1579" s="113" t="s">
        <v>1466</v>
      </c>
      <c r="EL1579" s="113" t="s">
        <v>1460</v>
      </c>
      <c r="EN1579" s="113">
        <v>73</v>
      </c>
    </row>
    <row r="1580" spans="1:144" s="113" customFormat="1" x14ac:dyDescent="0.25">
      <c r="A1580" s="113">
        <v>73</v>
      </c>
      <c r="B1580" s="113" t="s">
        <v>1448</v>
      </c>
      <c r="C1580" s="113" t="s">
        <v>1449</v>
      </c>
      <c r="D1580" s="113">
        <v>2003</v>
      </c>
      <c r="E1580" s="113">
        <v>1998</v>
      </c>
      <c r="F1580" s="113" t="s">
        <v>1450</v>
      </c>
      <c r="G1580" s="113" t="s">
        <v>1481</v>
      </c>
      <c r="H1580" s="113">
        <v>50.29</v>
      </c>
      <c r="I1580" s="113">
        <v>-107.8</v>
      </c>
      <c r="J1580" s="113">
        <v>757</v>
      </c>
      <c r="P1580" s="114" t="s">
        <v>1128</v>
      </c>
      <c r="Q1580" s="114" t="s">
        <v>1447</v>
      </c>
      <c r="R1580" s="114" t="s">
        <v>1455</v>
      </c>
      <c r="S1580" s="114" t="s">
        <v>668</v>
      </c>
      <c r="T1580" s="113">
        <v>1.365</v>
      </c>
      <c r="W1580" s="113" t="s">
        <v>182</v>
      </c>
      <c r="AA1580" s="113" t="s">
        <v>1722</v>
      </c>
      <c r="AB1580" s="113" t="s">
        <v>777</v>
      </c>
      <c r="AC1580" s="113" t="s">
        <v>156</v>
      </c>
      <c r="AD1580" s="113" t="s">
        <v>1439</v>
      </c>
      <c r="AE1580" s="113" t="s">
        <v>1439</v>
      </c>
      <c r="AF1580" s="113" t="s">
        <v>252</v>
      </c>
      <c r="AJ1580" s="113" t="s">
        <v>1453</v>
      </c>
      <c r="AK1580" s="113" t="s">
        <v>1454</v>
      </c>
      <c r="AL1580" s="113" t="s">
        <v>693</v>
      </c>
      <c r="AM1580" s="113" t="s">
        <v>1452</v>
      </c>
      <c r="AN1580" s="113">
        <v>3</v>
      </c>
      <c r="AO1580" s="113">
        <v>3</v>
      </c>
      <c r="AP1580" s="113" t="s">
        <v>184</v>
      </c>
      <c r="AU1580" s="113" t="s">
        <v>1456</v>
      </c>
      <c r="BH1580" s="113">
        <f>55*(1000000/(100*100*0.3*1.365*1000))</f>
        <v>13.431013431013431</v>
      </c>
      <c r="BI1580" s="113">
        <f>65.7*(1000000/(100*100*0.3*1.365*1000))</f>
        <v>16.043956043956044</v>
      </c>
      <c r="BJ1580" s="113" t="s">
        <v>1466</v>
      </c>
      <c r="EL1580" s="113" t="s">
        <v>1460</v>
      </c>
      <c r="EN1580" s="113">
        <v>73</v>
      </c>
    </row>
    <row r="1581" spans="1:144" s="113" customFormat="1" x14ac:dyDescent="0.25">
      <c r="A1581" s="113">
        <v>73</v>
      </c>
      <c r="B1581" s="113" t="s">
        <v>1448</v>
      </c>
      <c r="C1581" s="113" t="s">
        <v>1449</v>
      </c>
      <c r="D1581" s="113">
        <v>2003</v>
      </c>
      <c r="E1581" s="113">
        <v>1999</v>
      </c>
      <c r="F1581" s="113" t="s">
        <v>1450</v>
      </c>
      <c r="G1581" s="113" t="s">
        <v>1481</v>
      </c>
      <c r="H1581" s="113">
        <v>50.29</v>
      </c>
      <c r="I1581" s="113">
        <v>-107.8</v>
      </c>
      <c r="J1581" s="113">
        <v>757</v>
      </c>
      <c r="P1581" s="114" t="s">
        <v>1129</v>
      </c>
      <c r="Q1581" s="114" t="s">
        <v>1447</v>
      </c>
      <c r="R1581" s="114" t="s">
        <v>1455</v>
      </c>
      <c r="S1581" s="114" t="s">
        <v>668</v>
      </c>
      <c r="T1581" s="113">
        <v>1.365</v>
      </c>
      <c r="W1581" s="113" t="s">
        <v>182</v>
      </c>
      <c r="AA1581" s="113" t="s">
        <v>1722</v>
      </c>
      <c r="AB1581" s="113" t="s">
        <v>777</v>
      </c>
      <c r="AC1581" s="113" t="s">
        <v>156</v>
      </c>
      <c r="AD1581" s="113" t="s">
        <v>1439</v>
      </c>
      <c r="AE1581" s="113" t="s">
        <v>1439</v>
      </c>
      <c r="AF1581" s="113" t="s">
        <v>252</v>
      </c>
      <c r="AJ1581" s="113" t="s">
        <v>1453</v>
      </c>
      <c r="AK1581" s="113" t="s">
        <v>1454</v>
      </c>
      <c r="AL1581" s="113" t="s">
        <v>693</v>
      </c>
      <c r="AM1581" s="113" t="s">
        <v>1452</v>
      </c>
      <c r="AN1581" s="113">
        <v>3</v>
      </c>
      <c r="AO1581" s="113">
        <v>3</v>
      </c>
      <c r="AP1581" s="113" t="s">
        <v>184</v>
      </c>
      <c r="AU1581" s="113" t="s">
        <v>1456</v>
      </c>
      <c r="BH1581" s="113">
        <f>42.9*(1000000/(100*100*0.3*1.365*1000))</f>
        <v>10.476190476190476</v>
      </c>
      <c r="BI1581" s="113">
        <f>54*(1000000/(100*100*0.3*1.365*1000))</f>
        <v>13.186813186813186</v>
      </c>
      <c r="BJ1581" s="113" t="s">
        <v>1466</v>
      </c>
      <c r="EL1581" s="113" t="s">
        <v>1460</v>
      </c>
      <c r="EN1581" s="113">
        <v>73</v>
      </c>
    </row>
    <row r="1582" spans="1:144" s="115" customFormat="1" x14ac:dyDescent="0.25">
      <c r="A1582" s="115">
        <v>73</v>
      </c>
      <c r="B1582" s="115" t="s">
        <v>1448</v>
      </c>
      <c r="C1582" s="115" t="s">
        <v>1449</v>
      </c>
      <c r="D1582" s="115">
        <v>2003</v>
      </c>
      <c r="E1582" s="115">
        <v>1988</v>
      </c>
      <c r="F1582" s="115" t="s">
        <v>1450</v>
      </c>
      <c r="G1582" s="115" t="s">
        <v>1481</v>
      </c>
      <c r="H1582" s="115">
        <v>50.29</v>
      </c>
      <c r="I1582" s="115">
        <v>-107.8</v>
      </c>
      <c r="J1582" s="115">
        <v>757</v>
      </c>
      <c r="P1582" s="116" t="s">
        <v>186</v>
      </c>
      <c r="Q1582" s="116" t="s">
        <v>1447</v>
      </c>
      <c r="R1582" s="116" t="s">
        <v>1455</v>
      </c>
      <c r="S1582" s="116" t="s">
        <v>903</v>
      </c>
      <c r="T1582" s="115">
        <v>1.41</v>
      </c>
      <c r="W1582" s="115" t="s">
        <v>182</v>
      </c>
      <c r="AA1582" s="115" t="s">
        <v>1722</v>
      </c>
      <c r="AB1582" s="115" t="s">
        <v>777</v>
      </c>
      <c r="AC1582" s="115" t="s">
        <v>156</v>
      </c>
      <c r="AD1582" s="115" t="s">
        <v>1439</v>
      </c>
      <c r="AE1582" s="115" t="s">
        <v>1439</v>
      </c>
      <c r="AF1582" s="115" t="s">
        <v>252</v>
      </c>
      <c r="AJ1582" s="115" t="s">
        <v>1453</v>
      </c>
      <c r="AK1582" s="115" t="s">
        <v>1454</v>
      </c>
      <c r="AL1582" s="115" t="s">
        <v>693</v>
      </c>
      <c r="AM1582" s="115" t="s">
        <v>1452</v>
      </c>
      <c r="AN1582" s="115">
        <v>3</v>
      </c>
      <c r="AO1582" s="115">
        <v>3</v>
      </c>
      <c r="AP1582" s="115" t="s">
        <v>184</v>
      </c>
      <c r="AU1582" s="115" t="s">
        <v>1456</v>
      </c>
      <c r="BH1582" s="115">
        <f>26.9*(1000000/(100*100*0.3*1.41*1000))</f>
        <v>6.3593380614657207</v>
      </c>
      <c r="BI1582" s="115">
        <f>(1000000/(100*100*0.3*1.41*1000))*15.8</f>
        <v>3.7352245862884166</v>
      </c>
      <c r="BJ1582" s="115" t="s">
        <v>1466</v>
      </c>
      <c r="EL1582" s="115" t="s">
        <v>1460</v>
      </c>
      <c r="EN1582" s="115">
        <v>73</v>
      </c>
    </row>
    <row r="1583" spans="1:144" s="115" customFormat="1" x14ac:dyDescent="0.25">
      <c r="A1583" s="115">
        <v>73</v>
      </c>
      <c r="B1583" s="115" t="s">
        <v>1448</v>
      </c>
      <c r="C1583" s="115" t="s">
        <v>1449</v>
      </c>
      <c r="D1583" s="115">
        <v>2003</v>
      </c>
      <c r="E1583" s="115">
        <v>1989</v>
      </c>
      <c r="F1583" s="115" t="s">
        <v>1450</v>
      </c>
      <c r="G1583" s="115" t="s">
        <v>1481</v>
      </c>
      <c r="H1583" s="115">
        <v>50.29</v>
      </c>
      <c r="I1583" s="115">
        <v>-107.8</v>
      </c>
      <c r="J1583" s="115">
        <v>757</v>
      </c>
      <c r="P1583" s="116" t="s">
        <v>187</v>
      </c>
      <c r="Q1583" s="116" t="s">
        <v>1447</v>
      </c>
      <c r="R1583" s="116" t="s">
        <v>1455</v>
      </c>
      <c r="S1583" s="116" t="s">
        <v>903</v>
      </c>
      <c r="T1583" s="115">
        <v>1.41</v>
      </c>
      <c r="W1583" s="115" t="s">
        <v>182</v>
      </c>
      <c r="AA1583" s="115" t="s">
        <v>1722</v>
      </c>
      <c r="AB1583" s="115" t="s">
        <v>777</v>
      </c>
      <c r="AC1583" s="115" t="s">
        <v>156</v>
      </c>
      <c r="AD1583" s="115" t="s">
        <v>1439</v>
      </c>
      <c r="AE1583" s="115" t="s">
        <v>1439</v>
      </c>
      <c r="AF1583" s="115" t="s">
        <v>252</v>
      </c>
      <c r="AJ1583" s="115" t="s">
        <v>1453</v>
      </c>
      <c r="AK1583" s="115" t="s">
        <v>1454</v>
      </c>
      <c r="AL1583" s="115" t="s">
        <v>693</v>
      </c>
      <c r="AM1583" s="115" t="s">
        <v>1452</v>
      </c>
      <c r="AN1583" s="115">
        <v>3</v>
      </c>
      <c r="AO1583" s="115">
        <v>3</v>
      </c>
      <c r="AP1583" s="115" t="s">
        <v>184</v>
      </c>
      <c r="AU1583" s="115" t="s">
        <v>1456</v>
      </c>
      <c r="BH1583" s="115">
        <f>65.2*(1000000/(100*100*0.3*1.41*1000))</f>
        <v>15.413711583924352</v>
      </c>
      <c r="BI1583" s="115">
        <f>(1000000/(100*100*0.3*1.41*1000))*19.1</f>
        <v>4.5153664302600474</v>
      </c>
      <c r="BJ1583" s="115" t="s">
        <v>1466</v>
      </c>
      <c r="EL1583" s="115" t="s">
        <v>1460</v>
      </c>
      <c r="EN1583" s="115">
        <v>73</v>
      </c>
    </row>
    <row r="1584" spans="1:144" s="115" customFormat="1" x14ac:dyDescent="0.25">
      <c r="A1584" s="115">
        <v>73</v>
      </c>
      <c r="B1584" s="115" t="s">
        <v>1448</v>
      </c>
      <c r="C1584" s="115" t="s">
        <v>1449</v>
      </c>
      <c r="D1584" s="115">
        <v>2003</v>
      </c>
      <c r="E1584" s="115">
        <v>1990</v>
      </c>
      <c r="F1584" s="115" t="s">
        <v>1450</v>
      </c>
      <c r="G1584" s="115" t="s">
        <v>1481</v>
      </c>
      <c r="H1584" s="115">
        <v>50.29</v>
      </c>
      <c r="I1584" s="115">
        <v>-107.8</v>
      </c>
      <c r="J1584" s="115">
        <v>757</v>
      </c>
      <c r="P1584" s="116" t="s">
        <v>188</v>
      </c>
      <c r="Q1584" s="116" t="s">
        <v>1447</v>
      </c>
      <c r="R1584" s="116" t="s">
        <v>1455</v>
      </c>
      <c r="S1584" s="116" t="s">
        <v>903</v>
      </c>
      <c r="T1584" s="115">
        <v>1.41</v>
      </c>
      <c r="W1584" s="115" t="s">
        <v>182</v>
      </c>
      <c r="AA1584" s="115" t="s">
        <v>1722</v>
      </c>
      <c r="AB1584" s="115" t="s">
        <v>777</v>
      </c>
      <c r="AC1584" s="115" t="s">
        <v>156</v>
      </c>
      <c r="AD1584" s="115" t="s">
        <v>1439</v>
      </c>
      <c r="AE1584" s="115" t="s">
        <v>1439</v>
      </c>
      <c r="AF1584" s="115" t="s">
        <v>252</v>
      </c>
      <c r="AJ1584" s="115" t="s">
        <v>1453</v>
      </c>
      <c r="AK1584" s="115" t="s">
        <v>1454</v>
      </c>
      <c r="AL1584" s="115" t="s">
        <v>693</v>
      </c>
      <c r="AM1584" s="115" t="s">
        <v>1452</v>
      </c>
      <c r="AN1584" s="115">
        <v>3</v>
      </c>
      <c r="AO1584" s="115">
        <v>3</v>
      </c>
      <c r="AP1584" s="115" t="s">
        <v>184</v>
      </c>
      <c r="AU1584" s="115" t="s">
        <v>1456</v>
      </c>
      <c r="BH1584" s="115">
        <f>(1000000/(100*100*0.3*1.41*1000))*30.9</f>
        <v>7.3049645390070923</v>
      </c>
      <c r="BI1584" s="115">
        <f>(1000000/(100*100*0.3*1.41*1000))*32.1</f>
        <v>7.5886524822695041</v>
      </c>
      <c r="BJ1584" s="115" t="s">
        <v>1466</v>
      </c>
      <c r="EL1584" s="115" t="s">
        <v>1460</v>
      </c>
      <c r="EN1584" s="115">
        <v>73</v>
      </c>
    </row>
    <row r="1585" spans="1:144" s="115" customFormat="1" x14ac:dyDescent="0.25">
      <c r="A1585" s="115">
        <v>73</v>
      </c>
      <c r="B1585" s="115" t="s">
        <v>1448</v>
      </c>
      <c r="C1585" s="115" t="s">
        <v>1449</v>
      </c>
      <c r="D1585" s="115">
        <v>2003</v>
      </c>
      <c r="E1585" s="115">
        <v>1991</v>
      </c>
      <c r="F1585" s="115" t="s">
        <v>1450</v>
      </c>
      <c r="G1585" s="115" t="s">
        <v>1481</v>
      </c>
      <c r="H1585" s="115">
        <v>50.29</v>
      </c>
      <c r="I1585" s="115">
        <v>-107.8</v>
      </c>
      <c r="J1585" s="115">
        <v>757</v>
      </c>
      <c r="P1585" s="116" t="s">
        <v>189</v>
      </c>
      <c r="Q1585" s="116" t="s">
        <v>1447</v>
      </c>
      <c r="R1585" s="116" t="s">
        <v>1455</v>
      </c>
      <c r="S1585" s="116" t="s">
        <v>903</v>
      </c>
      <c r="T1585" s="115">
        <v>1.41</v>
      </c>
      <c r="W1585" s="115" t="s">
        <v>182</v>
      </c>
      <c r="AA1585" s="115" t="s">
        <v>1722</v>
      </c>
      <c r="AB1585" s="115" t="s">
        <v>777</v>
      </c>
      <c r="AC1585" s="115" t="s">
        <v>156</v>
      </c>
      <c r="AD1585" s="115" t="s">
        <v>1439</v>
      </c>
      <c r="AE1585" s="115" t="s">
        <v>1439</v>
      </c>
      <c r="AF1585" s="115" t="s">
        <v>252</v>
      </c>
      <c r="AJ1585" s="115" t="s">
        <v>1453</v>
      </c>
      <c r="AK1585" s="115" t="s">
        <v>1454</v>
      </c>
      <c r="AL1585" s="115" t="s">
        <v>693</v>
      </c>
      <c r="AM1585" s="115" t="s">
        <v>1452</v>
      </c>
      <c r="AN1585" s="115">
        <v>3</v>
      </c>
      <c r="AO1585" s="115">
        <v>3</v>
      </c>
      <c r="AP1585" s="115" t="s">
        <v>184</v>
      </c>
      <c r="AU1585" s="115" t="s">
        <v>1456</v>
      </c>
      <c r="BH1585" s="115">
        <f>(1000000/(100*100*0.3*1.41*1000))*25.2</f>
        <v>5.957446808510638</v>
      </c>
      <c r="BI1585" s="115">
        <f>(1000000/(100*100*0.3*1.41*1000))*27.9</f>
        <v>6.5957446808510634</v>
      </c>
      <c r="BJ1585" s="115" t="s">
        <v>1466</v>
      </c>
      <c r="EL1585" s="115" t="s">
        <v>1460</v>
      </c>
      <c r="EN1585" s="115">
        <v>73</v>
      </c>
    </row>
    <row r="1586" spans="1:144" s="115" customFormat="1" x14ac:dyDescent="0.25">
      <c r="A1586" s="115">
        <v>73</v>
      </c>
      <c r="B1586" s="115" t="s">
        <v>1448</v>
      </c>
      <c r="C1586" s="115" t="s">
        <v>1449</v>
      </c>
      <c r="D1586" s="115">
        <v>2003</v>
      </c>
      <c r="E1586" s="115">
        <v>1992</v>
      </c>
      <c r="F1586" s="115" t="s">
        <v>1450</v>
      </c>
      <c r="G1586" s="115" t="s">
        <v>1481</v>
      </c>
      <c r="H1586" s="115">
        <v>50.29</v>
      </c>
      <c r="I1586" s="115">
        <v>-107.8</v>
      </c>
      <c r="J1586" s="115">
        <v>757</v>
      </c>
      <c r="P1586" s="116" t="s">
        <v>190</v>
      </c>
      <c r="Q1586" s="116" t="s">
        <v>1447</v>
      </c>
      <c r="R1586" s="116" t="s">
        <v>1455</v>
      </c>
      <c r="S1586" s="116" t="s">
        <v>903</v>
      </c>
      <c r="T1586" s="115">
        <v>1.41</v>
      </c>
      <c r="W1586" s="115" t="s">
        <v>182</v>
      </c>
      <c r="AA1586" s="115" t="s">
        <v>1722</v>
      </c>
      <c r="AB1586" s="115" t="s">
        <v>777</v>
      </c>
      <c r="AC1586" s="115" t="s">
        <v>156</v>
      </c>
      <c r="AD1586" s="115" t="s">
        <v>1439</v>
      </c>
      <c r="AE1586" s="115" t="s">
        <v>1439</v>
      </c>
      <c r="AF1586" s="115" t="s">
        <v>252</v>
      </c>
      <c r="AJ1586" s="115" t="s">
        <v>1453</v>
      </c>
      <c r="AK1586" s="115" t="s">
        <v>1454</v>
      </c>
      <c r="AL1586" s="115" t="s">
        <v>693</v>
      </c>
      <c r="AM1586" s="115" t="s">
        <v>1452</v>
      </c>
      <c r="AN1586" s="115">
        <v>3</v>
      </c>
      <c r="AO1586" s="115">
        <v>3</v>
      </c>
      <c r="AP1586" s="115" t="s">
        <v>184</v>
      </c>
      <c r="AU1586" s="115" t="s">
        <v>1456</v>
      </c>
      <c r="BH1586" s="115">
        <f>(1000000/(100*100*0.3*1.41*1000))*17.8</f>
        <v>4.208037825059102</v>
      </c>
      <c r="BI1586" s="115">
        <f>(1000000/(100*100*0.3*1.41*1000))*11.1</f>
        <v>2.624113475177305</v>
      </c>
      <c r="BJ1586" s="115" t="s">
        <v>1466</v>
      </c>
      <c r="EL1586" s="115" t="s">
        <v>1460</v>
      </c>
      <c r="EN1586" s="115">
        <v>73</v>
      </c>
    </row>
    <row r="1587" spans="1:144" s="115" customFormat="1" x14ac:dyDescent="0.25">
      <c r="A1587" s="115">
        <v>73</v>
      </c>
      <c r="B1587" s="115" t="s">
        <v>1448</v>
      </c>
      <c r="C1587" s="115" t="s">
        <v>1449</v>
      </c>
      <c r="D1587" s="115">
        <v>2003</v>
      </c>
      <c r="E1587" s="115">
        <v>1993</v>
      </c>
      <c r="F1587" s="115" t="s">
        <v>1450</v>
      </c>
      <c r="G1587" s="115" t="s">
        <v>1481</v>
      </c>
      <c r="H1587" s="115">
        <v>50.29</v>
      </c>
      <c r="I1587" s="115">
        <v>-107.8</v>
      </c>
      <c r="J1587" s="115">
        <v>757</v>
      </c>
      <c r="P1587" s="116" t="s">
        <v>207</v>
      </c>
      <c r="Q1587" s="116" t="s">
        <v>1447</v>
      </c>
      <c r="R1587" s="116" t="s">
        <v>1455</v>
      </c>
      <c r="S1587" s="116" t="s">
        <v>903</v>
      </c>
      <c r="T1587" s="115">
        <v>1.41</v>
      </c>
      <c r="W1587" s="115" t="s">
        <v>182</v>
      </c>
      <c r="AA1587" s="115" t="s">
        <v>1722</v>
      </c>
      <c r="AB1587" s="115" t="s">
        <v>777</v>
      </c>
      <c r="AC1587" s="115" t="s">
        <v>156</v>
      </c>
      <c r="AD1587" s="115" t="s">
        <v>1439</v>
      </c>
      <c r="AE1587" s="115" t="s">
        <v>1439</v>
      </c>
      <c r="AF1587" s="115" t="s">
        <v>252</v>
      </c>
      <c r="AJ1587" s="115" t="s">
        <v>1453</v>
      </c>
      <c r="AK1587" s="115" t="s">
        <v>1454</v>
      </c>
      <c r="AL1587" s="115" t="s">
        <v>693</v>
      </c>
      <c r="AM1587" s="115" t="s">
        <v>1452</v>
      </c>
      <c r="AN1587" s="115">
        <v>3</v>
      </c>
      <c r="AO1587" s="115">
        <v>3</v>
      </c>
      <c r="AP1587" s="115" t="s">
        <v>184</v>
      </c>
      <c r="AU1587" s="115" t="s">
        <v>1456</v>
      </c>
      <c r="BH1587" s="115">
        <f>(1000000/(100*100*0.3*1.41*1000))*22.1</f>
        <v>5.2245862884160763</v>
      </c>
      <c r="BI1587" s="115">
        <f>(1000000/(100*100*0.3*1.41*1000))*22.6</f>
        <v>5.3427895981087472</v>
      </c>
      <c r="BJ1587" s="115" t="s">
        <v>1466</v>
      </c>
      <c r="EL1587" s="115" t="s">
        <v>1460</v>
      </c>
      <c r="EN1587" s="115">
        <v>73</v>
      </c>
    </row>
    <row r="1588" spans="1:144" s="115" customFormat="1" x14ac:dyDescent="0.25">
      <c r="A1588" s="115">
        <v>73</v>
      </c>
      <c r="B1588" s="115" t="s">
        <v>1448</v>
      </c>
      <c r="C1588" s="115" t="s">
        <v>1449</v>
      </c>
      <c r="D1588" s="115">
        <v>2003</v>
      </c>
      <c r="E1588" s="115">
        <v>1994</v>
      </c>
      <c r="F1588" s="115" t="s">
        <v>1450</v>
      </c>
      <c r="G1588" s="115" t="s">
        <v>1481</v>
      </c>
      <c r="H1588" s="115">
        <v>50.29</v>
      </c>
      <c r="I1588" s="115">
        <v>-107.8</v>
      </c>
      <c r="J1588" s="115">
        <v>757</v>
      </c>
      <c r="P1588" s="116" t="s">
        <v>1125</v>
      </c>
      <c r="Q1588" s="116" t="s">
        <v>1447</v>
      </c>
      <c r="R1588" s="116" t="s">
        <v>1455</v>
      </c>
      <c r="S1588" s="116" t="s">
        <v>903</v>
      </c>
      <c r="T1588" s="115">
        <v>1.41</v>
      </c>
      <c r="W1588" s="115" t="s">
        <v>182</v>
      </c>
      <c r="AA1588" s="115" t="s">
        <v>1722</v>
      </c>
      <c r="AB1588" s="115" t="s">
        <v>777</v>
      </c>
      <c r="AC1588" s="115" t="s">
        <v>156</v>
      </c>
      <c r="AD1588" s="115" t="s">
        <v>1439</v>
      </c>
      <c r="AE1588" s="115" t="s">
        <v>1439</v>
      </c>
      <c r="AF1588" s="115" t="s">
        <v>252</v>
      </c>
      <c r="AJ1588" s="115" t="s">
        <v>1453</v>
      </c>
      <c r="AK1588" s="115" t="s">
        <v>1454</v>
      </c>
      <c r="AL1588" s="115" t="s">
        <v>693</v>
      </c>
      <c r="AM1588" s="115" t="s">
        <v>1452</v>
      </c>
      <c r="AN1588" s="115">
        <v>3</v>
      </c>
      <c r="AO1588" s="115">
        <v>3</v>
      </c>
      <c r="AP1588" s="115" t="s">
        <v>184</v>
      </c>
      <c r="AU1588" s="115" t="s">
        <v>1456</v>
      </c>
      <c r="BH1588" s="115">
        <f>(1000000/(100*100*0.3*1.41*1000))*9</f>
        <v>2.1276595744680851</v>
      </c>
      <c r="BI1588" s="115">
        <f>(1000000/(100*100*0.3*1.41*1000))*14.6</f>
        <v>3.4515366430260048</v>
      </c>
      <c r="BJ1588" s="115" t="s">
        <v>1466</v>
      </c>
      <c r="EL1588" s="115" t="s">
        <v>1460</v>
      </c>
      <c r="EN1588" s="115">
        <v>73</v>
      </c>
    </row>
    <row r="1589" spans="1:144" s="115" customFormat="1" x14ac:dyDescent="0.25">
      <c r="A1589" s="115">
        <v>73</v>
      </c>
      <c r="B1589" s="115" t="s">
        <v>1448</v>
      </c>
      <c r="C1589" s="115" t="s">
        <v>1449</v>
      </c>
      <c r="D1589" s="115">
        <v>2003</v>
      </c>
      <c r="E1589" s="115">
        <v>1995</v>
      </c>
      <c r="F1589" s="115" t="s">
        <v>1450</v>
      </c>
      <c r="G1589" s="115" t="s">
        <v>1481</v>
      </c>
      <c r="H1589" s="115">
        <v>50.29</v>
      </c>
      <c r="I1589" s="115">
        <v>-107.8</v>
      </c>
      <c r="J1589" s="115">
        <v>757</v>
      </c>
      <c r="P1589" s="116" t="s">
        <v>1126</v>
      </c>
      <c r="Q1589" s="116" t="s">
        <v>1447</v>
      </c>
      <c r="R1589" s="116" t="s">
        <v>1455</v>
      </c>
      <c r="S1589" s="116" t="s">
        <v>903</v>
      </c>
      <c r="T1589" s="115">
        <v>1.41</v>
      </c>
      <c r="W1589" s="115" t="s">
        <v>182</v>
      </c>
      <c r="AA1589" s="115" t="s">
        <v>1722</v>
      </c>
      <c r="AB1589" s="115" t="s">
        <v>777</v>
      </c>
      <c r="AC1589" s="115" t="s">
        <v>156</v>
      </c>
      <c r="AD1589" s="115" t="s">
        <v>1439</v>
      </c>
      <c r="AE1589" s="115" t="s">
        <v>1439</v>
      </c>
      <c r="AF1589" s="115" t="s">
        <v>252</v>
      </c>
      <c r="AJ1589" s="115" t="s">
        <v>1453</v>
      </c>
      <c r="AK1589" s="115" t="s">
        <v>1454</v>
      </c>
      <c r="AL1589" s="115" t="s">
        <v>693</v>
      </c>
      <c r="AM1589" s="115" t="s">
        <v>1452</v>
      </c>
      <c r="AN1589" s="115">
        <v>3</v>
      </c>
      <c r="AO1589" s="115">
        <v>3</v>
      </c>
      <c r="AP1589" s="115" t="s">
        <v>184</v>
      </c>
      <c r="AU1589" s="115" t="s">
        <v>1456</v>
      </c>
      <c r="BH1589" s="115">
        <f>(1000000/(100*100*0.3*1.41*1000))*16.9</f>
        <v>3.9952718676122929</v>
      </c>
      <c r="BI1589" s="115">
        <f>(1000000/(100*100*0.3*1.41*1000))*15.8</f>
        <v>3.7352245862884166</v>
      </c>
      <c r="BJ1589" s="115" t="s">
        <v>1466</v>
      </c>
      <c r="EL1589" s="115" t="s">
        <v>1460</v>
      </c>
      <c r="EN1589" s="115">
        <v>73</v>
      </c>
    </row>
    <row r="1590" spans="1:144" s="115" customFormat="1" x14ac:dyDescent="0.25">
      <c r="A1590" s="115">
        <v>73</v>
      </c>
      <c r="B1590" s="115" t="s">
        <v>1448</v>
      </c>
      <c r="C1590" s="115" t="s">
        <v>1449</v>
      </c>
      <c r="D1590" s="115">
        <v>2003</v>
      </c>
      <c r="E1590" s="115">
        <v>1996</v>
      </c>
      <c r="F1590" s="115" t="s">
        <v>1450</v>
      </c>
      <c r="G1590" s="115" t="s">
        <v>1481</v>
      </c>
      <c r="H1590" s="115">
        <v>50.29</v>
      </c>
      <c r="I1590" s="115">
        <v>-107.8</v>
      </c>
      <c r="J1590" s="115">
        <v>757</v>
      </c>
      <c r="P1590" s="116" t="s">
        <v>1127</v>
      </c>
      <c r="Q1590" s="116" t="s">
        <v>1447</v>
      </c>
      <c r="R1590" s="116" t="s">
        <v>1455</v>
      </c>
      <c r="S1590" s="116" t="s">
        <v>903</v>
      </c>
      <c r="T1590" s="115">
        <v>1.41</v>
      </c>
      <c r="W1590" s="115" t="s">
        <v>182</v>
      </c>
      <c r="AA1590" s="115" t="s">
        <v>1722</v>
      </c>
      <c r="AB1590" s="115" t="s">
        <v>777</v>
      </c>
      <c r="AC1590" s="115" t="s">
        <v>156</v>
      </c>
      <c r="AD1590" s="115" t="s">
        <v>1439</v>
      </c>
      <c r="AE1590" s="115" t="s">
        <v>1439</v>
      </c>
      <c r="AF1590" s="115" t="s">
        <v>252</v>
      </c>
      <c r="AJ1590" s="115" t="s">
        <v>1453</v>
      </c>
      <c r="AK1590" s="115" t="s">
        <v>1454</v>
      </c>
      <c r="AL1590" s="115" t="s">
        <v>693</v>
      </c>
      <c r="AM1590" s="115" t="s">
        <v>1452</v>
      </c>
      <c r="AN1590" s="115">
        <v>3</v>
      </c>
      <c r="AO1590" s="115">
        <v>3</v>
      </c>
      <c r="AP1590" s="115" t="s">
        <v>184</v>
      </c>
      <c r="AU1590" s="115" t="s">
        <v>1456</v>
      </c>
      <c r="BH1590" s="115">
        <f>(1000000/(100*100*0.3*1.41*1000))*16.6</f>
        <v>3.9243498817966906</v>
      </c>
      <c r="BI1590" s="115">
        <f>(1000000/(100*100*0.3*1.41*1000))*36.1</f>
        <v>8.5342789598108748</v>
      </c>
      <c r="BJ1590" s="115" t="s">
        <v>1466</v>
      </c>
      <c r="EL1590" s="115" t="s">
        <v>1460</v>
      </c>
      <c r="EN1590" s="115">
        <v>73</v>
      </c>
    </row>
    <row r="1591" spans="1:144" s="115" customFormat="1" x14ac:dyDescent="0.25">
      <c r="A1591" s="115">
        <v>73</v>
      </c>
      <c r="B1591" s="115" t="s">
        <v>1448</v>
      </c>
      <c r="C1591" s="115" t="s">
        <v>1449</v>
      </c>
      <c r="D1591" s="115">
        <v>2003</v>
      </c>
      <c r="E1591" s="115">
        <v>1997</v>
      </c>
      <c r="F1591" s="115" t="s">
        <v>1450</v>
      </c>
      <c r="G1591" s="115" t="s">
        <v>1481</v>
      </c>
      <c r="H1591" s="115">
        <v>50.29</v>
      </c>
      <c r="I1591" s="115">
        <v>-107.8</v>
      </c>
      <c r="J1591" s="115">
        <v>757</v>
      </c>
      <c r="P1591" s="116" t="s">
        <v>1352</v>
      </c>
      <c r="Q1591" s="116" t="s">
        <v>1447</v>
      </c>
      <c r="R1591" s="116" t="s">
        <v>1455</v>
      </c>
      <c r="S1591" s="116" t="s">
        <v>903</v>
      </c>
      <c r="T1591" s="115">
        <v>1.41</v>
      </c>
      <c r="W1591" s="115" t="s">
        <v>182</v>
      </c>
      <c r="AA1591" s="115" t="s">
        <v>1722</v>
      </c>
      <c r="AB1591" s="115" t="s">
        <v>777</v>
      </c>
      <c r="AC1591" s="115" t="s">
        <v>156</v>
      </c>
      <c r="AD1591" s="115" t="s">
        <v>1439</v>
      </c>
      <c r="AE1591" s="115" t="s">
        <v>1439</v>
      </c>
      <c r="AF1591" s="115" t="s">
        <v>252</v>
      </c>
      <c r="AJ1591" s="115" t="s">
        <v>1453</v>
      </c>
      <c r="AK1591" s="115" t="s">
        <v>1454</v>
      </c>
      <c r="AL1591" s="115" t="s">
        <v>693</v>
      </c>
      <c r="AM1591" s="115" t="s">
        <v>1452</v>
      </c>
      <c r="AN1591" s="115">
        <v>3</v>
      </c>
      <c r="AO1591" s="115">
        <v>3</v>
      </c>
      <c r="AP1591" s="115" t="s">
        <v>184</v>
      </c>
      <c r="AU1591" s="115" t="s">
        <v>1456</v>
      </c>
      <c r="BH1591" s="115">
        <f>(1000000/(100*100*0.3*1.41*1000))*26.4</f>
        <v>6.2411347517730498</v>
      </c>
      <c r="BI1591" s="115">
        <f>(1000000/(100*100*0.3*1.41*1000))*35.9</f>
        <v>8.4869976359338057</v>
      </c>
      <c r="BJ1591" s="115" t="s">
        <v>1466</v>
      </c>
      <c r="EL1591" s="115" t="s">
        <v>1460</v>
      </c>
      <c r="EN1591" s="115">
        <v>73</v>
      </c>
    </row>
    <row r="1592" spans="1:144" s="115" customFormat="1" x14ac:dyDescent="0.25">
      <c r="A1592" s="115">
        <v>73</v>
      </c>
      <c r="B1592" s="115" t="s">
        <v>1448</v>
      </c>
      <c r="C1592" s="115" t="s">
        <v>1449</v>
      </c>
      <c r="D1592" s="115">
        <v>2003</v>
      </c>
      <c r="E1592" s="115">
        <v>1998</v>
      </c>
      <c r="F1592" s="115" t="s">
        <v>1450</v>
      </c>
      <c r="G1592" s="115" t="s">
        <v>1481</v>
      </c>
      <c r="H1592" s="115">
        <v>50.29</v>
      </c>
      <c r="I1592" s="115">
        <v>-107.8</v>
      </c>
      <c r="J1592" s="115">
        <v>757</v>
      </c>
      <c r="P1592" s="116" t="s">
        <v>1128</v>
      </c>
      <c r="Q1592" s="116" t="s">
        <v>1447</v>
      </c>
      <c r="R1592" s="116" t="s">
        <v>1455</v>
      </c>
      <c r="S1592" s="116" t="s">
        <v>903</v>
      </c>
      <c r="T1592" s="115">
        <v>1.41</v>
      </c>
      <c r="W1592" s="115" t="s">
        <v>182</v>
      </c>
      <c r="AA1592" s="115" t="s">
        <v>1722</v>
      </c>
      <c r="AB1592" s="115" t="s">
        <v>777</v>
      </c>
      <c r="AC1592" s="115" t="s">
        <v>156</v>
      </c>
      <c r="AD1592" s="115" t="s">
        <v>1439</v>
      </c>
      <c r="AE1592" s="115" t="s">
        <v>1439</v>
      </c>
      <c r="AF1592" s="115" t="s">
        <v>252</v>
      </c>
      <c r="AJ1592" s="115" t="s">
        <v>1453</v>
      </c>
      <c r="AK1592" s="115" t="s">
        <v>1454</v>
      </c>
      <c r="AL1592" s="115" t="s">
        <v>693</v>
      </c>
      <c r="AM1592" s="115" t="s">
        <v>1452</v>
      </c>
      <c r="AN1592" s="115">
        <v>3</v>
      </c>
      <c r="AO1592" s="115">
        <v>3</v>
      </c>
      <c r="AP1592" s="115" t="s">
        <v>184</v>
      </c>
      <c r="AU1592" s="115" t="s">
        <v>1456</v>
      </c>
      <c r="BH1592" s="115">
        <f>(1000000/(100*100*0.3*1.41*1000))*18.2</f>
        <v>4.3026004728132383</v>
      </c>
      <c r="BI1592" s="115">
        <f>(1000000/(100*100*0.3*1.41*1000))*21.3</f>
        <v>5.0354609929078018</v>
      </c>
      <c r="BJ1592" s="115" t="s">
        <v>1466</v>
      </c>
      <c r="EL1592" s="115" t="s">
        <v>1460</v>
      </c>
      <c r="EN1592" s="115">
        <v>73</v>
      </c>
    </row>
    <row r="1593" spans="1:144" s="115" customFormat="1" x14ac:dyDescent="0.25">
      <c r="A1593" s="115">
        <v>73</v>
      </c>
      <c r="B1593" s="115" t="s">
        <v>1448</v>
      </c>
      <c r="C1593" s="115" t="s">
        <v>1449</v>
      </c>
      <c r="D1593" s="115">
        <v>2003</v>
      </c>
      <c r="E1593" s="115">
        <v>1999</v>
      </c>
      <c r="F1593" s="115" t="s">
        <v>1450</v>
      </c>
      <c r="G1593" s="115" t="s">
        <v>1481</v>
      </c>
      <c r="H1593" s="115">
        <v>50.29</v>
      </c>
      <c r="I1593" s="115">
        <v>-107.8</v>
      </c>
      <c r="J1593" s="115">
        <v>757</v>
      </c>
      <c r="P1593" s="116" t="s">
        <v>1129</v>
      </c>
      <c r="Q1593" s="116" t="s">
        <v>1447</v>
      </c>
      <c r="R1593" s="116" t="s">
        <v>1455</v>
      </c>
      <c r="S1593" s="116" t="s">
        <v>903</v>
      </c>
      <c r="T1593" s="115">
        <v>1.41</v>
      </c>
      <c r="W1593" s="115" t="s">
        <v>182</v>
      </c>
      <c r="AA1593" s="115" t="s">
        <v>1722</v>
      </c>
      <c r="AB1593" s="115" t="s">
        <v>777</v>
      </c>
      <c r="AC1593" s="115" t="s">
        <v>156</v>
      </c>
      <c r="AD1593" s="115" t="s">
        <v>1439</v>
      </c>
      <c r="AE1593" s="115" t="s">
        <v>1439</v>
      </c>
      <c r="AF1593" s="115" t="s">
        <v>252</v>
      </c>
      <c r="AJ1593" s="115" t="s">
        <v>1453</v>
      </c>
      <c r="AK1593" s="115" t="s">
        <v>1454</v>
      </c>
      <c r="AL1593" s="115" t="s">
        <v>693</v>
      </c>
      <c r="AM1593" s="115" t="s">
        <v>1452</v>
      </c>
      <c r="AN1593" s="115">
        <v>3</v>
      </c>
      <c r="AO1593" s="115">
        <v>3</v>
      </c>
      <c r="AP1593" s="115" t="s">
        <v>184</v>
      </c>
      <c r="AU1593" s="115" t="s">
        <v>1456</v>
      </c>
      <c r="BH1593" s="115">
        <f>(1000000/(100*100*0.3*1.41*1000))*28.1</f>
        <v>6.6430260047281333</v>
      </c>
      <c r="BI1593" s="115">
        <f>(1000000/(100*100*0.3*1.41*1000))*14.3</f>
        <v>3.3806146572104021</v>
      </c>
      <c r="BJ1593" s="115" t="s">
        <v>1466</v>
      </c>
      <c r="EL1593" s="115" t="s">
        <v>1460</v>
      </c>
      <c r="EN1593" s="115">
        <v>73</v>
      </c>
    </row>
    <row r="1594" spans="1:144" s="113" customFormat="1" x14ac:dyDescent="0.25">
      <c r="A1594" s="113">
        <v>73</v>
      </c>
      <c r="B1594" s="113" t="s">
        <v>1448</v>
      </c>
      <c r="C1594" s="113" t="s">
        <v>1449</v>
      </c>
      <c r="D1594" s="113">
        <v>2003</v>
      </c>
      <c r="E1594" s="113">
        <v>1988</v>
      </c>
      <c r="F1594" s="113" t="s">
        <v>1450</v>
      </c>
      <c r="G1594" s="113" t="s">
        <v>1481</v>
      </c>
      <c r="H1594" s="113">
        <v>50.29</v>
      </c>
      <c r="I1594" s="113">
        <v>-107.8</v>
      </c>
      <c r="J1594" s="113">
        <v>757</v>
      </c>
      <c r="P1594" s="114" t="s">
        <v>186</v>
      </c>
      <c r="Q1594" s="114" t="s">
        <v>1447</v>
      </c>
      <c r="R1594" s="114" t="s">
        <v>1455</v>
      </c>
      <c r="S1594" s="114" t="s">
        <v>904</v>
      </c>
      <c r="T1594" s="113">
        <v>1.61</v>
      </c>
      <c r="W1594" s="113" t="s">
        <v>182</v>
      </c>
      <c r="AA1594" s="113" t="s">
        <v>1722</v>
      </c>
      <c r="AB1594" s="113" t="s">
        <v>777</v>
      </c>
      <c r="AC1594" s="113" t="s">
        <v>156</v>
      </c>
      <c r="AD1594" s="113" t="s">
        <v>1439</v>
      </c>
      <c r="AE1594" s="113" t="s">
        <v>1439</v>
      </c>
      <c r="AF1594" s="113" t="s">
        <v>252</v>
      </c>
      <c r="AJ1594" s="113" t="s">
        <v>1453</v>
      </c>
      <c r="AK1594" s="113" t="s">
        <v>1454</v>
      </c>
      <c r="AL1594" s="113" t="s">
        <v>693</v>
      </c>
      <c r="AM1594" s="113" t="s">
        <v>1452</v>
      </c>
      <c r="AN1594" s="113">
        <v>3</v>
      </c>
      <c r="AO1594" s="113">
        <v>3</v>
      </c>
      <c r="AP1594" s="113" t="s">
        <v>184</v>
      </c>
      <c r="AU1594" s="113" t="s">
        <v>1456</v>
      </c>
      <c r="BH1594" s="113">
        <f>(1000000/(100*100*0.3*1.61*1000))*31.7</f>
        <v>6.5631469979296071</v>
      </c>
      <c r="BI1594" s="113">
        <f>(1000000/(100*100*0.3*1.61*1000))*14.3</f>
        <v>2.9606625258799175</v>
      </c>
      <c r="BJ1594" s="113" t="s">
        <v>1466</v>
      </c>
      <c r="EL1594" s="113" t="s">
        <v>1460</v>
      </c>
      <c r="EN1594" s="113">
        <v>73</v>
      </c>
    </row>
    <row r="1595" spans="1:144" s="113" customFormat="1" x14ac:dyDescent="0.25">
      <c r="A1595" s="113">
        <v>73</v>
      </c>
      <c r="B1595" s="113" t="s">
        <v>1448</v>
      </c>
      <c r="C1595" s="113" t="s">
        <v>1449</v>
      </c>
      <c r="D1595" s="113">
        <v>2003</v>
      </c>
      <c r="E1595" s="113">
        <v>1989</v>
      </c>
      <c r="F1595" s="113" t="s">
        <v>1450</v>
      </c>
      <c r="G1595" s="113" t="s">
        <v>1481</v>
      </c>
      <c r="H1595" s="113">
        <v>50.29</v>
      </c>
      <c r="I1595" s="113">
        <v>-107.8</v>
      </c>
      <c r="J1595" s="113">
        <v>757</v>
      </c>
      <c r="P1595" s="114" t="s">
        <v>187</v>
      </c>
      <c r="Q1595" s="114" t="s">
        <v>1447</v>
      </c>
      <c r="R1595" s="114" t="s">
        <v>1455</v>
      </c>
      <c r="S1595" s="114" t="s">
        <v>904</v>
      </c>
      <c r="T1595" s="113">
        <v>1.61</v>
      </c>
      <c r="W1595" s="113" t="s">
        <v>182</v>
      </c>
      <c r="AA1595" s="113" t="s">
        <v>1722</v>
      </c>
      <c r="AB1595" s="113" t="s">
        <v>777</v>
      </c>
      <c r="AC1595" s="113" t="s">
        <v>156</v>
      </c>
      <c r="AD1595" s="113" t="s">
        <v>1439</v>
      </c>
      <c r="AE1595" s="113" t="s">
        <v>1439</v>
      </c>
      <c r="AF1595" s="113" t="s">
        <v>252</v>
      </c>
      <c r="AJ1595" s="113" t="s">
        <v>1453</v>
      </c>
      <c r="AK1595" s="113" t="s">
        <v>1454</v>
      </c>
      <c r="AL1595" s="113" t="s">
        <v>693</v>
      </c>
      <c r="AM1595" s="113" t="s">
        <v>1452</v>
      </c>
      <c r="AN1595" s="113">
        <v>3</v>
      </c>
      <c r="AO1595" s="113">
        <v>3</v>
      </c>
      <c r="AP1595" s="113" t="s">
        <v>184</v>
      </c>
      <c r="AU1595" s="113" t="s">
        <v>1456</v>
      </c>
      <c r="BH1595" s="113">
        <f>(1000000/(100*100*0.3*1.61*1000))*22.1</f>
        <v>4.5755693581780541</v>
      </c>
      <c r="BI1595" s="113">
        <f>(1000000/(100*100*0.3*1.61*1000))*17.2</f>
        <v>3.5610766045548656</v>
      </c>
      <c r="BJ1595" s="113" t="s">
        <v>1466</v>
      </c>
      <c r="EL1595" s="113" t="s">
        <v>1460</v>
      </c>
      <c r="EN1595" s="113">
        <v>73</v>
      </c>
    </row>
    <row r="1596" spans="1:144" s="113" customFormat="1" x14ac:dyDescent="0.25">
      <c r="A1596" s="113">
        <v>73</v>
      </c>
      <c r="B1596" s="113" t="s">
        <v>1448</v>
      </c>
      <c r="C1596" s="113" t="s">
        <v>1449</v>
      </c>
      <c r="D1596" s="113">
        <v>2003</v>
      </c>
      <c r="E1596" s="113">
        <v>1990</v>
      </c>
      <c r="F1596" s="113" t="s">
        <v>1450</v>
      </c>
      <c r="G1596" s="113" t="s">
        <v>1481</v>
      </c>
      <c r="H1596" s="113">
        <v>50.29</v>
      </c>
      <c r="I1596" s="113">
        <v>-107.8</v>
      </c>
      <c r="J1596" s="113">
        <v>757</v>
      </c>
      <c r="P1596" s="114" t="s">
        <v>188</v>
      </c>
      <c r="Q1596" s="114" t="s">
        <v>1447</v>
      </c>
      <c r="R1596" s="114" t="s">
        <v>1455</v>
      </c>
      <c r="S1596" s="114" t="s">
        <v>904</v>
      </c>
      <c r="T1596" s="113">
        <v>1.61</v>
      </c>
      <c r="W1596" s="113" t="s">
        <v>182</v>
      </c>
      <c r="AA1596" s="113" t="s">
        <v>1722</v>
      </c>
      <c r="AB1596" s="113" t="s">
        <v>777</v>
      </c>
      <c r="AC1596" s="113" t="s">
        <v>156</v>
      </c>
      <c r="AD1596" s="113" t="s">
        <v>1439</v>
      </c>
      <c r="AE1596" s="113" t="s">
        <v>1439</v>
      </c>
      <c r="AF1596" s="113" t="s">
        <v>252</v>
      </c>
      <c r="AJ1596" s="113" t="s">
        <v>1453</v>
      </c>
      <c r="AK1596" s="113" t="s">
        <v>1454</v>
      </c>
      <c r="AL1596" s="113" t="s">
        <v>693</v>
      </c>
      <c r="AM1596" s="113" t="s">
        <v>1452</v>
      </c>
      <c r="AN1596" s="113">
        <v>3</v>
      </c>
      <c r="AO1596" s="113">
        <v>3</v>
      </c>
      <c r="AP1596" s="113" t="s">
        <v>184</v>
      </c>
      <c r="AU1596" s="113" t="s">
        <v>1456</v>
      </c>
      <c r="BH1596" s="113">
        <f>(1000000/(100*100*0.3*1.61*1000))*37.6</f>
        <v>7.7846790890269162</v>
      </c>
      <c r="BI1596" s="113">
        <f>(1000000/(100*100*0.3*1.61*1000))*30.6</f>
        <v>6.3354037267080754</v>
      </c>
      <c r="BJ1596" s="113" t="s">
        <v>1466</v>
      </c>
      <c r="EL1596" s="113" t="s">
        <v>1460</v>
      </c>
      <c r="EN1596" s="113">
        <v>73</v>
      </c>
    </row>
    <row r="1597" spans="1:144" s="113" customFormat="1" x14ac:dyDescent="0.25">
      <c r="A1597" s="113">
        <v>73</v>
      </c>
      <c r="B1597" s="113" t="s">
        <v>1448</v>
      </c>
      <c r="C1597" s="113" t="s">
        <v>1449</v>
      </c>
      <c r="D1597" s="113">
        <v>2003</v>
      </c>
      <c r="E1597" s="113">
        <v>1991</v>
      </c>
      <c r="F1597" s="113" t="s">
        <v>1450</v>
      </c>
      <c r="G1597" s="113" t="s">
        <v>1481</v>
      </c>
      <c r="H1597" s="113">
        <v>50.29</v>
      </c>
      <c r="I1597" s="113">
        <v>-107.8</v>
      </c>
      <c r="J1597" s="113">
        <v>757</v>
      </c>
      <c r="P1597" s="114" t="s">
        <v>189</v>
      </c>
      <c r="Q1597" s="114" t="s">
        <v>1447</v>
      </c>
      <c r="R1597" s="114" t="s">
        <v>1455</v>
      </c>
      <c r="S1597" s="114" t="s">
        <v>904</v>
      </c>
      <c r="T1597" s="113">
        <v>1.61</v>
      </c>
      <c r="W1597" s="113" t="s">
        <v>182</v>
      </c>
      <c r="AA1597" s="113" t="s">
        <v>1722</v>
      </c>
      <c r="AB1597" s="113" t="s">
        <v>777</v>
      </c>
      <c r="AC1597" s="113" t="s">
        <v>156</v>
      </c>
      <c r="AD1597" s="113" t="s">
        <v>1439</v>
      </c>
      <c r="AE1597" s="113" t="s">
        <v>1439</v>
      </c>
      <c r="AF1597" s="113" t="s">
        <v>252</v>
      </c>
      <c r="AJ1597" s="113" t="s">
        <v>1453</v>
      </c>
      <c r="AK1597" s="113" t="s">
        <v>1454</v>
      </c>
      <c r="AL1597" s="113" t="s">
        <v>693</v>
      </c>
      <c r="AM1597" s="113" t="s">
        <v>1452</v>
      </c>
      <c r="AN1597" s="113">
        <v>3</v>
      </c>
      <c r="AO1597" s="113">
        <v>3</v>
      </c>
      <c r="AP1597" s="113" t="s">
        <v>184</v>
      </c>
      <c r="AU1597" s="113" t="s">
        <v>1456</v>
      </c>
      <c r="BH1597" s="113">
        <f>(1000000/(100*100*0.3*1.61*1000))*33.6</f>
        <v>6.9565217391304355</v>
      </c>
      <c r="BI1597" s="113">
        <f>(1000000/(100*100*0.3*1.61*1000))*50</f>
        <v>10.351966873706004</v>
      </c>
      <c r="BJ1597" s="113" t="s">
        <v>1466</v>
      </c>
      <c r="EL1597" s="113" t="s">
        <v>1460</v>
      </c>
      <c r="EN1597" s="113">
        <v>73</v>
      </c>
    </row>
    <row r="1598" spans="1:144" s="113" customFormat="1" x14ac:dyDescent="0.25">
      <c r="A1598" s="113">
        <v>73</v>
      </c>
      <c r="B1598" s="113" t="s">
        <v>1448</v>
      </c>
      <c r="C1598" s="113" t="s">
        <v>1449</v>
      </c>
      <c r="D1598" s="113">
        <v>2003</v>
      </c>
      <c r="E1598" s="113">
        <v>1992</v>
      </c>
      <c r="F1598" s="113" t="s">
        <v>1450</v>
      </c>
      <c r="G1598" s="113" t="s">
        <v>1481</v>
      </c>
      <c r="H1598" s="113">
        <v>50.29</v>
      </c>
      <c r="I1598" s="113">
        <v>-107.8</v>
      </c>
      <c r="J1598" s="113">
        <v>757</v>
      </c>
      <c r="P1598" s="114" t="s">
        <v>190</v>
      </c>
      <c r="Q1598" s="114" t="s">
        <v>1447</v>
      </c>
      <c r="R1598" s="114" t="s">
        <v>1455</v>
      </c>
      <c r="S1598" s="114" t="s">
        <v>904</v>
      </c>
      <c r="T1598" s="113">
        <v>1.61</v>
      </c>
      <c r="W1598" s="113" t="s">
        <v>182</v>
      </c>
      <c r="AA1598" s="113" t="s">
        <v>1722</v>
      </c>
      <c r="AB1598" s="113" t="s">
        <v>777</v>
      </c>
      <c r="AC1598" s="113" t="s">
        <v>156</v>
      </c>
      <c r="AD1598" s="113" t="s">
        <v>1439</v>
      </c>
      <c r="AE1598" s="113" t="s">
        <v>1439</v>
      </c>
      <c r="AF1598" s="113" t="s">
        <v>252</v>
      </c>
      <c r="AJ1598" s="113" t="s">
        <v>1453</v>
      </c>
      <c r="AK1598" s="113" t="s">
        <v>1454</v>
      </c>
      <c r="AL1598" s="113" t="s">
        <v>693</v>
      </c>
      <c r="AM1598" s="113" t="s">
        <v>1452</v>
      </c>
      <c r="AN1598" s="113">
        <v>3</v>
      </c>
      <c r="AO1598" s="113">
        <v>3</v>
      </c>
      <c r="AP1598" s="113" t="s">
        <v>184</v>
      </c>
      <c r="AU1598" s="113" t="s">
        <v>1456</v>
      </c>
      <c r="BH1598" s="113">
        <f>(1000000/(100*100*0.3*1.61*1000))*13.4</f>
        <v>2.7743271221532093</v>
      </c>
      <c r="BI1598" s="113">
        <f>(1000000/(100*100*0.3*1.61*1000))*17.6</f>
        <v>3.643892339544514</v>
      </c>
      <c r="BJ1598" s="113" t="s">
        <v>1466</v>
      </c>
      <c r="EL1598" s="113" t="s">
        <v>1460</v>
      </c>
      <c r="EN1598" s="113">
        <v>73</v>
      </c>
    </row>
    <row r="1599" spans="1:144" s="113" customFormat="1" x14ac:dyDescent="0.25">
      <c r="A1599" s="113">
        <v>73</v>
      </c>
      <c r="B1599" s="113" t="s">
        <v>1448</v>
      </c>
      <c r="C1599" s="113" t="s">
        <v>1449</v>
      </c>
      <c r="D1599" s="113">
        <v>2003</v>
      </c>
      <c r="E1599" s="113">
        <v>1993</v>
      </c>
      <c r="F1599" s="113" t="s">
        <v>1450</v>
      </c>
      <c r="G1599" s="113" t="s">
        <v>1481</v>
      </c>
      <c r="H1599" s="113">
        <v>50.29</v>
      </c>
      <c r="I1599" s="113">
        <v>-107.8</v>
      </c>
      <c r="J1599" s="113">
        <v>757</v>
      </c>
      <c r="P1599" s="114" t="s">
        <v>207</v>
      </c>
      <c r="Q1599" s="114" t="s">
        <v>1447</v>
      </c>
      <c r="R1599" s="114" t="s">
        <v>1455</v>
      </c>
      <c r="S1599" s="114" t="s">
        <v>904</v>
      </c>
      <c r="T1599" s="113">
        <v>1.61</v>
      </c>
      <c r="W1599" s="113" t="s">
        <v>182</v>
      </c>
      <c r="AA1599" s="113" t="s">
        <v>1722</v>
      </c>
      <c r="AB1599" s="113" t="s">
        <v>777</v>
      </c>
      <c r="AC1599" s="113" t="s">
        <v>156</v>
      </c>
      <c r="AD1599" s="113" t="s">
        <v>1439</v>
      </c>
      <c r="AE1599" s="113" t="s">
        <v>1439</v>
      </c>
      <c r="AF1599" s="113" t="s">
        <v>252</v>
      </c>
      <c r="AJ1599" s="113" t="s">
        <v>1453</v>
      </c>
      <c r="AK1599" s="113" t="s">
        <v>1454</v>
      </c>
      <c r="AL1599" s="113" t="s">
        <v>693</v>
      </c>
      <c r="AM1599" s="113" t="s">
        <v>1452</v>
      </c>
      <c r="AN1599" s="113">
        <v>3</v>
      </c>
      <c r="AO1599" s="113">
        <v>3</v>
      </c>
      <c r="AP1599" s="113" t="s">
        <v>184</v>
      </c>
      <c r="AU1599" s="113" t="s">
        <v>1456</v>
      </c>
      <c r="BH1599" s="113">
        <f>(1000000/(100*100*0.3*1.61*1000))*15.2</f>
        <v>3.1469979296066253</v>
      </c>
      <c r="BI1599" s="113">
        <f>(1000000/(100*100*0.3*1.61*1000))*11.3</f>
        <v>2.3395445134575574</v>
      </c>
      <c r="BJ1599" s="113" t="s">
        <v>1466</v>
      </c>
      <c r="EL1599" s="113" t="s">
        <v>1460</v>
      </c>
      <c r="EN1599" s="113">
        <v>73</v>
      </c>
    </row>
    <row r="1600" spans="1:144" s="113" customFormat="1" x14ac:dyDescent="0.25">
      <c r="A1600" s="113">
        <v>73</v>
      </c>
      <c r="B1600" s="113" t="s">
        <v>1448</v>
      </c>
      <c r="C1600" s="113" t="s">
        <v>1449</v>
      </c>
      <c r="D1600" s="113">
        <v>2003</v>
      </c>
      <c r="E1600" s="113">
        <v>1994</v>
      </c>
      <c r="F1600" s="113" t="s">
        <v>1450</v>
      </c>
      <c r="G1600" s="113" t="s">
        <v>1481</v>
      </c>
      <c r="H1600" s="113">
        <v>50.29</v>
      </c>
      <c r="I1600" s="113">
        <v>-107.8</v>
      </c>
      <c r="J1600" s="113">
        <v>757</v>
      </c>
      <c r="P1600" s="114" t="s">
        <v>1125</v>
      </c>
      <c r="Q1600" s="114" t="s">
        <v>1447</v>
      </c>
      <c r="R1600" s="114" t="s">
        <v>1455</v>
      </c>
      <c r="S1600" s="114" t="s">
        <v>904</v>
      </c>
      <c r="T1600" s="113">
        <v>1.61</v>
      </c>
      <c r="W1600" s="113" t="s">
        <v>182</v>
      </c>
      <c r="AA1600" s="113" t="s">
        <v>1722</v>
      </c>
      <c r="AB1600" s="113" t="s">
        <v>777</v>
      </c>
      <c r="AC1600" s="113" t="s">
        <v>156</v>
      </c>
      <c r="AD1600" s="113" t="s">
        <v>1439</v>
      </c>
      <c r="AE1600" s="113" t="s">
        <v>1439</v>
      </c>
      <c r="AF1600" s="113" t="s">
        <v>252</v>
      </c>
      <c r="AJ1600" s="113" t="s">
        <v>1453</v>
      </c>
      <c r="AK1600" s="113" t="s">
        <v>1454</v>
      </c>
      <c r="AL1600" s="113" t="s">
        <v>693</v>
      </c>
      <c r="AM1600" s="113" t="s">
        <v>1452</v>
      </c>
      <c r="AN1600" s="113">
        <v>3</v>
      </c>
      <c r="AO1600" s="113">
        <v>3</v>
      </c>
      <c r="AP1600" s="113" t="s">
        <v>184</v>
      </c>
      <c r="AU1600" s="113" t="s">
        <v>1456</v>
      </c>
      <c r="BH1600" s="113">
        <f>(1000000/(100*100*0.3*1.61*1000))*7.7</f>
        <v>1.5942028985507248</v>
      </c>
      <c r="BI1600" s="113">
        <f>(1000000/(100*100*0.3*1.61*1000))*10.7</f>
        <v>2.2153209109730847</v>
      </c>
      <c r="BJ1600" s="113" t="s">
        <v>1466</v>
      </c>
      <c r="EL1600" s="113" t="s">
        <v>1460</v>
      </c>
      <c r="EN1600" s="113">
        <v>73</v>
      </c>
    </row>
    <row r="1601" spans="1:144" s="113" customFormat="1" x14ac:dyDescent="0.25">
      <c r="A1601" s="113">
        <v>73</v>
      </c>
      <c r="B1601" s="113" t="s">
        <v>1448</v>
      </c>
      <c r="C1601" s="113" t="s">
        <v>1449</v>
      </c>
      <c r="D1601" s="113">
        <v>2003</v>
      </c>
      <c r="E1601" s="113">
        <v>1995</v>
      </c>
      <c r="F1601" s="113" t="s">
        <v>1450</v>
      </c>
      <c r="G1601" s="113" t="s">
        <v>1481</v>
      </c>
      <c r="H1601" s="113">
        <v>50.29</v>
      </c>
      <c r="I1601" s="113">
        <v>-107.8</v>
      </c>
      <c r="J1601" s="113">
        <v>757</v>
      </c>
      <c r="P1601" s="114" t="s">
        <v>1126</v>
      </c>
      <c r="Q1601" s="114" t="s">
        <v>1447</v>
      </c>
      <c r="R1601" s="114" t="s">
        <v>1455</v>
      </c>
      <c r="S1601" s="114" t="s">
        <v>904</v>
      </c>
      <c r="T1601" s="113">
        <v>1.61</v>
      </c>
      <c r="W1601" s="113" t="s">
        <v>182</v>
      </c>
      <c r="AA1601" s="113" t="s">
        <v>1722</v>
      </c>
      <c r="AB1601" s="113" t="s">
        <v>777</v>
      </c>
      <c r="AC1601" s="113" t="s">
        <v>156</v>
      </c>
      <c r="AD1601" s="113" t="s">
        <v>1439</v>
      </c>
      <c r="AE1601" s="113" t="s">
        <v>1439</v>
      </c>
      <c r="AF1601" s="113" t="s">
        <v>252</v>
      </c>
      <c r="AJ1601" s="113" t="s">
        <v>1453</v>
      </c>
      <c r="AK1601" s="113" t="s">
        <v>1454</v>
      </c>
      <c r="AL1601" s="113" t="s">
        <v>693</v>
      </c>
      <c r="AM1601" s="113" t="s">
        <v>1452</v>
      </c>
      <c r="AN1601" s="113">
        <v>3</v>
      </c>
      <c r="AO1601" s="113">
        <v>3</v>
      </c>
      <c r="AP1601" s="113" t="s">
        <v>184</v>
      </c>
      <c r="AU1601" s="113" t="s">
        <v>1456</v>
      </c>
      <c r="BH1601" s="113">
        <f>(1000000/(100*100*0.3*1.61*1000))*7.3</f>
        <v>1.5113871635610767</v>
      </c>
      <c r="BI1601" s="113">
        <f>(1000000/(100*100*0.3*1.61*1000))*8.8</f>
        <v>1.821946169772257</v>
      </c>
      <c r="BJ1601" s="113" t="s">
        <v>1466</v>
      </c>
      <c r="EL1601" s="113" t="s">
        <v>1460</v>
      </c>
      <c r="EN1601" s="113">
        <v>73</v>
      </c>
    </row>
    <row r="1602" spans="1:144" s="113" customFormat="1" x14ac:dyDescent="0.25">
      <c r="A1602" s="113">
        <v>73</v>
      </c>
      <c r="B1602" s="113" t="s">
        <v>1448</v>
      </c>
      <c r="C1602" s="113" t="s">
        <v>1449</v>
      </c>
      <c r="D1602" s="113">
        <v>2003</v>
      </c>
      <c r="E1602" s="113">
        <v>1996</v>
      </c>
      <c r="F1602" s="113" t="s">
        <v>1450</v>
      </c>
      <c r="G1602" s="113" t="s">
        <v>1481</v>
      </c>
      <c r="H1602" s="113">
        <v>50.29</v>
      </c>
      <c r="I1602" s="113">
        <v>-107.8</v>
      </c>
      <c r="J1602" s="113">
        <v>757</v>
      </c>
      <c r="P1602" s="114" t="s">
        <v>1127</v>
      </c>
      <c r="Q1602" s="114" t="s">
        <v>1447</v>
      </c>
      <c r="R1602" s="114" t="s">
        <v>1455</v>
      </c>
      <c r="S1602" s="114" t="s">
        <v>904</v>
      </c>
      <c r="T1602" s="113">
        <v>1.61</v>
      </c>
      <c r="W1602" s="113" t="s">
        <v>182</v>
      </c>
      <c r="AA1602" s="113" t="s">
        <v>1722</v>
      </c>
      <c r="AB1602" s="113" t="s">
        <v>777</v>
      </c>
      <c r="AC1602" s="113" t="s">
        <v>156</v>
      </c>
      <c r="AD1602" s="113" t="s">
        <v>1439</v>
      </c>
      <c r="AE1602" s="113" t="s">
        <v>1439</v>
      </c>
      <c r="AF1602" s="113" t="s">
        <v>252</v>
      </c>
      <c r="AJ1602" s="113" t="s">
        <v>1453</v>
      </c>
      <c r="AK1602" s="113" t="s">
        <v>1454</v>
      </c>
      <c r="AL1602" s="113" t="s">
        <v>693</v>
      </c>
      <c r="AM1602" s="113" t="s">
        <v>1452</v>
      </c>
      <c r="AN1602" s="113">
        <v>3</v>
      </c>
      <c r="AO1602" s="113">
        <v>3</v>
      </c>
      <c r="AP1602" s="113" t="s">
        <v>184</v>
      </c>
      <c r="AU1602" s="113" t="s">
        <v>1456</v>
      </c>
      <c r="BH1602" s="113">
        <f>(1000000/(100*100*0.3*1.61*1000))*11.3</f>
        <v>2.3395445134575574</v>
      </c>
      <c r="BI1602" s="113">
        <f>(1000000/(100*100*0.3*1.61*1000))*11.4</f>
        <v>2.360248447204969</v>
      </c>
      <c r="BJ1602" s="113" t="s">
        <v>1466</v>
      </c>
      <c r="EL1602" s="113" t="s">
        <v>1460</v>
      </c>
      <c r="EN1602" s="113">
        <v>73</v>
      </c>
    </row>
    <row r="1603" spans="1:144" s="113" customFormat="1" x14ac:dyDescent="0.25">
      <c r="A1603" s="113">
        <v>73</v>
      </c>
      <c r="B1603" s="113" t="s">
        <v>1448</v>
      </c>
      <c r="C1603" s="113" t="s">
        <v>1449</v>
      </c>
      <c r="D1603" s="113">
        <v>2003</v>
      </c>
      <c r="E1603" s="113">
        <v>1997</v>
      </c>
      <c r="F1603" s="113" t="s">
        <v>1450</v>
      </c>
      <c r="G1603" s="113" t="s">
        <v>1481</v>
      </c>
      <c r="H1603" s="113">
        <v>50.29</v>
      </c>
      <c r="I1603" s="113">
        <v>-107.8</v>
      </c>
      <c r="J1603" s="113">
        <v>757</v>
      </c>
      <c r="P1603" s="114" t="s">
        <v>1352</v>
      </c>
      <c r="Q1603" s="114" t="s">
        <v>1447</v>
      </c>
      <c r="R1603" s="114" t="s">
        <v>1455</v>
      </c>
      <c r="S1603" s="114" t="s">
        <v>904</v>
      </c>
      <c r="T1603" s="113">
        <v>1.61</v>
      </c>
      <c r="W1603" s="113" t="s">
        <v>182</v>
      </c>
      <c r="AA1603" s="113" t="s">
        <v>1722</v>
      </c>
      <c r="AB1603" s="113" t="s">
        <v>777</v>
      </c>
      <c r="AC1603" s="113" t="s">
        <v>156</v>
      </c>
      <c r="AD1603" s="113" t="s">
        <v>1439</v>
      </c>
      <c r="AE1603" s="113" t="s">
        <v>1439</v>
      </c>
      <c r="AF1603" s="113" t="s">
        <v>252</v>
      </c>
      <c r="AJ1603" s="113" t="s">
        <v>1453</v>
      </c>
      <c r="AK1603" s="113" t="s">
        <v>1454</v>
      </c>
      <c r="AL1603" s="113" t="s">
        <v>693</v>
      </c>
      <c r="AM1603" s="113" t="s">
        <v>1452</v>
      </c>
      <c r="AN1603" s="113">
        <v>3</v>
      </c>
      <c r="AO1603" s="113">
        <v>3</v>
      </c>
      <c r="AP1603" s="113" t="s">
        <v>184</v>
      </c>
      <c r="AU1603" s="113" t="s">
        <v>1456</v>
      </c>
      <c r="BH1603" s="113">
        <f>(1000000/(100*100*0.3*1.61*1000))*13.9</f>
        <v>2.8778467908902692</v>
      </c>
      <c r="BI1603" s="113">
        <f>(1000000/(100*100*0.3*1.61*1000))*10.4</f>
        <v>2.1532091097308492</v>
      </c>
      <c r="BJ1603" s="113" t="s">
        <v>1466</v>
      </c>
      <c r="EL1603" s="113" t="s">
        <v>1460</v>
      </c>
      <c r="EN1603" s="113">
        <v>73</v>
      </c>
    </row>
    <row r="1604" spans="1:144" s="113" customFormat="1" x14ac:dyDescent="0.25">
      <c r="A1604" s="113">
        <v>73</v>
      </c>
      <c r="B1604" s="113" t="s">
        <v>1448</v>
      </c>
      <c r="C1604" s="113" t="s">
        <v>1449</v>
      </c>
      <c r="D1604" s="113">
        <v>2003</v>
      </c>
      <c r="E1604" s="113">
        <v>1998</v>
      </c>
      <c r="F1604" s="113" t="s">
        <v>1450</v>
      </c>
      <c r="G1604" s="113" t="s">
        <v>1481</v>
      </c>
      <c r="H1604" s="113">
        <v>50.29</v>
      </c>
      <c r="I1604" s="113">
        <v>-107.8</v>
      </c>
      <c r="J1604" s="113">
        <v>757</v>
      </c>
      <c r="P1604" s="114" t="s">
        <v>1128</v>
      </c>
      <c r="Q1604" s="114" t="s">
        <v>1447</v>
      </c>
      <c r="R1604" s="114" t="s">
        <v>1455</v>
      </c>
      <c r="S1604" s="114" t="s">
        <v>904</v>
      </c>
      <c r="T1604" s="113">
        <v>1.61</v>
      </c>
      <c r="W1604" s="113" t="s">
        <v>182</v>
      </c>
      <c r="AA1604" s="113" t="s">
        <v>1722</v>
      </c>
      <c r="AB1604" s="113" t="s">
        <v>777</v>
      </c>
      <c r="AC1604" s="113" t="s">
        <v>156</v>
      </c>
      <c r="AD1604" s="113" t="s">
        <v>1439</v>
      </c>
      <c r="AE1604" s="113" t="s">
        <v>1439</v>
      </c>
      <c r="AF1604" s="113" t="s">
        <v>252</v>
      </c>
      <c r="AJ1604" s="113" t="s">
        <v>1453</v>
      </c>
      <c r="AK1604" s="113" t="s">
        <v>1454</v>
      </c>
      <c r="AL1604" s="113" t="s">
        <v>693</v>
      </c>
      <c r="AM1604" s="113" t="s">
        <v>1452</v>
      </c>
      <c r="AN1604" s="113">
        <v>3</v>
      </c>
      <c r="AO1604" s="113">
        <v>3</v>
      </c>
      <c r="AP1604" s="113" t="s">
        <v>184</v>
      </c>
      <c r="AU1604" s="113" t="s">
        <v>1456</v>
      </c>
      <c r="BH1604" s="113">
        <f>(1000000/(100*100*0.3*1.61*1000))*15.4</f>
        <v>3.1884057971014497</v>
      </c>
      <c r="BI1604" s="113">
        <f>(1000000/(100*100*0.3*1.61*1000))*11.3</f>
        <v>2.3395445134575574</v>
      </c>
      <c r="BJ1604" s="113" t="s">
        <v>1466</v>
      </c>
      <c r="EL1604" s="113" t="s">
        <v>1460</v>
      </c>
      <c r="EN1604" s="113">
        <v>73</v>
      </c>
    </row>
    <row r="1605" spans="1:144" s="113" customFormat="1" x14ac:dyDescent="0.25">
      <c r="A1605" s="113">
        <v>73</v>
      </c>
      <c r="B1605" s="113" t="s">
        <v>1448</v>
      </c>
      <c r="C1605" s="113" t="s">
        <v>1449</v>
      </c>
      <c r="D1605" s="113">
        <v>2003</v>
      </c>
      <c r="E1605" s="113">
        <v>1999</v>
      </c>
      <c r="F1605" s="113" t="s">
        <v>1450</v>
      </c>
      <c r="G1605" s="113" t="s">
        <v>1481</v>
      </c>
      <c r="H1605" s="113">
        <v>50.29</v>
      </c>
      <c r="I1605" s="113">
        <v>-107.8</v>
      </c>
      <c r="J1605" s="113">
        <v>757</v>
      </c>
      <c r="P1605" s="114" t="s">
        <v>1129</v>
      </c>
      <c r="Q1605" s="114" t="s">
        <v>1447</v>
      </c>
      <c r="R1605" s="114" t="s">
        <v>1455</v>
      </c>
      <c r="S1605" s="114" t="s">
        <v>904</v>
      </c>
      <c r="T1605" s="113">
        <v>1.61</v>
      </c>
      <c r="W1605" s="113" t="s">
        <v>182</v>
      </c>
      <c r="AA1605" s="113" t="s">
        <v>1722</v>
      </c>
      <c r="AB1605" s="113" t="s">
        <v>777</v>
      </c>
      <c r="AC1605" s="113" t="s">
        <v>156</v>
      </c>
      <c r="AD1605" s="113" t="s">
        <v>1439</v>
      </c>
      <c r="AE1605" s="113" t="s">
        <v>1439</v>
      </c>
      <c r="AF1605" s="113" t="s">
        <v>252</v>
      </c>
      <c r="AJ1605" s="113" t="s">
        <v>1453</v>
      </c>
      <c r="AK1605" s="113" t="s">
        <v>1454</v>
      </c>
      <c r="AL1605" s="113" t="s">
        <v>693</v>
      </c>
      <c r="AM1605" s="113" t="s">
        <v>1452</v>
      </c>
      <c r="AN1605" s="113">
        <v>3</v>
      </c>
      <c r="AO1605" s="113">
        <v>3</v>
      </c>
      <c r="AP1605" s="113" t="s">
        <v>184</v>
      </c>
      <c r="AU1605" s="113" t="s">
        <v>1456</v>
      </c>
      <c r="BH1605" s="113">
        <f>(1000000/(100*100*0.3*1.61*1000))*11.3</f>
        <v>2.3395445134575574</v>
      </c>
      <c r="BI1605" s="113">
        <f>(1000000/(100*100*0.3*1.61*1000))*12</f>
        <v>2.4844720496894412</v>
      </c>
      <c r="BJ1605" s="113" t="s">
        <v>1466</v>
      </c>
      <c r="EL1605" s="113" t="s">
        <v>1460</v>
      </c>
      <c r="EN1605" s="113">
        <v>73</v>
      </c>
    </row>
    <row r="1606" spans="1:144" s="115" customFormat="1" x14ac:dyDescent="0.25">
      <c r="A1606" s="115">
        <v>73</v>
      </c>
      <c r="B1606" s="115" t="s">
        <v>1448</v>
      </c>
      <c r="C1606" s="115" t="s">
        <v>1449</v>
      </c>
      <c r="D1606" s="115">
        <v>2003</v>
      </c>
      <c r="E1606" s="115">
        <v>1988</v>
      </c>
      <c r="F1606" s="115" t="s">
        <v>1450</v>
      </c>
      <c r="G1606" s="115" t="s">
        <v>1481</v>
      </c>
      <c r="H1606" s="115">
        <v>50.29</v>
      </c>
      <c r="I1606" s="115">
        <v>-107.8</v>
      </c>
      <c r="J1606" s="115">
        <v>757</v>
      </c>
      <c r="P1606" s="116" t="s">
        <v>186</v>
      </c>
      <c r="Q1606" s="116" t="s">
        <v>1447</v>
      </c>
      <c r="R1606" s="116" t="s">
        <v>1455</v>
      </c>
      <c r="S1606" s="116" t="s">
        <v>1467</v>
      </c>
      <c r="T1606" s="115">
        <v>1.69</v>
      </c>
      <c r="W1606" s="115" t="s">
        <v>182</v>
      </c>
      <c r="AA1606" s="115" t="s">
        <v>1722</v>
      </c>
      <c r="AB1606" s="115" t="s">
        <v>777</v>
      </c>
      <c r="AC1606" s="115" t="s">
        <v>156</v>
      </c>
      <c r="AD1606" s="115" t="s">
        <v>1439</v>
      </c>
      <c r="AE1606" s="115" t="s">
        <v>1439</v>
      </c>
      <c r="AF1606" s="115" t="s">
        <v>252</v>
      </c>
      <c r="AJ1606" s="115" t="s">
        <v>1453</v>
      </c>
      <c r="AK1606" s="115" t="s">
        <v>1454</v>
      </c>
      <c r="AL1606" s="115" t="s">
        <v>693</v>
      </c>
      <c r="AM1606" s="115" t="s">
        <v>1452</v>
      </c>
      <c r="AN1606" s="115">
        <v>3</v>
      </c>
      <c r="AO1606" s="115">
        <v>3</v>
      </c>
      <c r="AP1606" s="115" t="s">
        <v>184</v>
      </c>
      <c r="AU1606" s="115" t="s">
        <v>1456</v>
      </c>
      <c r="BH1606" s="115">
        <f>(1000000/(100*100*0.3*1.69*1000))*22.4</f>
        <v>4.4181459566074945</v>
      </c>
      <c r="BI1606" s="115">
        <f>(1000000/(100*100*0.3*1.69*1000))*22.9</f>
        <v>4.5167652859960548</v>
      </c>
      <c r="BJ1606" s="115" t="s">
        <v>1466</v>
      </c>
      <c r="EL1606" s="115" t="s">
        <v>1460</v>
      </c>
      <c r="EN1606" s="115">
        <v>73</v>
      </c>
    </row>
    <row r="1607" spans="1:144" s="115" customFormat="1" x14ac:dyDescent="0.25">
      <c r="A1607" s="115">
        <v>73</v>
      </c>
      <c r="B1607" s="115" t="s">
        <v>1448</v>
      </c>
      <c r="C1607" s="115" t="s">
        <v>1449</v>
      </c>
      <c r="D1607" s="115">
        <v>2003</v>
      </c>
      <c r="E1607" s="115">
        <v>1989</v>
      </c>
      <c r="F1607" s="115" t="s">
        <v>1450</v>
      </c>
      <c r="G1607" s="115" t="s">
        <v>1481</v>
      </c>
      <c r="H1607" s="115">
        <v>50.29</v>
      </c>
      <c r="I1607" s="115">
        <v>-107.8</v>
      </c>
      <c r="J1607" s="115">
        <v>757</v>
      </c>
      <c r="P1607" s="116" t="s">
        <v>187</v>
      </c>
      <c r="Q1607" s="116" t="s">
        <v>1447</v>
      </c>
      <c r="R1607" s="116" t="s">
        <v>1455</v>
      </c>
      <c r="S1607" s="116" t="s">
        <v>1467</v>
      </c>
      <c r="T1607" s="115">
        <v>1.69</v>
      </c>
      <c r="W1607" s="115" t="s">
        <v>182</v>
      </c>
      <c r="AA1607" s="115" t="s">
        <v>1722</v>
      </c>
      <c r="AB1607" s="115" t="s">
        <v>777</v>
      </c>
      <c r="AC1607" s="115" t="s">
        <v>156</v>
      </c>
      <c r="AD1607" s="115" t="s">
        <v>1439</v>
      </c>
      <c r="AE1607" s="115" t="s">
        <v>1439</v>
      </c>
      <c r="AF1607" s="115" t="s">
        <v>252</v>
      </c>
      <c r="AJ1607" s="115" t="s">
        <v>1453</v>
      </c>
      <c r="AK1607" s="115" t="s">
        <v>1454</v>
      </c>
      <c r="AL1607" s="115" t="s">
        <v>693</v>
      </c>
      <c r="AM1607" s="115" t="s">
        <v>1452</v>
      </c>
      <c r="AN1607" s="115">
        <v>3</v>
      </c>
      <c r="AO1607" s="115">
        <v>3</v>
      </c>
      <c r="AP1607" s="115" t="s">
        <v>184</v>
      </c>
      <c r="AU1607" s="115" t="s">
        <v>1456</v>
      </c>
      <c r="BH1607" s="115">
        <f>(1000000/(100*100*0.3*1.69*1000))*26.3</f>
        <v>5.1873767258382646</v>
      </c>
      <c r="BI1607" s="115">
        <f>(1000000/(100*100*0.3*1.69*1000))*34.3</f>
        <v>6.7652859960552263</v>
      </c>
      <c r="BJ1607" s="115" t="s">
        <v>1466</v>
      </c>
      <c r="EL1607" s="115" t="s">
        <v>1460</v>
      </c>
      <c r="EN1607" s="115">
        <v>73</v>
      </c>
    </row>
    <row r="1608" spans="1:144" s="115" customFormat="1" x14ac:dyDescent="0.25">
      <c r="A1608" s="115">
        <v>73</v>
      </c>
      <c r="B1608" s="115" t="s">
        <v>1448</v>
      </c>
      <c r="C1608" s="115" t="s">
        <v>1449</v>
      </c>
      <c r="D1608" s="115">
        <v>2003</v>
      </c>
      <c r="E1608" s="115">
        <v>1990</v>
      </c>
      <c r="F1608" s="115" t="s">
        <v>1450</v>
      </c>
      <c r="G1608" s="115" t="s">
        <v>1481</v>
      </c>
      <c r="H1608" s="115">
        <v>50.29</v>
      </c>
      <c r="I1608" s="115">
        <v>-107.8</v>
      </c>
      <c r="J1608" s="115">
        <v>757</v>
      </c>
      <c r="P1608" s="116" t="s">
        <v>188</v>
      </c>
      <c r="Q1608" s="116" t="s">
        <v>1447</v>
      </c>
      <c r="R1608" s="116" t="s">
        <v>1455</v>
      </c>
      <c r="S1608" s="116" t="s">
        <v>1467</v>
      </c>
      <c r="T1608" s="115">
        <v>1.69</v>
      </c>
      <c r="W1608" s="115" t="s">
        <v>182</v>
      </c>
      <c r="AA1608" s="115" t="s">
        <v>1722</v>
      </c>
      <c r="AB1608" s="115" t="s">
        <v>777</v>
      </c>
      <c r="AC1608" s="115" t="s">
        <v>156</v>
      </c>
      <c r="AD1608" s="115" t="s">
        <v>1439</v>
      </c>
      <c r="AE1608" s="115" t="s">
        <v>1439</v>
      </c>
      <c r="AF1608" s="115" t="s">
        <v>252</v>
      </c>
      <c r="AJ1608" s="115" t="s">
        <v>1453</v>
      </c>
      <c r="AK1608" s="115" t="s">
        <v>1454</v>
      </c>
      <c r="AL1608" s="115" t="s">
        <v>693</v>
      </c>
      <c r="AM1608" s="115" t="s">
        <v>1452</v>
      </c>
      <c r="AN1608" s="115">
        <v>3</v>
      </c>
      <c r="AO1608" s="115">
        <v>3</v>
      </c>
      <c r="AP1608" s="115" t="s">
        <v>184</v>
      </c>
      <c r="AU1608" s="115" t="s">
        <v>1456</v>
      </c>
      <c r="BH1608" s="115">
        <f>(1000000/(100*100*0.3*1.69*1000))*33.5</f>
        <v>6.607495069033531</v>
      </c>
      <c r="BI1608" s="115">
        <f>(1000000/(100*100*0.3*1.69*1000))*34.8</f>
        <v>6.8639053254437865</v>
      </c>
      <c r="BJ1608" s="115" t="s">
        <v>1466</v>
      </c>
      <c r="EL1608" s="115" t="s">
        <v>1460</v>
      </c>
      <c r="EN1608" s="115">
        <v>73</v>
      </c>
    </row>
    <row r="1609" spans="1:144" s="115" customFormat="1" x14ac:dyDescent="0.25">
      <c r="A1609" s="115">
        <v>73</v>
      </c>
      <c r="B1609" s="115" t="s">
        <v>1448</v>
      </c>
      <c r="C1609" s="115" t="s">
        <v>1449</v>
      </c>
      <c r="D1609" s="115">
        <v>2003</v>
      </c>
      <c r="E1609" s="115">
        <v>1991</v>
      </c>
      <c r="F1609" s="115" t="s">
        <v>1450</v>
      </c>
      <c r="G1609" s="115" t="s">
        <v>1481</v>
      </c>
      <c r="H1609" s="115">
        <v>50.29</v>
      </c>
      <c r="I1609" s="115">
        <v>-107.8</v>
      </c>
      <c r="J1609" s="115">
        <v>757</v>
      </c>
      <c r="P1609" s="116" t="s">
        <v>189</v>
      </c>
      <c r="Q1609" s="116" t="s">
        <v>1447</v>
      </c>
      <c r="R1609" s="116" t="s">
        <v>1455</v>
      </c>
      <c r="S1609" s="116" t="s">
        <v>1467</v>
      </c>
      <c r="T1609" s="115">
        <v>1.69</v>
      </c>
      <c r="W1609" s="115" t="s">
        <v>182</v>
      </c>
      <c r="AA1609" s="115" t="s">
        <v>1722</v>
      </c>
      <c r="AB1609" s="115" t="s">
        <v>777</v>
      </c>
      <c r="AC1609" s="115" t="s">
        <v>156</v>
      </c>
      <c r="AD1609" s="115" t="s">
        <v>1439</v>
      </c>
      <c r="AE1609" s="115" t="s">
        <v>1439</v>
      </c>
      <c r="AF1609" s="115" t="s">
        <v>252</v>
      </c>
      <c r="AJ1609" s="115" t="s">
        <v>1453</v>
      </c>
      <c r="AK1609" s="115" t="s">
        <v>1454</v>
      </c>
      <c r="AL1609" s="115" t="s">
        <v>693</v>
      </c>
      <c r="AM1609" s="115" t="s">
        <v>1452</v>
      </c>
      <c r="AN1609" s="115">
        <v>3</v>
      </c>
      <c r="AO1609" s="115">
        <v>3</v>
      </c>
      <c r="AP1609" s="115" t="s">
        <v>184</v>
      </c>
      <c r="AU1609" s="115" t="s">
        <v>1456</v>
      </c>
      <c r="BH1609" s="115">
        <f>(1000000/(100*100*0.3*1.69*1000))*30.8</f>
        <v>6.0749506903353065</v>
      </c>
      <c r="BI1609" s="115">
        <f>(1000000/(100*100*0.3*1.69*1000))*36.4</f>
        <v>7.1794871794871797</v>
      </c>
      <c r="BJ1609" s="115" t="s">
        <v>1466</v>
      </c>
      <c r="EL1609" s="115" t="s">
        <v>1460</v>
      </c>
      <c r="EN1609" s="115">
        <v>73</v>
      </c>
    </row>
    <row r="1610" spans="1:144" s="115" customFormat="1" x14ac:dyDescent="0.25">
      <c r="A1610" s="115">
        <v>73</v>
      </c>
      <c r="B1610" s="115" t="s">
        <v>1448</v>
      </c>
      <c r="C1610" s="115" t="s">
        <v>1449</v>
      </c>
      <c r="D1610" s="115">
        <v>2003</v>
      </c>
      <c r="E1610" s="115">
        <v>1992</v>
      </c>
      <c r="F1610" s="115" t="s">
        <v>1450</v>
      </c>
      <c r="G1610" s="115" t="s">
        <v>1481</v>
      </c>
      <c r="H1610" s="115">
        <v>50.29</v>
      </c>
      <c r="I1610" s="115">
        <v>-107.8</v>
      </c>
      <c r="J1610" s="115">
        <v>757</v>
      </c>
      <c r="P1610" s="116" t="s">
        <v>190</v>
      </c>
      <c r="Q1610" s="116" t="s">
        <v>1447</v>
      </c>
      <c r="R1610" s="116" t="s">
        <v>1455</v>
      </c>
      <c r="S1610" s="116" t="s">
        <v>1467</v>
      </c>
      <c r="T1610" s="115">
        <v>1.69</v>
      </c>
      <c r="W1610" s="115" t="s">
        <v>182</v>
      </c>
      <c r="AA1610" s="115" t="s">
        <v>1722</v>
      </c>
      <c r="AB1610" s="115" t="s">
        <v>777</v>
      </c>
      <c r="AC1610" s="115" t="s">
        <v>156</v>
      </c>
      <c r="AD1610" s="115" t="s">
        <v>1439</v>
      </c>
      <c r="AE1610" s="115" t="s">
        <v>1439</v>
      </c>
      <c r="AF1610" s="115" t="s">
        <v>252</v>
      </c>
      <c r="AJ1610" s="115" t="s">
        <v>1453</v>
      </c>
      <c r="AK1610" s="115" t="s">
        <v>1454</v>
      </c>
      <c r="AL1610" s="115" t="s">
        <v>693</v>
      </c>
      <c r="AM1610" s="115" t="s">
        <v>1452</v>
      </c>
      <c r="AN1610" s="115">
        <v>3</v>
      </c>
      <c r="AO1610" s="115">
        <v>3</v>
      </c>
      <c r="AP1610" s="115" t="s">
        <v>184</v>
      </c>
      <c r="AU1610" s="115" t="s">
        <v>1456</v>
      </c>
      <c r="BH1610" s="115">
        <f>(1000000/(100*100*0.3*1.69*1000))*12.8</f>
        <v>2.5246548323471405</v>
      </c>
      <c r="BI1610" s="115">
        <f>(1000000/(100*100*0.3*1.69*1000))*38</f>
        <v>7.4950690335305721</v>
      </c>
      <c r="BJ1610" s="115" t="s">
        <v>1466</v>
      </c>
      <c r="EL1610" s="115" t="s">
        <v>1460</v>
      </c>
      <c r="EN1610" s="115">
        <v>73</v>
      </c>
    </row>
    <row r="1611" spans="1:144" s="115" customFormat="1" x14ac:dyDescent="0.25">
      <c r="A1611" s="115">
        <v>73</v>
      </c>
      <c r="B1611" s="115" t="s">
        <v>1448</v>
      </c>
      <c r="C1611" s="115" t="s">
        <v>1449</v>
      </c>
      <c r="D1611" s="115">
        <v>2003</v>
      </c>
      <c r="E1611" s="115">
        <v>1993</v>
      </c>
      <c r="F1611" s="115" t="s">
        <v>1450</v>
      </c>
      <c r="G1611" s="115" t="s">
        <v>1481</v>
      </c>
      <c r="H1611" s="115">
        <v>50.29</v>
      </c>
      <c r="I1611" s="115">
        <v>-107.8</v>
      </c>
      <c r="J1611" s="115">
        <v>757</v>
      </c>
      <c r="P1611" s="116" t="s">
        <v>207</v>
      </c>
      <c r="Q1611" s="116" t="s">
        <v>1447</v>
      </c>
      <c r="R1611" s="116" t="s">
        <v>1455</v>
      </c>
      <c r="S1611" s="116" t="s">
        <v>1467</v>
      </c>
      <c r="T1611" s="115">
        <v>1.69</v>
      </c>
      <c r="W1611" s="115" t="s">
        <v>182</v>
      </c>
      <c r="AA1611" s="115" t="s">
        <v>1722</v>
      </c>
      <c r="AB1611" s="115" t="s">
        <v>777</v>
      </c>
      <c r="AC1611" s="115" t="s">
        <v>156</v>
      </c>
      <c r="AD1611" s="115" t="s">
        <v>1439</v>
      </c>
      <c r="AE1611" s="115" t="s">
        <v>1439</v>
      </c>
      <c r="AF1611" s="115" t="s">
        <v>252</v>
      </c>
      <c r="AJ1611" s="115" t="s">
        <v>1453</v>
      </c>
      <c r="AK1611" s="115" t="s">
        <v>1454</v>
      </c>
      <c r="AL1611" s="115" t="s">
        <v>693</v>
      </c>
      <c r="AM1611" s="115" t="s">
        <v>1452</v>
      </c>
      <c r="AN1611" s="115">
        <v>3</v>
      </c>
      <c r="AO1611" s="115">
        <v>3</v>
      </c>
      <c r="AP1611" s="115" t="s">
        <v>184</v>
      </c>
      <c r="AU1611" s="115" t="s">
        <v>1456</v>
      </c>
      <c r="BH1611" s="115">
        <f>(1000000/(100*100*0.3*1.69*1000))*11.7</f>
        <v>2.3076923076923075</v>
      </c>
      <c r="BI1611" s="115">
        <f>(1000000/(100*100*0.3*1.69*1000))*17.6</f>
        <v>3.471400394477318</v>
      </c>
      <c r="BJ1611" s="115" t="s">
        <v>1466</v>
      </c>
      <c r="EL1611" s="115" t="s">
        <v>1460</v>
      </c>
      <c r="EN1611" s="115">
        <v>73</v>
      </c>
    </row>
    <row r="1612" spans="1:144" s="115" customFormat="1" x14ac:dyDescent="0.25">
      <c r="A1612" s="115">
        <v>73</v>
      </c>
      <c r="B1612" s="115" t="s">
        <v>1448</v>
      </c>
      <c r="C1612" s="115" t="s">
        <v>1449</v>
      </c>
      <c r="D1612" s="115">
        <v>2003</v>
      </c>
      <c r="E1612" s="115">
        <v>1994</v>
      </c>
      <c r="F1612" s="115" t="s">
        <v>1450</v>
      </c>
      <c r="G1612" s="115" t="s">
        <v>1481</v>
      </c>
      <c r="H1612" s="115">
        <v>50.29</v>
      </c>
      <c r="I1612" s="115">
        <v>-107.8</v>
      </c>
      <c r="J1612" s="115">
        <v>757</v>
      </c>
      <c r="P1612" s="116" t="s">
        <v>1125</v>
      </c>
      <c r="Q1612" s="116" t="s">
        <v>1447</v>
      </c>
      <c r="R1612" s="116" t="s">
        <v>1455</v>
      </c>
      <c r="S1612" s="116" t="s">
        <v>1467</v>
      </c>
      <c r="T1612" s="115">
        <v>1.69</v>
      </c>
      <c r="W1612" s="115" t="s">
        <v>182</v>
      </c>
      <c r="AA1612" s="115" t="s">
        <v>1722</v>
      </c>
      <c r="AB1612" s="115" t="s">
        <v>777</v>
      </c>
      <c r="AC1612" s="115" t="s">
        <v>156</v>
      </c>
      <c r="AD1612" s="115" t="s">
        <v>1439</v>
      </c>
      <c r="AE1612" s="115" t="s">
        <v>1439</v>
      </c>
      <c r="AF1612" s="115" t="s">
        <v>252</v>
      </c>
      <c r="AJ1612" s="115" t="s">
        <v>1453</v>
      </c>
      <c r="AK1612" s="115" t="s">
        <v>1454</v>
      </c>
      <c r="AL1612" s="115" t="s">
        <v>693</v>
      </c>
      <c r="AM1612" s="115" t="s">
        <v>1452</v>
      </c>
      <c r="AN1612" s="115">
        <v>3</v>
      </c>
      <c r="AO1612" s="115">
        <v>3</v>
      </c>
      <c r="AP1612" s="115" t="s">
        <v>184</v>
      </c>
      <c r="AU1612" s="115" t="s">
        <v>1456</v>
      </c>
      <c r="BH1612" s="115">
        <f>(1000000/(100*100*0.3*1.69*1000))*8.1</f>
        <v>1.5976331360946745</v>
      </c>
      <c r="BI1612" s="115">
        <f>(1000000/(100*100*0.3*1.69*1000))*14.1</f>
        <v>2.7810650887573964</v>
      </c>
      <c r="BJ1612" s="115" t="s">
        <v>1466</v>
      </c>
      <c r="EL1612" s="115" t="s">
        <v>1460</v>
      </c>
      <c r="EN1612" s="115">
        <v>73</v>
      </c>
    </row>
    <row r="1613" spans="1:144" s="115" customFormat="1" x14ac:dyDescent="0.25">
      <c r="A1613" s="115">
        <v>73</v>
      </c>
      <c r="B1613" s="115" t="s">
        <v>1448</v>
      </c>
      <c r="C1613" s="115" t="s">
        <v>1449</v>
      </c>
      <c r="D1613" s="115">
        <v>2003</v>
      </c>
      <c r="E1613" s="115">
        <v>1995</v>
      </c>
      <c r="F1613" s="115" t="s">
        <v>1450</v>
      </c>
      <c r="G1613" s="115" t="s">
        <v>1481</v>
      </c>
      <c r="H1613" s="115">
        <v>50.29</v>
      </c>
      <c r="I1613" s="115">
        <v>-107.8</v>
      </c>
      <c r="J1613" s="115">
        <v>757</v>
      </c>
      <c r="P1613" s="116" t="s">
        <v>1126</v>
      </c>
      <c r="Q1613" s="116" t="s">
        <v>1447</v>
      </c>
      <c r="R1613" s="116" t="s">
        <v>1455</v>
      </c>
      <c r="S1613" s="116" t="s">
        <v>1467</v>
      </c>
      <c r="T1613" s="115">
        <v>1.69</v>
      </c>
      <c r="W1613" s="115" t="s">
        <v>182</v>
      </c>
      <c r="AA1613" s="115" t="s">
        <v>1722</v>
      </c>
      <c r="AB1613" s="115" t="s">
        <v>777</v>
      </c>
      <c r="AC1613" s="115" t="s">
        <v>156</v>
      </c>
      <c r="AD1613" s="115" t="s">
        <v>1439</v>
      </c>
      <c r="AE1613" s="115" t="s">
        <v>1439</v>
      </c>
      <c r="AF1613" s="115" t="s">
        <v>252</v>
      </c>
      <c r="AJ1613" s="115" t="s">
        <v>1453</v>
      </c>
      <c r="AK1613" s="115" t="s">
        <v>1454</v>
      </c>
      <c r="AL1613" s="115" t="s">
        <v>693</v>
      </c>
      <c r="AM1613" s="115" t="s">
        <v>1452</v>
      </c>
      <c r="AN1613" s="115">
        <v>3</v>
      </c>
      <c r="AO1613" s="115">
        <v>3</v>
      </c>
      <c r="AP1613" s="115" t="s">
        <v>184</v>
      </c>
      <c r="AU1613" s="115" t="s">
        <v>1456</v>
      </c>
      <c r="BH1613" s="115">
        <f>(1000000/(100*100*0.3*1.69*1000))*4.6</f>
        <v>0.90729783037475342</v>
      </c>
      <c r="BI1613" s="115">
        <f>(1000000/(100*100*0.3*1.69*1000))*11.2</f>
        <v>2.2090729783037473</v>
      </c>
      <c r="BJ1613" s="115" t="s">
        <v>1466</v>
      </c>
      <c r="EL1613" s="115" t="s">
        <v>1460</v>
      </c>
      <c r="EN1613" s="115">
        <v>73</v>
      </c>
    </row>
    <row r="1614" spans="1:144" s="115" customFormat="1" x14ac:dyDescent="0.25">
      <c r="A1614" s="115">
        <v>73</v>
      </c>
      <c r="B1614" s="115" t="s">
        <v>1448</v>
      </c>
      <c r="C1614" s="115" t="s">
        <v>1449</v>
      </c>
      <c r="D1614" s="115">
        <v>2003</v>
      </c>
      <c r="E1614" s="115">
        <v>1996</v>
      </c>
      <c r="F1614" s="115" t="s">
        <v>1450</v>
      </c>
      <c r="G1614" s="115" t="s">
        <v>1481</v>
      </c>
      <c r="H1614" s="115">
        <v>50.29</v>
      </c>
      <c r="I1614" s="115">
        <v>-107.8</v>
      </c>
      <c r="J1614" s="115">
        <v>757</v>
      </c>
      <c r="P1614" s="116" t="s">
        <v>1127</v>
      </c>
      <c r="Q1614" s="116" t="s">
        <v>1447</v>
      </c>
      <c r="R1614" s="116" t="s">
        <v>1455</v>
      </c>
      <c r="S1614" s="116" t="s">
        <v>1467</v>
      </c>
      <c r="T1614" s="115">
        <v>1.69</v>
      </c>
      <c r="W1614" s="115" t="s">
        <v>182</v>
      </c>
      <c r="AA1614" s="115" t="s">
        <v>1722</v>
      </c>
      <c r="AB1614" s="115" t="s">
        <v>777</v>
      </c>
      <c r="AC1614" s="115" t="s">
        <v>156</v>
      </c>
      <c r="AD1614" s="115" t="s">
        <v>1439</v>
      </c>
      <c r="AE1614" s="115" t="s">
        <v>1439</v>
      </c>
      <c r="AF1614" s="115" t="s">
        <v>252</v>
      </c>
      <c r="AJ1614" s="115" t="s">
        <v>1453</v>
      </c>
      <c r="AK1614" s="115" t="s">
        <v>1454</v>
      </c>
      <c r="AL1614" s="115" t="s">
        <v>693</v>
      </c>
      <c r="AM1614" s="115" t="s">
        <v>1452</v>
      </c>
      <c r="AN1614" s="115">
        <v>3</v>
      </c>
      <c r="AO1614" s="115">
        <v>3</v>
      </c>
      <c r="AP1614" s="115" t="s">
        <v>184</v>
      </c>
      <c r="AU1614" s="115" t="s">
        <v>1456</v>
      </c>
      <c r="BH1614" s="115">
        <f>(1000000/(100*100*0.3*1.69*1000))*7.7</f>
        <v>1.5187376725838266</v>
      </c>
      <c r="BI1614" s="115">
        <f>(1000000/(100*100*0.3*1.69*1000))*17</f>
        <v>3.3530571992110456</v>
      </c>
      <c r="BJ1614" s="115" t="s">
        <v>1466</v>
      </c>
      <c r="EL1614" s="115" t="s">
        <v>1460</v>
      </c>
      <c r="EN1614" s="115">
        <v>73</v>
      </c>
    </row>
    <row r="1615" spans="1:144" s="115" customFormat="1" x14ac:dyDescent="0.25">
      <c r="A1615" s="115">
        <v>73</v>
      </c>
      <c r="B1615" s="115" t="s">
        <v>1448</v>
      </c>
      <c r="C1615" s="115" t="s">
        <v>1449</v>
      </c>
      <c r="D1615" s="115">
        <v>2003</v>
      </c>
      <c r="E1615" s="115">
        <v>1997</v>
      </c>
      <c r="F1615" s="115" t="s">
        <v>1450</v>
      </c>
      <c r="G1615" s="115" t="s">
        <v>1481</v>
      </c>
      <c r="H1615" s="115">
        <v>50.29</v>
      </c>
      <c r="I1615" s="115">
        <v>-107.8</v>
      </c>
      <c r="J1615" s="115">
        <v>757</v>
      </c>
      <c r="P1615" s="116" t="s">
        <v>1352</v>
      </c>
      <c r="Q1615" s="116" t="s">
        <v>1447</v>
      </c>
      <c r="R1615" s="116" t="s">
        <v>1455</v>
      </c>
      <c r="S1615" s="116" t="s">
        <v>1467</v>
      </c>
      <c r="T1615" s="115">
        <v>1.69</v>
      </c>
      <c r="W1615" s="115" t="s">
        <v>182</v>
      </c>
      <c r="AA1615" s="115" t="s">
        <v>1722</v>
      </c>
      <c r="AB1615" s="115" t="s">
        <v>777</v>
      </c>
      <c r="AC1615" s="115" t="s">
        <v>156</v>
      </c>
      <c r="AD1615" s="115" t="s">
        <v>1439</v>
      </c>
      <c r="AE1615" s="115" t="s">
        <v>1439</v>
      </c>
      <c r="AF1615" s="115" t="s">
        <v>252</v>
      </c>
      <c r="AJ1615" s="115" t="s">
        <v>1453</v>
      </c>
      <c r="AK1615" s="115" t="s">
        <v>1454</v>
      </c>
      <c r="AL1615" s="115" t="s">
        <v>693</v>
      </c>
      <c r="AM1615" s="115" t="s">
        <v>1452</v>
      </c>
      <c r="AN1615" s="115">
        <v>3</v>
      </c>
      <c r="AO1615" s="115">
        <v>3</v>
      </c>
      <c r="AP1615" s="115" t="s">
        <v>184</v>
      </c>
      <c r="AU1615" s="115" t="s">
        <v>1456</v>
      </c>
      <c r="BH1615" s="115">
        <f>(1000000/(100*100*0.3*1.69*1000))*7.5</f>
        <v>1.4792899408284024</v>
      </c>
      <c r="BI1615" s="115">
        <f>(1000000/(100*100*0.3*1.69*1000))*18.5</f>
        <v>3.6489151873767258</v>
      </c>
      <c r="BJ1615" s="115" t="s">
        <v>1466</v>
      </c>
      <c r="EL1615" s="115" t="s">
        <v>1460</v>
      </c>
      <c r="EN1615" s="115">
        <v>73</v>
      </c>
    </row>
    <row r="1616" spans="1:144" s="115" customFormat="1" x14ac:dyDescent="0.25">
      <c r="A1616" s="115">
        <v>73</v>
      </c>
      <c r="B1616" s="115" t="s">
        <v>1448</v>
      </c>
      <c r="C1616" s="115" t="s">
        <v>1449</v>
      </c>
      <c r="D1616" s="115">
        <v>2003</v>
      </c>
      <c r="E1616" s="115">
        <v>1998</v>
      </c>
      <c r="F1616" s="115" t="s">
        <v>1450</v>
      </c>
      <c r="G1616" s="115" t="s">
        <v>1481</v>
      </c>
      <c r="H1616" s="115">
        <v>50.29</v>
      </c>
      <c r="I1616" s="115">
        <v>-107.8</v>
      </c>
      <c r="J1616" s="115">
        <v>757</v>
      </c>
      <c r="P1616" s="116" t="s">
        <v>1128</v>
      </c>
      <c r="Q1616" s="116" t="s">
        <v>1447</v>
      </c>
      <c r="R1616" s="116" t="s">
        <v>1455</v>
      </c>
      <c r="S1616" s="116" t="s">
        <v>1467</v>
      </c>
      <c r="T1616" s="115">
        <v>1.69</v>
      </c>
      <c r="W1616" s="115" t="s">
        <v>182</v>
      </c>
      <c r="AA1616" s="115" t="s">
        <v>1722</v>
      </c>
      <c r="AB1616" s="115" t="s">
        <v>777</v>
      </c>
      <c r="AC1616" s="115" t="s">
        <v>156</v>
      </c>
      <c r="AD1616" s="115" t="s">
        <v>1439</v>
      </c>
      <c r="AE1616" s="115" t="s">
        <v>1439</v>
      </c>
      <c r="AF1616" s="115" t="s">
        <v>252</v>
      </c>
      <c r="AJ1616" s="115" t="s">
        <v>1453</v>
      </c>
      <c r="AK1616" s="115" t="s">
        <v>1454</v>
      </c>
      <c r="AL1616" s="115" t="s">
        <v>693</v>
      </c>
      <c r="AM1616" s="115" t="s">
        <v>1452</v>
      </c>
      <c r="AN1616" s="115">
        <v>3</v>
      </c>
      <c r="AO1616" s="115">
        <v>3</v>
      </c>
      <c r="AP1616" s="115" t="s">
        <v>184</v>
      </c>
      <c r="AU1616" s="115" t="s">
        <v>1456</v>
      </c>
      <c r="BH1616" s="115">
        <f>(1000000/(100*100*0.3*1.69*1000))*16.4</f>
        <v>3.2347140039447728</v>
      </c>
      <c r="BI1616" s="115">
        <f>(1000000/(100*100*0.3*1.69*1000))*41</f>
        <v>8.0867850098619325</v>
      </c>
      <c r="BJ1616" s="115" t="s">
        <v>1466</v>
      </c>
      <c r="EL1616" s="115" t="s">
        <v>1460</v>
      </c>
      <c r="EN1616" s="115">
        <v>73</v>
      </c>
    </row>
    <row r="1617" spans="1:144" s="115" customFormat="1" x14ac:dyDescent="0.25">
      <c r="A1617" s="115">
        <v>73</v>
      </c>
      <c r="B1617" s="115" t="s">
        <v>1448</v>
      </c>
      <c r="C1617" s="115" t="s">
        <v>1449</v>
      </c>
      <c r="D1617" s="115">
        <v>2003</v>
      </c>
      <c r="E1617" s="115">
        <v>1999</v>
      </c>
      <c r="F1617" s="115" t="s">
        <v>1450</v>
      </c>
      <c r="G1617" s="115" t="s">
        <v>1481</v>
      </c>
      <c r="H1617" s="115">
        <v>50.29</v>
      </c>
      <c r="I1617" s="115">
        <v>-107.8</v>
      </c>
      <c r="J1617" s="115">
        <v>757</v>
      </c>
      <c r="P1617" s="116" t="s">
        <v>1129</v>
      </c>
      <c r="Q1617" s="116" t="s">
        <v>1447</v>
      </c>
      <c r="R1617" s="116" t="s">
        <v>1455</v>
      </c>
      <c r="S1617" s="116" t="s">
        <v>1467</v>
      </c>
      <c r="T1617" s="115">
        <v>1.69</v>
      </c>
      <c r="W1617" s="115" t="s">
        <v>182</v>
      </c>
      <c r="AA1617" s="115" t="s">
        <v>1722</v>
      </c>
      <c r="AB1617" s="115" t="s">
        <v>777</v>
      </c>
      <c r="AC1617" s="115" t="s">
        <v>156</v>
      </c>
      <c r="AD1617" s="115" t="s">
        <v>1439</v>
      </c>
      <c r="AE1617" s="115" t="s">
        <v>1439</v>
      </c>
      <c r="AF1617" s="115" t="s">
        <v>252</v>
      </c>
      <c r="AJ1617" s="115" t="s">
        <v>1453</v>
      </c>
      <c r="AK1617" s="115" t="s">
        <v>1454</v>
      </c>
      <c r="AL1617" s="115" t="s">
        <v>693</v>
      </c>
      <c r="AM1617" s="115" t="s">
        <v>1452</v>
      </c>
      <c r="AN1617" s="115">
        <v>3</v>
      </c>
      <c r="AO1617" s="115">
        <v>3</v>
      </c>
      <c r="AP1617" s="115" t="s">
        <v>184</v>
      </c>
      <c r="AU1617" s="115" t="s">
        <v>1456</v>
      </c>
      <c r="BH1617" s="115">
        <f>(1000000/(100*100*0.3*1.69*1000))*9.9</f>
        <v>1.9526627218934913</v>
      </c>
      <c r="BI1617" s="115">
        <f>(1000000/(100*100*0.3*1.69*1000))*28.9</f>
        <v>5.7001972386587774</v>
      </c>
      <c r="BJ1617" s="115" t="s">
        <v>1466</v>
      </c>
      <c r="EL1617" s="115" t="s">
        <v>1460</v>
      </c>
      <c r="EN1617" s="115">
        <v>73</v>
      </c>
    </row>
    <row r="1618" spans="1:144" s="38" customFormat="1" x14ac:dyDescent="0.25">
      <c r="A1618" s="38">
        <v>74</v>
      </c>
      <c r="B1618" s="38" t="s">
        <v>1469</v>
      </c>
      <c r="C1618" s="38" t="s">
        <v>1470</v>
      </c>
      <c r="D1618" s="38">
        <v>2013</v>
      </c>
      <c r="E1618" s="38">
        <v>2011</v>
      </c>
      <c r="F1618" s="38" t="s">
        <v>1471</v>
      </c>
      <c r="G1618" s="38" t="s">
        <v>1472</v>
      </c>
      <c r="H1618" s="38">
        <v>32.24</v>
      </c>
      <c r="I1618" s="38">
        <v>-98.2</v>
      </c>
      <c r="J1618" s="38">
        <v>390.7</v>
      </c>
      <c r="P1618" s="57" t="s">
        <v>186</v>
      </c>
      <c r="Q1618" s="57"/>
      <c r="R1618" s="57"/>
      <c r="S1618" s="57"/>
      <c r="U1618" s="38">
        <v>3</v>
      </c>
      <c r="V1618" s="38">
        <v>32</v>
      </c>
      <c r="W1618" s="38" t="s">
        <v>577</v>
      </c>
      <c r="AA1618" s="38" t="s">
        <v>1723</v>
      </c>
      <c r="AB1618" s="38" t="s">
        <v>1474</v>
      </c>
      <c r="AC1618" s="38" t="s">
        <v>1473</v>
      </c>
      <c r="AD1618" s="38" t="s">
        <v>160</v>
      </c>
      <c r="AN1618" s="38">
        <v>4</v>
      </c>
      <c r="AO1618" s="38">
        <v>4</v>
      </c>
      <c r="AP1618" s="38" t="s">
        <v>448</v>
      </c>
      <c r="AU1618" s="38" t="s">
        <v>1476</v>
      </c>
      <c r="DM1618" s="38">
        <v>4.3</v>
      </c>
      <c r="DN1618" s="38">
        <v>3.3</v>
      </c>
      <c r="DO1618" s="38" t="s">
        <v>1475</v>
      </c>
      <c r="EN1618" s="38">
        <v>74</v>
      </c>
    </row>
    <row r="1619" spans="1:144" s="38" customFormat="1" x14ac:dyDescent="0.25">
      <c r="A1619" s="38">
        <v>74</v>
      </c>
      <c r="B1619" s="38" t="s">
        <v>1469</v>
      </c>
      <c r="C1619" s="38" t="s">
        <v>1470</v>
      </c>
      <c r="D1619" s="38">
        <v>2013</v>
      </c>
      <c r="E1619" s="38">
        <v>2011</v>
      </c>
      <c r="F1619" s="38" t="s">
        <v>1471</v>
      </c>
      <c r="G1619" s="38" t="s">
        <v>1472</v>
      </c>
      <c r="H1619" s="38">
        <v>32.24</v>
      </c>
      <c r="I1619" s="38">
        <v>-98.2</v>
      </c>
      <c r="J1619" s="38">
        <v>390.7</v>
      </c>
      <c r="P1619" s="57" t="s">
        <v>186</v>
      </c>
      <c r="Q1619" s="57"/>
      <c r="R1619" s="57"/>
      <c r="S1619" s="57"/>
      <c r="U1619" s="38">
        <v>3</v>
      </c>
      <c r="V1619" s="38">
        <v>32</v>
      </c>
      <c r="W1619" s="38" t="s">
        <v>577</v>
      </c>
      <c r="AA1619" s="38" t="s">
        <v>1723</v>
      </c>
      <c r="AB1619" s="38" t="s">
        <v>1474</v>
      </c>
      <c r="AC1619" s="38" t="s">
        <v>1473</v>
      </c>
      <c r="AD1619" s="38" t="s">
        <v>160</v>
      </c>
      <c r="AN1619" s="38">
        <v>4</v>
      </c>
      <c r="AO1619" s="38">
        <v>4</v>
      </c>
      <c r="AP1619" s="38" t="s">
        <v>448</v>
      </c>
      <c r="AU1619" s="38" t="s">
        <v>1477</v>
      </c>
      <c r="DM1619" s="38">
        <v>3</v>
      </c>
      <c r="DN1619" s="38">
        <v>2.5</v>
      </c>
      <c r="DO1619" s="38" t="s">
        <v>1475</v>
      </c>
      <c r="EN1619" s="38">
        <v>74</v>
      </c>
    </row>
    <row r="1620" spans="1:144" s="38" customFormat="1" x14ac:dyDescent="0.25">
      <c r="A1620" s="38">
        <v>74</v>
      </c>
      <c r="B1620" s="38" t="s">
        <v>1469</v>
      </c>
      <c r="C1620" s="38" t="s">
        <v>1470</v>
      </c>
      <c r="D1620" s="38">
        <v>2013</v>
      </c>
      <c r="E1620" s="38">
        <v>2011</v>
      </c>
      <c r="F1620" s="38" t="s">
        <v>1471</v>
      </c>
      <c r="G1620" s="38" t="s">
        <v>1472</v>
      </c>
      <c r="H1620" s="38">
        <v>32.24</v>
      </c>
      <c r="I1620" s="38">
        <v>-98.2</v>
      </c>
      <c r="J1620" s="38">
        <v>390.7</v>
      </c>
      <c r="P1620" s="57" t="s">
        <v>186</v>
      </c>
      <c r="Q1620" s="57"/>
      <c r="R1620" s="57"/>
      <c r="S1620" s="57"/>
      <c r="U1620" s="38">
        <v>3</v>
      </c>
      <c r="V1620" s="38">
        <v>32</v>
      </c>
      <c r="W1620" s="38" t="s">
        <v>577</v>
      </c>
      <c r="AA1620" s="38" t="s">
        <v>1723</v>
      </c>
      <c r="AB1620" s="38" t="s">
        <v>1474</v>
      </c>
      <c r="AC1620" s="38" t="s">
        <v>1473</v>
      </c>
      <c r="AD1620" s="38" t="s">
        <v>160</v>
      </c>
      <c r="AN1620" s="38">
        <v>4</v>
      </c>
      <c r="AO1620" s="38">
        <v>4</v>
      </c>
      <c r="AP1620" s="38" t="s">
        <v>448</v>
      </c>
      <c r="AU1620" s="38" t="s">
        <v>1478</v>
      </c>
      <c r="DM1620" s="38">
        <v>1.3</v>
      </c>
      <c r="DN1620" s="38">
        <v>0.3</v>
      </c>
      <c r="DO1620" s="38" t="s">
        <v>1475</v>
      </c>
      <c r="EN1620" s="38">
        <v>74</v>
      </c>
    </row>
    <row r="1621" spans="1:144" s="38" customFormat="1" x14ac:dyDescent="0.25">
      <c r="A1621" s="38">
        <v>74</v>
      </c>
      <c r="B1621" s="38" t="s">
        <v>1469</v>
      </c>
      <c r="C1621" s="38" t="s">
        <v>1470</v>
      </c>
      <c r="D1621" s="38">
        <v>2013</v>
      </c>
      <c r="E1621" s="38">
        <v>2011</v>
      </c>
      <c r="F1621" s="38" t="s">
        <v>1471</v>
      </c>
      <c r="G1621" s="38" t="s">
        <v>1472</v>
      </c>
      <c r="H1621" s="38">
        <v>32.24</v>
      </c>
      <c r="I1621" s="38">
        <v>-98.2</v>
      </c>
      <c r="J1621" s="38">
        <v>390.7</v>
      </c>
      <c r="P1621" s="57" t="s">
        <v>186</v>
      </c>
      <c r="Q1621" s="57"/>
      <c r="R1621" s="57"/>
      <c r="S1621" s="57"/>
      <c r="U1621" s="38">
        <v>3</v>
      </c>
      <c r="V1621" s="38">
        <v>32</v>
      </c>
      <c r="W1621" s="38" t="s">
        <v>577</v>
      </c>
      <c r="AA1621" s="38" t="s">
        <v>1723</v>
      </c>
      <c r="AB1621" s="38" t="s">
        <v>1474</v>
      </c>
      <c r="AC1621" s="38" t="s">
        <v>1473</v>
      </c>
      <c r="AD1621" s="38" t="s">
        <v>160</v>
      </c>
      <c r="AN1621" s="38">
        <v>4</v>
      </c>
      <c r="AO1621" s="38">
        <v>4</v>
      </c>
      <c r="AP1621" s="38" t="s">
        <v>448</v>
      </c>
      <c r="AU1621" s="38" t="s">
        <v>1479</v>
      </c>
      <c r="DM1621" s="38">
        <v>0.3</v>
      </c>
      <c r="DN1621" s="38">
        <v>0</v>
      </c>
      <c r="DO1621" s="38" t="s">
        <v>1475</v>
      </c>
      <c r="EN1621" s="38">
        <v>74</v>
      </c>
    </row>
    <row r="1622" spans="1:144" s="38" customFormat="1" x14ac:dyDescent="0.25">
      <c r="A1622" s="38">
        <v>74</v>
      </c>
      <c r="B1622" s="38" t="s">
        <v>1469</v>
      </c>
      <c r="C1622" s="38" t="s">
        <v>1470</v>
      </c>
      <c r="D1622" s="38">
        <v>2013</v>
      </c>
      <c r="E1622" s="38">
        <v>2011</v>
      </c>
      <c r="F1622" s="38" t="s">
        <v>1471</v>
      </c>
      <c r="G1622" s="38" t="s">
        <v>1472</v>
      </c>
      <c r="H1622" s="38">
        <v>32.24</v>
      </c>
      <c r="I1622" s="38">
        <v>-98.2</v>
      </c>
      <c r="J1622" s="38">
        <v>390.7</v>
      </c>
      <c r="P1622" s="57" t="s">
        <v>186</v>
      </c>
      <c r="Q1622" s="57"/>
      <c r="R1622" s="57"/>
      <c r="S1622" s="57"/>
      <c r="U1622" s="38">
        <v>3</v>
      </c>
      <c r="V1622" s="38">
        <v>32</v>
      </c>
      <c r="W1622" s="38" t="s">
        <v>577</v>
      </c>
      <c r="AA1622" s="38" t="s">
        <v>1723</v>
      </c>
      <c r="AB1622" s="38" t="s">
        <v>1474</v>
      </c>
      <c r="AC1622" s="38" t="s">
        <v>1473</v>
      </c>
      <c r="AD1622" s="38" t="s">
        <v>160</v>
      </c>
      <c r="AN1622" s="38">
        <v>4</v>
      </c>
      <c r="AO1622" s="38">
        <v>4</v>
      </c>
      <c r="AP1622" s="38" t="s">
        <v>448</v>
      </c>
      <c r="AU1622" s="38" t="s">
        <v>1480</v>
      </c>
      <c r="DM1622" s="38">
        <v>2.2999999999999998</v>
      </c>
      <c r="DN1622" s="38">
        <v>1</v>
      </c>
      <c r="DO1622" s="38" t="s">
        <v>1475</v>
      </c>
      <c r="EN1622" s="38">
        <v>74</v>
      </c>
    </row>
    <row r="1623" spans="1:144" s="26" customFormat="1" x14ac:dyDescent="0.25">
      <c r="A1623" s="26">
        <v>75</v>
      </c>
      <c r="B1623" s="26" t="s">
        <v>1482</v>
      </c>
      <c r="C1623" s="26" t="s">
        <v>1483</v>
      </c>
      <c r="D1623" s="26">
        <v>1989</v>
      </c>
      <c r="E1623" s="26">
        <v>1985</v>
      </c>
      <c r="F1623" s="26" t="s">
        <v>575</v>
      </c>
      <c r="G1623" s="26" t="s">
        <v>1484</v>
      </c>
      <c r="H1623" s="26">
        <v>38.950000000000003</v>
      </c>
      <c r="I1623" s="26">
        <v>-91.94</v>
      </c>
      <c r="J1623" s="26">
        <v>251.9</v>
      </c>
      <c r="P1623" s="52" t="s">
        <v>186</v>
      </c>
      <c r="Q1623" s="52"/>
      <c r="R1623" s="52" t="s">
        <v>1490</v>
      </c>
      <c r="S1623" s="52"/>
      <c r="W1623" s="26" t="s">
        <v>175</v>
      </c>
      <c r="AA1623" s="26" t="s">
        <v>1724</v>
      </c>
      <c r="AB1623" s="26" t="s">
        <v>1485</v>
      </c>
      <c r="AC1623" s="26" t="s">
        <v>219</v>
      </c>
      <c r="AD1623" s="26" t="s">
        <v>160</v>
      </c>
      <c r="AJ1623" s="26" t="s">
        <v>1493</v>
      </c>
      <c r="AK1623" s="26" t="s">
        <v>1493</v>
      </c>
      <c r="AL1623" s="26" t="s">
        <v>252</v>
      </c>
      <c r="AN1623" s="26">
        <v>2</v>
      </c>
      <c r="AO1623" s="26">
        <v>2</v>
      </c>
      <c r="AP1623" s="26" t="s">
        <v>184</v>
      </c>
      <c r="CR1623" s="26">
        <v>336</v>
      </c>
      <c r="CS1623" s="26">
        <v>0</v>
      </c>
      <c r="CT1623" s="26" t="s">
        <v>1495</v>
      </c>
      <c r="CU1623" s="26">
        <v>4</v>
      </c>
      <c r="CV1623" s="26">
        <v>0</v>
      </c>
      <c r="CW1623" s="26" t="s">
        <v>1494</v>
      </c>
      <c r="EN1623" s="26">
        <v>75</v>
      </c>
    </row>
    <row r="1624" spans="1:144" s="26" customFormat="1" x14ac:dyDescent="0.25">
      <c r="A1624" s="26">
        <v>75</v>
      </c>
      <c r="B1624" s="26" t="s">
        <v>1482</v>
      </c>
      <c r="C1624" s="26" t="s">
        <v>1483</v>
      </c>
      <c r="D1624" s="26">
        <v>1989</v>
      </c>
      <c r="E1624" s="26">
        <v>1985</v>
      </c>
      <c r="F1624" s="26" t="s">
        <v>575</v>
      </c>
      <c r="G1624" s="26" t="s">
        <v>1484</v>
      </c>
      <c r="H1624" s="26">
        <v>38.950000000000003</v>
      </c>
      <c r="I1624" s="26">
        <v>-91.94</v>
      </c>
      <c r="J1624" s="26">
        <v>251.9</v>
      </c>
      <c r="P1624" s="52" t="s">
        <v>186</v>
      </c>
      <c r="Q1624" s="52"/>
      <c r="R1624" s="52" t="s">
        <v>1486</v>
      </c>
      <c r="S1624" s="52"/>
      <c r="W1624" s="26" t="s">
        <v>175</v>
      </c>
      <c r="AA1624" s="26" t="s">
        <v>1724</v>
      </c>
      <c r="AB1624" s="26" t="s">
        <v>1485</v>
      </c>
      <c r="AC1624" s="26" t="s">
        <v>219</v>
      </c>
      <c r="AD1624" s="26" t="s">
        <v>160</v>
      </c>
      <c r="AJ1624" s="26" t="s">
        <v>1493</v>
      </c>
      <c r="AK1624" s="26" t="s">
        <v>1493</v>
      </c>
      <c r="AL1624" s="26" t="s">
        <v>252</v>
      </c>
      <c r="AN1624" s="26">
        <v>2</v>
      </c>
      <c r="AO1624" s="26">
        <v>2</v>
      </c>
      <c r="AP1624" s="26" t="s">
        <v>184</v>
      </c>
      <c r="CR1624" s="26">
        <v>1984</v>
      </c>
      <c r="CS1624" s="26">
        <v>381</v>
      </c>
      <c r="CT1624" s="26" t="s">
        <v>1495</v>
      </c>
      <c r="CU1624" s="26">
        <v>53</v>
      </c>
      <c r="CV1624" s="26">
        <v>31</v>
      </c>
      <c r="CW1624" s="26" t="s">
        <v>1494</v>
      </c>
      <c r="EN1624" s="26">
        <v>75</v>
      </c>
    </row>
    <row r="1625" spans="1:144" s="26" customFormat="1" x14ac:dyDescent="0.25">
      <c r="A1625" s="26">
        <v>75</v>
      </c>
      <c r="B1625" s="26" t="s">
        <v>1482</v>
      </c>
      <c r="C1625" s="26" t="s">
        <v>1483</v>
      </c>
      <c r="D1625" s="26">
        <v>1989</v>
      </c>
      <c r="E1625" s="26">
        <v>1985</v>
      </c>
      <c r="F1625" s="26" t="s">
        <v>575</v>
      </c>
      <c r="G1625" s="26" t="s">
        <v>1484</v>
      </c>
      <c r="H1625" s="26">
        <v>38.950000000000003</v>
      </c>
      <c r="I1625" s="26">
        <v>-91.94</v>
      </c>
      <c r="J1625" s="26">
        <v>251.9</v>
      </c>
      <c r="P1625" s="52" t="s">
        <v>186</v>
      </c>
      <c r="Q1625" s="52"/>
      <c r="R1625" s="52" t="s">
        <v>1487</v>
      </c>
      <c r="S1625" s="52"/>
      <c r="W1625" s="26" t="s">
        <v>175</v>
      </c>
      <c r="AA1625" s="26" t="s">
        <v>1724</v>
      </c>
      <c r="AB1625" s="26" t="s">
        <v>1485</v>
      </c>
      <c r="AC1625" s="26" t="s">
        <v>219</v>
      </c>
      <c r="AD1625" s="26" t="s">
        <v>160</v>
      </c>
      <c r="AJ1625" s="26" t="s">
        <v>1493</v>
      </c>
      <c r="AK1625" s="26" t="s">
        <v>1493</v>
      </c>
      <c r="AL1625" s="26" t="s">
        <v>252</v>
      </c>
      <c r="AN1625" s="26">
        <v>2</v>
      </c>
      <c r="AO1625" s="26">
        <v>2</v>
      </c>
      <c r="AP1625" s="26" t="s">
        <v>184</v>
      </c>
      <c r="CR1625" s="26">
        <v>1E-3</v>
      </c>
      <c r="CS1625" s="26">
        <v>0</v>
      </c>
      <c r="CT1625" s="26" t="s">
        <v>1495</v>
      </c>
      <c r="CU1625" s="26">
        <v>3</v>
      </c>
      <c r="CV1625" s="26">
        <v>0</v>
      </c>
      <c r="CW1625" s="26" t="s">
        <v>1494</v>
      </c>
      <c r="EN1625" s="26">
        <v>75</v>
      </c>
    </row>
    <row r="1626" spans="1:144" s="26" customFormat="1" x14ac:dyDescent="0.25">
      <c r="A1626" s="26">
        <v>75</v>
      </c>
      <c r="B1626" s="26" t="s">
        <v>1482</v>
      </c>
      <c r="C1626" s="26" t="s">
        <v>1483</v>
      </c>
      <c r="D1626" s="26">
        <v>1989</v>
      </c>
      <c r="E1626" s="26">
        <v>1985</v>
      </c>
      <c r="F1626" s="26" t="s">
        <v>575</v>
      </c>
      <c r="G1626" s="26" t="s">
        <v>1484</v>
      </c>
      <c r="H1626" s="26">
        <v>38.950000000000003</v>
      </c>
      <c r="I1626" s="26">
        <v>-91.94</v>
      </c>
      <c r="J1626" s="26">
        <v>251.9</v>
      </c>
      <c r="P1626" s="52" t="s">
        <v>186</v>
      </c>
      <c r="Q1626" s="52"/>
      <c r="R1626" s="52" t="s">
        <v>1488</v>
      </c>
      <c r="S1626" s="52"/>
      <c r="W1626" s="26" t="s">
        <v>175</v>
      </c>
      <c r="AA1626" s="26" t="s">
        <v>1724</v>
      </c>
      <c r="AB1626" s="26" t="s">
        <v>1485</v>
      </c>
      <c r="AC1626" s="26" t="s">
        <v>219</v>
      </c>
      <c r="AD1626" s="26" t="s">
        <v>160</v>
      </c>
      <c r="AJ1626" s="26" t="s">
        <v>1493</v>
      </c>
      <c r="AK1626" s="26" t="s">
        <v>1493</v>
      </c>
      <c r="AL1626" s="26" t="s">
        <v>252</v>
      </c>
      <c r="AN1626" s="26">
        <v>2</v>
      </c>
      <c r="AO1626" s="26">
        <v>2</v>
      </c>
      <c r="AP1626" s="26" t="s">
        <v>184</v>
      </c>
      <c r="CR1626" s="26">
        <v>1E-3</v>
      </c>
      <c r="CS1626" s="26">
        <v>0</v>
      </c>
      <c r="CT1626" s="26" t="s">
        <v>1495</v>
      </c>
      <c r="CU1626" s="26">
        <v>258</v>
      </c>
      <c r="CV1626" s="26">
        <v>156</v>
      </c>
      <c r="CW1626" s="26" t="s">
        <v>1494</v>
      </c>
      <c r="EN1626" s="26">
        <v>75</v>
      </c>
    </row>
    <row r="1627" spans="1:144" s="26" customFormat="1" x14ac:dyDescent="0.25">
      <c r="A1627" s="26">
        <v>75</v>
      </c>
      <c r="B1627" s="26" t="s">
        <v>1482</v>
      </c>
      <c r="C1627" s="26" t="s">
        <v>1483</v>
      </c>
      <c r="D1627" s="26">
        <v>1989</v>
      </c>
      <c r="E1627" s="26">
        <v>1985</v>
      </c>
      <c r="F1627" s="26" t="s">
        <v>575</v>
      </c>
      <c r="G1627" s="26" t="s">
        <v>1484</v>
      </c>
      <c r="H1627" s="26">
        <v>38.950000000000003</v>
      </c>
      <c r="I1627" s="26">
        <v>-91.94</v>
      </c>
      <c r="J1627" s="26">
        <v>251.9</v>
      </c>
      <c r="P1627" s="52" t="s">
        <v>186</v>
      </c>
      <c r="Q1627" s="52"/>
      <c r="R1627" s="52" t="s">
        <v>1489</v>
      </c>
      <c r="S1627" s="52"/>
      <c r="W1627" s="26" t="s">
        <v>175</v>
      </c>
      <c r="AA1627" s="26" t="s">
        <v>1724</v>
      </c>
      <c r="AB1627" s="26" t="s">
        <v>1485</v>
      </c>
      <c r="AC1627" s="26" t="s">
        <v>219</v>
      </c>
      <c r="AD1627" s="26" t="s">
        <v>160</v>
      </c>
      <c r="AJ1627" s="26" t="s">
        <v>1493</v>
      </c>
      <c r="AK1627" s="26" t="s">
        <v>1493</v>
      </c>
      <c r="AL1627" s="26" t="s">
        <v>252</v>
      </c>
      <c r="AN1627" s="26">
        <v>2</v>
      </c>
      <c r="AO1627" s="26">
        <v>2</v>
      </c>
      <c r="AP1627" s="26" t="s">
        <v>184</v>
      </c>
      <c r="CR1627" s="26">
        <v>2454</v>
      </c>
      <c r="CS1627" s="26">
        <v>420</v>
      </c>
      <c r="CT1627" s="26" t="s">
        <v>1495</v>
      </c>
      <c r="CU1627" s="26">
        <v>311</v>
      </c>
      <c r="CV1627" s="26">
        <v>213</v>
      </c>
      <c r="CW1627" s="26" t="s">
        <v>1494</v>
      </c>
      <c r="EN1627" s="26">
        <v>75</v>
      </c>
    </row>
    <row r="1628" spans="1:144" s="35" customFormat="1" x14ac:dyDescent="0.25">
      <c r="A1628" s="35">
        <v>75</v>
      </c>
      <c r="B1628" s="35" t="s">
        <v>1482</v>
      </c>
      <c r="C1628" s="35" t="s">
        <v>1483</v>
      </c>
      <c r="D1628" s="35">
        <v>1989</v>
      </c>
      <c r="E1628" s="35">
        <v>1985</v>
      </c>
      <c r="F1628" s="35" t="s">
        <v>575</v>
      </c>
      <c r="G1628" s="35" t="s">
        <v>1484</v>
      </c>
      <c r="H1628" s="35">
        <v>38.950000000000003</v>
      </c>
      <c r="I1628" s="35">
        <v>-91.94</v>
      </c>
      <c r="J1628" s="35">
        <v>251.9</v>
      </c>
      <c r="P1628" s="54" t="s">
        <v>186</v>
      </c>
      <c r="Q1628" s="54"/>
      <c r="R1628" s="54" t="s">
        <v>1490</v>
      </c>
      <c r="S1628" s="54"/>
      <c r="W1628" s="35" t="s">
        <v>175</v>
      </c>
      <c r="AA1628" s="35" t="s">
        <v>1724</v>
      </c>
      <c r="AB1628" s="35" t="s">
        <v>1491</v>
      </c>
      <c r="AC1628" s="35" t="s">
        <v>219</v>
      </c>
      <c r="AD1628" s="35" t="s">
        <v>160</v>
      </c>
      <c r="AJ1628" s="35" t="s">
        <v>1493</v>
      </c>
      <c r="AK1628" s="35" t="s">
        <v>1493</v>
      </c>
      <c r="AL1628" s="35" t="s">
        <v>252</v>
      </c>
      <c r="AN1628" s="35">
        <v>2</v>
      </c>
      <c r="AO1628" s="35">
        <v>2</v>
      </c>
      <c r="AP1628" s="35" t="s">
        <v>184</v>
      </c>
      <c r="CR1628" s="35">
        <v>336</v>
      </c>
      <c r="CS1628" s="35">
        <v>0</v>
      </c>
      <c r="CT1628" s="35" t="s">
        <v>1495</v>
      </c>
      <c r="CU1628" s="35">
        <v>4</v>
      </c>
      <c r="CV1628" s="35">
        <v>0</v>
      </c>
      <c r="CW1628" s="35" t="s">
        <v>1494</v>
      </c>
      <c r="EN1628" s="35">
        <v>75</v>
      </c>
    </row>
    <row r="1629" spans="1:144" s="35" customFormat="1" x14ac:dyDescent="0.25">
      <c r="A1629" s="35">
        <v>75</v>
      </c>
      <c r="B1629" s="35" t="s">
        <v>1482</v>
      </c>
      <c r="C1629" s="35" t="s">
        <v>1483</v>
      </c>
      <c r="D1629" s="35">
        <v>1989</v>
      </c>
      <c r="E1629" s="35">
        <v>1985</v>
      </c>
      <c r="F1629" s="35" t="s">
        <v>575</v>
      </c>
      <c r="G1629" s="35" t="s">
        <v>1484</v>
      </c>
      <c r="H1629" s="35">
        <v>38.950000000000003</v>
      </c>
      <c r="I1629" s="35">
        <v>-91.94</v>
      </c>
      <c r="J1629" s="35">
        <v>251.9</v>
      </c>
      <c r="P1629" s="54" t="s">
        <v>186</v>
      </c>
      <c r="Q1629" s="54"/>
      <c r="R1629" s="54" t="s">
        <v>1486</v>
      </c>
      <c r="S1629" s="54"/>
      <c r="W1629" s="35" t="s">
        <v>175</v>
      </c>
      <c r="AA1629" s="35" t="s">
        <v>1724</v>
      </c>
      <c r="AB1629" s="35" t="s">
        <v>1491</v>
      </c>
      <c r="AC1629" s="35" t="s">
        <v>219</v>
      </c>
      <c r="AD1629" s="35" t="s">
        <v>160</v>
      </c>
      <c r="AJ1629" s="35" t="s">
        <v>1493</v>
      </c>
      <c r="AK1629" s="35" t="s">
        <v>1493</v>
      </c>
      <c r="AL1629" s="35" t="s">
        <v>252</v>
      </c>
      <c r="AN1629" s="35">
        <v>2</v>
      </c>
      <c r="AO1629" s="35">
        <v>2</v>
      </c>
      <c r="AP1629" s="35" t="s">
        <v>184</v>
      </c>
      <c r="CR1629" s="35">
        <v>1984</v>
      </c>
      <c r="CS1629" s="35">
        <v>168</v>
      </c>
      <c r="CT1629" s="35" t="s">
        <v>1495</v>
      </c>
      <c r="CU1629" s="35">
        <v>53</v>
      </c>
      <c r="CV1629" s="35">
        <v>34</v>
      </c>
      <c r="CW1629" s="35" t="s">
        <v>1494</v>
      </c>
      <c r="EN1629" s="35">
        <v>75</v>
      </c>
    </row>
    <row r="1630" spans="1:144" s="35" customFormat="1" x14ac:dyDescent="0.25">
      <c r="A1630" s="35">
        <v>75</v>
      </c>
      <c r="B1630" s="35" t="s">
        <v>1482</v>
      </c>
      <c r="C1630" s="35" t="s">
        <v>1483</v>
      </c>
      <c r="D1630" s="35">
        <v>1989</v>
      </c>
      <c r="E1630" s="35">
        <v>1985</v>
      </c>
      <c r="F1630" s="35" t="s">
        <v>575</v>
      </c>
      <c r="G1630" s="35" t="s">
        <v>1484</v>
      </c>
      <c r="H1630" s="35">
        <v>38.950000000000003</v>
      </c>
      <c r="I1630" s="35">
        <v>-91.94</v>
      </c>
      <c r="J1630" s="35">
        <v>251.9</v>
      </c>
      <c r="P1630" s="54" t="s">
        <v>186</v>
      </c>
      <c r="Q1630" s="54"/>
      <c r="R1630" s="54" t="s">
        <v>1487</v>
      </c>
      <c r="S1630" s="54"/>
      <c r="W1630" s="35" t="s">
        <v>175</v>
      </c>
      <c r="AA1630" s="35" t="s">
        <v>1724</v>
      </c>
      <c r="AB1630" s="35" t="s">
        <v>1491</v>
      </c>
      <c r="AC1630" s="35" t="s">
        <v>219</v>
      </c>
      <c r="AD1630" s="35" t="s">
        <v>160</v>
      </c>
      <c r="AJ1630" s="35" t="s">
        <v>1493</v>
      </c>
      <c r="AK1630" s="35" t="s">
        <v>1493</v>
      </c>
      <c r="AL1630" s="35" t="s">
        <v>252</v>
      </c>
      <c r="AN1630" s="35">
        <v>2</v>
      </c>
      <c r="AO1630" s="35">
        <v>2</v>
      </c>
      <c r="AP1630" s="35" t="s">
        <v>184</v>
      </c>
      <c r="CR1630" s="35">
        <v>1E-3</v>
      </c>
      <c r="CS1630" s="35">
        <v>0</v>
      </c>
      <c r="CT1630" s="35" t="s">
        <v>1495</v>
      </c>
      <c r="CU1630" s="35">
        <v>3</v>
      </c>
      <c r="CV1630" s="35">
        <v>0</v>
      </c>
      <c r="CW1630" s="35" t="s">
        <v>1494</v>
      </c>
      <c r="EN1630" s="35">
        <v>75</v>
      </c>
    </row>
    <row r="1631" spans="1:144" s="35" customFormat="1" x14ac:dyDescent="0.25">
      <c r="A1631" s="35">
        <v>75</v>
      </c>
      <c r="B1631" s="35" t="s">
        <v>1482</v>
      </c>
      <c r="C1631" s="35" t="s">
        <v>1483</v>
      </c>
      <c r="D1631" s="35">
        <v>1989</v>
      </c>
      <c r="E1631" s="35">
        <v>1985</v>
      </c>
      <c r="F1631" s="35" t="s">
        <v>575</v>
      </c>
      <c r="G1631" s="35" t="s">
        <v>1484</v>
      </c>
      <c r="H1631" s="35">
        <v>38.950000000000003</v>
      </c>
      <c r="I1631" s="35">
        <v>-91.94</v>
      </c>
      <c r="J1631" s="35">
        <v>251.9</v>
      </c>
      <c r="P1631" s="54" t="s">
        <v>186</v>
      </c>
      <c r="Q1631" s="54"/>
      <c r="R1631" s="54" t="s">
        <v>1488</v>
      </c>
      <c r="S1631" s="54"/>
      <c r="W1631" s="35" t="s">
        <v>175</v>
      </c>
      <c r="AA1631" s="35" t="s">
        <v>1724</v>
      </c>
      <c r="AB1631" s="35" t="s">
        <v>1491</v>
      </c>
      <c r="AC1631" s="35" t="s">
        <v>219</v>
      </c>
      <c r="AD1631" s="35" t="s">
        <v>160</v>
      </c>
      <c r="AJ1631" s="35" t="s">
        <v>1493</v>
      </c>
      <c r="AK1631" s="35" t="s">
        <v>1493</v>
      </c>
      <c r="AL1631" s="35" t="s">
        <v>252</v>
      </c>
      <c r="AN1631" s="35">
        <v>2</v>
      </c>
      <c r="AO1631" s="35">
        <v>2</v>
      </c>
      <c r="AP1631" s="35" t="s">
        <v>184</v>
      </c>
      <c r="CR1631" s="35">
        <v>1E-3</v>
      </c>
      <c r="CS1631" s="35">
        <v>0</v>
      </c>
      <c r="CT1631" s="35" t="s">
        <v>1495</v>
      </c>
      <c r="CU1631" s="35">
        <v>258</v>
      </c>
      <c r="CV1631" s="35">
        <v>180</v>
      </c>
      <c r="CW1631" s="35" t="s">
        <v>1494</v>
      </c>
      <c r="EN1631" s="35">
        <v>75</v>
      </c>
    </row>
    <row r="1632" spans="1:144" s="35" customFormat="1" x14ac:dyDescent="0.25">
      <c r="A1632" s="35">
        <v>75</v>
      </c>
      <c r="B1632" s="35" t="s">
        <v>1482</v>
      </c>
      <c r="C1632" s="35" t="s">
        <v>1483</v>
      </c>
      <c r="D1632" s="35">
        <v>1989</v>
      </c>
      <c r="E1632" s="35">
        <v>1985</v>
      </c>
      <c r="F1632" s="35" t="s">
        <v>575</v>
      </c>
      <c r="G1632" s="35" t="s">
        <v>1484</v>
      </c>
      <c r="H1632" s="35">
        <v>38.950000000000003</v>
      </c>
      <c r="I1632" s="35">
        <v>-91.94</v>
      </c>
      <c r="J1632" s="35">
        <v>251.9</v>
      </c>
      <c r="P1632" s="54" t="s">
        <v>186</v>
      </c>
      <c r="Q1632" s="54"/>
      <c r="R1632" s="54" t="s">
        <v>1489</v>
      </c>
      <c r="S1632" s="54"/>
      <c r="W1632" s="35" t="s">
        <v>175</v>
      </c>
      <c r="AA1632" s="35" t="s">
        <v>1724</v>
      </c>
      <c r="AB1632" s="35" t="s">
        <v>1491</v>
      </c>
      <c r="AC1632" s="35" t="s">
        <v>219</v>
      </c>
      <c r="AD1632" s="35" t="s">
        <v>160</v>
      </c>
      <c r="AJ1632" s="35" t="s">
        <v>1493</v>
      </c>
      <c r="AK1632" s="35" t="s">
        <v>1493</v>
      </c>
      <c r="AL1632" s="35" t="s">
        <v>252</v>
      </c>
      <c r="AN1632" s="35">
        <v>2</v>
      </c>
      <c r="AO1632" s="35">
        <v>2</v>
      </c>
      <c r="AP1632" s="35" t="s">
        <v>184</v>
      </c>
      <c r="CR1632" s="35">
        <v>2454</v>
      </c>
      <c r="CS1632" s="35">
        <v>185</v>
      </c>
      <c r="CT1632" s="35" t="s">
        <v>1495</v>
      </c>
      <c r="CU1632" s="35">
        <v>311</v>
      </c>
      <c r="CV1632" s="35">
        <v>217</v>
      </c>
      <c r="CW1632" s="35" t="s">
        <v>1494</v>
      </c>
      <c r="EN1632" s="35">
        <v>75</v>
      </c>
    </row>
    <row r="1633" spans="1:144" s="26" customFormat="1" x14ac:dyDescent="0.25">
      <c r="A1633" s="26">
        <v>75</v>
      </c>
      <c r="B1633" s="26" t="s">
        <v>1482</v>
      </c>
      <c r="C1633" s="26" t="s">
        <v>1483</v>
      </c>
      <c r="D1633" s="26">
        <v>1989</v>
      </c>
      <c r="E1633" s="26">
        <v>1985</v>
      </c>
      <c r="F1633" s="26" t="s">
        <v>575</v>
      </c>
      <c r="G1633" s="26" t="s">
        <v>1484</v>
      </c>
      <c r="H1633" s="26">
        <v>38.950000000000003</v>
      </c>
      <c r="I1633" s="26">
        <v>-91.94</v>
      </c>
      <c r="J1633" s="26">
        <v>251.9</v>
      </c>
      <c r="P1633" s="52" t="s">
        <v>186</v>
      </c>
      <c r="Q1633" s="52"/>
      <c r="R1633" s="52" t="s">
        <v>1490</v>
      </c>
      <c r="S1633" s="52"/>
      <c r="W1633" s="26" t="s">
        <v>175</v>
      </c>
      <c r="AA1633" s="26" t="s">
        <v>1724</v>
      </c>
      <c r="AB1633" s="26" t="s">
        <v>1492</v>
      </c>
      <c r="AC1633" s="26" t="s">
        <v>219</v>
      </c>
      <c r="AD1633" s="26" t="s">
        <v>160</v>
      </c>
      <c r="AJ1633" s="26" t="s">
        <v>1493</v>
      </c>
      <c r="AK1633" s="26" t="s">
        <v>1493</v>
      </c>
      <c r="AL1633" s="26" t="s">
        <v>252</v>
      </c>
      <c r="AN1633" s="26">
        <v>2</v>
      </c>
      <c r="AO1633" s="26">
        <v>2</v>
      </c>
      <c r="AP1633" s="26" t="s">
        <v>184</v>
      </c>
      <c r="CR1633" s="26">
        <v>336</v>
      </c>
      <c r="CS1633" s="26">
        <v>0</v>
      </c>
      <c r="CT1633" s="26" t="s">
        <v>1495</v>
      </c>
      <c r="CU1633" s="26">
        <v>4</v>
      </c>
      <c r="CV1633" s="26">
        <v>0</v>
      </c>
      <c r="CW1633" s="26" t="s">
        <v>1494</v>
      </c>
      <c r="EN1633" s="26">
        <v>75</v>
      </c>
    </row>
    <row r="1634" spans="1:144" s="26" customFormat="1" x14ac:dyDescent="0.25">
      <c r="A1634" s="26">
        <v>75</v>
      </c>
      <c r="B1634" s="26" t="s">
        <v>1482</v>
      </c>
      <c r="C1634" s="26" t="s">
        <v>1483</v>
      </c>
      <c r="D1634" s="26">
        <v>1989</v>
      </c>
      <c r="E1634" s="26">
        <v>1985</v>
      </c>
      <c r="F1634" s="26" t="s">
        <v>575</v>
      </c>
      <c r="G1634" s="26" t="s">
        <v>1484</v>
      </c>
      <c r="H1634" s="26">
        <v>38.950000000000003</v>
      </c>
      <c r="I1634" s="26">
        <v>-91.94</v>
      </c>
      <c r="J1634" s="26">
        <v>251.9</v>
      </c>
      <c r="P1634" s="52" t="s">
        <v>186</v>
      </c>
      <c r="Q1634" s="52"/>
      <c r="R1634" s="52" t="s">
        <v>1486</v>
      </c>
      <c r="S1634" s="52"/>
      <c r="W1634" s="26" t="s">
        <v>175</v>
      </c>
      <c r="AA1634" s="26" t="s">
        <v>1724</v>
      </c>
      <c r="AB1634" s="26" t="s">
        <v>1492</v>
      </c>
      <c r="AC1634" s="26" t="s">
        <v>219</v>
      </c>
      <c r="AD1634" s="26" t="s">
        <v>160</v>
      </c>
      <c r="AJ1634" s="26" t="s">
        <v>1493</v>
      </c>
      <c r="AK1634" s="26" t="s">
        <v>1493</v>
      </c>
      <c r="AL1634" s="26" t="s">
        <v>252</v>
      </c>
      <c r="AN1634" s="26">
        <v>2</v>
      </c>
      <c r="AO1634" s="26">
        <v>2</v>
      </c>
      <c r="AP1634" s="26" t="s">
        <v>184</v>
      </c>
      <c r="CR1634" s="26">
        <v>1984</v>
      </c>
      <c r="CS1634" s="26">
        <v>213</v>
      </c>
      <c r="CT1634" s="26" t="s">
        <v>1495</v>
      </c>
      <c r="CU1634" s="26">
        <v>53</v>
      </c>
      <c r="CV1634" s="26">
        <v>25</v>
      </c>
      <c r="CW1634" s="26" t="s">
        <v>1494</v>
      </c>
      <c r="EN1634" s="26">
        <v>75</v>
      </c>
    </row>
    <row r="1635" spans="1:144" s="26" customFormat="1" x14ac:dyDescent="0.25">
      <c r="A1635" s="26">
        <v>75</v>
      </c>
      <c r="B1635" s="26" t="s">
        <v>1482</v>
      </c>
      <c r="C1635" s="26" t="s">
        <v>1483</v>
      </c>
      <c r="D1635" s="26">
        <v>1989</v>
      </c>
      <c r="E1635" s="26">
        <v>1985</v>
      </c>
      <c r="F1635" s="26" t="s">
        <v>575</v>
      </c>
      <c r="G1635" s="26" t="s">
        <v>1484</v>
      </c>
      <c r="H1635" s="26">
        <v>38.950000000000003</v>
      </c>
      <c r="I1635" s="26">
        <v>-91.94</v>
      </c>
      <c r="J1635" s="26">
        <v>251.9</v>
      </c>
      <c r="P1635" s="52" t="s">
        <v>186</v>
      </c>
      <c r="Q1635" s="52"/>
      <c r="R1635" s="52" t="s">
        <v>1487</v>
      </c>
      <c r="S1635" s="52"/>
      <c r="W1635" s="26" t="s">
        <v>175</v>
      </c>
      <c r="AA1635" s="26" t="s">
        <v>1724</v>
      </c>
      <c r="AB1635" s="26" t="s">
        <v>1492</v>
      </c>
      <c r="AC1635" s="26" t="s">
        <v>219</v>
      </c>
      <c r="AD1635" s="26" t="s">
        <v>160</v>
      </c>
      <c r="AJ1635" s="26" t="s">
        <v>1493</v>
      </c>
      <c r="AK1635" s="26" t="s">
        <v>1493</v>
      </c>
      <c r="AL1635" s="26" t="s">
        <v>252</v>
      </c>
      <c r="AN1635" s="26">
        <v>2</v>
      </c>
      <c r="AO1635" s="26">
        <v>2</v>
      </c>
      <c r="AP1635" s="26" t="s">
        <v>184</v>
      </c>
      <c r="CR1635" s="26">
        <v>1E-3</v>
      </c>
      <c r="CS1635" s="26">
        <v>0</v>
      </c>
      <c r="CT1635" s="26" t="s">
        <v>1495</v>
      </c>
      <c r="CU1635" s="26">
        <v>3</v>
      </c>
      <c r="CV1635" s="26">
        <v>0</v>
      </c>
      <c r="CW1635" s="26" t="s">
        <v>1494</v>
      </c>
      <c r="EN1635" s="26">
        <v>75</v>
      </c>
    </row>
    <row r="1636" spans="1:144" s="26" customFormat="1" x14ac:dyDescent="0.25">
      <c r="A1636" s="26">
        <v>75</v>
      </c>
      <c r="B1636" s="26" t="s">
        <v>1482</v>
      </c>
      <c r="C1636" s="26" t="s">
        <v>1483</v>
      </c>
      <c r="D1636" s="26">
        <v>1989</v>
      </c>
      <c r="E1636" s="26">
        <v>1985</v>
      </c>
      <c r="F1636" s="26" t="s">
        <v>575</v>
      </c>
      <c r="G1636" s="26" t="s">
        <v>1484</v>
      </c>
      <c r="H1636" s="26">
        <v>38.950000000000003</v>
      </c>
      <c r="I1636" s="26">
        <v>-91.94</v>
      </c>
      <c r="J1636" s="26">
        <v>251.9</v>
      </c>
      <c r="P1636" s="52" t="s">
        <v>186</v>
      </c>
      <c r="Q1636" s="52"/>
      <c r="R1636" s="52" t="s">
        <v>1488</v>
      </c>
      <c r="S1636" s="52"/>
      <c r="W1636" s="26" t="s">
        <v>175</v>
      </c>
      <c r="AA1636" s="26" t="s">
        <v>1724</v>
      </c>
      <c r="AB1636" s="26" t="s">
        <v>1492</v>
      </c>
      <c r="AC1636" s="26" t="s">
        <v>219</v>
      </c>
      <c r="AD1636" s="26" t="s">
        <v>160</v>
      </c>
      <c r="AJ1636" s="26" t="s">
        <v>1493</v>
      </c>
      <c r="AK1636" s="26" t="s">
        <v>1493</v>
      </c>
      <c r="AL1636" s="26" t="s">
        <v>252</v>
      </c>
      <c r="AN1636" s="26">
        <v>2</v>
      </c>
      <c r="AO1636" s="26">
        <v>2</v>
      </c>
      <c r="AP1636" s="26" t="s">
        <v>184</v>
      </c>
      <c r="CR1636" s="26">
        <v>1E-3</v>
      </c>
      <c r="CS1636" s="26">
        <v>0</v>
      </c>
      <c r="CT1636" s="26" t="s">
        <v>1495</v>
      </c>
      <c r="CU1636" s="26">
        <v>258</v>
      </c>
      <c r="CV1636" s="26">
        <v>136</v>
      </c>
      <c r="CW1636" s="26" t="s">
        <v>1494</v>
      </c>
      <c r="EN1636" s="26">
        <v>75</v>
      </c>
    </row>
    <row r="1637" spans="1:144" s="26" customFormat="1" x14ac:dyDescent="0.25">
      <c r="A1637" s="26">
        <v>75</v>
      </c>
      <c r="B1637" s="26" t="s">
        <v>1482</v>
      </c>
      <c r="C1637" s="26" t="s">
        <v>1483</v>
      </c>
      <c r="D1637" s="26">
        <v>1989</v>
      </c>
      <c r="E1637" s="26">
        <v>1985</v>
      </c>
      <c r="F1637" s="26" t="s">
        <v>575</v>
      </c>
      <c r="G1637" s="26" t="s">
        <v>1484</v>
      </c>
      <c r="H1637" s="26">
        <v>38.950000000000003</v>
      </c>
      <c r="I1637" s="26">
        <v>-91.94</v>
      </c>
      <c r="J1637" s="26">
        <v>251.9</v>
      </c>
      <c r="P1637" s="52" t="s">
        <v>186</v>
      </c>
      <c r="Q1637" s="52"/>
      <c r="R1637" s="52" t="s">
        <v>1489</v>
      </c>
      <c r="S1637" s="52"/>
      <c r="W1637" s="26" t="s">
        <v>175</v>
      </c>
      <c r="AA1637" s="26" t="s">
        <v>1724</v>
      </c>
      <c r="AB1637" s="26" t="s">
        <v>1492</v>
      </c>
      <c r="AC1637" s="26" t="s">
        <v>219</v>
      </c>
      <c r="AD1637" s="26" t="s">
        <v>160</v>
      </c>
      <c r="AJ1637" s="26" t="s">
        <v>1493</v>
      </c>
      <c r="AK1637" s="26" t="s">
        <v>1493</v>
      </c>
      <c r="AL1637" s="26" t="s">
        <v>252</v>
      </c>
      <c r="AN1637" s="26">
        <v>2</v>
      </c>
      <c r="AO1637" s="26">
        <v>2</v>
      </c>
      <c r="AP1637" s="26" t="s">
        <v>184</v>
      </c>
      <c r="CR1637" s="26">
        <v>2454</v>
      </c>
      <c r="CS1637" s="26">
        <v>235</v>
      </c>
      <c r="CT1637" s="26" t="s">
        <v>1495</v>
      </c>
      <c r="CU1637" s="26">
        <v>311</v>
      </c>
      <c r="CV1637" s="26">
        <v>200</v>
      </c>
      <c r="CW1637" s="26" t="s">
        <v>1494</v>
      </c>
      <c r="EN1637" s="26">
        <v>75</v>
      </c>
    </row>
    <row r="1638" spans="1:144" s="113" customFormat="1" x14ac:dyDescent="0.25">
      <c r="A1638" s="113">
        <v>75</v>
      </c>
      <c r="B1638" s="113" t="s">
        <v>1482</v>
      </c>
      <c r="C1638" s="113" t="s">
        <v>1483</v>
      </c>
      <c r="D1638" s="113">
        <v>1989</v>
      </c>
      <c r="E1638" s="113">
        <v>1986</v>
      </c>
      <c r="F1638" s="113" t="s">
        <v>575</v>
      </c>
      <c r="G1638" s="113" t="s">
        <v>1484</v>
      </c>
      <c r="H1638" s="113">
        <v>38.950000000000003</v>
      </c>
      <c r="I1638" s="113">
        <v>-91.94</v>
      </c>
      <c r="J1638" s="113">
        <v>251.9</v>
      </c>
      <c r="P1638" s="114" t="s">
        <v>187</v>
      </c>
      <c r="Q1638" s="114"/>
      <c r="R1638" s="114" t="s">
        <v>1490</v>
      </c>
      <c r="S1638" s="114"/>
      <c r="W1638" s="113" t="s">
        <v>175</v>
      </c>
      <c r="AA1638" s="113" t="s">
        <v>1724</v>
      </c>
      <c r="AB1638" s="113" t="s">
        <v>1485</v>
      </c>
      <c r="AC1638" s="113" t="s">
        <v>219</v>
      </c>
      <c r="AD1638" s="113" t="s">
        <v>160</v>
      </c>
      <c r="AJ1638" s="113" t="s">
        <v>1493</v>
      </c>
      <c r="AK1638" s="113" t="s">
        <v>1493</v>
      </c>
      <c r="AL1638" s="113" t="s">
        <v>252</v>
      </c>
      <c r="AN1638" s="113">
        <v>2</v>
      </c>
      <c r="AO1638" s="113">
        <v>2</v>
      </c>
      <c r="AP1638" s="113" t="s">
        <v>184</v>
      </c>
      <c r="CR1638" s="113">
        <v>562</v>
      </c>
      <c r="CS1638" s="113">
        <v>45</v>
      </c>
      <c r="CT1638" s="113" t="s">
        <v>1495</v>
      </c>
      <c r="CU1638" s="113">
        <v>10</v>
      </c>
      <c r="CV1638" s="113">
        <v>1</v>
      </c>
      <c r="CW1638" s="113" t="s">
        <v>1494</v>
      </c>
      <c r="EN1638" s="113">
        <v>75</v>
      </c>
    </row>
    <row r="1639" spans="1:144" s="113" customFormat="1" x14ac:dyDescent="0.25">
      <c r="A1639" s="113">
        <v>75</v>
      </c>
      <c r="B1639" s="113" t="s">
        <v>1482</v>
      </c>
      <c r="C1639" s="113" t="s">
        <v>1483</v>
      </c>
      <c r="D1639" s="113">
        <v>1989</v>
      </c>
      <c r="E1639" s="113">
        <v>1986</v>
      </c>
      <c r="F1639" s="113" t="s">
        <v>575</v>
      </c>
      <c r="G1639" s="113" t="s">
        <v>1484</v>
      </c>
      <c r="H1639" s="113">
        <v>38.950000000000003</v>
      </c>
      <c r="I1639" s="113">
        <v>-91.94</v>
      </c>
      <c r="J1639" s="113">
        <v>251.9</v>
      </c>
      <c r="P1639" s="114" t="s">
        <v>187</v>
      </c>
      <c r="Q1639" s="114"/>
      <c r="R1639" s="114" t="s">
        <v>1486</v>
      </c>
      <c r="S1639" s="114"/>
      <c r="W1639" s="113" t="s">
        <v>175</v>
      </c>
      <c r="AA1639" s="113" t="s">
        <v>1724</v>
      </c>
      <c r="AB1639" s="113" t="s">
        <v>1485</v>
      </c>
      <c r="AC1639" s="113" t="s">
        <v>219</v>
      </c>
      <c r="AD1639" s="113" t="s">
        <v>160</v>
      </c>
      <c r="AJ1639" s="113" t="s">
        <v>1493</v>
      </c>
      <c r="AK1639" s="113" t="s">
        <v>1493</v>
      </c>
      <c r="AL1639" s="113" t="s">
        <v>252</v>
      </c>
      <c r="AN1639" s="113">
        <v>2</v>
      </c>
      <c r="AO1639" s="113">
        <v>2</v>
      </c>
      <c r="AP1639" s="113" t="s">
        <v>184</v>
      </c>
      <c r="CR1639" s="113">
        <v>1E-3</v>
      </c>
      <c r="CS1639" s="113">
        <v>0</v>
      </c>
      <c r="CT1639" s="113" t="s">
        <v>1495</v>
      </c>
      <c r="CU1639" s="113">
        <v>1</v>
      </c>
      <c r="CV1639" s="113">
        <v>0</v>
      </c>
      <c r="CW1639" s="113" t="s">
        <v>1494</v>
      </c>
      <c r="EN1639" s="113">
        <v>75</v>
      </c>
    </row>
    <row r="1640" spans="1:144" s="113" customFormat="1" x14ac:dyDescent="0.25">
      <c r="A1640" s="113">
        <v>75</v>
      </c>
      <c r="B1640" s="113" t="s">
        <v>1482</v>
      </c>
      <c r="C1640" s="113" t="s">
        <v>1483</v>
      </c>
      <c r="D1640" s="113">
        <v>1989</v>
      </c>
      <c r="E1640" s="113">
        <v>1986</v>
      </c>
      <c r="F1640" s="113" t="s">
        <v>575</v>
      </c>
      <c r="G1640" s="113" t="s">
        <v>1484</v>
      </c>
      <c r="H1640" s="113">
        <v>38.950000000000003</v>
      </c>
      <c r="I1640" s="113">
        <v>-91.94</v>
      </c>
      <c r="J1640" s="113">
        <v>251.9</v>
      </c>
      <c r="P1640" s="114" t="s">
        <v>187</v>
      </c>
      <c r="Q1640" s="114"/>
      <c r="R1640" s="114" t="s">
        <v>1487</v>
      </c>
      <c r="S1640" s="114"/>
      <c r="W1640" s="113" t="s">
        <v>175</v>
      </c>
      <c r="AA1640" s="113" t="s">
        <v>1724</v>
      </c>
      <c r="AB1640" s="113" t="s">
        <v>1485</v>
      </c>
      <c r="AC1640" s="113" t="s">
        <v>219</v>
      </c>
      <c r="AD1640" s="113" t="s">
        <v>160</v>
      </c>
      <c r="AJ1640" s="113" t="s">
        <v>1493</v>
      </c>
      <c r="AK1640" s="113" t="s">
        <v>1493</v>
      </c>
      <c r="AL1640" s="113" t="s">
        <v>252</v>
      </c>
      <c r="AN1640" s="113">
        <v>2</v>
      </c>
      <c r="AO1640" s="113">
        <v>2</v>
      </c>
      <c r="AP1640" s="113" t="s">
        <v>184</v>
      </c>
      <c r="CR1640" s="113">
        <v>1E-3</v>
      </c>
      <c r="CS1640" s="113">
        <v>0</v>
      </c>
      <c r="CT1640" s="113" t="s">
        <v>1495</v>
      </c>
      <c r="CU1640" s="113">
        <v>7</v>
      </c>
      <c r="CV1640" s="113">
        <v>1</v>
      </c>
      <c r="CW1640" s="113" t="s">
        <v>1494</v>
      </c>
      <c r="EN1640" s="113">
        <v>75</v>
      </c>
    </row>
    <row r="1641" spans="1:144" s="113" customFormat="1" x14ac:dyDescent="0.25">
      <c r="A1641" s="113">
        <v>75</v>
      </c>
      <c r="B1641" s="113" t="s">
        <v>1482</v>
      </c>
      <c r="C1641" s="113" t="s">
        <v>1483</v>
      </c>
      <c r="D1641" s="113">
        <v>1989</v>
      </c>
      <c r="E1641" s="113">
        <v>1986</v>
      </c>
      <c r="F1641" s="113" t="s">
        <v>575</v>
      </c>
      <c r="G1641" s="113" t="s">
        <v>1484</v>
      </c>
      <c r="H1641" s="113">
        <v>38.950000000000003</v>
      </c>
      <c r="I1641" s="113">
        <v>-91.94</v>
      </c>
      <c r="J1641" s="113">
        <v>251.9</v>
      </c>
      <c r="P1641" s="114" t="s">
        <v>187</v>
      </c>
      <c r="Q1641" s="114"/>
      <c r="R1641" s="114" t="s">
        <v>1488</v>
      </c>
      <c r="S1641" s="114"/>
      <c r="W1641" s="113" t="s">
        <v>175</v>
      </c>
      <c r="AA1641" s="113" t="s">
        <v>1724</v>
      </c>
      <c r="AB1641" s="113" t="s">
        <v>1485</v>
      </c>
      <c r="AC1641" s="113" t="s">
        <v>219</v>
      </c>
      <c r="AD1641" s="113" t="s">
        <v>160</v>
      </c>
      <c r="AJ1641" s="113" t="s">
        <v>1493</v>
      </c>
      <c r="AK1641" s="113" t="s">
        <v>1493</v>
      </c>
      <c r="AL1641" s="113" t="s">
        <v>252</v>
      </c>
      <c r="AN1641" s="113">
        <v>2</v>
      </c>
      <c r="AO1641" s="113">
        <v>2</v>
      </c>
      <c r="AP1641" s="113" t="s">
        <v>184</v>
      </c>
      <c r="CR1641" s="113">
        <v>1E-3</v>
      </c>
      <c r="CS1641" s="113">
        <v>0</v>
      </c>
      <c r="CT1641" s="113" t="s">
        <v>1495</v>
      </c>
      <c r="CU1641" s="113">
        <v>92</v>
      </c>
      <c r="CV1641" s="113">
        <v>15</v>
      </c>
      <c r="CW1641" s="113" t="s">
        <v>1494</v>
      </c>
      <c r="EN1641" s="113">
        <v>75</v>
      </c>
    </row>
    <row r="1642" spans="1:144" s="113" customFormat="1" x14ac:dyDescent="0.25">
      <c r="A1642" s="113">
        <v>75</v>
      </c>
      <c r="B1642" s="113" t="s">
        <v>1482</v>
      </c>
      <c r="C1642" s="113" t="s">
        <v>1483</v>
      </c>
      <c r="D1642" s="113">
        <v>1989</v>
      </c>
      <c r="E1642" s="113">
        <v>1986</v>
      </c>
      <c r="F1642" s="113" t="s">
        <v>575</v>
      </c>
      <c r="G1642" s="113" t="s">
        <v>1484</v>
      </c>
      <c r="H1642" s="113">
        <v>38.950000000000003</v>
      </c>
      <c r="I1642" s="113">
        <v>-91.94</v>
      </c>
      <c r="J1642" s="113">
        <v>251.9</v>
      </c>
      <c r="P1642" s="114" t="s">
        <v>187</v>
      </c>
      <c r="Q1642" s="114"/>
      <c r="R1642" s="114" t="s">
        <v>1489</v>
      </c>
      <c r="S1642" s="114"/>
      <c r="W1642" s="113" t="s">
        <v>175</v>
      </c>
      <c r="AA1642" s="113" t="s">
        <v>1724</v>
      </c>
      <c r="AB1642" s="113" t="s">
        <v>1485</v>
      </c>
      <c r="AC1642" s="113" t="s">
        <v>219</v>
      </c>
      <c r="AD1642" s="113" t="s">
        <v>160</v>
      </c>
      <c r="AJ1642" s="113" t="s">
        <v>1493</v>
      </c>
      <c r="AK1642" s="113" t="s">
        <v>1493</v>
      </c>
      <c r="AL1642" s="113" t="s">
        <v>252</v>
      </c>
      <c r="AN1642" s="113">
        <v>2</v>
      </c>
      <c r="AO1642" s="113">
        <v>2</v>
      </c>
      <c r="AP1642" s="113" t="s">
        <v>184</v>
      </c>
      <c r="CR1642" s="113">
        <v>562</v>
      </c>
      <c r="CS1642" s="113">
        <v>45</v>
      </c>
      <c r="CT1642" s="113" t="s">
        <v>1495</v>
      </c>
      <c r="CU1642" s="113">
        <v>151</v>
      </c>
      <c r="CV1642" s="113">
        <v>52</v>
      </c>
      <c r="CW1642" s="113" t="s">
        <v>1494</v>
      </c>
      <c r="EN1642" s="113">
        <v>75</v>
      </c>
    </row>
    <row r="1643" spans="1:144" s="117" customFormat="1" x14ac:dyDescent="0.25">
      <c r="A1643" s="117">
        <v>75</v>
      </c>
      <c r="B1643" s="117" t="s">
        <v>1482</v>
      </c>
      <c r="C1643" s="117" t="s">
        <v>1483</v>
      </c>
      <c r="D1643" s="117">
        <v>1989</v>
      </c>
      <c r="E1643" s="117">
        <v>1986</v>
      </c>
      <c r="F1643" s="117" t="s">
        <v>575</v>
      </c>
      <c r="G1643" s="117" t="s">
        <v>1484</v>
      </c>
      <c r="H1643" s="117">
        <v>38.950000000000003</v>
      </c>
      <c r="I1643" s="117">
        <v>-91.94</v>
      </c>
      <c r="J1643" s="117">
        <v>251.9</v>
      </c>
      <c r="P1643" s="118" t="s">
        <v>187</v>
      </c>
      <c r="Q1643" s="118"/>
      <c r="R1643" s="118" t="s">
        <v>1490</v>
      </c>
      <c r="S1643" s="118"/>
      <c r="W1643" s="117" t="s">
        <v>175</v>
      </c>
      <c r="AA1643" s="117" t="s">
        <v>1724</v>
      </c>
      <c r="AB1643" s="117" t="s">
        <v>1491</v>
      </c>
      <c r="AC1643" s="117" t="s">
        <v>219</v>
      </c>
      <c r="AD1643" s="117" t="s">
        <v>160</v>
      </c>
      <c r="AJ1643" s="117" t="s">
        <v>1493</v>
      </c>
      <c r="AK1643" s="117" t="s">
        <v>1493</v>
      </c>
      <c r="AL1643" s="117" t="s">
        <v>252</v>
      </c>
      <c r="AN1643" s="117">
        <v>2</v>
      </c>
      <c r="AO1643" s="117">
        <v>2</v>
      </c>
      <c r="AP1643" s="117" t="s">
        <v>184</v>
      </c>
      <c r="CR1643" s="117">
        <v>562</v>
      </c>
      <c r="CS1643" s="117">
        <v>0</v>
      </c>
      <c r="CT1643" s="117" t="s">
        <v>1495</v>
      </c>
      <c r="CU1643" s="117">
        <v>10</v>
      </c>
      <c r="CV1643" s="117">
        <v>0</v>
      </c>
      <c r="CW1643" s="117" t="s">
        <v>1494</v>
      </c>
      <c r="EN1643" s="117">
        <v>75</v>
      </c>
    </row>
    <row r="1644" spans="1:144" s="117" customFormat="1" x14ac:dyDescent="0.25">
      <c r="A1644" s="117">
        <v>75</v>
      </c>
      <c r="B1644" s="117" t="s">
        <v>1482</v>
      </c>
      <c r="C1644" s="117" t="s">
        <v>1483</v>
      </c>
      <c r="D1644" s="117">
        <v>1989</v>
      </c>
      <c r="E1644" s="117">
        <v>1986</v>
      </c>
      <c r="F1644" s="117" t="s">
        <v>575</v>
      </c>
      <c r="G1644" s="117" t="s">
        <v>1484</v>
      </c>
      <c r="H1644" s="117">
        <v>38.950000000000003</v>
      </c>
      <c r="I1644" s="117">
        <v>-91.94</v>
      </c>
      <c r="J1644" s="117">
        <v>251.9</v>
      </c>
      <c r="P1644" s="118" t="s">
        <v>187</v>
      </c>
      <c r="Q1644" s="118"/>
      <c r="R1644" s="118" t="s">
        <v>1486</v>
      </c>
      <c r="S1644" s="118"/>
      <c r="W1644" s="117" t="s">
        <v>175</v>
      </c>
      <c r="AA1644" s="117" t="s">
        <v>1724</v>
      </c>
      <c r="AB1644" s="117" t="s">
        <v>1491</v>
      </c>
      <c r="AC1644" s="117" t="s">
        <v>219</v>
      </c>
      <c r="AD1644" s="117" t="s">
        <v>160</v>
      </c>
      <c r="AJ1644" s="117" t="s">
        <v>1493</v>
      </c>
      <c r="AK1644" s="117" t="s">
        <v>1493</v>
      </c>
      <c r="AL1644" s="117" t="s">
        <v>252</v>
      </c>
      <c r="AN1644" s="117">
        <v>2</v>
      </c>
      <c r="AO1644" s="117">
        <v>2</v>
      </c>
      <c r="AP1644" s="117" t="s">
        <v>184</v>
      </c>
      <c r="CR1644" s="117">
        <v>1E-3</v>
      </c>
      <c r="CS1644" s="117">
        <v>0</v>
      </c>
      <c r="CT1644" s="117" t="s">
        <v>1495</v>
      </c>
      <c r="CU1644" s="117">
        <v>1</v>
      </c>
      <c r="CV1644" s="117">
        <v>0</v>
      </c>
      <c r="CW1644" s="117" t="s">
        <v>1494</v>
      </c>
      <c r="EN1644" s="117">
        <v>75</v>
      </c>
    </row>
    <row r="1645" spans="1:144" s="117" customFormat="1" x14ac:dyDescent="0.25">
      <c r="A1645" s="117">
        <v>75</v>
      </c>
      <c r="B1645" s="117" t="s">
        <v>1482</v>
      </c>
      <c r="C1645" s="117" t="s">
        <v>1483</v>
      </c>
      <c r="D1645" s="117">
        <v>1989</v>
      </c>
      <c r="E1645" s="117">
        <v>1986</v>
      </c>
      <c r="F1645" s="117" t="s">
        <v>575</v>
      </c>
      <c r="G1645" s="117" t="s">
        <v>1484</v>
      </c>
      <c r="H1645" s="117">
        <v>38.950000000000003</v>
      </c>
      <c r="I1645" s="117">
        <v>-91.94</v>
      </c>
      <c r="J1645" s="117">
        <v>251.9</v>
      </c>
      <c r="P1645" s="118" t="s">
        <v>187</v>
      </c>
      <c r="Q1645" s="118"/>
      <c r="R1645" s="118" t="s">
        <v>1487</v>
      </c>
      <c r="S1645" s="118"/>
      <c r="W1645" s="117" t="s">
        <v>175</v>
      </c>
      <c r="AA1645" s="117" t="s">
        <v>1724</v>
      </c>
      <c r="AB1645" s="117" t="s">
        <v>1491</v>
      </c>
      <c r="AC1645" s="117" t="s">
        <v>219</v>
      </c>
      <c r="AD1645" s="117" t="s">
        <v>160</v>
      </c>
      <c r="AJ1645" s="117" t="s">
        <v>1493</v>
      </c>
      <c r="AK1645" s="117" t="s">
        <v>1493</v>
      </c>
      <c r="AL1645" s="117" t="s">
        <v>252</v>
      </c>
      <c r="AN1645" s="117">
        <v>2</v>
      </c>
      <c r="AO1645" s="117">
        <v>2</v>
      </c>
      <c r="AP1645" s="117" t="s">
        <v>184</v>
      </c>
      <c r="CR1645" s="117">
        <v>1E-3</v>
      </c>
      <c r="CS1645" s="117">
        <v>0</v>
      </c>
      <c r="CT1645" s="117" t="s">
        <v>1495</v>
      </c>
      <c r="CU1645" s="117">
        <v>7</v>
      </c>
      <c r="CV1645" s="117">
        <v>0</v>
      </c>
      <c r="CW1645" s="117" t="s">
        <v>1494</v>
      </c>
      <c r="EN1645" s="117">
        <v>75</v>
      </c>
    </row>
    <row r="1646" spans="1:144" s="117" customFormat="1" x14ac:dyDescent="0.25">
      <c r="A1646" s="117">
        <v>75</v>
      </c>
      <c r="B1646" s="117" t="s">
        <v>1482</v>
      </c>
      <c r="C1646" s="117" t="s">
        <v>1483</v>
      </c>
      <c r="D1646" s="117">
        <v>1989</v>
      </c>
      <c r="E1646" s="117">
        <v>1986</v>
      </c>
      <c r="F1646" s="117" t="s">
        <v>575</v>
      </c>
      <c r="G1646" s="117" t="s">
        <v>1484</v>
      </c>
      <c r="H1646" s="117">
        <v>38.950000000000003</v>
      </c>
      <c r="I1646" s="117">
        <v>-91.94</v>
      </c>
      <c r="J1646" s="117">
        <v>251.9</v>
      </c>
      <c r="P1646" s="118" t="s">
        <v>187</v>
      </c>
      <c r="Q1646" s="118"/>
      <c r="R1646" s="118" t="s">
        <v>1488</v>
      </c>
      <c r="S1646" s="118"/>
      <c r="W1646" s="117" t="s">
        <v>175</v>
      </c>
      <c r="AA1646" s="117" t="s">
        <v>1724</v>
      </c>
      <c r="AB1646" s="117" t="s">
        <v>1491</v>
      </c>
      <c r="AC1646" s="117" t="s">
        <v>219</v>
      </c>
      <c r="AD1646" s="117" t="s">
        <v>160</v>
      </c>
      <c r="AJ1646" s="117" t="s">
        <v>1493</v>
      </c>
      <c r="AK1646" s="117" t="s">
        <v>1493</v>
      </c>
      <c r="AL1646" s="117" t="s">
        <v>252</v>
      </c>
      <c r="AN1646" s="117">
        <v>2</v>
      </c>
      <c r="AO1646" s="117">
        <v>2</v>
      </c>
      <c r="AP1646" s="117" t="s">
        <v>184</v>
      </c>
      <c r="CR1646" s="117">
        <v>1E-3</v>
      </c>
      <c r="CS1646" s="117">
        <v>0</v>
      </c>
      <c r="CT1646" s="117" t="s">
        <v>1495</v>
      </c>
      <c r="CU1646" s="117">
        <v>92</v>
      </c>
      <c r="CV1646" s="117">
        <v>26</v>
      </c>
      <c r="CW1646" s="117" t="s">
        <v>1494</v>
      </c>
      <c r="EN1646" s="117">
        <v>75</v>
      </c>
    </row>
    <row r="1647" spans="1:144" s="117" customFormat="1" x14ac:dyDescent="0.25">
      <c r="A1647" s="117">
        <v>75</v>
      </c>
      <c r="B1647" s="117" t="s">
        <v>1482</v>
      </c>
      <c r="C1647" s="117" t="s">
        <v>1483</v>
      </c>
      <c r="D1647" s="117">
        <v>1989</v>
      </c>
      <c r="E1647" s="117">
        <v>1986</v>
      </c>
      <c r="F1647" s="117" t="s">
        <v>575</v>
      </c>
      <c r="G1647" s="117" t="s">
        <v>1484</v>
      </c>
      <c r="H1647" s="117">
        <v>38.950000000000003</v>
      </c>
      <c r="I1647" s="117">
        <v>-91.94</v>
      </c>
      <c r="J1647" s="117">
        <v>251.9</v>
      </c>
      <c r="P1647" s="118" t="s">
        <v>187</v>
      </c>
      <c r="Q1647" s="118"/>
      <c r="R1647" s="118" t="s">
        <v>1489</v>
      </c>
      <c r="S1647" s="118"/>
      <c r="W1647" s="117" t="s">
        <v>175</v>
      </c>
      <c r="AA1647" s="117" t="s">
        <v>1724</v>
      </c>
      <c r="AB1647" s="117" t="s">
        <v>1491</v>
      </c>
      <c r="AC1647" s="117" t="s">
        <v>219</v>
      </c>
      <c r="AD1647" s="117" t="s">
        <v>160</v>
      </c>
      <c r="AJ1647" s="117" t="s">
        <v>1493</v>
      </c>
      <c r="AK1647" s="117" t="s">
        <v>1493</v>
      </c>
      <c r="AL1647" s="117" t="s">
        <v>252</v>
      </c>
      <c r="AN1647" s="117">
        <v>2</v>
      </c>
      <c r="AO1647" s="117">
        <v>2</v>
      </c>
      <c r="AP1647" s="117" t="s">
        <v>184</v>
      </c>
      <c r="CR1647" s="117">
        <v>562</v>
      </c>
      <c r="CS1647" s="117">
        <v>0</v>
      </c>
      <c r="CT1647" s="117" t="s">
        <v>1495</v>
      </c>
      <c r="CU1647" s="117">
        <v>151</v>
      </c>
      <c r="CV1647" s="117">
        <v>67</v>
      </c>
      <c r="CW1647" s="117" t="s">
        <v>1494</v>
      </c>
      <c r="EN1647" s="117">
        <v>75</v>
      </c>
    </row>
    <row r="1648" spans="1:144" s="113" customFormat="1" x14ac:dyDescent="0.25">
      <c r="A1648" s="113">
        <v>75</v>
      </c>
      <c r="B1648" s="113" t="s">
        <v>1482</v>
      </c>
      <c r="C1648" s="113" t="s">
        <v>1483</v>
      </c>
      <c r="D1648" s="113">
        <v>1989</v>
      </c>
      <c r="E1648" s="113">
        <v>1986</v>
      </c>
      <c r="F1648" s="113" t="s">
        <v>575</v>
      </c>
      <c r="G1648" s="113" t="s">
        <v>1484</v>
      </c>
      <c r="H1648" s="113">
        <v>38.950000000000003</v>
      </c>
      <c r="I1648" s="113">
        <v>-91.94</v>
      </c>
      <c r="J1648" s="113">
        <v>251.9</v>
      </c>
      <c r="P1648" s="114" t="s">
        <v>187</v>
      </c>
      <c r="Q1648" s="114"/>
      <c r="R1648" s="114" t="s">
        <v>1490</v>
      </c>
      <c r="S1648" s="114"/>
      <c r="W1648" s="113" t="s">
        <v>175</v>
      </c>
      <c r="AA1648" s="113" t="s">
        <v>1724</v>
      </c>
      <c r="AB1648" s="113" t="s">
        <v>1492</v>
      </c>
      <c r="AC1648" s="113" t="s">
        <v>219</v>
      </c>
      <c r="AD1648" s="113" t="s">
        <v>160</v>
      </c>
      <c r="AJ1648" s="113" t="s">
        <v>1493</v>
      </c>
      <c r="AK1648" s="113" t="s">
        <v>1493</v>
      </c>
      <c r="AL1648" s="113" t="s">
        <v>252</v>
      </c>
      <c r="AN1648" s="113">
        <v>2</v>
      </c>
      <c r="AO1648" s="113">
        <v>2</v>
      </c>
      <c r="AP1648" s="113" t="s">
        <v>184</v>
      </c>
      <c r="CR1648" s="113">
        <v>562</v>
      </c>
      <c r="CS1648" s="113">
        <v>0</v>
      </c>
      <c r="CT1648" s="113" t="s">
        <v>1495</v>
      </c>
      <c r="CU1648" s="113">
        <v>10</v>
      </c>
      <c r="CV1648" s="113">
        <v>0</v>
      </c>
      <c r="CW1648" s="113" t="s">
        <v>1494</v>
      </c>
      <c r="EN1648" s="113">
        <v>75</v>
      </c>
    </row>
    <row r="1649" spans="1:144" s="113" customFormat="1" x14ac:dyDescent="0.25">
      <c r="A1649" s="113">
        <v>75</v>
      </c>
      <c r="B1649" s="113" t="s">
        <v>1482</v>
      </c>
      <c r="C1649" s="113" t="s">
        <v>1483</v>
      </c>
      <c r="D1649" s="113">
        <v>1989</v>
      </c>
      <c r="E1649" s="113">
        <v>1986</v>
      </c>
      <c r="F1649" s="113" t="s">
        <v>575</v>
      </c>
      <c r="G1649" s="113" t="s">
        <v>1484</v>
      </c>
      <c r="H1649" s="113">
        <v>38.950000000000003</v>
      </c>
      <c r="I1649" s="113">
        <v>-91.94</v>
      </c>
      <c r="J1649" s="113">
        <v>251.9</v>
      </c>
      <c r="P1649" s="114" t="s">
        <v>187</v>
      </c>
      <c r="Q1649" s="114"/>
      <c r="R1649" s="114" t="s">
        <v>1486</v>
      </c>
      <c r="S1649" s="114"/>
      <c r="W1649" s="113" t="s">
        <v>175</v>
      </c>
      <c r="AA1649" s="113" t="s">
        <v>1724</v>
      </c>
      <c r="AB1649" s="113" t="s">
        <v>1492</v>
      </c>
      <c r="AC1649" s="113" t="s">
        <v>219</v>
      </c>
      <c r="AD1649" s="113" t="s">
        <v>160</v>
      </c>
      <c r="AJ1649" s="113" t="s">
        <v>1493</v>
      </c>
      <c r="AK1649" s="113" t="s">
        <v>1493</v>
      </c>
      <c r="AL1649" s="113" t="s">
        <v>252</v>
      </c>
      <c r="AN1649" s="113">
        <v>2</v>
      </c>
      <c r="AO1649" s="113">
        <v>2</v>
      </c>
      <c r="AP1649" s="113" t="s">
        <v>184</v>
      </c>
      <c r="CR1649" s="113">
        <v>1E-3</v>
      </c>
      <c r="CS1649" s="113">
        <v>0</v>
      </c>
      <c r="CT1649" s="113" t="s">
        <v>1495</v>
      </c>
      <c r="CU1649" s="113">
        <v>1</v>
      </c>
      <c r="CV1649" s="113">
        <v>0</v>
      </c>
      <c r="CW1649" s="113" t="s">
        <v>1494</v>
      </c>
      <c r="EN1649" s="113">
        <v>75</v>
      </c>
    </row>
    <row r="1650" spans="1:144" s="113" customFormat="1" x14ac:dyDescent="0.25">
      <c r="A1650" s="113">
        <v>75</v>
      </c>
      <c r="B1650" s="113" t="s">
        <v>1482</v>
      </c>
      <c r="C1650" s="113" t="s">
        <v>1483</v>
      </c>
      <c r="D1650" s="113">
        <v>1989</v>
      </c>
      <c r="E1650" s="113">
        <v>1986</v>
      </c>
      <c r="F1650" s="113" t="s">
        <v>575</v>
      </c>
      <c r="G1650" s="113" t="s">
        <v>1484</v>
      </c>
      <c r="H1650" s="113">
        <v>38.950000000000003</v>
      </c>
      <c r="I1650" s="113">
        <v>-91.94</v>
      </c>
      <c r="J1650" s="113">
        <v>251.9</v>
      </c>
      <c r="P1650" s="114" t="s">
        <v>187</v>
      </c>
      <c r="Q1650" s="114"/>
      <c r="R1650" s="114" t="s">
        <v>1487</v>
      </c>
      <c r="S1650" s="114"/>
      <c r="W1650" s="113" t="s">
        <v>175</v>
      </c>
      <c r="AA1650" s="113" t="s">
        <v>1724</v>
      </c>
      <c r="AB1650" s="113" t="s">
        <v>1492</v>
      </c>
      <c r="AC1650" s="113" t="s">
        <v>219</v>
      </c>
      <c r="AD1650" s="113" t="s">
        <v>160</v>
      </c>
      <c r="AJ1650" s="113" t="s">
        <v>1493</v>
      </c>
      <c r="AK1650" s="113" t="s">
        <v>1493</v>
      </c>
      <c r="AL1650" s="113" t="s">
        <v>252</v>
      </c>
      <c r="AN1650" s="113">
        <v>2</v>
      </c>
      <c r="AO1650" s="113">
        <v>2</v>
      </c>
      <c r="AP1650" s="113" t="s">
        <v>184</v>
      </c>
      <c r="CR1650" s="113">
        <v>1E-3</v>
      </c>
      <c r="CS1650" s="113">
        <v>0</v>
      </c>
      <c r="CT1650" s="113" t="s">
        <v>1495</v>
      </c>
      <c r="CU1650" s="113">
        <v>7</v>
      </c>
      <c r="CV1650" s="113">
        <v>0</v>
      </c>
      <c r="CW1650" s="113" t="s">
        <v>1494</v>
      </c>
      <c r="EN1650" s="113">
        <v>75</v>
      </c>
    </row>
    <row r="1651" spans="1:144" s="113" customFormat="1" x14ac:dyDescent="0.25">
      <c r="A1651" s="113">
        <v>75</v>
      </c>
      <c r="B1651" s="113" t="s">
        <v>1482</v>
      </c>
      <c r="C1651" s="113" t="s">
        <v>1483</v>
      </c>
      <c r="D1651" s="113">
        <v>1989</v>
      </c>
      <c r="E1651" s="113">
        <v>1986</v>
      </c>
      <c r="F1651" s="113" t="s">
        <v>575</v>
      </c>
      <c r="G1651" s="113" t="s">
        <v>1484</v>
      </c>
      <c r="H1651" s="113">
        <v>38.950000000000003</v>
      </c>
      <c r="I1651" s="113">
        <v>-91.94</v>
      </c>
      <c r="J1651" s="113">
        <v>251.9</v>
      </c>
      <c r="P1651" s="114" t="s">
        <v>187</v>
      </c>
      <c r="Q1651" s="114"/>
      <c r="R1651" s="114" t="s">
        <v>1488</v>
      </c>
      <c r="S1651" s="114"/>
      <c r="W1651" s="113" t="s">
        <v>175</v>
      </c>
      <c r="AA1651" s="113" t="s">
        <v>1724</v>
      </c>
      <c r="AB1651" s="113" t="s">
        <v>1492</v>
      </c>
      <c r="AC1651" s="113" t="s">
        <v>219</v>
      </c>
      <c r="AD1651" s="113" t="s">
        <v>160</v>
      </c>
      <c r="AJ1651" s="113" t="s">
        <v>1493</v>
      </c>
      <c r="AK1651" s="113" t="s">
        <v>1493</v>
      </c>
      <c r="AL1651" s="113" t="s">
        <v>252</v>
      </c>
      <c r="AN1651" s="113">
        <v>2</v>
      </c>
      <c r="AO1651" s="113">
        <v>2</v>
      </c>
      <c r="AP1651" s="113" t="s">
        <v>184</v>
      </c>
      <c r="CR1651" s="113">
        <v>1E-3</v>
      </c>
      <c r="CS1651" s="113">
        <v>0</v>
      </c>
      <c r="CT1651" s="113" t="s">
        <v>1495</v>
      </c>
      <c r="CU1651" s="113">
        <v>92</v>
      </c>
      <c r="CV1651" s="113">
        <v>15</v>
      </c>
      <c r="CW1651" s="113" t="s">
        <v>1494</v>
      </c>
      <c r="EN1651" s="113">
        <v>75</v>
      </c>
    </row>
    <row r="1652" spans="1:144" s="113" customFormat="1" x14ac:dyDescent="0.25">
      <c r="A1652" s="113">
        <v>75</v>
      </c>
      <c r="B1652" s="113" t="s">
        <v>1482</v>
      </c>
      <c r="C1652" s="113" t="s">
        <v>1483</v>
      </c>
      <c r="D1652" s="113">
        <v>1989</v>
      </c>
      <c r="E1652" s="113">
        <v>1986</v>
      </c>
      <c r="F1652" s="113" t="s">
        <v>575</v>
      </c>
      <c r="G1652" s="113" t="s">
        <v>1484</v>
      </c>
      <c r="H1652" s="113">
        <v>38.950000000000003</v>
      </c>
      <c r="I1652" s="113">
        <v>-91.94</v>
      </c>
      <c r="J1652" s="113">
        <v>251.9</v>
      </c>
      <c r="P1652" s="114" t="s">
        <v>187</v>
      </c>
      <c r="Q1652" s="114"/>
      <c r="R1652" s="114" t="s">
        <v>1489</v>
      </c>
      <c r="S1652" s="114"/>
      <c r="W1652" s="113" t="s">
        <v>175</v>
      </c>
      <c r="AA1652" s="113" t="s">
        <v>1724</v>
      </c>
      <c r="AB1652" s="113" t="s">
        <v>1492</v>
      </c>
      <c r="AC1652" s="113" t="s">
        <v>219</v>
      </c>
      <c r="AD1652" s="113" t="s">
        <v>160</v>
      </c>
      <c r="AJ1652" s="113" t="s">
        <v>1493</v>
      </c>
      <c r="AK1652" s="113" t="s">
        <v>1493</v>
      </c>
      <c r="AL1652" s="113" t="s">
        <v>252</v>
      </c>
      <c r="AN1652" s="113">
        <v>2</v>
      </c>
      <c r="AO1652" s="113">
        <v>2</v>
      </c>
      <c r="AP1652" s="113" t="s">
        <v>184</v>
      </c>
      <c r="CR1652" s="113">
        <v>562</v>
      </c>
      <c r="CS1652" s="113">
        <v>0</v>
      </c>
      <c r="CT1652" s="113" t="s">
        <v>1495</v>
      </c>
      <c r="CU1652" s="113">
        <v>151</v>
      </c>
      <c r="CV1652" s="113">
        <v>31</v>
      </c>
      <c r="CW1652" s="113" t="s">
        <v>1494</v>
      </c>
      <c r="EN1652" s="113">
        <v>75</v>
      </c>
    </row>
    <row r="1653" spans="1:144" s="26" customFormat="1" x14ac:dyDescent="0.25">
      <c r="A1653" s="26">
        <v>75</v>
      </c>
      <c r="B1653" s="26" t="s">
        <v>1482</v>
      </c>
      <c r="C1653" s="26" t="s">
        <v>1483</v>
      </c>
      <c r="D1653" s="26">
        <v>1989</v>
      </c>
      <c r="E1653" s="26">
        <v>1987</v>
      </c>
      <c r="F1653" s="26" t="s">
        <v>575</v>
      </c>
      <c r="G1653" s="26" t="s">
        <v>1484</v>
      </c>
      <c r="H1653" s="26">
        <v>38.950000000000003</v>
      </c>
      <c r="I1653" s="26">
        <v>-91.94</v>
      </c>
      <c r="J1653" s="26">
        <v>251.9</v>
      </c>
      <c r="P1653" s="52" t="s">
        <v>188</v>
      </c>
      <c r="Q1653" s="52"/>
      <c r="R1653" s="52" t="s">
        <v>1490</v>
      </c>
      <c r="S1653" s="52"/>
      <c r="W1653" s="26" t="s">
        <v>175</v>
      </c>
      <c r="AA1653" s="26" t="s">
        <v>1724</v>
      </c>
      <c r="AB1653" s="26" t="s">
        <v>1485</v>
      </c>
      <c r="AC1653" s="26" t="s">
        <v>219</v>
      </c>
      <c r="AD1653" s="26" t="s">
        <v>160</v>
      </c>
      <c r="AJ1653" s="26" t="s">
        <v>1493</v>
      </c>
      <c r="AK1653" s="26" t="s">
        <v>1493</v>
      </c>
      <c r="AL1653" s="26" t="s">
        <v>252</v>
      </c>
      <c r="AN1653" s="26">
        <v>2</v>
      </c>
      <c r="AO1653" s="26">
        <v>2</v>
      </c>
      <c r="AP1653" s="26" t="s">
        <v>184</v>
      </c>
      <c r="CR1653" s="26">
        <v>217</v>
      </c>
      <c r="CS1653" s="26">
        <v>0</v>
      </c>
      <c r="CT1653" s="26" t="s">
        <v>1495</v>
      </c>
      <c r="CU1653" s="26">
        <v>2</v>
      </c>
      <c r="CV1653" s="26">
        <v>0</v>
      </c>
      <c r="CW1653" s="26" t="s">
        <v>1494</v>
      </c>
      <c r="EN1653" s="26">
        <v>75</v>
      </c>
    </row>
    <row r="1654" spans="1:144" s="26" customFormat="1" x14ac:dyDescent="0.25">
      <c r="A1654" s="26">
        <v>75</v>
      </c>
      <c r="B1654" s="26" t="s">
        <v>1482</v>
      </c>
      <c r="C1654" s="26" t="s">
        <v>1483</v>
      </c>
      <c r="D1654" s="26">
        <v>1989</v>
      </c>
      <c r="E1654" s="26">
        <v>1987</v>
      </c>
      <c r="F1654" s="26" t="s">
        <v>575</v>
      </c>
      <c r="G1654" s="26" t="s">
        <v>1484</v>
      </c>
      <c r="H1654" s="26">
        <v>38.950000000000003</v>
      </c>
      <c r="I1654" s="26">
        <v>-91.94</v>
      </c>
      <c r="J1654" s="26">
        <v>251.9</v>
      </c>
      <c r="P1654" s="52" t="s">
        <v>188</v>
      </c>
      <c r="Q1654" s="52"/>
      <c r="R1654" s="52" t="s">
        <v>1486</v>
      </c>
      <c r="S1654" s="52"/>
      <c r="W1654" s="26" t="s">
        <v>175</v>
      </c>
      <c r="AA1654" s="26" t="s">
        <v>1724</v>
      </c>
      <c r="AB1654" s="26" t="s">
        <v>1485</v>
      </c>
      <c r="AC1654" s="26" t="s">
        <v>219</v>
      </c>
      <c r="AD1654" s="26" t="s">
        <v>160</v>
      </c>
      <c r="AJ1654" s="26" t="s">
        <v>1493</v>
      </c>
      <c r="AK1654" s="26" t="s">
        <v>1493</v>
      </c>
      <c r="AL1654" s="26" t="s">
        <v>252</v>
      </c>
      <c r="AN1654" s="26">
        <v>2</v>
      </c>
      <c r="AO1654" s="26">
        <v>2</v>
      </c>
      <c r="AP1654" s="26" t="s">
        <v>184</v>
      </c>
      <c r="CR1654" s="26">
        <v>1317</v>
      </c>
      <c r="CS1654" s="26">
        <v>125</v>
      </c>
      <c r="CT1654" s="26" t="s">
        <v>1495</v>
      </c>
      <c r="CU1654" s="26">
        <v>33</v>
      </c>
      <c r="CV1654" s="26">
        <v>8</v>
      </c>
      <c r="CW1654" s="26" t="s">
        <v>1494</v>
      </c>
      <c r="EN1654" s="26">
        <v>75</v>
      </c>
    </row>
    <row r="1655" spans="1:144" s="26" customFormat="1" x14ac:dyDescent="0.25">
      <c r="A1655" s="26">
        <v>75</v>
      </c>
      <c r="B1655" s="26" t="s">
        <v>1482</v>
      </c>
      <c r="C1655" s="26" t="s">
        <v>1483</v>
      </c>
      <c r="D1655" s="26">
        <v>1989</v>
      </c>
      <c r="E1655" s="26">
        <v>1987</v>
      </c>
      <c r="F1655" s="26" t="s">
        <v>575</v>
      </c>
      <c r="G1655" s="26" t="s">
        <v>1484</v>
      </c>
      <c r="H1655" s="26">
        <v>38.950000000000003</v>
      </c>
      <c r="I1655" s="26">
        <v>-91.94</v>
      </c>
      <c r="J1655" s="26">
        <v>251.9</v>
      </c>
      <c r="P1655" s="52" t="s">
        <v>188</v>
      </c>
      <c r="Q1655" s="52"/>
      <c r="R1655" s="52" t="s">
        <v>1487</v>
      </c>
      <c r="S1655" s="52"/>
      <c r="W1655" s="26" t="s">
        <v>175</v>
      </c>
      <c r="AA1655" s="26" t="s">
        <v>1724</v>
      </c>
      <c r="AB1655" s="26" t="s">
        <v>1485</v>
      </c>
      <c r="AC1655" s="26" t="s">
        <v>219</v>
      </c>
      <c r="AD1655" s="26" t="s">
        <v>160</v>
      </c>
      <c r="AJ1655" s="26" t="s">
        <v>1493</v>
      </c>
      <c r="AK1655" s="26" t="s">
        <v>1493</v>
      </c>
      <c r="AL1655" s="26" t="s">
        <v>252</v>
      </c>
      <c r="AN1655" s="26">
        <v>2</v>
      </c>
      <c r="AO1655" s="26">
        <v>2</v>
      </c>
      <c r="AP1655" s="26" t="s">
        <v>184</v>
      </c>
      <c r="CR1655" s="26">
        <v>0</v>
      </c>
      <c r="CS1655" s="26">
        <v>0</v>
      </c>
      <c r="CT1655" s="26" t="s">
        <v>1495</v>
      </c>
      <c r="CU1655" s="26">
        <v>1E-3</v>
      </c>
      <c r="CV1655" s="26">
        <v>0</v>
      </c>
      <c r="CW1655" s="26" t="s">
        <v>1494</v>
      </c>
      <c r="EN1655" s="26">
        <v>75</v>
      </c>
    </row>
    <row r="1656" spans="1:144" s="26" customFormat="1" x14ac:dyDescent="0.25">
      <c r="A1656" s="26">
        <v>75</v>
      </c>
      <c r="B1656" s="26" t="s">
        <v>1482</v>
      </c>
      <c r="C1656" s="26" t="s">
        <v>1483</v>
      </c>
      <c r="D1656" s="26">
        <v>1989</v>
      </c>
      <c r="E1656" s="26">
        <v>1987</v>
      </c>
      <c r="F1656" s="26" t="s">
        <v>575</v>
      </c>
      <c r="G1656" s="26" t="s">
        <v>1484</v>
      </c>
      <c r="H1656" s="26">
        <v>38.950000000000003</v>
      </c>
      <c r="I1656" s="26">
        <v>-91.94</v>
      </c>
      <c r="J1656" s="26">
        <v>251.9</v>
      </c>
      <c r="P1656" s="52" t="s">
        <v>188</v>
      </c>
      <c r="Q1656" s="52"/>
      <c r="R1656" s="52" t="s">
        <v>1488</v>
      </c>
      <c r="S1656" s="52"/>
      <c r="W1656" s="26" t="s">
        <v>175</v>
      </c>
      <c r="AA1656" s="26" t="s">
        <v>1724</v>
      </c>
      <c r="AB1656" s="26" t="s">
        <v>1485</v>
      </c>
      <c r="AC1656" s="26" t="s">
        <v>219</v>
      </c>
      <c r="AD1656" s="26" t="s">
        <v>160</v>
      </c>
      <c r="AJ1656" s="26" t="s">
        <v>1493</v>
      </c>
      <c r="AK1656" s="26" t="s">
        <v>1493</v>
      </c>
      <c r="AL1656" s="26" t="s">
        <v>252</v>
      </c>
      <c r="AN1656" s="26">
        <v>2</v>
      </c>
      <c r="AO1656" s="26">
        <v>2</v>
      </c>
      <c r="AP1656" s="26" t="s">
        <v>184</v>
      </c>
      <c r="CR1656" s="26">
        <v>111</v>
      </c>
      <c r="CS1656" s="26">
        <v>52</v>
      </c>
      <c r="CT1656" s="26" t="s">
        <v>1495</v>
      </c>
      <c r="CU1656" s="26">
        <v>57</v>
      </c>
      <c r="CV1656" s="26">
        <v>36</v>
      </c>
      <c r="CW1656" s="26" t="s">
        <v>1494</v>
      </c>
      <c r="EN1656" s="26">
        <v>75</v>
      </c>
    </row>
    <row r="1657" spans="1:144" s="26" customFormat="1" x14ac:dyDescent="0.25">
      <c r="A1657" s="26">
        <v>75</v>
      </c>
      <c r="B1657" s="26" t="s">
        <v>1482</v>
      </c>
      <c r="C1657" s="26" t="s">
        <v>1483</v>
      </c>
      <c r="D1657" s="26">
        <v>1989</v>
      </c>
      <c r="E1657" s="26">
        <v>1987</v>
      </c>
      <c r="F1657" s="26" t="s">
        <v>575</v>
      </c>
      <c r="G1657" s="26" t="s">
        <v>1484</v>
      </c>
      <c r="H1657" s="26">
        <v>38.950000000000003</v>
      </c>
      <c r="I1657" s="26">
        <v>-91.94</v>
      </c>
      <c r="J1657" s="26">
        <v>251.9</v>
      </c>
      <c r="P1657" s="52" t="s">
        <v>188</v>
      </c>
      <c r="Q1657" s="52"/>
      <c r="R1657" s="52" t="s">
        <v>1489</v>
      </c>
      <c r="S1657" s="52"/>
      <c r="W1657" s="26" t="s">
        <v>175</v>
      </c>
      <c r="AA1657" s="26" t="s">
        <v>1724</v>
      </c>
      <c r="AB1657" s="26" t="s">
        <v>1485</v>
      </c>
      <c r="AC1657" s="26" t="s">
        <v>219</v>
      </c>
      <c r="AD1657" s="26" t="s">
        <v>160</v>
      </c>
      <c r="AJ1657" s="26" t="s">
        <v>1493</v>
      </c>
      <c r="AK1657" s="26" t="s">
        <v>1493</v>
      </c>
      <c r="AL1657" s="26" t="s">
        <v>252</v>
      </c>
      <c r="AN1657" s="26">
        <v>2</v>
      </c>
      <c r="AO1657" s="26">
        <v>2</v>
      </c>
      <c r="AP1657" s="26" t="s">
        <v>184</v>
      </c>
      <c r="CR1657" s="26">
        <v>1534</v>
      </c>
      <c r="CS1657" s="26">
        <v>125</v>
      </c>
      <c r="CT1657" s="26" t="s">
        <v>1495</v>
      </c>
      <c r="CU1657" s="26">
        <v>74</v>
      </c>
      <c r="CV1657" s="26">
        <v>34</v>
      </c>
      <c r="CW1657" s="26" t="s">
        <v>1494</v>
      </c>
      <c r="EN1657" s="26">
        <v>75</v>
      </c>
    </row>
    <row r="1658" spans="1:144" s="35" customFormat="1" x14ac:dyDescent="0.25">
      <c r="A1658" s="35">
        <v>75</v>
      </c>
      <c r="B1658" s="35" t="s">
        <v>1482</v>
      </c>
      <c r="C1658" s="35" t="s">
        <v>1483</v>
      </c>
      <c r="D1658" s="35">
        <v>1989</v>
      </c>
      <c r="E1658" s="35">
        <v>1987</v>
      </c>
      <c r="F1658" s="35" t="s">
        <v>575</v>
      </c>
      <c r="G1658" s="35" t="s">
        <v>1484</v>
      </c>
      <c r="H1658" s="35">
        <v>38.950000000000003</v>
      </c>
      <c r="I1658" s="35">
        <v>-91.94</v>
      </c>
      <c r="J1658" s="35">
        <v>251.9</v>
      </c>
      <c r="P1658" s="54" t="s">
        <v>188</v>
      </c>
      <c r="Q1658" s="54"/>
      <c r="R1658" s="54" t="s">
        <v>1490</v>
      </c>
      <c r="S1658" s="54"/>
      <c r="W1658" s="35" t="s">
        <v>175</v>
      </c>
      <c r="AA1658" s="35" t="s">
        <v>1724</v>
      </c>
      <c r="AB1658" s="35" t="s">
        <v>1491</v>
      </c>
      <c r="AC1658" s="35" t="s">
        <v>219</v>
      </c>
      <c r="AD1658" s="35" t="s">
        <v>160</v>
      </c>
      <c r="AJ1658" s="35" t="s">
        <v>1493</v>
      </c>
      <c r="AK1658" s="35" t="s">
        <v>1493</v>
      </c>
      <c r="AL1658" s="35" t="s">
        <v>252</v>
      </c>
      <c r="AN1658" s="35">
        <v>2</v>
      </c>
      <c r="AO1658" s="35">
        <v>2</v>
      </c>
      <c r="AP1658" s="35" t="s">
        <v>184</v>
      </c>
      <c r="CR1658" s="35">
        <v>217</v>
      </c>
      <c r="CS1658" s="35">
        <v>0</v>
      </c>
      <c r="CT1658" s="35" t="s">
        <v>1495</v>
      </c>
      <c r="CU1658" s="35">
        <v>2</v>
      </c>
      <c r="CV1658" s="35">
        <v>0</v>
      </c>
      <c r="CW1658" s="35" t="s">
        <v>1494</v>
      </c>
      <c r="EN1658" s="35">
        <v>75</v>
      </c>
    </row>
    <row r="1659" spans="1:144" s="35" customFormat="1" x14ac:dyDescent="0.25">
      <c r="A1659" s="35">
        <v>75</v>
      </c>
      <c r="B1659" s="35" t="s">
        <v>1482</v>
      </c>
      <c r="C1659" s="35" t="s">
        <v>1483</v>
      </c>
      <c r="D1659" s="35">
        <v>1989</v>
      </c>
      <c r="E1659" s="35">
        <v>1987</v>
      </c>
      <c r="F1659" s="35" t="s">
        <v>575</v>
      </c>
      <c r="G1659" s="35" t="s">
        <v>1484</v>
      </c>
      <c r="H1659" s="35">
        <v>38.950000000000003</v>
      </c>
      <c r="I1659" s="35">
        <v>-91.94</v>
      </c>
      <c r="J1659" s="35">
        <v>251.9</v>
      </c>
      <c r="P1659" s="54" t="s">
        <v>188</v>
      </c>
      <c r="Q1659" s="54"/>
      <c r="R1659" s="54" t="s">
        <v>1486</v>
      </c>
      <c r="S1659" s="54"/>
      <c r="W1659" s="35" t="s">
        <v>175</v>
      </c>
      <c r="AA1659" s="35" t="s">
        <v>1724</v>
      </c>
      <c r="AB1659" s="35" t="s">
        <v>1491</v>
      </c>
      <c r="AC1659" s="35" t="s">
        <v>219</v>
      </c>
      <c r="AD1659" s="35" t="s">
        <v>160</v>
      </c>
      <c r="AJ1659" s="35" t="s">
        <v>1493</v>
      </c>
      <c r="AK1659" s="35" t="s">
        <v>1493</v>
      </c>
      <c r="AL1659" s="35" t="s">
        <v>252</v>
      </c>
      <c r="AN1659" s="35">
        <v>2</v>
      </c>
      <c r="AO1659" s="35">
        <v>2</v>
      </c>
      <c r="AP1659" s="35" t="s">
        <v>184</v>
      </c>
      <c r="CR1659" s="35">
        <v>1317</v>
      </c>
      <c r="CS1659" s="35">
        <v>0</v>
      </c>
      <c r="CT1659" s="35" t="s">
        <v>1495</v>
      </c>
      <c r="CU1659" s="35">
        <v>33</v>
      </c>
      <c r="CV1659" s="35">
        <v>0</v>
      </c>
      <c r="CW1659" s="35" t="s">
        <v>1494</v>
      </c>
      <c r="EN1659" s="35">
        <v>75</v>
      </c>
    </row>
    <row r="1660" spans="1:144" s="35" customFormat="1" x14ac:dyDescent="0.25">
      <c r="A1660" s="35">
        <v>75</v>
      </c>
      <c r="B1660" s="35" t="s">
        <v>1482</v>
      </c>
      <c r="C1660" s="35" t="s">
        <v>1483</v>
      </c>
      <c r="D1660" s="35">
        <v>1989</v>
      </c>
      <c r="E1660" s="35">
        <v>1987</v>
      </c>
      <c r="F1660" s="35" t="s">
        <v>575</v>
      </c>
      <c r="G1660" s="35" t="s">
        <v>1484</v>
      </c>
      <c r="H1660" s="35">
        <v>38.950000000000003</v>
      </c>
      <c r="I1660" s="35">
        <v>-91.94</v>
      </c>
      <c r="J1660" s="35">
        <v>251.9</v>
      </c>
      <c r="P1660" s="54" t="s">
        <v>188</v>
      </c>
      <c r="Q1660" s="54"/>
      <c r="R1660" s="54" t="s">
        <v>1487</v>
      </c>
      <c r="S1660" s="54"/>
      <c r="W1660" s="35" t="s">
        <v>175</v>
      </c>
      <c r="AA1660" s="35" t="s">
        <v>1724</v>
      </c>
      <c r="AB1660" s="35" t="s">
        <v>1491</v>
      </c>
      <c r="AC1660" s="35" t="s">
        <v>219</v>
      </c>
      <c r="AD1660" s="35" t="s">
        <v>160</v>
      </c>
      <c r="AJ1660" s="35" t="s">
        <v>1493</v>
      </c>
      <c r="AK1660" s="35" t="s">
        <v>1493</v>
      </c>
      <c r="AL1660" s="35" t="s">
        <v>252</v>
      </c>
      <c r="AN1660" s="35">
        <v>2</v>
      </c>
      <c r="AO1660" s="35">
        <v>2</v>
      </c>
      <c r="AP1660" s="35" t="s">
        <v>184</v>
      </c>
      <c r="CR1660" s="35">
        <v>0</v>
      </c>
      <c r="CS1660" s="35">
        <v>0</v>
      </c>
      <c r="CT1660" s="35" t="s">
        <v>1495</v>
      </c>
      <c r="CU1660" s="35">
        <v>1E-3</v>
      </c>
      <c r="CV1660" s="35">
        <v>0</v>
      </c>
      <c r="CW1660" s="35" t="s">
        <v>1494</v>
      </c>
      <c r="EN1660" s="35">
        <v>75</v>
      </c>
    </row>
    <row r="1661" spans="1:144" s="35" customFormat="1" x14ac:dyDescent="0.25">
      <c r="A1661" s="35">
        <v>75</v>
      </c>
      <c r="B1661" s="35" t="s">
        <v>1482</v>
      </c>
      <c r="C1661" s="35" t="s">
        <v>1483</v>
      </c>
      <c r="D1661" s="35">
        <v>1989</v>
      </c>
      <c r="E1661" s="35">
        <v>1987</v>
      </c>
      <c r="F1661" s="35" t="s">
        <v>575</v>
      </c>
      <c r="G1661" s="35" t="s">
        <v>1484</v>
      </c>
      <c r="H1661" s="35">
        <v>38.950000000000003</v>
      </c>
      <c r="I1661" s="35">
        <v>-91.94</v>
      </c>
      <c r="J1661" s="35">
        <v>251.9</v>
      </c>
      <c r="P1661" s="54" t="s">
        <v>188</v>
      </c>
      <c r="Q1661" s="54"/>
      <c r="R1661" s="54" t="s">
        <v>1488</v>
      </c>
      <c r="S1661" s="54"/>
      <c r="W1661" s="35" t="s">
        <v>175</v>
      </c>
      <c r="AA1661" s="35" t="s">
        <v>1724</v>
      </c>
      <c r="AB1661" s="35" t="s">
        <v>1491</v>
      </c>
      <c r="AC1661" s="35" t="s">
        <v>219</v>
      </c>
      <c r="AD1661" s="35" t="s">
        <v>160</v>
      </c>
      <c r="AJ1661" s="35" t="s">
        <v>1493</v>
      </c>
      <c r="AK1661" s="35" t="s">
        <v>1493</v>
      </c>
      <c r="AL1661" s="35" t="s">
        <v>252</v>
      </c>
      <c r="AN1661" s="35">
        <v>2</v>
      </c>
      <c r="AO1661" s="35">
        <v>2</v>
      </c>
      <c r="AP1661" s="35" t="s">
        <v>184</v>
      </c>
      <c r="CR1661" s="35">
        <v>111</v>
      </c>
      <c r="CS1661" s="35">
        <v>0</v>
      </c>
      <c r="CT1661" s="35" t="s">
        <v>1495</v>
      </c>
      <c r="CU1661" s="35">
        <v>57</v>
      </c>
      <c r="CV1661" s="35">
        <v>20</v>
      </c>
      <c r="CW1661" s="35" t="s">
        <v>1494</v>
      </c>
      <c r="EN1661" s="35">
        <v>75</v>
      </c>
    </row>
    <row r="1662" spans="1:144" s="35" customFormat="1" x14ac:dyDescent="0.25">
      <c r="A1662" s="35">
        <v>75</v>
      </c>
      <c r="B1662" s="35" t="s">
        <v>1482</v>
      </c>
      <c r="C1662" s="35" t="s">
        <v>1483</v>
      </c>
      <c r="D1662" s="35">
        <v>1989</v>
      </c>
      <c r="E1662" s="35">
        <v>1987</v>
      </c>
      <c r="F1662" s="35" t="s">
        <v>575</v>
      </c>
      <c r="G1662" s="35" t="s">
        <v>1484</v>
      </c>
      <c r="H1662" s="35">
        <v>38.950000000000003</v>
      </c>
      <c r="I1662" s="35">
        <v>-91.94</v>
      </c>
      <c r="J1662" s="35">
        <v>251.9</v>
      </c>
      <c r="P1662" s="54" t="s">
        <v>188</v>
      </c>
      <c r="Q1662" s="54"/>
      <c r="R1662" s="54" t="s">
        <v>1489</v>
      </c>
      <c r="S1662" s="54"/>
      <c r="W1662" s="35" t="s">
        <v>175</v>
      </c>
      <c r="AA1662" s="35" t="s">
        <v>1724</v>
      </c>
      <c r="AB1662" s="35" t="s">
        <v>1491</v>
      </c>
      <c r="AC1662" s="35" t="s">
        <v>219</v>
      </c>
      <c r="AD1662" s="35" t="s">
        <v>160</v>
      </c>
      <c r="AJ1662" s="35" t="s">
        <v>1493</v>
      </c>
      <c r="AK1662" s="35" t="s">
        <v>1493</v>
      </c>
      <c r="AL1662" s="35" t="s">
        <v>252</v>
      </c>
      <c r="AN1662" s="35">
        <v>2</v>
      </c>
      <c r="AO1662" s="35">
        <v>2</v>
      </c>
      <c r="AP1662" s="35" t="s">
        <v>184</v>
      </c>
      <c r="CR1662" s="35">
        <v>1534</v>
      </c>
      <c r="CS1662" s="35">
        <v>0</v>
      </c>
      <c r="CT1662" s="35" t="s">
        <v>1495</v>
      </c>
      <c r="CU1662" s="35">
        <v>74</v>
      </c>
      <c r="CV1662" s="35">
        <v>12</v>
      </c>
      <c r="CW1662" s="35" t="s">
        <v>1494</v>
      </c>
      <c r="EN1662" s="35">
        <v>75</v>
      </c>
    </row>
    <row r="1663" spans="1:144" s="26" customFormat="1" x14ac:dyDescent="0.25">
      <c r="A1663" s="26">
        <v>75</v>
      </c>
      <c r="B1663" s="26" t="s">
        <v>1482</v>
      </c>
      <c r="C1663" s="26" t="s">
        <v>1483</v>
      </c>
      <c r="D1663" s="26">
        <v>1989</v>
      </c>
      <c r="E1663" s="26">
        <v>1987</v>
      </c>
      <c r="F1663" s="26" t="s">
        <v>575</v>
      </c>
      <c r="G1663" s="26" t="s">
        <v>1484</v>
      </c>
      <c r="H1663" s="26">
        <v>38.950000000000003</v>
      </c>
      <c r="I1663" s="26">
        <v>-91.94</v>
      </c>
      <c r="J1663" s="26">
        <v>251.9</v>
      </c>
      <c r="P1663" s="52" t="s">
        <v>188</v>
      </c>
      <c r="Q1663" s="52"/>
      <c r="R1663" s="52" t="s">
        <v>1490</v>
      </c>
      <c r="S1663" s="52"/>
      <c r="W1663" s="26" t="s">
        <v>175</v>
      </c>
      <c r="AA1663" s="26" t="s">
        <v>1724</v>
      </c>
      <c r="AB1663" s="26" t="s">
        <v>1492</v>
      </c>
      <c r="AC1663" s="26" t="s">
        <v>219</v>
      </c>
      <c r="AD1663" s="26" t="s">
        <v>160</v>
      </c>
      <c r="AJ1663" s="26" t="s">
        <v>1493</v>
      </c>
      <c r="AK1663" s="26" t="s">
        <v>1493</v>
      </c>
      <c r="AL1663" s="26" t="s">
        <v>252</v>
      </c>
      <c r="AN1663" s="26">
        <v>2</v>
      </c>
      <c r="AO1663" s="26">
        <v>2</v>
      </c>
      <c r="AP1663" s="26" t="s">
        <v>184</v>
      </c>
      <c r="CR1663" s="26">
        <v>217</v>
      </c>
      <c r="CS1663" s="26">
        <v>0</v>
      </c>
      <c r="CT1663" s="26" t="s">
        <v>1495</v>
      </c>
      <c r="CU1663" s="26">
        <v>2</v>
      </c>
      <c r="CV1663" s="26">
        <v>0</v>
      </c>
      <c r="CW1663" s="26" t="s">
        <v>1494</v>
      </c>
      <c r="EN1663" s="26">
        <v>75</v>
      </c>
    </row>
    <row r="1664" spans="1:144" s="26" customFormat="1" x14ac:dyDescent="0.25">
      <c r="A1664" s="26">
        <v>75</v>
      </c>
      <c r="B1664" s="26" t="s">
        <v>1482</v>
      </c>
      <c r="C1664" s="26" t="s">
        <v>1483</v>
      </c>
      <c r="D1664" s="26">
        <v>1989</v>
      </c>
      <c r="E1664" s="26">
        <v>1987</v>
      </c>
      <c r="F1664" s="26" t="s">
        <v>575</v>
      </c>
      <c r="G1664" s="26" t="s">
        <v>1484</v>
      </c>
      <c r="H1664" s="26">
        <v>38.950000000000003</v>
      </c>
      <c r="I1664" s="26">
        <v>-91.94</v>
      </c>
      <c r="J1664" s="26">
        <v>251.9</v>
      </c>
      <c r="P1664" s="52" t="s">
        <v>188</v>
      </c>
      <c r="Q1664" s="52"/>
      <c r="R1664" s="52" t="s">
        <v>1486</v>
      </c>
      <c r="S1664" s="52"/>
      <c r="W1664" s="26" t="s">
        <v>175</v>
      </c>
      <c r="AA1664" s="26" t="s">
        <v>1724</v>
      </c>
      <c r="AB1664" s="26" t="s">
        <v>1492</v>
      </c>
      <c r="AC1664" s="26" t="s">
        <v>219</v>
      </c>
      <c r="AD1664" s="26" t="s">
        <v>160</v>
      </c>
      <c r="AJ1664" s="26" t="s">
        <v>1493</v>
      </c>
      <c r="AK1664" s="26" t="s">
        <v>1493</v>
      </c>
      <c r="AL1664" s="26" t="s">
        <v>252</v>
      </c>
      <c r="AN1664" s="26">
        <v>2</v>
      </c>
      <c r="AO1664" s="26">
        <v>2</v>
      </c>
      <c r="AP1664" s="26" t="s">
        <v>184</v>
      </c>
      <c r="CR1664" s="26">
        <v>1317</v>
      </c>
      <c r="CS1664" s="26">
        <v>0</v>
      </c>
      <c r="CT1664" s="26" t="s">
        <v>1495</v>
      </c>
      <c r="CU1664" s="26">
        <v>33</v>
      </c>
      <c r="CV1664" s="26">
        <v>0</v>
      </c>
      <c r="CW1664" s="26" t="s">
        <v>1494</v>
      </c>
      <c r="EN1664" s="26">
        <v>75</v>
      </c>
    </row>
    <row r="1665" spans="1:144" s="26" customFormat="1" x14ac:dyDescent="0.25">
      <c r="A1665" s="26">
        <v>75</v>
      </c>
      <c r="B1665" s="26" t="s">
        <v>1482</v>
      </c>
      <c r="C1665" s="26" t="s">
        <v>1483</v>
      </c>
      <c r="D1665" s="26">
        <v>1989</v>
      </c>
      <c r="E1665" s="26">
        <v>1987</v>
      </c>
      <c r="F1665" s="26" t="s">
        <v>575</v>
      </c>
      <c r="G1665" s="26" t="s">
        <v>1484</v>
      </c>
      <c r="H1665" s="26">
        <v>38.950000000000003</v>
      </c>
      <c r="I1665" s="26">
        <v>-91.94</v>
      </c>
      <c r="J1665" s="26">
        <v>251.9</v>
      </c>
      <c r="P1665" s="52" t="s">
        <v>188</v>
      </c>
      <c r="Q1665" s="52"/>
      <c r="R1665" s="52" t="s">
        <v>1487</v>
      </c>
      <c r="S1665" s="52"/>
      <c r="W1665" s="26" t="s">
        <v>175</v>
      </c>
      <c r="AA1665" s="26" t="s">
        <v>1724</v>
      </c>
      <c r="AB1665" s="26" t="s">
        <v>1492</v>
      </c>
      <c r="AC1665" s="26" t="s">
        <v>219</v>
      </c>
      <c r="AD1665" s="26" t="s">
        <v>160</v>
      </c>
      <c r="AJ1665" s="26" t="s">
        <v>1493</v>
      </c>
      <c r="AK1665" s="26" t="s">
        <v>1493</v>
      </c>
      <c r="AL1665" s="26" t="s">
        <v>252</v>
      </c>
      <c r="AN1665" s="26">
        <v>2</v>
      </c>
      <c r="AO1665" s="26">
        <v>2</v>
      </c>
      <c r="AP1665" s="26" t="s">
        <v>184</v>
      </c>
      <c r="CR1665" s="26">
        <v>0</v>
      </c>
      <c r="CS1665" s="26">
        <v>0</v>
      </c>
      <c r="CT1665" s="26" t="s">
        <v>1495</v>
      </c>
      <c r="CU1665" s="26">
        <v>1E-3</v>
      </c>
      <c r="CV1665" s="26">
        <v>0</v>
      </c>
      <c r="CW1665" s="26" t="s">
        <v>1494</v>
      </c>
      <c r="EN1665" s="26">
        <v>75</v>
      </c>
    </row>
    <row r="1666" spans="1:144" s="26" customFormat="1" x14ac:dyDescent="0.25">
      <c r="A1666" s="26">
        <v>75</v>
      </c>
      <c r="B1666" s="26" t="s">
        <v>1482</v>
      </c>
      <c r="C1666" s="26" t="s">
        <v>1483</v>
      </c>
      <c r="D1666" s="26">
        <v>1989</v>
      </c>
      <c r="E1666" s="26">
        <v>1987</v>
      </c>
      <c r="F1666" s="26" t="s">
        <v>575</v>
      </c>
      <c r="G1666" s="26" t="s">
        <v>1484</v>
      </c>
      <c r="H1666" s="26">
        <v>38.950000000000003</v>
      </c>
      <c r="I1666" s="26">
        <v>-91.94</v>
      </c>
      <c r="J1666" s="26">
        <v>251.9</v>
      </c>
      <c r="P1666" s="52" t="s">
        <v>188</v>
      </c>
      <c r="Q1666" s="52"/>
      <c r="R1666" s="52" t="s">
        <v>1488</v>
      </c>
      <c r="S1666" s="52"/>
      <c r="W1666" s="26" t="s">
        <v>175</v>
      </c>
      <c r="AA1666" s="26" t="s">
        <v>1724</v>
      </c>
      <c r="AB1666" s="26" t="s">
        <v>1492</v>
      </c>
      <c r="AC1666" s="26" t="s">
        <v>219</v>
      </c>
      <c r="AD1666" s="26" t="s">
        <v>160</v>
      </c>
      <c r="AJ1666" s="26" t="s">
        <v>1493</v>
      </c>
      <c r="AK1666" s="26" t="s">
        <v>1493</v>
      </c>
      <c r="AL1666" s="26" t="s">
        <v>252</v>
      </c>
      <c r="AN1666" s="26">
        <v>2</v>
      </c>
      <c r="AO1666" s="26">
        <v>2</v>
      </c>
      <c r="AP1666" s="26" t="s">
        <v>184</v>
      </c>
      <c r="CR1666" s="26">
        <v>111</v>
      </c>
      <c r="CS1666" s="26">
        <v>0</v>
      </c>
      <c r="CT1666" s="26" t="s">
        <v>1495</v>
      </c>
      <c r="CU1666" s="26">
        <v>57</v>
      </c>
      <c r="CV1666" s="26">
        <v>36</v>
      </c>
      <c r="CW1666" s="26" t="s">
        <v>1494</v>
      </c>
      <c r="EN1666" s="26">
        <v>75</v>
      </c>
    </row>
    <row r="1667" spans="1:144" s="26" customFormat="1" x14ac:dyDescent="0.25">
      <c r="A1667" s="26">
        <v>75</v>
      </c>
      <c r="B1667" s="26" t="s">
        <v>1482</v>
      </c>
      <c r="C1667" s="26" t="s">
        <v>1483</v>
      </c>
      <c r="D1667" s="26">
        <v>1989</v>
      </c>
      <c r="E1667" s="26">
        <v>1987</v>
      </c>
      <c r="F1667" s="26" t="s">
        <v>575</v>
      </c>
      <c r="G1667" s="26" t="s">
        <v>1484</v>
      </c>
      <c r="H1667" s="26">
        <v>38.950000000000003</v>
      </c>
      <c r="I1667" s="26">
        <v>-91.94</v>
      </c>
      <c r="J1667" s="26">
        <v>251.9</v>
      </c>
      <c r="P1667" s="52" t="s">
        <v>188</v>
      </c>
      <c r="Q1667" s="52"/>
      <c r="R1667" s="52" t="s">
        <v>1489</v>
      </c>
      <c r="S1667" s="52"/>
      <c r="W1667" s="26" t="s">
        <v>175</v>
      </c>
      <c r="AA1667" s="26" t="s">
        <v>1724</v>
      </c>
      <c r="AB1667" s="26" t="s">
        <v>1492</v>
      </c>
      <c r="AC1667" s="26" t="s">
        <v>219</v>
      </c>
      <c r="AD1667" s="26" t="s">
        <v>160</v>
      </c>
      <c r="AJ1667" s="26" t="s">
        <v>1493</v>
      </c>
      <c r="AK1667" s="26" t="s">
        <v>1493</v>
      </c>
      <c r="AL1667" s="26" t="s">
        <v>252</v>
      </c>
      <c r="AN1667" s="26">
        <v>2</v>
      </c>
      <c r="AO1667" s="26">
        <v>2</v>
      </c>
      <c r="AP1667" s="26" t="s">
        <v>184</v>
      </c>
      <c r="CR1667" s="26">
        <v>1534</v>
      </c>
      <c r="CS1667" s="26">
        <v>0</v>
      </c>
      <c r="CT1667" s="26" t="s">
        <v>1495</v>
      </c>
      <c r="CU1667" s="26">
        <v>74</v>
      </c>
      <c r="CV1667" s="26">
        <v>23</v>
      </c>
      <c r="CW1667" s="26" t="s">
        <v>1494</v>
      </c>
      <c r="EN1667" s="26">
        <v>75</v>
      </c>
    </row>
  </sheetData>
  <autoFilter ref="F1:F1667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workbookViewId="0">
      <selection activeCell="C28" sqref="C28"/>
    </sheetView>
  </sheetViews>
  <sheetFormatPr defaultRowHeight="15" x14ac:dyDescent="0.25"/>
  <cols>
    <col min="2" max="2" width="28.140625" customWidth="1"/>
    <col min="3" max="3" width="70.5703125" customWidth="1"/>
    <col min="4" max="4" width="14" customWidth="1"/>
  </cols>
  <sheetData>
    <row r="1" spans="1:5" x14ac:dyDescent="0.25">
      <c r="A1" s="2" t="s">
        <v>5</v>
      </c>
      <c r="B1" t="s">
        <v>145</v>
      </c>
      <c r="C1" t="s">
        <v>784</v>
      </c>
      <c r="E1" t="s">
        <v>239</v>
      </c>
    </row>
    <row r="2" spans="1:5" x14ac:dyDescent="0.25">
      <c r="A2" s="2" t="s">
        <v>5</v>
      </c>
      <c r="B2" s="1" t="s">
        <v>45</v>
      </c>
      <c r="C2" s="4" t="s">
        <v>120</v>
      </c>
    </row>
    <row r="3" spans="1:5" x14ac:dyDescent="0.25">
      <c r="A3" s="2"/>
      <c r="B3" s="1" t="s">
        <v>46</v>
      </c>
      <c r="C3" s="4" t="s">
        <v>47</v>
      </c>
    </row>
    <row r="4" spans="1:5" x14ac:dyDescent="0.25">
      <c r="A4" s="2"/>
      <c r="B4" s="1" t="s">
        <v>6</v>
      </c>
      <c r="C4" s="4" t="s">
        <v>48</v>
      </c>
    </row>
    <row r="5" spans="1:5" x14ac:dyDescent="0.25">
      <c r="A5" s="2"/>
      <c r="B5" s="1" t="s">
        <v>261</v>
      </c>
      <c r="C5" s="4" t="s">
        <v>265</v>
      </c>
    </row>
    <row r="6" spans="1:5" x14ac:dyDescent="0.25">
      <c r="A6" s="2"/>
      <c r="B6" s="1" t="s">
        <v>115</v>
      </c>
      <c r="C6" s="4" t="s">
        <v>116</v>
      </c>
    </row>
    <row r="7" spans="1:5" x14ac:dyDescent="0.25">
      <c r="A7" s="2"/>
      <c r="B7" s="1" t="s">
        <v>4</v>
      </c>
      <c r="C7" s="4" t="s">
        <v>49</v>
      </c>
    </row>
    <row r="8" spans="1:5" x14ac:dyDescent="0.25">
      <c r="A8" s="2"/>
      <c r="B8" s="1" t="s">
        <v>3</v>
      </c>
      <c r="C8" s="4" t="s">
        <v>3</v>
      </c>
    </row>
    <row r="9" spans="1:5" x14ac:dyDescent="0.25">
      <c r="A9" s="2"/>
      <c r="B9" s="1" t="s">
        <v>2</v>
      </c>
      <c r="C9" s="4" t="s">
        <v>2</v>
      </c>
    </row>
    <row r="10" spans="1:5" x14ac:dyDescent="0.25">
      <c r="A10" s="2"/>
      <c r="B10" s="1" t="s">
        <v>114</v>
      </c>
      <c r="C10" s="4" t="s">
        <v>114</v>
      </c>
      <c r="D10" t="s">
        <v>170</v>
      </c>
    </row>
    <row r="11" spans="1:5" x14ac:dyDescent="0.25">
      <c r="A11" s="2"/>
      <c r="B11" s="1" t="s">
        <v>37</v>
      </c>
      <c r="C11" s="4" t="s">
        <v>50</v>
      </c>
    </row>
    <row r="12" spans="1:5" x14ac:dyDescent="0.25">
      <c r="A12" s="2"/>
      <c r="B12" s="1" t="s">
        <v>16</v>
      </c>
      <c r="C12" s="4" t="s">
        <v>51</v>
      </c>
    </row>
    <row r="13" spans="1:5" x14ac:dyDescent="0.25">
      <c r="A13" s="2"/>
      <c r="B13" s="1" t="s">
        <v>38</v>
      </c>
      <c r="C13" s="4" t="s">
        <v>52</v>
      </c>
      <c r="D13" t="s">
        <v>177</v>
      </c>
    </row>
    <row r="14" spans="1:5" x14ac:dyDescent="0.25">
      <c r="A14" s="2"/>
      <c r="B14" s="1" t="s">
        <v>17</v>
      </c>
      <c r="C14" s="4" t="s">
        <v>53</v>
      </c>
      <c r="D14" t="s">
        <v>177</v>
      </c>
    </row>
    <row r="15" spans="1:5" x14ac:dyDescent="0.25">
      <c r="A15" s="2"/>
      <c r="B15" s="1" t="s">
        <v>18</v>
      </c>
      <c r="C15" s="4" t="s">
        <v>54</v>
      </c>
    </row>
    <row r="16" spans="1:5" x14ac:dyDescent="0.25">
      <c r="A16" s="2"/>
      <c r="B16" s="1" t="s">
        <v>8</v>
      </c>
      <c r="C16" s="4" t="s">
        <v>55</v>
      </c>
    </row>
    <row r="17" spans="1:4" x14ac:dyDescent="0.25">
      <c r="A17" s="2"/>
      <c r="B17" s="1" t="s">
        <v>1163</v>
      </c>
      <c r="C17" s="4" t="s">
        <v>1168</v>
      </c>
    </row>
    <row r="18" spans="1:4" x14ac:dyDescent="0.25">
      <c r="A18" s="2"/>
      <c r="B18" s="1" t="s">
        <v>1165</v>
      </c>
      <c r="C18" s="4" t="s">
        <v>1166</v>
      </c>
    </row>
    <row r="19" spans="1:4" x14ac:dyDescent="0.25">
      <c r="A19" s="2"/>
      <c r="B19" s="1" t="s">
        <v>7</v>
      </c>
      <c r="C19" s="4" t="s">
        <v>117</v>
      </c>
      <c r="D19" t="s">
        <v>209</v>
      </c>
    </row>
    <row r="20" spans="1:4" x14ac:dyDescent="0.25">
      <c r="A20" s="2"/>
      <c r="B20" s="1" t="s">
        <v>371</v>
      </c>
      <c r="C20" s="4" t="s">
        <v>372</v>
      </c>
    </row>
    <row r="21" spans="1:4" x14ac:dyDescent="0.25">
      <c r="A21" s="2"/>
      <c r="B21" s="1" t="s">
        <v>162</v>
      </c>
      <c r="C21" s="4" t="s">
        <v>164</v>
      </c>
    </row>
    <row r="22" spans="1:4" x14ac:dyDescent="0.25">
      <c r="A22" s="2"/>
      <c r="B22" s="1" t="s">
        <v>163</v>
      </c>
      <c r="C22" s="4" t="s">
        <v>165</v>
      </c>
    </row>
    <row r="23" spans="1:4" x14ac:dyDescent="0.25">
      <c r="A23" s="2"/>
      <c r="B23" s="1" t="s">
        <v>15</v>
      </c>
      <c r="C23" s="4" t="s">
        <v>56</v>
      </c>
    </row>
    <row r="24" spans="1:4" x14ac:dyDescent="0.25">
      <c r="A24" s="2"/>
      <c r="B24" s="1" t="s">
        <v>266</v>
      </c>
      <c r="C24" s="4" t="s">
        <v>269</v>
      </c>
    </row>
    <row r="25" spans="1:4" x14ac:dyDescent="0.25">
      <c r="A25" s="2"/>
      <c r="B25" s="1" t="s">
        <v>267</v>
      </c>
      <c r="C25" s="4" t="s">
        <v>270</v>
      </c>
      <c r="D25" t="s">
        <v>94</v>
      </c>
    </row>
    <row r="26" spans="1:4" x14ac:dyDescent="0.25">
      <c r="A26" s="2"/>
      <c r="B26" s="1" t="s">
        <v>268</v>
      </c>
      <c r="C26" s="4" t="s">
        <v>271</v>
      </c>
      <c r="D26" t="s">
        <v>711</v>
      </c>
    </row>
    <row r="27" spans="1:4" x14ac:dyDescent="0.25">
      <c r="A27" s="2"/>
      <c r="B27" s="1" t="s">
        <v>1672</v>
      </c>
      <c r="C27" s="4" t="s">
        <v>90</v>
      </c>
    </row>
    <row r="28" spans="1:4" x14ac:dyDescent="0.25">
      <c r="A28" s="2"/>
      <c r="B28" s="1" t="s">
        <v>0</v>
      </c>
      <c r="C28" s="4" t="s">
        <v>57</v>
      </c>
    </row>
    <row r="29" spans="1:4" x14ac:dyDescent="0.25">
      <c r="A29" s="2"/>
      <c r="B29" s="1" t="s">
        <v>1</v>
      </c>
      <c r="C29" s="4" t="s">
        <v>58</v>
      </c>
    </row>
    <row r="30" spans="1:4" x14ac:dyDescent="0.25">
      <c r="A30" s="2"/>
      <c r="B30" s="1" t="s">
        <v>726</v>
      </c>
      <c r="C30" s="4" t="s">
        <v>764</v>
      </c>
    </row>
    <row r="31" spans="1:4" x14ac:dyDescent="0.25">
      <c r="A31" s="2"/>
      <c r="B31" s="1" t="s">
        <v>725</v>
      </c>
      <c r="C31" s="4" t="s">
        <v>763</v>
      </c>
    </row>
    <row r="32" spans="1:4" x14ac:dyDescent="0.25">
      <c r="A32" s="2"/>
      <c r="B32" s="1" t="s">
        <v>727</v>
      </c>
      <c r="C32" s="4" t="s">
        <v>765</v>
      </c>
    </row>
    <row r="33" spans="1:4" x14ac:dyDescent="0.25">
      <c r="A33" s="2"/>
      <c r="B33" s="1" t="s">
        <v>730</v>
      </c>
      <c r="C33" s="4" t="s">
        <v>733</v>
      </c>
    </row>
    <row r="34" spans="1:4" x14ac:dyDescent="0.25">
      <c r="A34" s="2"/>
      <c r="B34" s="1" t="s">
        <v>729</v>
      </c>
      <c r="C34" s="4" t="s">
        <v>732</v>
      </c>
    </row>
    <row r="35" spans="1:4" x14ac:dyDescent="0.25">
      <c r="A35" s="2"/>
      <c r="B35" s="1" t="s">
        <v>731</v>
      </c>
      <c r="C35" s="4" t="s">
        <v>728</v>
      </c>
    </row>
    <row r="36" spans="1:4" x14ac:dyDescent="0.25">
      <c r="A36" s="2"/>
      <c r="B36" s="1" t="s">
        <v>296</v>
      </c>
      <c r="C36" s="4" t="s">
        <v>59</v>
      </c>
    </row>
    <row r="37" spans="1:4" x14ac:dyDescent="0.25">
      <c r="A37" s="2"/>
      <c r="B37" s="1" t="s">
        <v>295</v>
      </c>
      <c r="C37" s="4" t="s">
        <v>59</v>
      </c>
    </row>
    <row r="38" spans="1:4" x14ac:dyDescent="0.25">
      <c r="A38" s="2"/>
      <c r="B38" s="1" t="s">
        <v>692</v>
      </c>
      <c r="C38" s="4" t="s">
        <v>694</v>
      </c>
    </row>
    <row r="39" spans="1:4" x14ac:dyDescent="0.25">
      <c r="A39" s="2"/>
      <c r="B39" s="6" t="s">
        <v>92</v>
      </c>
      <c r="C39" s="4" t="s">
        <v>93</v>
      </c>
    </row>
    <row r="40" spans="1:4" x14ac:dyDescent="0.25">
      <c r="A40" s="2"/>
      <c r="B40" s="6" t="s">
        <v>26</v>
      </c>
      <c r="C40" t="s">
        <v>61</v>
      </c>
    </row>
    <row r="41" spans="1:4" x14ac:dyDescent="0.25">
      <c r="A41" s="2"/>
      <c r="B41" s="6" t="s">
        <v>25</v>
      </c>
      <c r="C41" t="s">
        <v>60</v>
      </c>
    </row>
    <row r="42" spans="1:4" x14ac:dyDescent="0.25">
      <c r="A42" s="2"/>
      <c r="B42" s="6" t="s">
        <v>183</v>
      </c>
      <c r="C42" t="s">
        <v>185</v>
      </c>
    </row>
    <row r="43" spans="1:4" x14ac:dyDescent="0.25">
      <c r="A43" s="2"/>
      <c r="B43" s="12" t="s">
        <v>96</v>
      </c>
      <c r="C43" s="4" t="s">
        <v>97</v>
      </c>
      <c r="D43" t="s">
        <v>91</v>
      </c>
    </row>
    <row r="44" spans="1:4" x14ac:dyDescent="0.25">
      <c r="A44" s="2"/>
      <c r="B44" s="12" t="s">
        <v>95</v>
      </c>
      <c r="C44" s="4" t="s">
        <v>98</v>
      </c>
      <c r="D44" t="s">
        <v>91</v>
      </c>
    </row>
    <row r="45" spans="1:4" x14ac:dyDescent="0.25">
      <c r="A45" s="2"/>
      <c r="B45" s="12" t="s">
        <v>382</v>
      </c>
      <c r="C45" s="4" t="s">
        <v>383</v>
      </c>
      <c r="D45" t="s">
        <v>94</v>
      </c>
    </row>
    <row r="46" spans="1:4" x14ac:dyDescent="0.25">
      <c r="A46" s="2"/>
      <c r="B46" s="12" t="s">
        <v>826</v>
      </c>
      <c r="C46" s="4" t="s">
        <v>827</v>
      </c>
    </row>
    <row r="47" spans="1:4" x14ac:dyDescent="0.25">
      <c r="A47" s="14"/>
      <c r="B47" s="1" t="s">
        <v>191</v>
      </c>
      <c r="C47" s="4" t="s">
        <v>565</v>
      </c>
    </row>
    <row r="48" spans="1:4" x14ac:dyDescent="0.25">
      <c r="A48" s="14"/>
      <c r="B48" s="1"/>
      <c r="C48" s="4"/>
    </row>
    <row r="49" spans="1:8" x14ac:dyDescent="0.25">
      <c r="A49" s="3"/>
      <c r="B49" s="1" t="s">
        <v>1064</v>
      </c>
      <c r="C49" s="4" t="s">
        <v>1191</v>
      </c>
      <c r="D49" t="s">
        <v>1194</v>
      </c>
    </row>
    <row r="50" spans="1:8" x14ac:dyDescent="0.25">
      <c r="A50" s="3"/>
      <c r="B50" s="1" t="s">
        <v>1065</v>
      </c>
      <c r="C50" s="4" t="s">
        <v>1192</v>
      </c>
      <c r="D50" t="s">
        <v>1194</v>
      </c>
    </row>
    <row r="51" spans="1:8" x14ac:dyDescent="0.25">
      <c r="A51" s="3"/>
      <c r="B51" s="1" t="s">
        <v>1114</v>
      </c>
      <c r="C51" s="4" t="s">
        <v>1193</v>
      </c>
      <c r="D51" t="s">
        <v>1194</v>
      </c>
    </row>
    <row r="52" spans="1:8" x14ac:dyDescent="0.25">
      <c r="A52" s="3"/>
      <c r="B52" s="1" t="s">
        <v>14</v>
      </c>
      <c r="C52" t="s">
        <v>63</v>
      </c>
      <c r="D52" t="s">
        <v>91</v>
      </c>
    </row>
    <row r="53" spans="1:8" x14ac:dyDescent="0.25">
      <c r="A53" s="3" t="s">
        <v>44</v>
      </c>
      <c r="B53" s="1" t="s">
        <v>13</v>
      </c>
      <c r="C53" t="s">
        <v>62</v>
      </c>
      <c r="D53" t="s">
        <v>91</v>
      </c>
    </row>
    <row r="54" spans="1:8" x14ac:dyDescent="0.25">
      <c r="A54" s="3"/>
      <c r="B54" s="1" t="s">
        <v>1088</v>
      </c>
      <c r="C54" t="s">
        <v>1089</v>
      </c>
      <c r="D54" t="s">
        <v>91</v>
      </c>
    </row>
    <row r="55" spans="1:8" x14ac:dyDescent="0.25">
      <c r="A55" s="3"/>
      <c r="B55" s="1" t="s">
        <v>24</v>
      </c>
      <c r="C55" t="s">
        <v>65</v>
      </c>
    </row>
    <row r="56" spans="1:8" x14ac:dyDescent="0.25">
      <c r="A56" s="3"/>
      <c r="B56" s="1" t="s">
        <v>23</v>
      </c>
      <c r="C56" t="s">
        <v>64</v>
      </c>
    </row>
    <row r="57" spans="1:8" x14ac:dyDescent="0.25">
      <c r="A57" s="3"/>
      <c r="B57" s="1" t="s">
        <v>1069</v>
      </c>
      <c r="C57" t="s">
        <v>1090</v>
      </c>
    </row>
    <row r="58" spans="1:8" x14ac:dyDescent="0.25">
      <c r="A58" s="3"/>
      <c r="B58" s="1" t="s">
        <v>10</v>
      </c>
      <c r="C58" t="s">
        <v>67</v>
      </c>
      <c r="D58" t="s">
        <v>94</v>
      </c>
    </row>
    <row r="59" spans="1:8" x14ac:dyDescent="0.25">
      <c r="A59" s="3"/>
      <c r="B59" s="1" t="s">
        <v>9</v>
      </c>
      <c r="C59" t="s">
        <v>66</v>
      </c>
      <c r="D59" t="s">
        <v>94</v>
      </c>
    </row>
    <row r="60" spans="1:8" x14ac:dyDescent="0.25">
      <c r="A60" s="3"/>
      <c r="B60" s="1" t="s">
        <v>1005</v>
      </c>
      <c r="C60" t="s">
        <v>1091</v>
      </c>
      <c r="D60" t="s">
        <v>94</v>
      </c>
    </row>
    <row r="61" spans="1:8" x14ac:dyDescent="0.25">
      <c r="A61" s="3"/>
      <c r="B61" s="1" t="s">
        <v>313</v>
      </c>
      <c r="C61" t="s">
        <v>69</v>
      </c>
      <c r="D61" t="s">
        <v>204</v>
      </c>
    </row>
    <row r="62" spans="1:8" x14ac:dyDescent="0.25">
      <c r="A62" s="3"/>
      <c r="B62" s="1" t="s">
        <v>314</v>
      </c>
      <c r="C62" t="s">
        <v>68</v>
      </c>
      <c r="D62" t="s">
        <v>204</v>
      </c>
    </row>
    <row r="63" spans="1:8" x14ac:dyDescent="0.25">
      <c r="A63" s="3"/>
      <c r="B63" s="1" t="s">
        <v>1006</v>
      </c>
      <c r="C63" t="s">
        <v>1092</v>
      </c>
      <c r="D63" t="s">
        <v>204</v>
      </c>
      <c r="H63" s="20">
        <f>10000000</f>
        <v>10000000</v>
      </c>
    </row>
    <row r="64" spans="1:8" x14ac:dyDescent="0.25">
      <c r="A64" s="3"/>
      <c r="B64" s="1" t="s">
        <v>20</v>
      </c>
      <c r="C64" t="s">
        <v>71</v>
      </c>
      <c r="D64" t="s">
        <v>204</v>
      </c>
    </row>
    <row r="65" spans="1:4" x14ac:dyDescent="0.25">
      <c r="A65" s="3"/>
      <c r="B65" s="1" t="s">
        <v>19</v>
      </c>
      <c r="C65" t="s">
        <v>70</v>
      </c>
      <c r="D65" t="s">
        <v>204</v>
      </c>
    </row>
    <row r="66" spans="1:4" x14ac:dyDescent="0.25">
      <c r="A66" s="3"/>
      <c r="B66" s="1" t="s">
        <v>1007</v>
      </c>
      <c r="C66" t="s">
        <v>1093</v>
      </c>
      <c r="D66" t="s">
        <v>204</v>
      </c>
    </row>
    <row r="67" spans="1:4" x14ac:dyDescent="0.25">
      <c r="A67" s="3"/>
      <c r="B67" s="1" t="s">
        <v>22</v>
      </c>
      <c r="C67" t="s">
        <v>73</v>
      </c>
      <c r="D67" t="s">
        <v>204</v>
      </c>
    </row>
    <row r="68" spans="1:4" x14ac:dyDescent="0.25">
      <c r="A68" s="3"/>
      <c r="B68" s="1" t="s">
        <v>21</v>
      </c>
      <c r="C68" t="s">
        <v>72</v>
      </c>
      <c r="D68" t="s">
        <v>204</v>
      </c>
    </row>
    <row r="69" spans="1:4" x14ac:dyDescent="0.25">
      <c r="A69" s="3"/>
      <c r="B69" s="1" t="s">
        <v>1094</v>
      </c>
      <c r="C69" t="s">
        <v>1095</v>
      </c>
      <c r="D69" t="s">
        <v>204</v>
      </c>
    </row>
    <row r="70" spans="1:4" x14ac:dyDescent="0.25">
      <c r="A70" s="3"/>
      <c r="B70" s="1" t="s">
        <v>12</v>
      </c>
      <c r="C70" t="s">
        <v>75</v>
      </c>
    </row>
    <row r="71" spans="1:4" x14ac:dyDescent="0.25">
      <c r="A71" s="3"/>
      <c r="B71" s="1" t="s">
        <v>11</v>
      </c>
      <c r="C71" t="s">
        <v>74</v>
      </c>
    </row>
    <row r="72" spans="1:4" x14ac:dyDescent="0.25">
      <c r="A72" s="3"/>
      <c r="B72" s="1" t="s">
        <v>1072</v>
      </c>
      <c r="C72" t="s">
        <v>1096</v>
      </c>
    </row>
    <row r="73" spans="1:4" x14ac:dyDescent="0.25">
      <c r="A73" s="3"/>
      <c r="B73" s="1" t="s">
        <v>32</v>
      </c>
      <c r="C73" t="s">
        <v>79</v>
      </c>
      <c r="D73" t="s">
        <v>206</v>
      </c>
    </row>
    <row r="74" spans="1:4" x14ac:dyDescent="0.25">
      <c r="A74" s="3"/>
      <c r="B74" s="1" t="s">
        <v>31</v>
      </c>
      <c r="C74" t="s">
        <v>78</v>
      </c>
      <c r="D74" t="s">
        <v>206</v>
      </c>
    </row>
    <row r="75" spans="1:4" x14ac:dyDescent="0.25">
      <c r="A75" s="3"/>
      <c r="B75" s="1" t="s">
        <v>1075</v>
      </c>
      <c r="C75" t="s">
        <v>1098</v>
      </c>
      <c r="D75" t="s">
        <v>206</v>
      </c>
    </row>
    <row r="76" spans="1:4" x14ac:dyDescent="0.25">
      <c r="A76" s="3"/>
      <c r="B76" s="1" t="s">
        <v>34</v>
      </c>
      <c r="C76" t="s">
        <v>1419</v>
      </c>
      <c r="D76" t="s">
        <v>1323</v>
      </c>
    </row>
    <row r="77" spans="1:4" x14ac:dyDescent="0.25">
      <c r="A77" s="3"/>
      <c r="B77" s="1" t="s">
        <v>33</v>
      </c>
      <c r="C77" t="s">
        <v>1420</v>
      </c>
    </row>
    <row r="78" spans="1:4" x14ac:dyDescent="0.25">
      <c r="A78" s="3"/>
      <c r="B78" s="1" t="s">
        <v>1009</v>
      </c>
      <c r="C78" t="s">
        <v>1421</v>
      </c>
    </row>
    <row r="79" spans="1:4" x14ac:dyDescent="0.25">
      <c r="A79" s="3"/>
      <c r="B79" s="1" t="s">
        <v>36</v>
      </c>
      <c r="C79" t="s">
        <v>1422</v>
      </c>
    </row>
    <row r="80" spans="1:4" x14ac:dyDescent="0.25">
      <c r="A80" s="3"/>
      <c r="B80" s="1" t="s">
        <v>35</v>
      </c>
      <c r="C80" t="s">
        <v>118</v>
      </c>
    </row>
    <row r="81" spans="1:4" x14ac:dyDescent="0.25">
      <c r="A81" s="3"/>
      <c r="B81" s="1" t="s">
        <v>1076</v>
      </c>
      <c r="C81" t="s">
        <v>1099</v>
      </c>
    </row>
    <row r="82" spans="1:4" x14ac:dyDescent="0.25">
      <c r="A82" s="3"/>
      <c r="B82" s="1" t="s">
        <v>28</v>
      </c>
      <c r="C82" t="s">
        <v>77</v>
      </c>
      <c r="D82" t="s">
        <v>594</v>
      </c>
    </row>
    <row r="83" spans="1:4" x14ac:dyDescent="0.25">
      <c r="A83" s="3"/>
      <c r="B83" s="1" t="s">
        <v>27</v>
      </c>
      <c r="C83" t="s">
        <v>76</v>
      </c>
      <c r="D83" t="s">
        <v>594</v>
      </c>
    </row>
    <row r="84" spans="1:4" x14ac:dyDescent="0.25">
      <c r="A84" s="3"/>
      <c r="B84" s="1" t="s">
        <v>1008</v>
      </c>
      <c r="C84" t="s">
        <v>1097</v>
      </c>
      <c r="D84" t="s">
        <v>594</v>
      </c>
    </row>
    <row r="85" spans="1:4" x14ac:dyDescent="0.25">
      <c r="A85" s="3"/>
      <c r="B85" s="1" t="s">
        <v>1222</v>
      </c>
      <c r="C85" t="s">
        <v>1225</v>
      </c>
    </row>
    <row r="86" spans="1:4" x14ac:dyDescent="0.25">
      <c r="A86" s="3"/>
      <c r="B86" s="1" t="s">
        <v>1223</v>
      </c>
      <c r="C86" t="s">
        <v>1226</v>
      </c>
    </row>
    <row r="87" spans="1:4" x14ac:dyDescent="0.25">
      <c r="A87" s="3"/>
      <c r="B87" s="1" t="s">
        <v>1224</v>
      </c>
      <c r="C87" t="s">
        <v>1227</v>
      </c>
    </row>
    <row r="88" spans="1:4" x14ac:dyDescent="0.25">
      <c r="A88" s="3"/>
      <c r="B88" s="1" t="s">
        <v>30</v>
      </c>
      <c r="C88" t="s">
        <v>1150</v>
      </c>
      <c r="D88" t="s">
        <v>1341</v>
      </c>
    </row>
    <row r="89" spans="1:4" x14ac:dyDescent="0.25">
      <c r="A89" s="3"/>
      <c r="B89" s="1" t="s">
        <v>29</v>
      </c>
      <c r="C89" t="s">
        <v>1151</v>
      </c>
      <c r="D89" t="s">
        <v>1341</v>
      </c>
    </row>
    <row r="90" spans="1:4" x14ac:dyDescent="0.25">
      <c r="A90" s="3"/>
      <c r="B90" s="1" t="s">
        <v>1074</v>
      </c>
      <c r="C90" t="s">
        <v>1152</v>
      </c>
      <c r="D90" t="s">
        <v>1341</v>
      </c>
    </row>
    <row r="91" spans="1:4" x14ac:dyDescent="0.25">
      <c r="A91" s="3"/>
      <c r="B91" s="1" t="s">
        <v>42</v>
      </c>
      <c r="C91" t="s">
        <v>1147</v>
      </c>
      <c r="D91" t="s">
        <v>820</v>
      </c>
    </row>
    <row r="92" spans="1:4" x14ac:dyDescent="0.25">
      <c r="A92" s="3"/>
      <c r="B92" s="1" t="s">
        <v>41</v>
      </c>
      <c r="C92" t="s">
        <v>1148</v>
      </c>
      <c r="D92" t="s">
        <v>820</v>
      </c>
    </row>
    <row r="93" spans="1:4" x14ac:dyDescent="0.25">
      <c r="A93" s="3"/>
      <c r="B93" s="1" t="s">
        <v>1010</v>
      </c>
      <c r="C93" t="s">
        <v>1149</v>
      </c>
      <c r="D93" t="s">
        <v>820</v>
      </c>
    </row>
    <row r="94" spans="1:4" x14ac:dyDescent="0.25">
      <c r="A94" s="3"/>
      <c r="B94" s="1" t="s">
        <v>122</v>
      </c>
      <c r="C94" t="s">
        <v>144</v>
      </c>
      <c r="D94" t="s">
        <v>411</v>
      </c>
    </row>
    <row r="95" spans="1:4" x14ac:dyDescent="0.25">
      <c r="A95" s="3"/>
      <c r="B95" s="1" t="s">
        <v>121</v>
      </c>
      <c r="C95" t="s">
        <v>143</v>
      </c>
      <c r="D95" t="s">
        <v>411</v>
      </c>
    </row>
    <row r="96" spans="1:4" x14ac:dyDescent="0.25">
      <c r="A96" s="3"/>
      <c r="B96" s="1" t="s">
        <v>1078</v>
      </c>
      <c r="C96" t="s">
        <v>1101</v>
      </c>
      <c r="D96" t="s">
        <v>411</v>
      </c>
    </row>
    <row r="97" spans="1:8" x14ac:dyDescent="0.25">
      <c r="A97" s="3"/>
      <c r="B97" s="1" t="s">
        <v>1342</v>
      </c>
      <c r="C97" t="s">
        <v>1345</v>
      </c>
    </row>
    <row r="98" spans="1:8" x14ac:dyDescent="0.25">
      <c r="A98" s="3"/>
      <c r="B98" s="1" t="s">
        <v>1343</v>
      </c>
      <c r="C98" t="s">
        <v>1346</v>
      </c>
    </row>
    <row r="99" spans="1:8" x14ac:dyDescent="0.25">
      <c r="A99" s="3"/>
      <c r="B99" s="1" t="s">
        <v>1344</v>
      </c>
      <c r="C99" t="s">
        <v>1347</v>
      </c>
    </row>
    <row r="100" spans="1:8" x14ac:dyDescent="0.25">
      <c r="A100" s="3"/>
      <c r="B100" s="1" t="s">
        <v>1302</v>
      </c>
      <c r="C100" t="s">
        <v>1001</v>
      </c>
      <c r="D100" t="s">
        <v>241</v>
      </c>
      <c r="E100" t="s">
        <v>433</v>
      </c>
    </row>
    <row r="101" spans="1:8" x14ac:dyDescent="0.25">
      <c r="A101" s="3"/>
      <c r="B101" s="1" t="s">
        <v>1303</v>
      </c>
      <c r="C101" t="s">
        <v>1000</v>
      </c>
      <c r="D101" t="s">
        <v>241</v>
      </c>
      <c r="E101" t="s">
        <v>433</v>
      </c>
    </row>
    <row r="102" spans="1:8" x14ac:dyDescent="0.25">
      <c r="A102" s="3"/>
      <c r="B102" s="1" t="s">
        <v>1304</v>
      </c>
      <c r="C102" t="s">
        <v>1102</v>
      </c>
      <c r="D102" t="s">
        <v>241</v>
      </c>
      <c r="E102" t="s">
        <v>433</v>
      </c>
    </row>
    <row r="103" spans="1:8" x14ac:dyDescent="0.25">
      <c r="A103" s="3"/>
      <c r="B103" s="1" t="s">
        <v>1307</v>
      </c>
      <c r="C103" t="s">
        <v>1003</v>
      </c>
    </row>
    <row r="104" spans="1:8" x14ac:dyDescent="0.25">
      <c r="A104" s="3"/>
      <c r="B104" s="1" t="s">
        <v>1305</v>
      </c>
      <c r="C104" t="s">
        <v>1002</v>
      </c>
    </row>
    <row r="105" spans="1:8" x14ac:dyDescent="0.25">
      <c r="A105" s="3"/>
      <c r="B105" s="1" t="s">
        <v>1306</v>
      </c>
      <c r="C105" t="s">
        <v>1004</v>
      </c>
    </row>
    <row r="106" spans="1:8" x14ac:dyDescent="0.25">
      <c r="A106" s="3"/>
      <c r="B106" s="1" t="s">
        <v>82</v>
      </c>
      <c r="C106" t="s">
        <v>86</v>
      </c>
    </row>
    <row r="107" spans="1:8" x14ac:dyDescent="0.25">
      <c r="A107" s="3"/>
      <c r="B107" s="1" t="s">
        <v>83</v>
      </c>
      <c r="C107" t="s">
        <v>87</v>
      </c>
    </row>
    <row r="108" spans="1:8" x14ac:dyDescent="0.25">
      <c r="A108" s="3"/>
      <c r="B108" s="1" t="s">
        <v>1079</v>
      </c>
      <c r="C108" t="s">
        <v>1103</v>
      </c>
    </row>
    <row r="109" spans="1:8" x14ac:dyDescent="0.25">
      <c r="A109" s="3"/>
      <c r="B109" s="1" t="s">
        <v>84</v>
      </c>
      <c r="C109" t="s">
        <v>89</v>
      </c>
      <c r="D109" t="s">
        <v>243</v>
      </c>
    </row>
    <row r="110" spans="1:8" x14ac:dyDescent="0.25">
      <c r="A110" s="3"/>
      <c r="B110" s="1" t="s">
        <v>85</v>
      </c>
      <c r="C110" t="s">
        <v>88</v>
      </c>
      <c r="D110" t="s">
        <v>243</v>
      </c>
    </row>
    <row r="111" spans="1:8" x14ac:dyDescent="0.25">
      <c r="A111" s="3"/>
      <c r="B111" s="1" t="s">
        <v>1080</v>
      </c>
      <c r="C111" t="s">
        <v>1105</v>
      </c>
      <c r="D111" t="s">
        <v>243</v>
      </c>
    </row>
    <row r="112" spans="1:8" x14ac:dyDescent="0.25">
      <c r="A112" s="3"/>
      <c r="B112" s="1" t="s">
        <v>40</v>
      </c>
      <c r="C112" t="s">
        <v>81</v>
      </c>
      <c r="D112" t="s">
        <v>540</v>
      </c>
      <c r="E112" s="1">
        <f>1/3*100</f>
        <v>33.333333333333329</v>
      </c>
      <c r="F112" s="1">
        <f>15*100</f>
        <v>1500</v>
      </c>
      <c r="G112" s="1" t="s">
        <v>1145</v>
      </c>
      <c r="H112" s="1"/>
    </row>
    <row r="113" spans="1:4" x14ac:dyDescent="0.25">
      <c r="A113" s="3"/>
      <c r="B113" s="1" t="s">
        <v>39</v>
      </c>
      <c r="C113" t="s">
        <v>80</v>
      </c>
      <c r="D113" t="s">
        <v>540</v>
      </c>
    </row>
    <row r="114" spans="1:4" x14ac:dyDescent="0.25">
      <c r="A114" s="3"/>
      <c r="B114" s="1" t="s">
        <v>1077</v>
      </c>
      <c r="C114" t="s">
        <v>1100</v>
      </c>
      <c r="D114" t="s">
        <v>540</v>
      </c>
    </row>
    <row r="115" spans="1:4" x14ac:dyDescent="0.25">
      <c r="A115" s="19"/>
      <c r="B115" s="1" t="s">
        <v>195</v>
      </c>
      <c r="C115" t="s">
        <v>197</v>
      </c>
      <c r="D115" t="s">
        <v>957</v>
      </c>
    </row>
    <row r="116" spans="1:4" x14ac:dyDescent="0.25">
      <c r="A116" s="19"/>
      <c r="B116" s="1" t="s">
        <v>194</v>
      </c>
      <c r="C116" t="s">
        <v>196</v>
      </c>
      <c r="D116" t="s">
        <v>957</v>
      </c>
    </row>
    <row r="117" spans="1:4" x14ac:dyDescent="0.25">
      <c r="A117" s="19"/>
      <c r="B117" s="1" t="s">
        <v>1081</v>
      </c>
      <c r="C117" t="s">
        <v>1104</v>
      </c>
      <c r="D117" t="s">
        <v>957</v>
      </c>
    </row>
    <row r="118" spans="1:4" x14ac:dyDescent="0.25">
      <c r="A118" s="19"/>
      <c r="B118" s="1" t="s">
        <v>483</v>
      </c>
      <c r="C118" t="s">
        <v>952</v>
      </c>
    </row>
    <row r="119" spans="1:4" x14ac:dyDescent="0.25">
      <c r="A119" s="19"/>
      <c r="B119" s="1" t="s">
        <v>482</v>
      </c>
      <c r="C119" t="s">
        <v>951</v>
      </c>
    </row>
    <row r="120" spans="1:4" x14ac:dyDescent="0.25">
      <c r="A120" s="19"/>
      <c r="B120" s="1" t="s">
        <v>1082</v>
      </c>
      <c r="C120" t="s">
        <v>1106</v>
      </c>
    </row>
    <row r="121" spans="1:4" x14ac:dyDescent="0.25">
      <c r="A121" s="19"/>
      <c r="B121" s="1" t="s">
        <v>1060</v>
      </c>
      <c r="C121" t="s">
        <v>1423</v>
      </c>
      <c r="D121" t="s">
        <v>790</v>
      </c>
    </row>
    <row r="122" spans="1:4" x14ac:dyDescent="0.25">
      <c r="A122" s="19"/>
      <c r="B122" s="1" t="s">
        <v>1057</v>
      </c>
      <c r="C122" t="s">
        <v>1424</v>
      </c>
      <c r="D122" t="s">
        <v>790</v>
      </c>
    </row>
    <row r="123" spans="1:4" x14ac:dyDescent="0.25">
      <c r="A123" s="19"/>
      <c r="B123" s="1" t="s">
        <v>1059</v>
      </c>
      <c r="C123" t="s">
        <v>1425</v>
      </c>
      <c r="D123" t="s">
        <v>790</v>
      </c>
    </row>
    <row r="124" spans="1:4" x14ac:dyDescent="0.25">
      <c r="A124" s="19"/>
      <c r="B124" s="1" t="s">
        <v>124</v>
      </c>
      <c r="C124" t="s">
        <v>126</v>
      </c>
      <c r="D124" t="s">
        <v>542</v>
      </c>
    </row>
    <row r="125" spans="1:4" x14ac:dyDescent="0.25">
      <c r="A125" s="19"/>
      <c r="B125" s="1" t="s">
        <v>123</v>
      </c>
      <c r="C125" t="s">
        <v>125</v>
      </c>
      <c r="D125" t="s">
        <v>542</v>
      </c>
    </row>
    <row r="126" spans="1:4" x14ac:dyDescent="0.25">
      <c r="A126" s="19"/>
      <c r="B126" s="1" t="s">
        <v>1083</v>
      </c>
      <c r="C126" t="s">
        <v>1107</v>
      </c>
      <c r="D126" t="s">
        <v>542</v>
      </c>
    </row>
    <row r="127" spans="1:4" x14ac:dyDescent="0.25">
      <c r="A127" s="19"/>
      <c r="B127" s="1" t="s">
        <v>128</v>
      </c>
      <c r="C127" t="s">
        <v>130</v>
      </c>
      <c r="D127" t="s">
        <v>836</v>
      </c>
    </row>
    <row r="128" spans="1:4" x14ac:dyDescent="0.25">
      <c r="A128" s="19"/>
      <c r="B128" s="1" t="s">
        <v>127</v>
      </c>
      <c r="C128" t="s">
        <v>129</v>
      </c>
      <c r="D128" t="s">
        <v>836</v>
      </c>
    </row>
    <row r="129" spans="1:4" x14ac:dyDescent="0.25">
      <c r="A129" s="19"/>
      <c r="B129" s="1" t="s">
        <v>1087</v>
      </c>
      <c r="C129" t="s">
        <v>1108</v>
      </c>
      <c r="D129" t="s">
        <v>836</v>
      </c>
    </row>
    <row r="130" spans="1:4" x14ac:dyDescent="0.25">
      <c r="A130" s="19"/>
      <c r="B130" s="1" t="s">
        <v>132</v>
      </c>
      <c r="C130" t="s">
        <v>138</v>
      </c>
    </row>
    <row r="131" spans="1:4" x14ac:dyDescent="0.25">
      <c r="A131" s="19"/>
      <c r="B131" s="1" t="s">
        <v>131</v>
      </c>
      <c r="C131" t="s">
        <v>136</v>
      </c>
    </row>
    <row r="132" spans="1:4" x14ac:dyDescent="0.25">
      <c r="A132" s="19"/>
      <c r="B132" s="1" t="s">
        <v>1084</v>
      </c>
      <c r="C132" t="s">
        <v>137</v>
      </c>
    </row>
    <row r="133" spans="1:4" x14ac:dyDescent="0.25">
      <c r="A133" s="19"/>
      <c r="B133" s="1" t="s">
        <v>134</v>
      </c>
      <c r="C133" t="s">
        <v>140</v>
      </c>
      <c r="D133" t="s">
        <v>260</v>
      </c>
    </row>
    <row r="134" spans="1:4" x14ac:dyDescent="0.25">
      <c r="A134" s="19"/>
      <c r="B134" s="1" t="s">
        <v>133</v>
      </c>
      <c r="C134" t="s">
        <v>139</v>
      </c>
      <c r="D134" t="s">
        <v>260</v>
      </c>
    </row>
    <row r="135" spans="1:4" x14ac:dyDescent="0.25">
      <c r="A135" s="19"/>
      <c r="B135" s="1" t="s">
        <v>1085</v>
      </c>
      <c r="C135" t="s">
        <v>1109</v>
      </c>
      <c r="D135" t="s">
        <v>260</v>
      </c>
    </row>
    <row r="136" spans="1:4" x14ac:dyDescent="0.25">
      <c r="A136" s="19"/>
      <c r="B136" s="1" t="s">
        <v>203</v>
      </c>
      <c r="C136" t="s">
        <v>142</v>
      </c>
      <c r="D136" t="s">
        <v>204</v>
      </c>
    </row>
    <row r="137" spans="1:4" x14ac:dyDescent="0.25">
      <c r="A137" s="19"/>
      <c r="B137" s="1" t="s">
        <v>135</v>
      </c>
      <c r="C137" t="s">
        <v>141</v>
      </c>
      <c r="D137" t="s">
        <v>204</v>
      </c>
    </row>
    <row r="138" spans="1:4" x14ac:dyDescent="0.25">
      <c r="A138" s="19"/>
      <c r="B138" s="1" t="s">
        <v>1086</v>
      </c>
      <c r="C138" t="s">
        <v>1110</v>
      </c>
      <c r="D138" t="s">
        <v>204</v>
      </c>
    </row>
    <row r="139" spans="1:4" x14ac:dyDescent="0.25">
      <c r="A139" s="19"/>
      <c r="B139" s="1" t="s">
        <v>1426</v>
      </c>
      <c r="C139" t="s">
        <v>1429</v>
      </c>
      <c r="D139" t="s">
        <v>204</v>
      </c>
    </row>
    <row r="140" spans="1:4" x14ac:dyDescent="0.25">
      <c r="A140" s="19"/>
      <c r="B140" s="1" t="s">
        <v>1427</v>
      </c>
      <c r="C140" t="s">
        <v>1430</v>
      </c>
      <c r="D140" t="s">
        <v>204</v>
      </c>
    </row>
    <row r="141" spans="1:4" x14ac:dyDescent="0.25">
      <c r="A141" s="19"/>
      <c r="B141" s="1" t="s">
        <v>1428</v>
      </c>
      <c r="C141" t="s">
        <v>1431</v>
      </c>
      <c r="D141" t="s">
        <v>204</v>
      </c>
    </row>
    <row r="142" spans="1:4" s="14" customFormat="1" x14ac:dyDescent="0.25">
      <c r="A142" s="19"/>
      <c r="B142" s="15" t="s">
        <v>1496</v>
      </c>
      <c r="C142" s="14" t="s">
        <v>1497</v>
      </c>
    </row>
    <row r="143" spans="1:4" x14ac:dyDescent="0.25">
      <c r="A143" s="13"/>
      <c r="B143" s="1" t="s">
        <v>1111</v>
      </c>
      <c r="C143" t="s">
        <v>1112</v>
      </c>
    </row>
    <row r="144" spans="1:4" x14ac:dyDescent="0.25">
      <c r="A144" s="13"/>
      <c r="B144" s="1" t="s">
        <v>939</v>
      </c>
      <c r="C144" t="s">
        <v>947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4"/>
  <sheetViews>
    <sheetView topLeftCell="A25" workbookViewId="0">
      <selection activeCell="B61" sqref="B61"/>
    </sheetView>
  </sheetViews>
  <sheetFormatPr defaultRowHeight="15" x14ac:dyDescent="0.25"/>
  <cols>
    <col min="2" max="2" width="22.42578125" customWidth="1"/>
    <col min="3" max="3" width="15.85546875" style="34" bestFit="1" customWidth="1"/>
    <col min="4" max="4" width="9.28515625" style="34" bestFit="1" customWidth="1"/>
    <col min="5" max="5" width="12.42578125" style="34" customWidth="1"/>
    <col min="6" max="6" width="10.28515625" customWidth="1"/>
    <col min="7" max="7" width="13.140625" customWidth="1"/>
    <col min="9" max="9" width="12" bestFit="1" customWidth="1"/>
    <col min="12" max="12" width="11" bestFit="1" customWidth="1"/>
    <col min="13" max="14" width="10" bestFit="1" customWidth="1"/>
  </cols>
  <sheetData>
    <row r="1" spans="2:8" x14ac:dyDescent="0.25">
      <c r="B1" s="5"/>
      <c r="C1" s="32"/>
      <c r="D1" s="32"/>
      <c r="E1" s="32"/>
      <c r="F1" s="5"/>
      <c r="G1" s="5"/>
      <c r="H1" s="5"/>
    </row>
    <row r="2" spans="2:8" x14ac:dyDescent="0.25">
      <c r="B2" s="5"/>
      <c r="C2" s="32"/>
      <c r="D2" s="32"/>
      <c r="E2" s="32"/>
      <c r="F2" s="5"/>
      <c r="G2" s="5"/>
      <c r="H2" s="5"/>
    </row>
    <row r="3" spans="2:8" x14ac:dyDescent="0.25">
      <c r="B3" s="6" t="s">
        <v>110</v>
      </c>
      <c r="C3" s="32"/>
      <c r="D3" s="32"/>
      <c r="E3" s="32"/>
      <c r="F3" s="5"/>
      <c r="G3" s="5"/>
      <c r="H3" s="5"/>
    </row>
    <row r="4" spans="2:8" x14ac:dyDescent="0.25">
      <c r="B4" s="8" t="s">
        <v>107</v>
      </c>
      <c r="C4" s="33" t="s">
        <v>99</v>
      </c>
      <c r="D4" s="33" t="s">
        <v>100</v>
      </c>
      <c r="E4" s="33" t="s">
        <v>101</v>
      </c>
      <c r="F4" s="8" t="s">
        <v>43</v>
      </c>
      <c r="G4" s="5"/>
      <c r="H4" s="5"/>
    </row>
    <row r="5" spans="2:8" x14ac:dyDescent="0.25">
      <c r="B5" s="9" t="s">
        <v>102</v>
      </c>
      <c r="C5" s="28" t="s">
        <v>103</v>
      </c>
      <c r="D5" s="28">
        <v>1</v>
      </c>
      <c r="E5" s="28" t="s">
        <v>104</v>
      </c>
      <c r="F5" s="5" t="s">
        <v>112</v>
      </c>
      <c r="G5" s="5"/>
      <c r="H5" s="5"/>
    </row>
    <row r="6" spans="2:8" x14ac:dyDescent="0.25">
      <c r="B6" s="9" t="s">
        <v>105</v>
      </c>
      <c r="C6" s="28" t="s">
        <v>103</v>
      </c>
      <c r="D6" s="28">
        <v>1</v>
      </c>
      <c r="E6" s="28" t="s">
        <v>104</v>
      </c>
      <c r="F6" s="5" t="s">
        <v>119</v>
      </c>
      <c r="G6" s="5"/>
      <c r="H6" s="5"/>
    </row>
    <row r="7" spans="2:8" x14ac:dyDescent="0.25">
      <c r="B7" s="9" t="s">
        <v>887</v>
      </c>
      <c r="C7" s="28">
        <f>100/300</f>
        <v>0.33333333333333331</v>
      </c>
      <c r="D7" s="28"/>
      <c r="E7" s="28"/>
      <c r="F7" s="5" t="s">
        <v>937</v>
      </c>
      <c r="G7" s="5" t="s">
        <v>605</v>
      </c>
      <c r="H7" s="5"/>
    </row>
    <row r="8" spans="2:8" x14ac:dyDescent="0.25">
      <c r="B8" s="9"/>
      <c r="C8" s="28"/>
      <c r="D8" s="28"/>
      <c r="E8" s="28"/>
      <c r="F8" s="5"/>
      <c r="G8" s="5"/>
      <c r="H8" s="5"/>
    </row>
    <row r="9" spans="2:8" x14ac:dyDescent="0.25">
      <c r="B9" s="9" t="s">
        <v>258</v>
      </c>
      <c r="C9" s="28"/>
      <c r="D9" s="28"/>
      <c r="E9" s="28"/>
      <c r="F9" s="5"/>
      <c r="G9" s="5"/>
      <c r="H9" s="5"/>
    </row>
    <row r="10" spans="2:8" x14ac:dyDescent="0.25">
      <c r="B10" s="5"/>
      <c r="C10" s="32"/>
      <c r="D10" s="32"/>
      <c r="E10" s="32"/>
      <c r="F10" s="5"/>
      <c r="G10" s="5"/>
      <c r="H10" s="5"/>
    </row>
    <row r="11" spans="2:8" x14ac:dyDescent="0.25">
      <c r="B11" s="5"/>
      <c r="C11" s="32"/>
      <c r="D11" s="32"/>
      <c r="E11" s="32"/>
      <c r="F11" s="5"/>
      <c r="G11" s="5"/>
      <c r="H11" s="5"/>
    </row>
    <row r="12" spans="2:8" x14ac:dyDescent="0.25">
      <c r="B12" s="5"/>
      <c r="C12" s="32"/>
      <c r="D12" s="32"/>
      <c r="E12" s="32"/>
      <c r="F12" s="5"/>
      <c r="G12" s="5"/>
      <c r="H12" s="5"/>
    </row>
    <row r="13" spans="2:8" x14ac:dyDescent="0.25">
      <c r="B13" s="6" t="s">
        <v>111</v>
      </c>
      <c r="C13" s="32"/>
      <c r="D13" s="32"/>
      <c r="E13" s="32"/>
      <c r="F13" s="5"/>
      <c r="G13" s="5"/>
      <c r="H13" s="5"/>
    </row>
    <row r="14" spans="2:8" x14ac:dyDescent="0.25">
      <c r="B14" s="8" t="s">
        <v>107</v>
      </c>
      <c r="C14" s="33" t="s">
        <v>99</v>
      </c>
      <c r="D14" s="33" t="s">
        <v>106</v>
      </c>
      <c r="E14" s="33" t="s">
        <v>102</v>
      </c>
      <c r="F14" s="8" t="s">
        <v>43</v>
      </c>
      <c r="G14" s="5"/>
      <c r="H14" s="5"/>
    </row>
    <row r="15" spans="2:8" x14ac:dyDescent="0.25">
      <c r="B15" s="9" t="s">
        <v>108</v>
      </c>
      <c r="C15" s="28">
        <v>1</v>
      </c>
      <c r="D15" s="28">
        <v>1</v>
      </c>
      <c r="E15" s="28">
        <v>1</v>
      </c>
      <c r="F15" s="5" t="s">
        <v>109</v>
      </c>
      <c r="G15" s="5"/>
      <c r="H15" s="5"/>
    </row>
    <row r="16" spans="2:8" x14ac:dyDescent="0.25">
      <c r="B16" s="9"/>
      <c r="C16" s="28"/>
      <c r="D16" s="28"/>
      <c r="E16" s="28"/>
      <c r="F16" s="5"/>
      <c r="G16" s="5"/>
      <c r="H16" s="5"/>
    </row>
    <row r="17" spans="2:8" x14ac:dyDescent="0.25">
      <c r="B17" s="9"/>
      <c r="C17" s="28"/>
      <c r="D17" s="28"/>
      <c r="E17" s="28"/>
      <c r="F17" s="5"/>
      <c r="G17" s="5"/>
      <c r="H17" s="5"/>
    </row>
    <row r="18" spans="2:8" x14ac:dyDescent="0.25">
      <c r="B18" s="9" t="s">
        <v>113</v>
      </c>
      <c r="C18" s="28"/>
      <c r="D18" s="28"/>
      <c r="E18" s="28"/>
      <c r="F18" s="5"/>
      <c r="G18" s="5"/>
      <c r="H18" s="5"/>
    </row>
    <row r="21" spans="2:8" x14ac:dyDescent="0.25">
      <c r="B21" s="1" t="s">
        <v>430</v>
      </c>
    </row>
    <row r="22" spans="2:8" x14ac:dyDescent="0.25">
      <c r="B22" s="8" t="s">
        <v>107</v>
      </c>
      <c r="C22" s="33" t="s">
        <v>99</v>
      </c>
      <c r="D22" s="33" t="s">
        <v>106</v>
      </c>
      <c r="E22" s="33" t="s">
        <v>254</v>
      </c>
      <c r="F22" s="8" t="s">
        <v>43</v>
      </c>
      <c r="G22" s="5"/>
    </row>
    <row r="23" spans="2:8" x14ac:dyDescent="0.25">
      <c r="B23" s="9" t="s">
        <v>253</v>
      </c>
      <c r="C23" s="28">
        <v>10</v>
      </c>
      <c r="D23" s="28">
        <v>1</v>
      </c>
      <c r="E23" s="28">
        <f>C23*D23</f>
        <v>10</v>
      </c>
      <c r="F23" s="5" t="s">
        <v>255</v>
      </c>
      <c r="G23" s="5"/>
    </row>
    <row r="24" spans="2:8" x14ac:dyDescent="0.25">
      <c r="B24" s="9" t="s">
        <v>256</v>
      </c>
      <c r="C24" s="28">
        <v>1000</v>
      </c>
      <c r="D24" s="28">
        <v>1</v>
      </c>
      <c r="E24" s="28">
        <f>C24*D24</f>
        <v>1000</v>
      </c>
      <c r="F24" s="5" t="s">
        <v>257</v>
      </c>
      <c r="G24" s="5"/>
    </row>
    <row r="25" spans="2:8" x14ac:dyDescent="0.25">
      <c r="B25" s="9" t="s">
        <v>285</v>
      </c>
      <c r="C25" s="28">
        <v>1000</v>
      </c>
      <c r="D25" s="28">
        <v>1</v>
      </c>
      <c r="E25" s="28">
        <f>C25*D25</f>
        <v>1000</v>
      </c>
      <c r="F25" s="5"/>
      <c r="G25" s="5"/>
    </row>
    <row r="26" spans="2:8" x14ac:dyDescent="0.25">
      <c r="B26" s="9"/>
      <c r="C26" s="28"/>
      <c r="D26" s="28"/>
      <c r="E26" s="28"/>
      <c r="F26" s="5"/>
      <c r="G26" s="5"/>
    </row>
    <row r="27" spans="2:8" x14ac:dyDescent="0.25">
      <c r="B27" s="9"/>
      <c r="C27" s="28"/>
      <c r="D27" s="28"/>
      <c r="E27" s="28"/>
      <c r="F27" s="5"/>
      <c r="G27" s="5"/>
    </row>
    <row r="28" spans="2:8" x14ac:dyDescent="0.25">
      <c r="B28" s="9" t="s">
        <v>258</v>
      </c>
      <c r="C28" s="45"/>
      <c r="D28" s="45"/>
      <c r="E28" s="45"/>
    </row>
    <row r="30" spans="2:8" x14ac:dyDescent="0.25">
      <c r="B30" s="21"/>
    </row>
    <row r="32" spans="2:8" x14ac:dyDescent="0.25">
      <c r="B32" s="1" t="s">
        <v>225</v>
      </c>
    </row>
    <row r="33" spans="2:15" x14ac:dyDescent="0.25">
      <c r="B33" s="8" t="s">
        <v>107</v>
      </c>
      <c r="C33" s="33" t="s">
        <v>99</v>
      </c>
      <c r="D33" s="33" t="s">
        <v>106</v>
      </c>
      <c r="E33" s="33" t="s">
        <v>226</v>
      </c>
    </row>
    <row r="34" spans="2:15" x14ac:dyDescent="0.25">
      <c r="B34" s="9" t="s">
        <v>227</v>
      </c>
      <c r="C34" s="28">
        <v>0.1</v>
      </c>
      <c r="D34" s="28">
        <v>1</v>
      </c>
      <c r="E34" s="28">
        <f>D34*C34</f>
        <v>0.1</v>
      </c>
      <c r="F34" t="s">
        <v>240</v>
      </c>
      <c r="M34" t="s">
        <v>795</v>
      </c>
      <c r="N34" t="s">
        <v>796</v>
      </c>
    </row>
    <row r="35" spans="2:15" x14ac:dyDescent="0.25">
      <c r="B35" s="9" t="s">
        <v>285</v>
      </c>
      <c r="C35" s="28">
        <f>1000/1627500*100</f>
        <v>6.1443932411674347E-2</v>
      </c>
      <c r="D35" s="28">
        <v>1</v>
      </c>
      <c r="E35" s="28">
        <f>D35*C35</f>
        <v>6.1443932411674347E-2</v>
      </c>
      <c r="F35" t="s">
        <v>793</v>
      </c>
      <c r="I35" t="s">
        <v>374</v>
      </c>
      <c r="M35">
        <f>(100*100*0.1*1.37)</f>
        <v>1370</v>
      </c>
      <c r="N35">
        <f>M35*1000</f>
        <v>1370000</v>
      </c>
    </row>
    <row r="36" spans="2:15" x14ac:dyDescent="0.25">
      <c r="B36" s="9" t="s">
        <v>254</v>
      </c>
      <c r="C36" s="48">
        <f>1/N35*100</f>
        <v>7.2992700729927014E-5</v>
      </c>
      <c r="D36" s="28">
        <v>1</v>
      </c>
      <c r="E36" s="28">
        <f t="shared" ref="E36:E37" si="0">D36*C36</f>
        <v>7.2992700729927014E-5</v>
      </c>
      <c r="F36" t="s">
        <v>794</v>
      </c>
    </row>
    <row r="37" spans="2:15" x14ac:dyDescent="0.25">
      <c r="B37" s="9" t="s">
        <v>1210</v>
      </c>
      <c r="C37" s="48">
        <f>1/M35*100</f>
        <v>7.2992700729927001E-2</v>
      </c>
      <c r="D37" s="28">
        <v>1</v>
      </c>
      <c r="E37" s="28">
        <f t="shared" si="0"/>
        <v>7.2992700729927001E-2</v>
      </c>
      <c r="F37" t="s">
        <v>794</v>
      </c>
      <c r="M37">
        <f>1/(100*100*0.05*1.35)*100</f>
        <v>0.14814814814814814</v>
      </c>
      <c r="N37">
        <f>1/(100*100*0.1*1.57)*100</f>
        <v>6.3694267515923567E-2</v>
      </c>
      <c r="O37">
        <f>1/(100*100*0.15*1.59)*100</f>
        <v>4.1928721174004188E-2</v>
      </c>
    </row>
    <row r="38" spans="2:15" x14ac:dyDescent="0.25">
      <c r="B38" s="9" t="s">
        <v>1337</v>
      </c>
      <c r="C38" s="48">
        <v>0.1</v>
      </c>
      <c r="D38" s="28">
        <v>1</v>
      </c>
      <c r="E38" s="28">
        <f>D38*C38</f>
        <v>0.1</v>
      </c>
      <c r="M38">
        <f>1/(100*100*0.05*1.39)*100</f>
        <v>0.14388489208633093</v>
      </c>
      <c r="N38">
        <f>1/(100*100*0.1*1.62)*100</f>
        <v>6.1728395061728392E-2</v>
      </c>
      <c r="O38">
        <f>1/(100*100*0.15*1.57)*100</f>
        <v>4.2462845010615716E-2</v>
      </c>
    </row>
    <row r="39" spans="2:15" x14ac:dyDescent="0.25">
      <c r="B39" s="9" t="s">
        <v>258</v>
      </c>
      <c r="C39" s="45"/>
      <c r="D39" s="45"/>
      <c r="E39" s="45"/>
    </row>
    <row r="41" spans="2:15" x14ac:dyDescent="0.25">
      <c r="B41" s="1" t="s">
        <v>1418</v>
      </c>
      <c r="J41" t="s">
        <v>1464</v>
      </c>
      <c r="K41" t="s">
        <v>1465</v>
      </c>
    </row>
    <row r="42" spans="2:15" x14ac:dyDescent="0.25">
      <c r="B42" s="8" t="s">
        <v>107</v>
      </c>
      <c r="C42" s="33" t="s">
        <v>99</v>
      </c>
      <c r="D42" s="33" t="s">
        <v>106</v>
      </c>
      <c r="E42" s="33" t="s">
        <v>331</v>
      </c>
      <c r="I42" t="s">
        <v>434</v>
      </c>
      <c r="J42" t="s">
        <v>435</v>
      </c>
      <c r="K42" t="s">
        <v>435</v>
      </c>
    </row>
    <row r="43" spans="2:15" x14ac:dyDescent="0.25">
      <c r="B43" s="9" t="s">
        <v>254</v>
      </c>
      <c r="C43" s="28">
        <f>1000000/K43</f>
        <v>5.6003584229390682E-2</v>
      </c>
      <c r="D43" s="28">
        <v>1</v>
      </c>
      <c r="E43" s="28">
        <f>D43*C43</f>
        <v>5.6003584229390682E-2</v>
      </c>
      <c r="I43">
        <f>100*100*0.6*1.5</f>
        <v>9000</v>
      </c>
      <c r="J43">
        <f>I43*1000</f>
        <v>9000000</v>
      </c>
      <c r="K43">
        <f>100*100*1.2*1.488*1000</f>
        <v>17856000</v>
      </c>
    </row>
    <row r="44" spans="2:15" x14ac:dyDescent="0.25">
      <c r="B44" s="9" t="s">
        <v>226</v>
      </c>
      <c r="C44" s="28">
        <v>10000</v>
      </c>
      <c r="D44" s="28">
        <v>1</v>
      </c>
      <c r="E44" s="28">
        <f t="shared" ref="E44:E45" si="1">D44*C44</f>
        <v>10000</v>
      </c>
      <c r="F44" t="s">
        <v>456</v>
      </c>
      <c r="G44" t="s">
        <v>457</v>
      </c>
      <c r="H44" t="s">
        <v>458</v>
      </c>
    </row>
    <row r="45" spans="2:15" x14ac:dyDescent="0.25">
      <c r="B45" s="9" t="s">
        <v>227</v>
      </c>
      <c r="C45" s="28">
        <v>1000</v>
      </c>
      <c r="D45" s="28">
        <v>1</v>
      </c>
      <c r="E45" s="28">
        <f t="shared" si="1"/>
        <v>1000</v>
      </c>
    </row>
    <row r="46" spans="2:15" x14ac:dyDescent="0.25">
      <c r="B46" s="9" t="s">
        <v>460</v>
      </c>
      <c r="C46" s="28">
        <v>1</v>
      </c>
      <c r="D46" s="28">
        <v>1</v>
      </c>
      <c r="E46" s="28">
        <f t="shared" ref="E46" si="2">D46*C46</f>
        <v>1</v>
      </c>
      <c r="F46" t="s">
        <v>461</v>
      </c>
    </row>
    <row r="47" spans="2:15" x14ac:dyDescent="0.25">
      <c r="B47" s="9" t="s">
        <v>533</v>
      </c>
      <c r="C47" s="28">
        <v>1</v>
      </c>
      <c r="D47" s="28">
        <v>1</v>
      </c>
      <c r="E47" s="28">
        <f t="shared" ref="E47" si="3">D47*C47</f>
        <v>1</v>
      </c>
    </row>
    <row r="48" spans="2:15" x14ac:dyDescent="0.25">
      <c r="B48" s="9" t="s">
        <v>253</v>
      </c>
      <c r="C48" s="28">
        <f>1000/G48</f>
        <v>1.5220700152207001</v>
      </c>
      <c r="D48" s="28">
        <v>1</v>
      </c>
      <c r="E48" s="28">
        <f t="shared" ref="E48" si="4">D48*C48</f>
        <v>1.5220700152207001</v>
      </c>
      <c r="F48" t="s">
        <v>1407</v>
      </c>
      <c r="G48">
        <f>1.46*100*100*45/1000</f>
        <v>657</v>
      </c>
      <c r="I48" s="1" t="s">
        <v>1405</v>
      </c>
    </row>
    <row r="49" spans="2:14" x14ac:dyDescent="0.25">
      <c r="B49" s="9" t="s">
        <v>258</v>
      </c>
      <c r="C49" s="45"/>
      <c r="D49" s="45"/>
      <c r="E49" s="45"/>
    </row>
    <row r="51" spans="2:14" x14ac:dyDescent="0.25">
      <c r="B51" s="1" t="s">
        <v>330</v>
      </c>
    </row>
    <row r="52" spans="2:14" x14ac:dyDescent="0.25">
      <c r="B52" s="8" t="s">
        <v>272</v>
      </c>
      <c r="C52" s="33" t="s">
        <v>99</v>
      </c>
      <c r="D52" s="33" t="s">
        <v>106</v>
      </c>
      <c r="E52" s="33" t="s">
        <v>273</v>
      </c>
    </row>
    <row r="53" spans="2:14" x14ac:dyDescent="0.25">
      <c r="B53" s="9" t="s">
        <v>870</v>
      </c>
      <c r="C53" s="28">
        <f>1/22.7273</f>
        <v>4.3999947200063359E-2</v>
      </c>
      <c r="D53" s="28">
        <v>1</v>
      </c>
      <c r="E53" s="28">
        <f>D53*C53</f>
        <v>4.3999947200063359E-2</v>
      </c>
      <c r="F53" t="s">
        <v>274</v>
      </c>
      <c r="G53" t="s">
        <v>871</v>
      </c>
      <c r="I53">
        <f>1/1000000*44*1000</f>
        <v>4.3999999999999997E-2</v>
      </c>
    </row>
    <row r="54" spans="2:14" x14ac:dyDescent="0.25">
      <c r="B54" s="9" t="s">
        <v>329</v>
      </c>
      <c r="C54" s="28">
        <v>4.3999999999999997E-2</v>
      </c>
      <c r="D54" s="28">
        <v>1</v>
      </c>
      <c r="E54" s="28">
        <f t="shared" ref="E54:E56" si="5">D54*C54</f>
        <v>4.3999999999999997E-2</v>
      </c>
      <c r="F54" t="s">
        <v>872</v>
      </c>
      <c r="I54">
        <f>1/1000000000*44*1000*1000</f>
        <v>4.4000000000000004E-2</v>
      </c>
    </row>
    <row r="55" spans="2:14" x14ac:dyDescent="0.25">
      <c r="B55" s="9" t="s">
        <v>370</v>
      </c>
      <c r="C55" s="28">
        <f>1000000/L55</f>
        <v>0.61443932411674351</v>
      </c>
      <c r="D55" s="28">
        <v>1</v>
      </c>
      <c r="E55" s="28">
        <f t="shared" si="5"/>
        <v>0.61443932411674351</v>
      </c>
      <c r="F55" t="s">
        <v>373</v>
      </c>
      <c r="H55" t="s">
        <v>380</v>
      </c>
      <c r="L55">
        <f>100*100*0.15*1.085*1000</f>
        <v>1627500</v>
      </c>
      <c r="N55" s="1" t="s">
        <v>437</v>
      </c>
    </row>
    <row r="56" spans="2:14" x14ac:dyDescent="0.25">
      <c r="B56" s="9" t="s">
        <v>443</v>
      </c>
      <c r="C56" s="28">
        <f>1/1000000*1000*1000</f>
        <v>1</v>
      </c>
      <c r="D56" s="28">
        <v>1</v>
      </c>
      <c r="E56" s="28">
        <f t="shared" si="5"/>
        <v>1</v>
      </c>
    </row>
    <row r="57" spans="2:14" x14ac:dyDescent="0.25">
      <c r="B57" s="9"/>
      <c r="C57" s="28"/>
      <c r="D57" s="28"/>
      <c r="E57" s="28"/>
    </row>
    <row r="58" spans="2:14" x14ac:dyDescent="0.25">
      <c r="B58" s="9" t="s">
        <v>258</v>
      </c>
      <c r="C58" s="45"/>
      <c r="D58" s="45"/>
      <c r="E58" s="45"/>
    </row>
    <row r="60" spans="2:14" x14ac:dyDescent="0.25">
      <c r="B60" s="1" t="s">
        <v>1498</v>
      </c>
    </row>
    <row r="61" spans="2:14" x14ac:dyDescent="0.25">
      <c r="B61" s="8" t="s">
        <v>272</v>
      </c>
      <c r="C61" s="33" t="s">
        <v>99</v>
      </c>
      <c r="D61" s="33" t="s">
        <v>106</v>
      </c>
      <c r="E61" s="33" t="s">
        <v>331</v>
      </c>
    </row>
    <row r="62" spans="2:14" x14ac:dyDescent="0.25">
      <c r="B62" s="9" t="s">
        <v>329</v>
      </c>
      <c r="C62" s="9">
        <f>1/1000000000*12*1000*1000</f>
        <v>1.2000000000000002E-2</v>
      </c>
      <c r="D62" s="28">
        <v>1</v>
      </c>
      <c r="E62" s="28">
        <f>C62*D62</f>
        <v>1.2000000000000002E-2</v>
      </c>
      <c r="F62" t="s">
        <v>865</v>
      </c>
      <c r="I62" t="s">
        <v>866</v>
      </c>
      <c r="J62" s="108" t="s">
        <v>868</v>
      </c>
    </row>
    <row r="63" spans="2:14" x14ac:dyDescent="0.25">
      <c r="B63" s="9" t="s">
        <v>860</v>
      </c>
      <c r="C63" s="9">
        <f>0.01*12*1000</f>
        <v>120</v>
      </c>
      <c r="D63" s="28">
        <v>1</v>
      </c>
      <c r="E63" s="28">
        <f>C63*D63</f>
        <v>120</v>
      </c>
      <c r="F63" t="s">
        <v>867</v>
      </c>
      <c r="J63" t="s">
        <v>864</v>
      </c>
    </row>
    <row r="64" spans="2:14" x14ac:dyDescent="0.25">
      <c r="B64" s="9" t="s">
        <v>254</v>
      </c>
      <c r="C64" s="28">
        <f>1000000/1627500</f>
        <v>0.61443932411674351</v>
      </c>
      <c r="D64" s="28">
        <v>1</v>
      </c>
      <c r="E64" s="28">
        <f>D64*C64</f>
        <v>0.61443932411674351</v>
      </c>
      <c r="F64" t="s">
        <v>437</v>
      </c>
      <c r="G64" t="s">
        <v>869</v>
      </c>
      <c r="H64">
        <f>100*100*0.15*1.085</f>
        <v>1627.5</v>
      </c>
    </row>
    <row r="65" spans="2:10" x14ac:dyDescent="0.25">
      <c r="B65" s="9"/>
      <c r="C65" s="28"/>
      <c r="D65" s="28"/>
      <c r="E65" s="28"/>
    </row>
    <row r="66" spans="2:10" x14ac:dyDescent="0.25">
      <c r="B66" s="9" t="s">
        <v>258</v>
      </c>
      <c r="C66" s="45"/>
      <c r="D66" s="45"/>
      <c r="E66" s="45"/>
      <c r="J66" s="66"/>
    </row>
    <row r="69" spans="2:10" x14ac:dyDescent="0.25">
      <c r="B69" s="1" t="s">
        <v>940</v>
      </c>
    </row>
    <row r="70" spans="2:10" x14ac:dyDescent="0.25">
      <c r="B70" s="8" t="s">
        <v>272</v>
      </c>
      <c r="C70" s="33" t="s">
        <v>99</v>
      </c>
      <c r="D70" s="33" t="s">
        <v>106</v>
      </c>
      <c r="E70" s="33" t="s">
        <v>879</v>
      </c>
    </row>
    <row r="71" spans="2:10" x14ac:dyDescent="0.25">
      <c r="B71" s="9" t="s">
        <v>329</v>
      </c>
      <c r="C71" s="9">
        <f>1/1000000000*12*1000*1000</f>
        <v>1.2000000000000002E-2</v>
      </c>
      <c r="D71" s="28">
        <v>1</v>
      </c>
      <c r="E71" s="28">
        <f>C71*D71</f>
        <v>1.2000000000000002E-2</v>
      </c>
      <c r="G71">
        <f>1/1000000000*12*1000000</f>
        <v>1.2000000000000002E-2</v>
      </c>
    </row>
    <row r="72" spans="2:10" x14ac:dyDescent="0.25">
      <c r="B72" s="9" t="s">
        <v>1370</v>
      </c>
      <c r="C72" s="9">
        <f>C71/1000</f>
        <v>1.2000000000000002E-5</v>
      </c>
      <c r="D72" s="28"/>
      <c r="E72" s="28"/>
    </row>
    <row r="73" spans="2:10" x14ac:dyDescent="0.25">
      <c r="B73" s="9"/>
      <c r="C73" s="28"/>
      <c r="D73" s="28"/>
      <c r="E73" s="28"/>
    </row>
    <row r="74" spans="2:10" x14ac:dyDescent="0.25">
      <c r="B74" s="9"/>
      <c r="C74" s="28"/>
      <c r="D74" s="28"/>
      <c r="E74" s="28"/>
    </row>
    <row r="75" spans="2:10" x14ac:dyDescent="0.25">
      <c r="B75" s="9" t="s">
        <v>258</v>
      </c>
      <c r="C75" s="45"/>
      <c r="D75" s="45"/>
      <c r="E75" s="45"/>
    </row>
    <row r="78" spans="2:10" x14ac:dyDescent="0.25">
      <c r="B78" s="1" t="s">
        <v>1218</v>
      </c>
    </row>
    <row r="79" spans="2:10" x14ac:dyDescent="0.25">
      <c r="B79" s="8" t="s">
        <v>272</v>
      </c>
      <c r="C79" s="33" t="s">
        <v>99</v>
      </c>
      <c r="D79" s="33" t="s">
        <v>106</v>
      </c>
      <c r="E79" s="33" t="s">
        <v>1241</v>
      </c>
    </row>
    <row r="80" spans="2:10" x14ac:dyDescent="0.25">
      <c r="B80" s="9" t="s">
        <v>1219</v>
      </c>
      <c r="C80" s="9">
        <f>3600/10</f>
        <v>360</v>
      </c>
      <c r="D80" s="28">
        <v>1</v>
      </c>
      <c r="E80" s="28">
        <f>C80*D80</f>
        <v>360</v>
      </c>
    </row>
    <row r="81" spans="2:5" x14ac:dyDescent="0.25">
      <c r="B81" s="9"/>
      <c r="C81" s="9"/>
      <c r="D81" s="28"/>
      <c r="E81" s="28"/>
    </row>
    <row r="82" spans="2:5" x14ac:dyDescent="0.25">
      <c r="B82" s="9"/>
      <c r="C82" s="28"/>
      <c r="D82" s="28"/>
      <c r="E82" s="28"/>
    </row>
    <row r="83" spans="2:5" x14ac:dyDescent="0.25">
      <c r="B83" s="9"/>
      <c r="C83" s="28"/>
      <c r="D83" s="28"/>
      <c r="E83" s="28"/>
    </row>
    <row r="84" spans="2:5" x14ac:dyDescent="0.25">
      <c r="B84" s="9" t="s">
        <v>258</v>
      </c>
      <c r="C84" s="45"/>
      <c r="D84" s="45"/>
      <c r="E84" s="45"/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2"/>
  <sheetViews>
    <sheetView topLeftCell="A10" workbookViewId="0">
      <selection activeCell="I32" sqref="I32"/>
    </sheetView>
  </sheetViews>
  <sheetFormatPr defaultRowHeight="15" x14ac:dyDescent="0.25"/>
  <cols>
    <col min="2" max="2" width="21" customWidth="1"/>
    <col min="6" max="6" width="11.42578125" customWidth="1"/>
    <col min="7" max="7" width="26.28515625" customWidth="1"/>
  </cols>
  <sheetData>
    <row r="3" spans="2:20" x14ac:dyDescent="0.25">
      <c r="B3" t="s">
        <v>332</v>
      </c>
    </row>
    <row r="5" spans="2:20" x14ac:dyDescent="0.25">
      <c r="B5" s="29" t="s">
        <v>107</v>
      </c>
      <c r="C5" s="29" t="s">
        <v>333</v>
      </c>
      <c r="D5" s="29" t="s">
        <v>334</v>
      </c>
      <c r="E5" s="29" t="s">
        <v>335</v>
      </c>
    </row>
    <row r="6" spans="2:20" x14ac:dyDescent="0.25">
      <c r="B6" s="30" t="s">
        <v>336</v>
      </c>
      <c r="C6" s="11">
        <f>1/12*10^6/24/60/60</f>
        <v>0.96450617283950613</v>
      </c>
      <c r="D6" s="10">
        <v>1</v>
      </c>
      <c r="E6" s="10">
        <f t="shared" ref="E6:E20" si="0">D6*C6</f>
        <v>0.96450617283950613</v>
      </c>
    </row>
    <row r="7" spans="2:20" x14ac:dyDescent="0.25">
      <c r="B7" s="30" t="s">
        <v>337</v>
      </c>
      <c r="C7" s="9">
        <f>1/12*10^6/60/60</f>
        <v>23.148148148148149</v>
      </c>
      <c r="D7" s="10">
        <v>0.1</v>
      </c>
      <c r="E7" s="10">
        <f t="shared" si="0"/>
        <v>2.3148148148148149</v>
      </c>
    </row>
    <row r="8" spans="2:20" x14ac:dyDescent="0.25">
      <c r="B8" s="30" t="s">
        <v>338</v>
      </c>
      <c r="C8" s="9">
        <f>1/12*10^6/24/60/60/365</f>
        <v>2.6424826653137154E-3</v>
      </c>
      <c r="D8" s="9">
        <v>500</v>
      </c>
      <c r="E8" s="10">
        <f t="shared" si="0"/>
        <v>1.3212413326568577</v>
      </c>
    </row>
    <row r="9" spans="2:20" x14ac:dyDescent="0.25">
      <c r="B9" s="30" t="s">
        <v>339</v>
      </c>
      <c r="C9" s="11">
        <f>1/44*10^6/60/60/24</f>
        <v>0.26304713804713803</v>
      </c>
      <c r="D9" s="9">
        <v>10</v>
      </c>
      <c r="E9" s="10">
        <f t="shared" si="0"/>
        <v>2.6304713804713802</v>
      </c>
      <c r="S9">
        <v>0.01</v>
      </c>
      <c r="T9">
        <f>LOG(S9,10)</f>
        <v>-1.9999999999999996</v>
      </c>
    </row>
    <row r="10" spans="2:20" x14ac:dyDescent="0.25">
      <c r="B10" s="30" t="s">
        <v>340</v>
      </c>
      <c r="C10" s="11">
        <f>1/44*10^6/60/60</f>
        <v>6.3131313131313131</v>
      </c>
      <c r="D10" s="10">
        <v>1</v>
      </c>
      <c r="E10" s="10">
        <f t="shared" si="0"/>
        <v>6.3131313131313131</v>
      </c>
      <c r="S10">
        <v>1</v>
      </c>
      <c r="T10">
        <f t="shared" ref="T10:T13" si="1">LOG(S10,10)</f>
        <v>0</v>
      </c>
    </row>
    <row r="11" spans="2:20" x14ac:dyDescent="0.25">
      <c r="B11" s="30" t="s">
        <v>341</v>
      </c>
      <c r="C11" s="11">
        <f>1/1000/12*10^6/60/60/24</f>
        <v>9.6450617283950612E-4</v>
      </c>
      <c r="D11" s="10">
        <v>1000</v>
      </c>
      <c r="E11" s="10">
        <f t="shared" si="0"/>
        <v>0.96450617283950613</v>
      </c>
      <c r="S11">
        <v>10</v>
      </c>
      <c r="T11">
        <f t="shared" si="1"/>
        <v>1</v>
      </c>
    </row>
    <row r="12" spans="2:20" x14ac:dyDescent="0.25">
      <c r="B12" s="30" t="s">
        <v>342</v>
      </c>
      <c r="C12" s="11">
        <f>1/1000/12*10^6/60/60</f>
        <v>2.3148148148148147E-2</v>
      </c>
      <c r="D12" s="10">
        <v>83</v>
      </c>
      <c r="E12" s="10">
        <f t="shared" si="0"/>
        <v>1.9212962962962963</v>
      </c>
      <c r="S12">
        <v>100</v>
      </c>
      <c r="T12">
        <f t="shared" si="1"/>
        <v>2</v>
      </c>
    </row>
    <row r="13" spans="2:20" x14ac:dyDescent="0.25">
      <c r="B13" s="30" t="s">
        <v>343</v>
      </c>
      <c r="C13" s="11">
        <f>1/1000/44*10^6/24/60/60</f>
        <v>2.6304713804713804E-4</v>
      </c>
      <c r="D13" s="10">
        <v>1000</v>
      </c>
      <c r="E13" s="10">
        <f t="shared" si="0"/>
        <v>0.26304713804713803</v>
      </c>
      <c r="S13">
        <v>1000</v>
      </c>
      <c r="T13">
        <f t="shared" si="1"/>
        <v>2.9999999999999996</v>
      </c>
    </row>
    <row r="14" spans="2:20" x14ac:dyDescent="0.25">
      <c r="B14" s="30" t="s">
        <v>344</v>
      </c>
      <c r="C14" s="11">
        <f>1/1000/44*10^6/60/60</f>
        <v>6.3131313131313139E-3</v>
      </c>
      <c r="D14" s="10">
        <v>100</v>
      </c>
      <c r="E14" s="10">
        <f t="shared" si="0"/>
        <v>0.63131313131313138</v>
      </c>
    </row>
    <row r="15" spans="2:20" x14ac:dyDescent="0.25">
      <c r="B15" s="30" t="s">
        <v>861</v>
      </c>
      <c r="C15" s="11">
        <f>1/1000/44*10^6</f>
        <v>22.72727272727273</v>
      </c>
      <c r="D15" s="9">
        <v>1</v>
      </c>
      <c r="E15" s="10">
        <f t="shared" si="0"/>
        <v>22.72727272727273</v>
      </c>
      <c r="F15" t="s">
        <v>862</v>
      </c>
      <c r="G15" t="s">
        <v>863</v>
      </c>
      <c r="H15">
        <f>0.001/44*1000000</f>
        <v>22.72727272727273</v>
      </c>
    </row>
    <row r="16" spans="2:20" x14ac:dyDescent="0.25">
      <c r="B16" s="30" t="s">
        <v>345</v>
      </c>
      <c r="C16" s="11">
        <f>1*1000/24/60/60</f>
        <v>1.1574074074074073E-2</v>
      </c>
      <c r="D16" s="10">
        <v>10</v>
      </c>
      <c r="E16" s="10">
        <f t="shared" si="0"/>
        <v>0.11574074074074073</v>
      </c>
    </row>
    <row r="17" spans="2:5" x14ac:dyDescent="0.25">
      <c r="B17" s="30" t="s">
        <v>346</v>
      </c>
      <c r="C17" s="9">
        <f>1*1000/60/60</f>
        <v>0.27777777777777779</v>
      </c>
      <c r="D17" s="10">
        <v>100</v>
      </c>
      <c r="E17" s="10">
        <f t="shared" si="0"/>
        <v>27.777777777777779</v>
      </c>
    </row>
    <row r="18" spans="2:5" x14ac:dyDescent="0.25">
      <c r="B18" s="30" t="s">
        <v>347</v>
      </c>
      <c r="C18" s="11">
        <f>1/1000</f>
        <v>1E-3</v>
      </c>
      <c r="D18" s="10">
        <v>1000</v>
      </c>
      <c r="E18" s="10">
        <f t="shared" si="0"/>
        <v>1</v>
      </c>
    </row>
    <row r="19" spans="2:5" x14ac:dyDescent="0.25">
      <c r="B19" s="30" t="s">
        <v>348</v>
      </c>
      <c r="C19" s="9">
        <f>1*10^6/365/24/60/60</f>
        <v>3.1709791983764585E-2</v>
      </c>
      <c r="D19" s="10">
        <v>10</v>
      </c>
      <c r="E19" s="10">
        <f t="shared" si="0"/>
        <v>0.31709791983764585</v>
      </c>
    </row>
    <row r="20" spans="2:5" x14ac:dyDescent="0.25">
      <c r="B20" s="30" t="s">
        <v>349</v>
      </c>
      <c r="C20" s="11">
        <v>1</v>
      </c>
      <c r="D20" s="10">
        <v>1</v>
      </c>
      <c r="E20" s="10">
        <f t="shared" si="0"/>
        <v>1</v>
      </c>
    </row>
    <row r="22" spans="2:5" x14ac:dyDescent="0.25">
      <c r="B22" t="s">
        <v>455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"/>
  <sheetViews>
    <sheetView workbookViewId="0">
      <selection activeCell="B3" sqref="B3"/>
    </sheetView>
  </sheetViews>
  <sheetFormatPr defaultRowHeight="15" x14ac:dyDescent="0.25"/>
  <cols>
    <col min="2" max="2" width="23.28515625" customWidth="1"/>
    <col min="3" max="3" width="26" customWidth="1"/>
    <col min="4" max="4" width="24.5703125" customWidth="1"/>
    <col min="5" max="5" width="22.140625" customWidth="1"/>
    <col min="6" max="6" width="15.7109375" customWidth="1"/>
  </cols>
  <sheetData>
    <row r="1" spans="2:5" ht="15.75" thickBot="1" x14ac:dyDescent="0.3"/>
    <row r="2" spans="2:5" ht="16.5" thickTop="1" x14ac:dyDescent="0.25">
      <c r="B2" s="124" t="s">
        <v>1526</v>
      </c>
      <c r="C2" s="125" t="s">
        <v>1527</v>
      </c>
      <c r="D2" s="126" t="s">
        <v>1528</v>
      </c>
      <c r="E2" s="127" t="s">
        <v>1529</v>
      </c>
    </row>
    <row r="3" spans="2:5" ht="15.75" x14ac:dyDescent="0.25">
      <c r="B3" s="128" t="s">
        <v>1530</v>
      </c>
      <c r="C3" s="121"/>
      <c r="D3" s="121"/>
      <c r="E3" s="129"/>
    </row>
    <row r="4" spans="2:5" ht="15.75" x14ac:dyDescent="0.25">
      <c r="B4" s="130"/>
      <c r="C4" s="122" t="s">
        <v>1531</v>
      </c>
      <c r="D4" s="122" t="s">
        <v>1532</v>
      </c>
      <c r="E4" s="131" t="s">
        <v>1533</v>
      </c>
    </row>
    <row r="5" spans="2:5" ht="15.75" x14ac:dyDescent="0.25">
      <c r="B5" s="130"/>
      <c r="C5" s="122" t="s">
        <v>1534</v>
      </c>
      <c r="D5" s="122" t="s">
        <v>1535</v>
      </c>
      <c r="E5" s="131" t="s">
        <v>1536</v>
      </c>
    </row>
    <row r="6" spans="2:5" ht="15.75" x14ac:dyDescent="0.25">
      <c r="B6" s="130"/>
      <c r="C6" s="122" t="s">
        <v>1537</v>
      </c>
      <c r="D6" s="122" t="s">
        <v>1538</v>
      </c>
      <c r="E6" s="131" t="s">
        <v>1539</v>
      </c>
    </row>
    <row r="7" spans="2:5" ht="15.75" x14ac:dyDescent="0.25">
      <c r="B7" s="128" t="s">
        <v>1540</v>
      </c>
      <c r="C7" s="121"/>
      <c r="D7" s="121"/>
      <c r="E7" s="129"/>
    </row>
    <row r="8" spans="2:5" ht="31.5" x14ac:dyDescent="0.25">
      <c r="B8" s="130"/>
      <c r="C8" s="122" t="s">
        <v>1541</v>
      </c>
      <c r="D8" s="122" t="s">
        <v>1542</v>
      </c>
      <c r="E8" s="131" t="s">
        <v>1543</v>
      </c>
    </row>
    <row r="9" spans="2:5" ht="31.5" x14ac:dyDescent="0.25">
      <c r="B9" s="130"/>
      <c r="C9" s="122" t="s">
        <v>1544</v>
      </c>
      <c r="D9" s="122" t="s">
        <v>1545</v>
      </c>
      <c r="E9" s="131" t="s">
        <v>1546</v>
      </c>
    </row>
    <row r="10" spans="2:5" ht="15.75" x14ac:dyDescent="0.25">
      <c r="B10" s="130"/>
      <c r="C10" s="122" t="s">
        <v>1547</v>
      </c>
      <c r="D10" s="122" t="s">
        <v>1548</v>
      </c>
      <c r="E10" s="131" t="s">
        <v>1549</v>
      </c>
    </row>
    <row r="11" spans="2:5" ht="31.5" x14ac:dyDescent="0.25">
      <c r="B11" s="130"/>
      <c r="C11" s="122" t="s">
        <v>1550</v>
      </c>
      <c r="D11" s="122" t="s">
        <v>1542</v>
      </c>
      <c r="E11" s="131" t="s">
        <v>1551</v>
      </c>
    </row>
    <row r="12" spans="2:5" ht="15.75" x14ac:dyDescent="0.25">
      <c r="B12" s="130"/>
      <c r="C12" s="122" t="s">
        <v>1552</v>
      </c>
      <c r="D12" s="122" t="s">
        <v>1553</v>
      </c>
      <c r="E12" s="131" t="s">
        <v>1554</v>
      </c>
    </row>
    <row r="13" spans="2:5" ht="31.5" x14ac:dyDescent="0.25">
      <c r="B13" s="130"/>
      <c r="C13" s="122" t="s">
        <v>1555</v>
      </c>
      <c r="D13" s="122" t="s">
        <v>1556</v>
      </c>
      <c r="E13" s="131" t="s">
        <v>1557</v>
      </c>
    </row>
    <row r="14" spans="2:5" ht="15.75" x14ac:dyDescent="0.25">
      <c r="B14" s="130"/>
      <c r="C14" s="122" t="s">
        <v>1558</v>
      </c>
      <c r="D14" s="122" t="s">
        <v>1553</v>
      </c>
      <c r="E14" s="131" t="s">
        <v>1557</v>
      </c>
    </row>
    <row r="15" spans="2:5" ht="15.75" x14ac:dyDescent="0.25">
      <c r="B15" s="130"/>
      <c r="C15" s="122" t="s">
        <v>1559</v>
      </c>
      <c r="D15" s="122" t="s">
        <v>1553</v>
      </c>
      <c r="E15" s="131" t="s">
        <v>1560</v>
      </c>
    </row>
    <row r="16" spans="2:5" ht="15.75" x14ac:dyDescent="0.25">
      <c r="B16" s="130"/>
      <c r="C16" s="122" t="s">
        <v>1561</v>
      </c>
      <c r="D16" s="122" t="s">
        <v>1562</v>
      </c>
      <c r="E16" s="131" t="s">
        <v>1560</v>
      </c>
    </row>
    <row r="17" spans="2:5" ht="15.75" x14ac:dyDescent="0.25">
      <c r="B17" s="128" t="s">
        <v>1563</v>
      </c>
      <c r="C17" s="121"/>
      <c r="D17" s="121"/>
      <c r="E17" s="129"/>
    </row>
    <row r="18" spans="2:5" ht="31.5" x14ac:dyDescent="0.25">
      <c r="B18" s="130"/>
      <c r="C18" s="122" t="s">
        <v>1564</v>
      </c>
      <c r="D18" s="122" t="s">
        <v>1565</v>
      </c>
      <c r="E18" s="131" t="s">
        <v>1566</v>
      </c>
    </row>
    <row r="19" spans="2:5" ht="31.5" x14ac:dyDescent="0.25">
      <c r="B19" s="130"/>
      <c r="C19" s="122" t="s">
        <v>1567</v>
      </c>
      <c r="D19" s="122" t="s">
        <v>1568</v>
      </c>
      <c r="E19" s="131" t="s">
        <v>1569</v>
      </c>
    </row>
    <row r="20" spans="2:5" ht="15.75" x14ac:dyDescent="0.25">
      <c r="B20" s="130"/>
      <c r="C20" s="122" t="s">
        <v>1570</v>
      </c>
      <c r="D20" s="122" t="s">
        <v>851</v>
      </c>
      <c r="E20" s="131" t="s">
        <v>1571</v>
      </c>
    </row>
    <row r="21" spans="2:5" ht="15.75" x14ac:dyDescent="0.25">
      <c r="B21" s="130"/>
      <c r="C21" s="122" t="s">
        <v>1572</v>
      </c>
      <c r="D21" s="122" t="s">
        <v>1573</v>
      </c>
      <c r="E21" s="131" t="s">
        <v>1574</v>
      </c>
    </row>
    <row r="22" spans="2:5" x14ac:dyDescent="0.25">
      <c r="B22" s="130"/>
      <c r="C22" s="121"/>
      <c r="D22" s="121"/>
      <c r="E22" s="129"/>
    </row>
    <row r="23" spans="2:5" ht="15.75" x14ac:dyDescent="0.25">
      <c r="B23" s="130"/>
      <c r="C23" s="122" t="s">
        <v>1575</v>
      </c>
      <c r="D23" s="122" t="s">
        <v>1576</v>
      </c>
      <c r="E23" s="131" t="s">
        <v>1577</v>
      </c>
    </row>
    <row r="24" spans="2:5" ht="15.75" x14ac:dyDescent="0.25">
      <c r="B24" s="128" t="s">
        <v>1578</v>
      </c>
      <c r="C24" s="121"/>
      <c r="D24" s="121"/>
      <c r="E24" s="129"/>
    </row>
    <row r="25" spans="2:5" ht="15.75" x14ac:dyDescent="0.25">
      <c r="B25" s="130"/>
      <c r="C25" s="122" t="s">
        <v>1579</v>
      </c>
      <c r="D25" s="121"/>
      <c r="E25" s="131" t="s">
        <v>1580</v>
      </c>
    </row>
    <row r="26" spans="2:5" ht="15.75" x14ac:dyDescent="0.25">
      <c r="B26" s="128" t="s">
        <v>1581</v>
      </c>
      <c r="C26" s="121"/>
      <c r="D26" s="121"/>
      <c r="E26" s="129"/>
    </row>
    <row r="27" spans="2:5" ht="31.5" x14ac:dyDescent="0.25">
      <c r="B27" s="130"/>
      <c r="C27" s="122" t="s">
        <v>1582</v>
      </c>
      <c r="D27" s="122" t="s">
        <v>1583</v>
      </c>
      <c r="E27" s="131" t="s">
        <v>1584</v>
      </c>
    </row>
    <row r="28" spans="2:5" ht="15.75" x14ac:dyDescent="0.25">
      <c r="B28" s="130"/>
      <c r="C28" s="122" t="s">
        <v>1585</v>
      </c>
      <c r="D28" s="122" t="s">
        <v>1586</v>
      </c>
      <c r="E28" s="131" t="s">
        <v>1587</v>
      </c>
    </row>
    <row r="29" spans="2:5" ht="31.5" x14ac:dyDescent="0.25">
      <c r="B29" s="130"/>
      <c r="C29" s="122" t="s">
        <v>1588</v>
      </c>
      <c r="D29" s="122" t="s">
        <v>1589</v>
      </c>
      <c r="E29" s="131" t="s">
        <v>1587</v>
      </c>
    </row>
    <row r="30" spans="2:5" ht="15.75" x14ac:dyDescent="0.25">
      <c r="B30" s="130"/>
      <c r="C30" s="122" t="s">
        <v>1590</v>
      </c>
      <c r="D30" s="122" t="s">
        <v>1591</v>
      </c>
      <c r="E30" s="131" t="s">
        <v>1592</v>
      </c>
    </row>
    <row r="31" spans="2:5" ht="15.75" x14ac:dyDescent="0.25">
      <c r="B31" s="130"/>
      <c r="C31" s="122" t="s">
        <v>1593</v>
      </c>
      <c r="D31" s="122" t="s">
        <v>1594</v>
      </c>
      <c r="E31" s="131" t="s">
        <v>1595</v>
      </c>
    </row>
    <row r="32" spans="2:5" ht="15.75" x14ac:dyDescent="0.25">
      <c r="B32" s="130"/>
      <c r="C32" s="122" t="s">
        <v>1596</v>
      </c>
      <c r="D32" s="122" t="s">
        <v>1597</v>
      </c>
      <c r="E32" s="131" t="s">
        <v>1598</v>
      </c>
    </row>
    <row r="33" spans="2:5" ht="15.75" x14ac:dyDescent="0.25">
      <c r="B33" s="130"/>
      <c r="C33" s="122" t="s">
        <v>1599</v>
      </c>
      <c r="D33" s="122" t="s">
        <v>1597</v>
      </c>
      <c r="E33" s="131" t="s">
        <v>1600</v>
      </c>
    </row>
    <row r="34" spans="2:5" ht="15.75" x14ac:dyDescent="0.25">
      <c r="B34" s="130"/>
      <c r="C34" s="122" t="s">
        <v>1601</v>
      </c>
      <c r="D34" s="122" t="s">
        <v>1602</v>
      </c>
      <c r="E34" s="131" t="s">
        <v>1600</v>
      </c>
    </row>
    <row r="35" spans="2:5" ht="31.5" x14ac:dyDescent="0.25">
      <c r="B35" s="130"/>
      <c r="C35" s="122" t="s">
        <v>1603</v>
      </c>
      <c r="D35" s="122" t="s">
        <v>1604</v>
      </c>
      <c r="E35" s="131" t="s">
        <v>1605</v>
      </c>
    </row>
    <row r="36" spans="2:5" ht="31.5" x14ac:dyDescent="0.25">
      <c r="B36" s="130"/>
      <c r="C36" s="122" t="s">
        <v>1606</v>
      </c>
      <c r="D36" s="122" t="s">
        <v>1604</v>
      </c>
      <c r="E36" s="131" t="s">
        <v>1607</v>
      </c>
    </row>
    <row r="37" spans="2:5" ht="47.25" x14ac:dyDescent="0.25">
      <c r="B37" s="130"/>
      <c r="C37" s="122" t="s">
        <v>1608</v>
      </c>
      <c r="D37" s="123" t="s">
        <v>1609</v>
      </c>
      <c r="E37" s="131" t="s">
        <v>1607</v>
      </c>
    </row>
    <row r="38" spans="2:5" ht="31.5" x14ac:dyDescent="0.25">
      <c r="B38" s="130"/>
      <c r="C38" s="122" t="s">
        <v>1610</v>
      </c>
      <c r="D38" s="122" t="s">
        <v>1611</v>
      </c>
      <c r="E38" s="131" t="s">
        <v>1612</v>
      </c>
    </row>
    <row r="39" spans="2:5" ht="15.75" x14ac:dyDescent="0.25">
      <c r="B39" s="130"/>
      <c r="C39" s="122" t="s">
        <v>1613</v>
      </c>
      <c r="D39" s="122" t="s">
        <v>1597</v>
      </c>
      <c r="E39" s="131" t="s">
        <v>1614</v>
      </c>
    </row>
    <row r="40" spans="2:5" ht="15.75" x14ac:dyDescent="0.25">
      <c r="B40" s="130"/>
      <c r="C40" s="122" t="s">
        <v>1615</v>
      </c>
      <c r="D40" s="122" t="s">
        <v>1616</v>
      </c>
      <c r="E40" s="131" t="s">
        <v>1617</v>
      </c>
    </row>
    <row r="41" spans="2:5" ht="15.75" x14ac:dyDescent="0.25">
      <c r="B41" s="128" t="s">
        <v>1618</v>
      </c>
      <c r="C41" s="121"/>
      <c r="D41" s="121"/>
      <c r="E41" s="129"/>
    </row>
    <row r="42" spans="2:5" ht="31.5" x14ac:dyDescent="0.25">
      <c r="B42" s="130"/>
      <c r="C42" s="122" t="s">
        <v>1619</v>
      </c>
      <c r="D42" s="122" t="s">
        <v>1548</v>
      </c>
      <c r="E42" s="131" t="s">
        <v>1620</v>
      </c>
    </row>
    <row r="43" spans="2:5" ht="31.5" x14ac:dyDescent="0.25">
      <c r="B43" s="130"/>
      <c r="C43" s="122" t="s">
        <v>1621</v>
      </c>
      <c r="D43" s="122" t="s">
        <v>1611</v>
      </c>
      <c r="E43" s="131" t="s">
        <v>1620</v>
      </c>
    </row>
    <row r="44" spans="2:5" ht="31.5" x14ac:dyDescent="0.25">
      <c r="B44" s="130"/>
      <c r="C44" s="122" t="s">
        <v>1622</v>
      </c>
      <c r="D44" s="122" t="s">
        <v>1542</v>
      </c>
      <c r="E44" s="131" t="s">
        <v>1623</v>
      </c>
    </row>
    <row r="45" spans="2:5" ht="15.75" x14ac:dyDescent="0.25">
      <c r="B45" s="130"/>
      <c r="C45" s="122" t="s">
        <v>1624</v>
      </c>
      <c r="D45" s="122" t="s">
        <v>1602</v>
      </c>
      <c r="E45" s="131" t="s">
        <v>1625</v>
      </c>
    </row>
    <row r="46" spans="2:5" ht="31.5" x14ac:dyDescent="0.25">
      <c r="B46" s="130"/>
      <c r="C46" s="122" t="s">
        <v>1626</v>
      </c>
      <c r="D46" s="122" t="s">
        <v>1602</v>
      </c>
      <c r="E46" s="131" t="s">
        <v>1627</v>
      </c>
    </row>
    <row r="47" spans="2:5" ht="15.75" x14ac:dyDescent="0.25">
      <c r="B47" s="130"/>
      <c r="C47" s="122" t="s">
        <v>1628</v>
      </c>
      <c r="D47" s="122" t="s">
        <v>1629</v>
      </c>
      <c r="E47" s="131" t="s">
        <v>1630</v>
      </c>
    </row>
    <row r="48" spans="2:5" ht="15.75" x14ac:dyDescent="0.25">
      <c r="B48" s="130"/>
      <c r="C48" s="122" t="s">
        <v>1631</v>
      </c>
      <c r="D48" s="122" t="s">
        <v>1632</v>
      </c>
      <c r="E48" s="131" t="s">
        <v>1633</v>
      </c>
    </row>
    <row r="49" spans="2:5" ht="15.75" x14ac:dyDescent="0.25">
      <c r="B49" s="130"/>
      <c r="C49" s="122" t="s">
        <v>1634</v>
      </c>
      <c r="D49" s="122" t="s">
        <v>1602</v>
      </c>
      <c r="E49" s="131" t="s">
        <v>1635</v>
      </c>
    </row>
    <row r="50" spans="2:5" ht="31.5" x14ac:dyDescent="0.25">
      <c r="B50" s="130"/>
      <c r="C50" s="122" t="s">
        <v>1636</v>
      </c>
      <c r="D50" s="122" t="s">
        <v>1637</v>
      </c>
      <c r="E50" s="131" t="s">
        <v>1638</v>
      </c>
    </row>
    <row r="51" spans="2:5" ht="31.5" x14ac:dyDescent="0.25">
      <c r="B51" s="130"/>
      <c r="C51" s="122" t="s">
        <v>1639</v>
      </c>
      <c r="D51" s="122" t="s">
        <v>1542</v>
      </c>
      <c r="E51" s="131" t="s">
        <v>1640</v>
      </c>
    </row>
    <row r="52" spans="2:5" ht="31.5" x14ac:dyDescent="0.25">
      <c r="B52" s="130"/>
      <c r="C52" s="122" t="s">
        <v>1641</v>
      </c>
      <c r="D52" s="122" t="s">
        <v>1642</v>
      </c>
      <c r="E52" s="131" t="s">
        <v>1643</v>
      </c>
    </row>
    <row r="53" spans="2:5" ht="31.5" x14ac:dyDescent="0.25">
      <c r="B53" s="130"/>
      <c r="C53" s="122" t="s">
        <v>1644</v>
      </c>
      <c r="D53" s="122" t="s">
        <v>1645</v>
      </c>
      <c r="E53" s="131" t="s">
        <v>1646</v>
      </c>
    </row>
    <row r="54" spans="2:5" ht="31.5" x14ac:dyDescent="0.25">
      <c r="B54" s="130"/>
      <c r="C54" s="122" t="s">
        <v>1647</v>
      </c>
      <c r="D54" s="122" t="s">
        <v>1645</v>
      </c>
      <c r="E54" s="131" t="s">
        <v>1646</v>
      </c>
    </row>
    <row r="55" spans="2:5" ht="15.75" x14ac:dyDescent="0.25">
      <c r="B55" s="130"/>
      <c r="C55" s="122" t="s">
        <v>1648</v>
      </c>
      <c r="D55" s="122" t="s">
        <v>1535</v>
      </c>
      <c r="E55" s="131" t="s">
        <v>1649</v>
      </c>
    </row>
    <row r="56" spans="2:5" ht="31.5" x14ac:dyDescent="0.25">
      <c r="B56" s="130"/>
      <c r="C56" s="122" t="s">
        <v>1650</v>
      </c>
      <c r="D56" s="122" t="s">
        <v>1651</v>
      </c>
      <c r="E56" s="131" t="s">
        <v>1652</v>
      </c>
    </row>
    <row r="57" spans="2:5" ht="31.5" x14ac:dyDescent="0.25">
      <c r="B57" s="130"/>
      <c r="C57" s="122" t="s">
        <v>1653</v>
      </c>
      <c r="D57" s="122" t="s">
        <v>1654</v>
      </c>
      <c r="E57" s="131" t="s">
        <v>1655</v>
      </c>
    </row>
    <row r="58" spans="2:5" ht="31.5" x14ac:dyDescent="0.25">
      <c r="B58" s="130"/>
      <c r="C58" s="122" t="s">
        <v>1656</v>
      </c>
      <c r="D58" s="122" t="s">
        <v>1604</v>
      </c>
      <c r="E58" s="131" t="s">
        <v>1657</v>
      </c>
    </row>
    <row r="59" spans="2:5" ht="31.5" x14ac:dyDescent="0.25">
      <c r="B59" s="130"/>
      <c r="C59" s="122" t="s">
        <v>1658</v>
      </c>
      <c r="D59" s="122" t="s">
        <v>1548</v>
      </c>
      <c r="E59" s="131" t="s">
        <v>1659</v>
      </c>
    </row>
    <row r="60" spans="2:5" ht="15.75" x14ac:dyDescent="0.25">
      <c r="B60" s="128" t="s">
        <v>1660</v>
      </c>
      <c r="C60" s="121"/>
      <c r="D60" s="121"/>
      <c r="E60" s="129"/>
    </row>
    <row r="61" spans="2:5" ht="15.75" x14ac:dyDescent="0.25">
      <c r="B61" s="130"/>
      <c r="C61" s="122" t="s">
        <v>1661</v>
      </c>
      <c r="D61" s="122" t="s">
        <v>1616</v>
      </c>
      <c r="E61" s="131" t="s">
        <v>1662</v>
      </c>
    </row>
    <row r="62" spans="2:5" ht="15.75" x14ac:dyDescent="0.25">
      <c r="B62" s="128" t="s">
        <v>1663</v>
      </c>
      <c r="C62" s="121"/>
      <c r="D62" s="121"/>
      <c r="E62" s="129"/>
    </row>
    <row r="63" spans="2:5" ht="31.5" x14ac:dyDescent="0.25">
      <c r="B63" s="130"/>
      <c r="C63" s="122" t="s">
        <v>1664</v>
      </c>
      <c r="D63" s="122" t="s">
        <v>1611</v>
      </c>
      <c r="E63" s="131" t="s">
        <v>1665</v>
      </c>
    </row>
    <row r="64" spans="2:5" ht="31.5" x14ac:dyDescent="0.25">
      <c r="B64" s="130"/>
      <c r="C64" s="122" t="s">
        <v>1666</v>
      </c>
      <c r="D64" s="122" t="s">
        <v>1667</v>
      </c>
      <c r="E64" s="132" t="s">
        <v>1665</v>
      </c>
    </row>
    <row r="65" spans="2:5" ht="32.25" thickBot="1" x14ac:dyDescent="0.3">
      <c r="B65" s="133"/>
      <c r="C65" s="134" t="s">
        <v>1668</v>
      </c>
      <c r="D65" s="134" t="s">
        <v>1669</v>
      </c>
      <c r="E65" s="135" t="s">
        <v>1670</v>
      </c>
    </row>
    <row r="66" spans="2:5" ht="15.75" thickTop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Expliantion</vt:lpstr>
      <vt:lpstr>Units convertion</vt:lpstr>
      <vt:lpstr>RsUnits</vt:lpstr>
      <vt:lpstr>SoilClassfication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2018-04-11T17:18:54Z</dcterms:modified>
</cp:coreProperties>
</file>